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/>
  <bookViews>
    <workbookView xWindow="0" yWindow="120" windowWidth="19440" windowHeight="9720" tabRatio="948"/>
  </bookViews>
  <sheets>
    <sheet name="One way Slab" sheetId="7" r:id="rId1"/>
    <sheet name="Calculation OW" sheetId="11" r:id="rId2"/>
    <sheet name="Drawing OW" sheetId="13" r:id="rId3"/>
  </sheets>
  <definedNames>
    <definedName name="_xlnm.Print_Area" localSheetId="1">'Calculation OW'!$D$4:$AM$66</definedName>
    <definedName name="_xlnm.Print_Area" localSheetId="2">'Drawing OW'!$D$4:$AM$66</definedName>
    <definedName name="_xlnm.Print_Area" localSheetId="0">'One way Slab'!$B$2:$CG$40</definedName>
    <definedName name="Z_EDFC4C12_2844_47F2_A6A6_59EDD90C46DD_.wvu.Cols" localSheetId="0" hidden="1">'One way Slab'!$HP:$JI</definedName>
    <definedName name="Z_EDFC4C12_2844_47F2_A6A6_59EDD90C46DD_.wvu.PrintArea" localSheetId="0" hidden="1">'Calculation OW'!$D$4:$AM$66</definedName>
  </definedNames>
  <calcPr calcId="145621"/>
  <customWorkbookViews>
    <customWorkbookView name="11022 - มุมมองส่วนบุคคล" guid="{EDFC4C12-2844-47F2-A6A6-59EDD90C46DD}" mergeInterval="0" personalView="1" maximized="1" xWindow="1" yWindow="1" windowWidth="1278" windowHeight="658" activeSheetId="3"/>
  </customWorkbookViews>
</workbook>
</file>

<file path=xl/calcChain.xml><?xml version="1.0" encoding="utf-8"?>
<calcChain xmlns="http://schemas.openxmlformats.org/spreadsheetml/2006/main">
  <c r="G10" i="11" l="1"/>
  <c r="G9" i="11"/>
  <c r="G8" i="11"/>
  <c r="AF6" i="13" l="1"/>
  <c r="H6" i="13"/>
  <c r="AF5" i="13"/>
  <c r="H5" i="13"/>
  <c r="AF4" i="13"/>
  <c r="H4" i="13"/>
  <c r="HT69" i="7"/>
  <c r="IS84" i="7" s="1"/>
  <c r="IT79" i="7" s="1"/>
  <c r="W28" i="7" s="1"/>
  <c r="OE145" i="7"/>
  <c r="OD145" i="7"/>
  <c r="OE160" i="7"/>
  <c r="OB160" i="7"/>
  <c r="AB37" i="11"/>
  <c r="V37" i="11"/>
  <c r="S37" i="11"/>
  <c r="P37" i="11"/>
  <c r="G22" i="11" l="1"/>
  <c r="S15" i="11"/>
  <c r="AG3" i="7"/>
  <c r="AC27" i="7"/>
  <c r="V15" i="11" s="1"/>
  <c r="W27" i="7"/>
  <c r="P15" i="11" s="1"/>
  <c r="NU84" i="7"/>
  <c r="OA88" i="7"/>
  <c r="OA85" i="7"/>
  <c r="OA82" i="7"/>
  <c r="OA79" i="7"/>
  <c r="NV78" i="7"/>
  <c r="NX167" i="7"/>
  <c r="NU160" i="7"/>
  <c r="NV160" i="7" s="1"/>
  <c r="NX171" i="7"/>
  <c r="NZ163" i="7"/>
  <c r="OE161" i="7"/>
  <c r="OB161" i="7"/>
  <c r="NY161" i="7"/>
  <c r="NV161" i="7"/>
  <c r="NX160" i="7"/>
  <c r="NY160" i="7" s="1"/>
  <c r="NY158" i="7"/>
  <c r="NX158" i="7"/>
  <c r="NV158" i="7"/>
  <c r="NU158" i="7"/>
  <c r="OD155" i="7"/>
  <c r="OE155" i="7" s="1"/>
  <c r="OB155" i="7"/>
  <c r="OH155" i="7" s="1"/>
  <c r="OA155" i="7"/>
  <c r="OG155" i="7" s="1"/>
  <c r="OH154" i="7"/>
  <c r="OG154" i="7"/>
  <c r="NY151" i="7"/>
  <c r="OB151" i="7" s="1"/>
  <c r="NX151" i="7"/>
  <c r="OA151" i="7" s="1"/>
  <c r="NV151" i="7"/>
  <c r="NU151" i="7"/>
  <c r="OH149" i="7"/>
  <c r="OJ148" i="7"/>
  <c r="OE148" i="7"/>
  <c r="OD148" i="7"/>
  <c r="OB148" i="7"/>
  <c r="OH148" i="7" s="1"/>
  <c r="OA148" i="7"/>
  <c r="OG148" i="7" s="1"/>
  <c r="IK67" i="7"/>
  <c r="IK66" i="7"/>
  <c r="IK65" i="7"/>
  <c r="IK64" i="7"/>
  <c r="IK63" i="7"/>
  <c r="IK62" i="7"/>
  <c r="IK61" i="7"/>
  <c r="V21" i="7"/>
  <c r="NX170" i="7" s="1"/>
  <c r="V20" i="7"/>
  <c r="NX166" i="7" s="1"/>
  <c r="OB158" i="7" l="1"/>
  <c r="OB170" i="7"/>
  <c r="NT170" i="7"/>
  <c r="OB166" i="7"/>
  <c r="NT166" i="7"/>
  <c r="OA158" i="7"/>
  <c r="P21" i="11" l="1"/>
  <c r="P20" i="11"/>
  <c r="AE10" i="11"/>
  <c r="S10" i="11"/>
  <c r="AE9" i="11"/>
  <c r="S9" i="11"/>
  <c r="S8" i="11"/>
  <c r="AF6" i="11"/>
  <c r="H6" i="11"/>
  <c r="AF5" i="11"/>
  <c r="H5" i="11"/>
  <c r="AF4" i="11"/>
  <c r="H4" i="11"/>
  <c r="NU110" i="7"/>
  <c r="NV109" i="7"/>
  <c r="NU109" i="7"/>
  <c r="P47" i="11" l="1"/>
  <c r="V21" i="11"/>
  <c r="S21" i="11"/>
  <c r="V20" i="11"/>
  <c r="S20" i="11"/>
  <c r="IR124" i="7" l="1"/>
  <c r="IF72" i="7"/>
  <c r="IF71" i="7"/>
  <c r="IV120" i="7"/>
  <c r="IS120" i="7"/>
  <c r="IP120" i="7"/>
  <c r="H49" i="11"/>
  <c r="HT76" i="7"/>
  <c r="HT72" i="7"/>
  <c r="IW83" i="7" s="1"/>
  <c r="AE35" i="11" s="1"/>
  <c r="HT71" i="7"/>
  <c r="IO83" i="7" s="1"/>
  <c r="HT70" i="7"/>
  <c r="IL78" i="7" s="1"/>
  <c r="HT74" i="7"/>
  <c r="HT73" i="7"/>
  <c r="IR112" i="7"/>
  <c r="IP112" i="7"/>
  <c r="IR111" i="7"/>
  <c r="IP111" i="7"/>
  <c r="IR110" i="7"/>
  <c r="IP110" i="7"/>
  <c r="IR109" i="7"/>
  <c r="IP109" i="7"/>
  <c r="IR108" i="7"/>
  <c r="IP108" i="7"/>
  <c r="IR107" i="7"/>
  <c r="IP107" i="7"/>
  <c r="IN101" i="7"/>
  <c r="IN100" i="7"/>
  <c r="IN99" i="7"/>
  <c r="IN98" i="7"/>
  <c r="NZ119" i="7"/>
  <c r="NZ118" i="7"/>
  <c r="NW119" i="7"/>
  <c r="NV118" i="7"/>
  <c r="NU118" i="7"/>
  <c r="OD105" i="7"/>
  <c r="OE105" i="7" s="1"/>
  <c r="NU105" i="7"/>
  <c r="NV105" i="7" s="1"/>
  <c r="OD102" i="7"/>
  <c r="OE102" i="7" s="1"/>
  <c r="NU102" i="7"/>
  <c r="NV102" i="7" s="1"/>
  <c r="OE93" i="7"/>
  <c r="NX93" i="7"/>
  <c r="NV93" i="7"/>
  <c r="NU88" i="7"/>
  <c r="NX88" i="7" s="1"/>
  <c r="OD87" i="7"/>
  <c r="OB87" i="7"/>
  <c r="NY87" i="7"/>
  <c r="NU87" i="7"/>
  <c r="OA87" i="7" s="1"/>
  <c r="NX85" i="7"/>
  <c r="NV88" i="7"/>
  <c r="OD84" i="7"/>
  <c r="NX84" i="7"/>
  <c r="OB84" i="7" s="1"/>
  <c r="NV84" i="7"/>
  <c r="OA81" i="7"/>
  <c r="NX81" i="7"/>
  <c r="NY81" i="7" s="1"/>
  <c r="NV81" i="7"/>
  <c r="OF80" i="7"/>
  <c r="OG83" i="7" s="1"/>
  <c r="OD80" i="7"/>
  <c r="NX78" i="7"/>
  <c r="NY78" i="7"/>
  <c r="OB78" i="7" s="1"/>
  <c r="NY76" i="7"/>
  <c r="NV76" i="7"/>
  <c r="NZ76" i="7" s="1"/>
  <c r="NY75" i="7"/>
  <c r="NZ75" i="7" s="1"/>
  <c r="NU75" i="7"/>
  <c r="NV75" i="7" s="1"/>
  <c r="OD73" i="7"/>
  <c r="OG73" i="7" s="1"/>
  <c r="NU73" i="7"/>
  <c r="HV109" i="7"/>
  <c r="OI72" i="7"/>
  <c r="OH72" i="7"/>
  <c r="OD96" i="7" s="1"/>
  <c r="OE96" i="7" s="1"/>
  <c r="OG72" i="7"/>
  <c r="OD99" i="7" s="1"/>
  <c r="OE99" i="7" s="1"/>
  <c r="OF72" i="7"/>
  <c r="OD90" i="7" s="1"/>
  <c r="OE90" i="7" s="1"/>
  <c r="OE72" i="7"/>
  <c r="OD72" i="7"/>
  <c r="NZ72" i="7"/>
  <c r="NY72" i="7"/>
  <c r="NU96" i="7" s="1"/>
  <c r="NX72" i="7"/>
  <c r="NU99" i="7" s="1"/>
  <c r="NW72" i="7"/>
  <c r="NU90" i="7" s="1"/>
  <c r="NV72" i="7"/>
  <c r="NU72" i="7"/>
  <c r="OG70" i="7"/>
  <c r="OQ70" i="7" s="1"/>
  <c r="II67" i="7"/>
  <c r="OE66" i="7"/>
  <c r="OH66" i="7" s="1"/>
  <c r="NV66" i="7"/>
  <c r="II66" i="7"/>
  <c r="II65" i="7"/>
  <c r="OD64" i="7"/>
  <c r="OD67" i="7" s="1"/>
  <c r="NU64" i="7"/>
  <c r="NU67" i="7" s="1"/>
  <c r="II64" i="7"/>
  <c r="OH63" i="7"/>
  <c r="OG63" i="7"/>
  <c r="NY63" i="7"/>
  <c r="NX63" i="7"/>
  <c r="II63" i="7"/>
  <c r="II62" i="7"/>
  <c r="OD61" i="7"/>
  <c r="OG61" i="7" s="1"/>
  <c r="OH61" i="7" s="1"/>
  <c r="II61" i="7"/>
  <c r="OJ60" i="7"/>
  <c r="OK60" i="7" s="1"/>
  <c r="OG60" i="7"/>
  <c r="OH60" i="7" s="1"/>
  <c r="OA60" i="7"/>
  <c r="OB60" i="7" s="1"/>
  <c r="NX60" i="7"/>
  <c r="NY60" i="7" s="1"/>
  <c r="HS52" i="7"/>
  <c r="IS48" i="7"/>
  <c r="HP48" i="7"/>
  <c r="P17" i="11" s="1"/>
  <c r="IS47" i="7"/>
  <c r="HP47" i="7"/>
  <c r="IS46" i="7"/>
  <c r="IS45" i="7"/>
  <c r="IS44" i="7"/>
  <c r="IS43" i="7"/>
  <c r="HY43" i="7"/>
  <c r="HT133" i="7"/>
  <c r="W18" i="7"/>
  <c r="IS117" i="7" l="1"/>
  <c r="S17" i="11"/>
  <c r="V17" i="11"/>
  <c r="HT80" i="7"/>
  <c r="P23" i="11" s="1"/>
  <c r="W19" i="7"/>
  <c r="P16" i="11"/>
  <c r="NZ115" i="7"/>
  <c r="NY115" i="7"/>
  <c r="NV115" i="7"/>
  <c r="NU115" i="7"/>
  <c r="OD83" i="7"/>
  <c r="IX71" i="7"/>
  <c r="NY112" i="7"/>
  <c r="NZ112" i="7" s="1"/>
  <c r="HT82" i="7"/>
  <c r="P33" i="11" s="1"/>
  <c r="HT75" i="7"/>
  <c r="HZ75" i="7" s="1"/>
  <c r="IP117" i="7"/>
  <c r="IU74" i="7"/>
  <c r="G17" i="11" s="1"/>
  <c r="NY113" i="7"/>
  <c r="HP109" i="7"/>
  <c r="IL99" i="7"/>
  <c r="JB73" i="7"/>
  <c r="IV117" i="7"/>
  <c r="IY120" i="7"/>
  <c r="IL98" i="7"/>
  <c r="IX70" i="7"/>
  <c r="IQ102" i="7"/>
  <c r="IX69" i="7"/>
  <c r="IX72" i="7"/>
  <c r="OG66" i="7"/>
  <c r="NV110" i="7"/>
  <c r="NW109" i="7"/>
  <c r="OG64" i="7"/>
  <c r="OH64" i="7" s="1"/>
  <c r="NX102" i="7"/>
  <c r="NY102" i="7" s="1"/>
  <c r="OA102" i="7" s="1"/>
  <c r="IU43" i="7"/>
  <c r="OE64" i="7"/>
  <c r="OF73" i="7"/>
  <c r="OD91" i="7" s="1"/>
  <c r="OE91" i="7" s="1"/>
  <c r="OE97" i="7" s="1"/>
  <c r="NV87" i="7"/>
  <c r="OE61" i="7"/>
  <c r="OJ61" i="7" s="1"/>
  <c r="OK61" i="7" s="1"/>
  <c r="OH70" i="7"/>
  <c r="NV64" i="7"/>
  <c r="OP70" i="7"/>
  <c r="NX64" i="7"/>
  <c r="NY64" i="7" s="1"/>
  <c r="OL70" i="7"/>
  <c r="OD86" i="7"/>
  <c r="HX133" i="7"/>
  <c r="NU116" i="7"/>
  <c r="NV116" i="7" s="1"/>
  <c r="NX110" i="7"/>
  <c r="NY116" i="7" s="1"/>
  <c r="NZ116" i="7" s="1"/>
  <c r="HP49" i="7"/>
  <c r="W17" i="7" s="1"/>
  <c r="NU113" i="7"/>
  <c r="NY88" i="7"/>
  <c r="H16" i="7"/>
  <c r="AE8" i="11" s="1"/>
  <c r="OE67" i="7"/>
  <c r="OG67" i="7"/>
  <c r="OH67" i="7" s="1"/>
  <c r="NX66" i="7"/>
  <c r="NY66" i="7"/>
  <c r="NX96" i="7"/>
  <c r="NY96" i="7" s="1"/>
  <c r="NV96" i="7"/>
  <c r="NZ73" i="7"/>
  <c r="NV73" i="7"/>
  <c r="NW73" i="7"/>
  <c r="NU91" i="7" s="1"/>
  <c r="NX73" i="7"/>
  <c r="NX90" i="7"/>
  <c r="NY90" i="7" s="1"/>
  <c r="NV90" i="7"/>
  <c r="NY82" i="7"/>
  <c r="NV99" i="7"/>
  <c r="NX99" i="7"/>
  <c r="NV67" i="7"/>
  <c r="NX67" i="7"/>
  <c r="NY67" i="7" s="1"/>
  <c r="NY73" i="7"/>
  <c r="OD78" i="7"/>
  <c r="IU46" i="7"/>
  <c r="OK70" i="7"/>
  <c r="OD103" i="7" s="1"/>
  <c r="OE103" i="7" s="1"/>
  <c r="OO70" i="7"/>
  <c r="IB109" i="7"/>
  <c r="OE73" i="7"/>
  <c r="OI73" i="7"/>
  <c r="OB81" i="7"/>
  <c r="NX82" i="7"/>
  <c r="NY84" i="7"/>
  <c r="OD94" i="7"/>
  <c r="OD106" i="7"/>
  <c r="OE106" i="7" s="1"/>
  <c r="NX109" i="7"/>
  <c r="NW110" i="7"/>
  <c r="NZ113" i="7" s="1"/>
  <c r="NY109" i="7"/>
  <c r="IU44" i="7"/>
  <c r="IU47" i="7"/>
  <c r="IA52" i="7"/>
  <c r="OJ70" i="7"/>
  <c r="ON70" i="7"/>
  <c r="OH73" i="7"/>
  <c r="NU94" i="7"/>
  <c r="NX105" i="7"/>
  <c r="NU112" i="7"/>
  <c r="NV112" i="7" s="1"/>
  <c r="OA84" i="7"/>
  <c r="IU45" i="7"/>
  <c r="IU48" i="7"/>
  <c r="OI70" i="7"/>
  <c r="OM70" i="7"/>
  <c r="NY85" i="7"/>
  <c r="NY110" i="7"/>
  <c r="G35" i="11" l="1"/>
  <c r="P18" i="11"/>
  <c r="V18" i="11" s="1"/>
  <c r="NY58" i="7"/>
  <c r="NU61" i="7"/>
  <c r="NU70" i="7"/>
  <c r="V16" i="11"/>
  <c r="S16" i="11"/>
  <c r="V23" i="11"/>
  <c r="S23" i="11"/>
  <c r="S33" i="11"/>
  <c r="V33" i="11"/>
  <c r="IT81" i="7"/>
  <c r="AC28" i="7" s="1"/>
  <c r="V27" i="11" s="1"/>
  <c r="IN104" i="7"/>
  <c r="IT104" i="7"/>
  <c r="IN105" i="7"/>
  <c r="IP104" i="7"/>
  <c r="IR104" i="7"/>
  <c r="IS105" i="7"/>
  <c r="IT80" i="7"/>
  <c r="HT81" i="7"/>
  <c r="P24" i="11" s="1"/>
  <c r="JB71" i="7"/>
  <c r="HT78" i="7"/>
  <c r="IF70" i="7"/>
  <c r="JB72" i="7"/>
  <c r="HT83" i="7"/>
  <c r="HT84" i="7" s="1"/>
  <c r="IZ81" i="7"/>
  <c r="IB93" i="7" s="1"/>
  <c r="NY105" i="7"/>
  <c r="OA105" i="7" s="1"/>
  <c r="JB70" i="7"/>
  <c r="JB69" i="7"/>
  <c r="OD77" i="7"/>
  <c r="OD97" i="7"/>
  <c r="HP133" i="7"/>
  <c r="OG86" i="7"/>
  <c r="NZ120" i="7"/>
  <c r="NX119" i="7"/>
  <c r="NV113" i="7"/>
  <c r="OD100" i="7"/>
  <c r="OE94" i="7"/>
  <c r="OE100" i="7" s="1"/>
  <c r="NU97" i="7"/>
  <c r="NV91" i="7"/>
  <c r="NY99" i="7"/>
  <c r="OA99" i="7" s="1"/>
  <c r="OA96" i="7"/>
  <c r="OD85" i="7"/>
  <c r="OB85" i="7"/>
  <c r="OB82" i="7"/>
  <c r="OD82" i="7"/>
  <c r="NU100" i="7"/>
  <c r="NV94" i="7"/>
  <c r="OA90" i="7"/>
  <c r="NY93" i="7"/>
  <c r="OA93" i="7" s="1"/>
  <c r="OB88" i="7"/>
  <c r="OD88" i="7"/>
  <c r="IZ79" i="7" l="1"/>
  <c r="HT93" i="7" s="1"/>
  <c r="IP119" i="7"/>
  <c r="P35" i="11" s="1"/>
  <c r="HT100" i="7"/>
  <c r="S18" i="11"/>
  <c r="NZ58" i="7"/>
  <c r="NY52" i="7"/>
  <c r="NY55" i="7"/>
  <c r="NX79" i="7"/>
  <c r="NU106" i="7"/>
  <c r="NV106" i="7" s="1"/>
  <c r="NX61" i="7"/>
  <c r="NY61" i="7" s="1"/>
  <c r="NV61" i="7"/>
  <c r="OA61" i="7" s="1"/>
  <c r="OB61" i="7" s="1"/>
  <c r="NY70" i="7"/>
  <c r="NU103" i="7" s="1"/>
  <c r="NV103" i="7" s="1"/>
  <c r="OC70" i="7"/>
  <c r="NV70" i="7"/>
  <c r="NZ70" i="7"/>
  <c r="NW70" i="7"/>
  <c r="OD70" i="7"/>
  <c r="OA70" i="7"/>
  <c r="OE70" i="7"/>
  <c r="NX70" i="7"/>
  <c r="OB70" i="7"/>
  <c r="JE69" i="7"/>
  <c r="HT77" i="7" s="1"/>
  <c r="HZ78" i="7" s="1"/>
  <c r="V24" i="11"/>
  <c r="S24" i="11"/>
  <c r="P27" i="11"/>
  <c r="Z28" i="7"/>
  <c r="S27" i="11" s="1"/>
  <c r="P26" i="11"/>
  <c r="P25" i="11"/>
  <c r="W24" i="7"/>
  <c r="P22" i="11" s="1"/>
  <c r="P19" i="11"/>
  <c r="P46" i="11" s="1"/>
  <c r="V30" i="11"/>
  <c r="IL103" i="7"/>
  <c r="IN103" i="7" s="1"/>
  <c r="IP122" i="7"/>
  <c r="IZ80" i="7"/>
  <c r="HX93" i="7" s="1"/>
  <c r="IV119" i="7"/>
  <c r="IV122" i="7"/>
  <c r="IP126" i="7"/>
  <c r="IS122" i="7"/>
  <c r="IS119" i="7"/>
  <c r="NX91" i="7"/>
  <c r="NY91" i="7" s="1"/>
  <c r="OA91" i="7" s="1"/>
  <c r="NV97" i="7"/>
  <c r="NV100" i="7"/>
  <c r="NY94" i="7"/>
  <c r="OA94" i="7" s="1"/>
  <c r="NX94" i="7"/>
  <c r="IE59" i="7" l="1"/>
  <c r="IP125" i="7"/>
  <c r="HT101" i="7" s="1"/>
  <c r="AB36" i="11" s="1"/>
  <c r="AE37" i="11" s="1"/>
  <c r="AB35" i="11"/>
  <c r="NY106" i="7"/>
  <c r="OA106" i="7" s="1"/>
  <c r="NX106" i="7"/>
  <c r="NX103" i="7"/>
  <c r="NY103" i="7"/>
  <c r="OA103" i="7" s="1"/>
  <c r="NY79" i="7"/>
  <c r="OB79" i="7"/>
  <c r="OD79" i="7" s="1"/>
  <c r="W36" i="7"/>
  <c r="S35" i="11"/>
  <c r="V35" i="11"/>
  <c r="S19" i="11"/>
  <c r="V19" i="11"/>
  <c r="S26" i="11"/>
  <c r="V26" i="11"/>
  <c r="S25" i="11"/>
  <c r="V25" i="11"/>
  <c r="V22" i="11"/>
  <c r="S22" i="11"/>
  <c r="JD79" i="7"/>
  <c r="JD80" i="7" s="1"/>
  <c r="HT87" i="7" s="1"/>
  <c r="P42" i="11" s="1"/>
  <c r="P30" i="11"/>
  <c r="S30" i="11"/>
  <c r="HT79" i="7"/>
  <c r="HT86" i="7" s="1"/>
  <c r="IE56" i="7"/>
  <c r="NX97" i="7"/>
  <c r="NY97" i="7"/>
  <c r="OA97" i="7" s="1"/>
  <c r="NX100" i="7"/>
  <c r="NY100" i="7"/>
  <c r="OA100" i="7" s="1"/>
  <c r="IE57" i="7" l="1"/>
  <c r="IE58" i="7"/>
  <c r="HT92" i="7"/>
  <c r="W29" i="7" s="1"/>
  <c r="HX92" i="7"/>
  <c r="P41" i="11"/>
  <c r="S42" i="11" s="1"/>
  <c r="IB134" i="7"/>
  <c r="W37" i="7"/>
  <c r="W39" i="7" s="1"/>
  <c r="IB92" i="7"/>
  <c r="V28" i="11" s="1"/>
  <c r="V29" i="11" s="1"/>
  <c r="HZ87" i="7" l="1"/>
  <c r="HT85" i="7"/>
  <c r="S28" i="11"/>
  <c r="S29" i="11" s="1"/>
  <c r="HT94" i="7"/>
  <c r="P31" i="11" s="1"/>
  <c r="P28" i="11"/>
  <c r="HX94" i="7"/>
  <c r="S31" i="11" s="1"/>
  <c r="Z29" i="7"/>
  <c r="IB94" i="7"/>
  <c r="V31" i="11" s="1"/>
  <c r="AC29" i="7"/>
  <c r="IG56" i="7" l="1"/>
  <c r="P29" i="11"/>
  <c r="IV116" i="7"/>
  <c r="IP116" i="7"/>
  <c r="IS116" i="7"/>
  <c r="HZ85" i="7"/>
  <c r="IS118" i="7" l="1"/>
  <c r="HX97" i="7" s="1"/>
  <c r="S34" i="11" s="1"/>
  <c r="S32" i="11"/>
  <c r="IV118" i="7"/>
  <c r="IV121" i="7" s="1"/>
  <c r="IB98" i="7" s="1"/>
  <c r="V32" i="11"/>
  <c r="HT95" i="7"/>
  <c r="P32" i="11"/>
  <c r="IP118" i="7"/>
  <c r="IB95" i="7"/>
  <c r="HX95" i="7"/>
  <c r="IP121" i="7" l="1"/>
  <c r="HT98" i="7" s="1"/>
  <c r="HS115" i="7" s="1"/>
  <c r="HT97" i="7"/>
  <c r="P34" i="11" s="1"/>
  <c r="AC31" i="7"/>
  <c r="AC33" i="7" s="1"/>
  <c r="V36" i="11"/>
  <c r="AT37" i="11" s="1"/>
  <c r="IB97" i="7"/>
  <c r="V34" i="11" s="1"/>
  <c r="IS121" i="7"/>
  <c r="HX98" i="7" s="1"/>
  <c r="HY124" i="7" s="1"/>
  <c r="IE122" i="7"/>
  <c r="IE118" i="7"/>
  <c r="IE114" i="7"/>
  <c r="IE110" i="7"/>
  <c r="ID121" i="7"/>
  <c r="ID117" i="7"/>
  <c r="ID113" i="7"/>
  <c r="IE123" i="7"/>
  <c r="IE119" i="7"/>
  <c r="IE115" i="7"/>
  <c r="IE111" i="7"/>
  <c r="ID122" i="7"/>
  <c r="ID118" i="7"/>
  <c r="ID114" i="7"/>
  <c r="ID110" i="7"/>
  <c r="IE124" i="7"/>
  <c r="IE120" i="7"/>
  <c r="IE116" i="7"/>
  <c r="IE112" i="7"/>
  <c r="ID123" i="7"/>
  <c r="IF123" i="7" s="1"/>
  <c r="ID119" i="7"/>
  <c r="ID115" i="7"/>
  <c r="ID111" i="7"/>
  <c r="IF111" i="7" s="1"/>
  <c r="IE121" i="7"/>
  <c r="IE117" i="7"/>
  <c r="IE113" i="7"/>
  <c r="ID124" i="7"/>
  <c r="ID120" i="7"/>
  <c r="ID116" i="7"/>
  <c r="ID112" i="7"/>
  <c r="Z30" i="7"/>
  <c r="HX114" i="7" l="1"/>
  <c r="HS120" i="7"/>
  <c r="HR110" i="7"/>
  <c r="HR121" i="7"/>
  <c r="AC30" i="7"/>
  <c r="HR118" i="7"/>
  <c r="HS110" i="7"/>
  <c r="HR115" i="7"/>
  <c r="HT115" i="7" s="1"/>
  <c r="W31" i="7"/>
  <c r="W33" i="7" s="1"/>
  <c r="P36" i="11"/>
  <c r="AR37" i="11" s="1"/>
  <c r="Z31" i="7"/>
  <c r="Z33" i="7" s="1"/>
  <c r="S36" i="11"/>
  <c r="AS37" i="11" s="1"/>
  <c r="HR111" i="7"/>
  <c r="HR124" i="7"/>
  <c r="HR120" i="7"/>
  <c r="HR117" i="7"/>
  <c r="HS116" i="7"/>
  <c r="HS111" i="7"/>
  <c r="HS117" i="7"/>
  <c r="HS122" i="7"/>
  <c r="HR112" i="7"/>
  <c r="HR113" i="7"/>
  <c r="HR123" i="7"/>
  <c r="HR116" i="7"/>
  <c r="HS112" i="7"/>
  <c r="HS121" i="7"/>
  <c r="HS123" i="7"/>
  <c r="HS118" i="7"/>
  <c r="HX120" i="7"/>
  <c r="HR114" i="7"/>
  <c r="HR119" i="7"/>
  <c r="HR122" i="7"/>
  <c r="HT122" i="7" s="1"/>
  <c r="HS113" i="7"/>
  <c r="HS124" i="7"/>
  <c r="HS119" i="7"/>
  <c r="HS114" i="7"/>
  <c r="HY118" i="7"/>
  <c r="HX117" i="7"/>
  <c r="HX123" i="7"/>
  <c r="HY115" i="7"/>
  <c r="HY121" i="7"/>
  <c r="HX110" i="7"/>
  <c r="HX113" i="7"/>
  <c r="HX116" i="7"/>
  <c r="HX119" i="7"/>
  <c r="HX122" i="7"/>
  <c r="HY110" i="7"/>
  <c r="HX112" i="7"/>
  <c r="HY113" i="7"/>
  <c r="HX115" i="7"/>
  <c r="HY116" i="7"/>
  <c r="HY111" i="7"/>
  <c r="HY114" i="7"/>
  <c r="HZ114" i="7" s="1"/>
  <c r="HY117" i="7"/>
  <c r="HY120" i="7"/>
  <c r="HY123" i="7"/>
  <c r="HX118" i="7"/>
  <c r="HZ118" i="7" s="1"/>
  <c r="HY119" i="7"/>
  <c r="HX121" i="7"/>
  <c r="HY122" i="7"/>
  <c r="HX124" i="7"/>
  <c r="HZ124" i="7" s="1"/>
  <c r="HX111" i="7"/>
  <c r="HY112" i="7"/>
  <c r="W30" i="7"/>
  <c r="IF115" i="7"/>
  <c r="IF119" i="7"/>
  <c r="IF116" i="7"/>
  <c r="IF118" i="7"/>
  <c r="IF121" i="7"/>
  <c r="HZ117" i="7"/>
  <c r="IF124" i="7"/>
  <c r="IF110" i="7"/>
  <c r="IF112" i="7"/>
  <c r="IF114" i="7"/>
  <c r="IF117" i="7"/>
  <c r="IF113" i="7"/>
  <c r="IF120" i="7"/>
  <c r="IF122" i="7"/>
  <c r="Y37" i="11" l="1"/>
  <c r="HT110" i="7"/>
  <c r="HT124" i="7"/>
  <c r="HT120" i="7"/>
  <c r="HT111" i="7"/>
  <c r="HT116" i="7"/>
  <c r="HT114" i="7"/>
  <c r="HZ110" i="7"/>
  <c r="HZ121" i="7"/>
  <c r="HZ115" i="7"/>
  <c r="HT118" i="7"/>
  <c r="HZ113" i="7"/>
  <c r="HZ120" i="7"/>
  <c r="HT112" i="7"/>
  <c r="HT121" i="7"/>
  <c r="HT113" i="7"/>
  <c r="HZ119" i="7"/>
  <c r="HT119" i="7"/>
  <c r="HT123" i="7"/>
  <c r="HZ123" i="7"/>
  <c r="HZ111" i="7"/>
  <c r="HZ112" i="7"/>
  <c r="HZ116" i="7"/>
  <c r="HT117" i="7"/>
  <c r="HZ122" i="7"/>
  <c r="ID109" i="7"/>
  <c r="HR109" i="7" l="1"/>
  <c r="HP134" i="7" s="1"/>
  <c r="HX109" i="7"/>
  <c r="HT134" i="7" s="1"/>
  <c r="HX134" i="7" l="1"/>
</calcChain>
</file>

<file path=xl/comments1.xml><?xml version="1.0" encoding="utf-8"?>
<comments xmlns="http://schemas.openxmlformats.org/spreadsheetml/2006/main">
  <authors>
    <author>11022</author>
  </authors>
  <commentList>
    <comment ref="H4" authorId="0">
      <text>
        <r>
          <rPr>
            <sz val="8"/>
            <color indexed="81"/>
            <rFont val="Tahoma"/>
            <family val="2"/>
          </rPr>
          <t>กำลังครากของเหล็กเสริม</t>
        </r>
      </text>
    </comment>
    <comment ref="H6" authorId="0">
      <text>
        <r>
          <rPr>
            <sz val="8"/>
            <color indexed="81"/>
            <rFont val="Tahoma"/>
            <family val="2"/>
          </rPr>
          <t>กำลังครากของเหล็กเสริม</t>
        </r>
      </text>
    </comment>
    <comment ref="H8" authorId="0">
      <text>
        <r>
          <rPr>
            <sz val="8"/>
            <color indexed="81"/>
            <rFont val="Tahoma"/>
            <family val="2"/>
          </rPr>
          <t>กำลังประลัยของคอนกรีต</t>
        </r>
      </text>
    </comment>
    <comment ref="H12" authorId="0">
      <text>
        <r>
          <rPr>
            <sz val="8"/>
            <color indexed="81"/>
            <rFont val="Tahoma"/>
            <family val="2"/>
          </rPr>
          <t>สำหรับแรงดัด(ไม่มีแรงตามแนวแกน)
ไม่เกิน 0.90</t>
        </r>
      </text>
    </comment>
    <comment ref="H14" authorId="0">
      <text>
        <r>
          <rPr>
            <sz val="8"/>
            <color indexed="81"/>
            <rFont val="Tahoma"/>
            <family val="2"/>
          </rPr>
          <t>สำหรับแรงเฉือนและแรงบิด
ไม่เกิน 0.85</t>
        </r>
      </text>
    </comment>
  </commentList>
</comments>
</file>

<file path=xl/sharedStrings.xml><?xml version="1.0" encoding="utf-8"?>
<sst xmlns="http://schemas.openxmlformats.org/spreadsheetml/2006/main" count="692" uniqueCount="288">
  <si>
    <t>-</t>
  </si>
  <si>
    <t>=</t>
  </si>
  <si>
    <t>ksc.</t>
  </si>
  <si>
    <t>fc'</t>
  </si>
  <si>
    <t>L</t>
  </si>
  <si>
    <t>1.4DL + 1.7LL</t>
  </si>
  <si>
    <t>1.7DL + 2.0LL</t>
  </si>
  <si>
    <t>Moment</t>
  </si>
  <si>
    <t>C</t>
  </si>
  <si>
    <t>S</t>
  </si>
  <si>
    <t>DL + LL</t>
  </si>
  <si>
    <t>LL</t>
  </si>
  <si>
    <t>DL</t>
  </si>
  <si>
    <t>m.</t>
  </si>
  <si>
    <t>kg.</t>
  </si>
  <si>
    <t>kg./m.</t>
  </si>
  <si>
    <t>14/fy</t>
  </si>
  <si>
    <t>sq.cm.</t>
  </si>
  <si>
    <t>cm.</t>
  </si>
  <si>
    <t>One end continuous.</t>
  </si>
  <si>
    <t>Both ends continuous.</t>
  </si>
  <si>
    <t>d</t>
  </si>
  <si>
    <t>x</t>
  </si>
  <si>
    <t>y</t>
  </si>
  <si>
    <t>อาคารคอนกรีตเสริมเหล็ก</t>
  </si>
  <si>
    <t>สำนักงานทรัพย์สินส่วนพระมหากษัตริย์</t>
  </si>
  <si>
    <t>กรุงเทพมหานครฯ</t>
  </si>
  <si>
    <r>
      <t>b</t>
    </r>
    <r>
      <rPr>
        <vertAlign val="subscript"/>
        <sz val="8"/>
        <rFont val="Arial"/>
        <family val="2"/>
      </rPr>
      <t>1</t>
    </r>
  </si>
  <si>
    <r>
      <t>f</t>
    </r>
    <r>
      <rPr>
        <vertAlign val="subscript"/>
        <sz val="8"/>
        <rFont val="Arial"/>
        <family val="2"/>
      </rPr>
      <t>b</t>
    </r>
  </si>
  <si>
    <r>
      <t>f</t>
    </r>
    <r>
      <rPr>
        <vertAlign val="subscript"/>
        <sz val="8"/>
        <rFont val="Arial"/>
        <family val="2"/>
      </rPr>
      <t>v</t>
    </r>
  </si>
  <si>
    <r>
      <t>r</t>
    </r>
    <r>
      <rPr>
        <vertAlign val="subscript"/>
        <sz val="8"/>
        <rFont val="Arial"/>
        <family val="2"/>
      </rPr>
      <t>b</t>
    </r>
  </si>
  <si>
    <r>
      <t>r</t>
    </r>
    <r>
      <rPr>
        <vertAlign val="subscript"/>
        <sz val="8"/>
        <rFont val="Arial"/>
        <family val="2"/>
      </rPr>
      <t>max</t>
    </r>
    <r>
      <rPr>
        <sz val="8"/>
        <rFont val="Arial"/>
        <family val="2"/>
      </rPr>
      <t xml:space="preserve"> </t>
    </r>
  </si>
  <si>
    <r>
      <t>r</t>
    </r>
    <r>
      <rPr>
        <vertAlign val="subscript"/>
        <sz val="8"/>
        <rFont val="Arial"/>
        <family val="2"/>
      </rPr>
      <t>min</t>
    </r>
    <r>
      <rPr>
        <sz val="8"/>
        <rFont val="Arial"/>
        <family val="2"/>
      </rPr>
      <t xml:space="preserve"> </t>
    </r>
  </si>
  <si>
    <r>
      <t>r</t>
    </r>
    <r>
      <rPr>
        <sz val="8"/>
        <rFont val="Cordia New"/>
        <family val="2"/>
      </rPr>
      <t>req</t>
    </r>
    <r>
      <rPr>
        <sz val="8"/>
        <rFont val="Arial"/>
        <family val="2"/>
      </rPr>
      <t xml:space="preserve"> </t>
    </r>
  </si>
  <si>
    <t>Engineer</t>
  </si>
  <si>
    <t>License</t>
  </si>
  <si>
    <t>Project</t>
  </si>
  <si>
    <t>Owner</t>
  </si>
  <si>
    <t>Location</t>
  </si>
  <si>
    <t>Materials Data</t>
  </si>
  <si>
    <t>Strength Reduction Factor</t>
  </si>
  <si>
    <t>Covering</t>
  </si>
  <si>
    <t>Short Side</t>
  </si>
  <si>
    <t>Long Side</t>
  </si>
  <si>
    <t>Thickness</t>
  </si>
  <si>
    <t>Input</t>
  </si>
  <si>
    <t>Load</t>
  </si>
  <si>
    <t>kg./sq.m.</t>
  </si>
  <si>
    <t>Conc fc'</t>
  </si>
  <si>
    <t>Basic Data</t>
  </si>
  <si>
    <t>Default Thick.</t>
  </si>
  <si>
    <t>ksm.</t>
  </si>
  <si>
    <t>Ru</t>
  </si>
  <si>
    <r>
      <t>d</t>
    </r>
    <r>
      <rPr>
        <vertAlign val="subscript"/>
        <sz val="8"/>
        <rFont val="Arial"/>
        <family val="2"/>
      </rPr>
      <t>req</t>
    </r>
  </si>
  <si>
    <t>Vu</t>
  </si>
  <si>
    <r>
      <t>fy</t>
    </r>
    <r>
      <rPr>
        <vertAlign val="subscript"/>
        <sz val="8"/>
        <color theme="1"/>
        <rFont val="Arial"/>
        <family val="2"/>
      </rPr>
      <t>2</t>
    </r>
  </si>
  <si>
    <t>Factor  DL</t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</si>
  <si>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Arial"/>
        <family val="2"/>
      </rPr>
      <t>Vc</t>
    </r>
  </si>
  <si>
    <t>Factor  LL</t>
  </si>
  <si>
    <t>m</t>
  </si>
  <si>
    <t>DB12</t>
  </si>
  <si>
    <t>RB6</t>
  </si>
  <si>
    <r>
      <t>b</t>
    </r>
    <r>
      <rPr>
        <vertAlign val="subscript"/>
        <sz val="8"/>
        <color rgb="FFC00000"/>
        <rFont val="Arial"/>
        <family val="2"/>
      </rPr>
      <t>1</t>
    </r>
  </si>
  <si>
    <t>เมื่อ</t>
  </si>
  <si>
    <t>&lt;=</t>
  </si>
  <si>
    <t>DB16</t>
  </si>
  <si>
    <t>RB9</t>
  </si>
  <si>
    <t>Thick</t>
  </si>
  <si>
    <t>; t</t>
  </si>
  <si>
    <t>r</t>
  </si>
  <si>
    <t>0.85 - 0.05x[(fc'-280)/70]</t>
  </si>
  <si>
    <t>&lt;</t>
  </si>
  <si>
    <t>DB20</t>
  </si>
  <si>
    <t>RB12</t>
  </si>
  <si>
    <t>&gt;</t>
  </si>
  <si>
    <t>DB25</t>
  </si>
  <si>
    <t>RB15</t>
  </si>
  <si>
    <t>Data</t>
  </si>
  <si>
    <t>Short Span</t>
  </si>
  <si>
    <t>Long Span</t>
  </si>
  <si>
    <t>Unit</t>
  </si>
  <si>
    <t>DB28</t>
  </si>
  <si>
    <t>RB19</t>
  </si>
  <si>
    <t>Mid.+</t>
  </si>
  <si>
    <t>DB32</t>
  </si>
  <si>
    <t>RB25</t>
  </si>
  <si>
    <t>Mu</t>
  </si>
  <si>
    <t>kg-m.</t>
  </si>
  <si>
    <t>≥</t>
  </si>
  <si>
    <r>
      <t>A</t>
    </r>
    <r>
      <rPr>
        <vertAlign val="subscript"/>
        <sz val="8"/>
        <color rgb="FFC00000"/>
        <rFont val="Arial"/>
        <family val="2"/>
      </rPr>
      <t>st1</t>
    </r>
  </si>
  <si>
    <t>;</t>
  </si>
  <si>
    <r>
      <t>A</t>
    </r>
    <r>
      <rPr>
        <vertAlign val="subscript"/>
        <sz val="8"/>
        <color rgb="FFC00000"/>
        <rFont val="Arial"/>
        <family val="2"/>
      </rPr>
      <t>st2</t>
    </r>
  </si>
  <si>
    <t>mm. (RB)</t>
  </si>
  <si>
    <t>mm. (DB)</t>
  </si>
  <si>
    <t>mm.</t>
  </si>
  <si>
    <t>Max Spacing</t>
  </si>
  <si>
    <t>Status</t>
  </si>
  <si>
    <r>
      <t>A</t>
    </r>
    <r>
      <rPr>
        <vertAlign val="subscript"/>
        <sz val="8"/>
        <rFont val="Arial"/>
        <family val="2"/>
      </rPr>
      <t>s1</t>
    </r>
  </si>
  <si>
    <r>
      <t>cm.</t>
    </r>
    <r>
      <rPr>
        <vertAlign val="superscript"/>
        <sz val="8"/>
        <rFont val="Arial"/>
        <family val="2"/>
      </rPr>
      <t>2</t>
    </r>
  </si>
  <si>
    <r>
      <t>A</t>
    </r>
    <r>
      <rPr>
        <vertAlign val="subscript"/>
        <sz val="8"/>
        <color indexed="8"/>
        <rFont val="Arial"/>
        <family val="2"/>
      </rPr>
      <t>st1</t>
    </r>
  </si>
  <si>
    <t>Dia. Bar</t>
  </si>
  <si>
    <r>
      <t>S</t>
    </r>
    <r>
      <rPr>
        <vertAlign val="subscript"/>
        <sz val="8"/>
        <color theme="1"/>
        <rFont val="Arial"/>
        <family val="2"/>
      </rPr>
      <t>1</t>
    </r>
  </si>
  <si>
    <t>3t</t>
  </si>
  <si>
    <t>0.45 m.</t>
  </si>
  <si>
    <r>
      <t>S</t>
    </r>
    <r>
      <rPr>
        <vertAlign val="subscript"/>
        <sz val="8"/>
        <color theme="1"/>
        <rFont val="Arial"/>
        <family val="2"/>
      </rPr>
      <t>2</t>
    </r>
  </si>
  <si>
    <t>Strength Reduction Factors</t>
  </si>
  <si>
    <t>Load Combination</t>
  </si>
  <si>
    <t>Project :</t>
  </si>
  <si>
    <t>Engineer :</t>
  </si>
  <si>
    <t>Owner :</t>
  </si>
  <si>
    <t>Location :</t>
  </si>
  <si>
    <t>License :</t>
  </si>
  <si>
    <t>Slab No :</t>
  </si>
  <si>
    <t>Project Information</t>
  </si>
  <si>
    <t>ภย.62026</t>
  </si>
  <si>
    <t>ว่าที่ ร.ต.รณฤทธิ์ เพชสง</t>
  </si>
  <si>
    <t>S-01</t>
  </si>
  <si>
    <t>Load Factor</t>
  </si>
  <si>
    <t>Design Reinforcement</t>
  </si>
  <si>
    <t>Main Bars</t>
  </si>
  <si>
    <t>AISC / EIT</t>
  </si>
  <si>
    <t>Calculation Result</t>
  </si>
  <si>
    <r>
      <rPr>
        <sz val="8"/>
        <rFont val="Tahoma"/>
        <family val="2"/>
        <scheme val="minor"/>
      </rPr>
      <t>0.75</t>
    </r>
    <r>
      <rPr>
        <sz val="8"/>
        <rFont val="Symbol"/>
        <family val="1"/>
        <charset val="2"/>
      </rPr>
      <t>r</t>
    </r>
    <r>
      <rPr>
        <vertAlign val="subscript"/>
        <sz val="8"/>
        <rFont val="Arial"/>
        <family val="2"/>
      </rPr>
      <t>b</t>
    </r>
  </si>
  <si>
    <r>
      <rPr>
        <sz val="8"/>
        <rFont val="Tahoma"/>
        <family val="2"/>
        <scheme val="minor"/>
      </rPr>
      <t>0.50</t>
    </r>
    <r>
      <rPr>
        <sz val="8"/>
        <rFont val="Symbol"/>
        <family val="1"/>
        <charset val="2"/>
      </rPr>
      <t>r</t>
    </r>
    <r>
      <rPr>
        <vertAlign val="subscript"/>
        <sz val="8"/>
        <rFont val="Arial"/>
        <family val="2"/>
      </rPr>
      <t>b</t>
    </r>
  </si>
  <si>
    <t>As</t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</si>
  <si>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Tahoma"/>
        <family val="2"/>
        <scheme val="minor"/>
      </rPr>
      <t>Vc</t>
    </r>
  </si>
  <si>
    <t>Cover</t>
  </si>
  <si>
    <t>พื้น</t>
  </si>
  <si>
    <t>ซ้าย</t>
  </si>
  <si>
    <t>ขวา</t>
  </si>
  <si>
    <t>บน</t>
  </si>
  <si>
    <t>ล่าง</t>
  </si>
  <si>
    <t>m = S/L</t>
  </si>
  <si>
    <t>Type</t>
  </si>
  <si>
    <t>ระยะ</t>
  </si>
  <si>
    <t>Slab Continuity Cases</t>
  </si>
  <si>
    <t>thk</t>
  </si>
  <si>
    <t>Rebars (m.)</t>
  </si>
  <si>
    <t>fy2</t>
  </si>
  <si>
    <t>fy1</t>
  </si>
  <si>
    <t>Short</t>
  </si>
  <si>
    <t>Long</t>
  </si>
  <si>
    <t>Design Size</t>
  </si>
  <si>
    <t>Slab No.</t>
  </si>
  <si>
    <t>t</t>
  </si>
  <si>
    <t>SDL</t>
  </si>
  <si>
    <t>Wu</t>
  </si>
  <si>
    <t>Shear Check</t>
  </si>
  <si>
    <t>คาน2</t>
  </si>
  <si>
    <t>คาน1</t>
  </si>
  <si>
    <t>พื้นบน</t>
  </si>
  <si>
    <t>พื้นล่าง</t>
  </si>
  <si>
    <t>เหล็กล่าง</t>
  </si>
  <si>
    <t>เหล็กบนซ้าย</t>
  </si>
  <si>
    <t>เหล็กบนขวา</t>
  </si>
  <si>
    <t>เม็ดล่าง</t>
  </si>
  <si>
    <t>เม็ดบน</t>
  </si>
  <si>
    <t>เส้นย่อ1</t>
  </si>
  <si>
    <t>เส้นย่อ2</t>
  </si>
  <si>
    <t>dim1</t>
  </si>
  <si>
    <t>dim2</t>
  </si>
  <si>
    <t>dim3</t>
  </si>
  <si>
    <t>dim4</t>
  </si>
  <si>
    <t>dim5</t>
  </si>
  <si>
    <t>dim6</t>
  </si>
  <si>
    <t>dim7</t>
  </si>
  <si>
    <t>dim8</t>
  </si>
  <si>
    <t>dim9</t>
  </si>
  <si>
    <t>dim10</t>
  </si>
  <si>
    <t>dim11</t>
  </si>
  <si>
    <t>dim12</t>
  </si>
  <si>
    <t>ชี้เม็ดบนซ้าย</t>
  </si>
  <si>
    <t>ชี้เหล็กบนซ้าย</t>
  </si>
  <si>
    <t>ชี้เม็ดบนขวา</t>
  </si>
  <si>
    <t>ชี้เหล็กบนขวา</t>
  </si>
  <si>
    <t>ชี้เม็ดล่าง</t>
  </si>
  <si>
    <t>ชี้เหล็กล่าง</t>
  </si>
  <si>
    <r>
      <rPr>
        <b/>
        <u/>
        <sz val="8"/>
        <color theme="1"/>
        <rFont val="Arial"/>
        <family val="2"/>
      </rPr>
      <t>Slab Case</t>
    </r>
    <r>
      <rPr>
        <b/>
        <sz val="8"/>
        <color theme="1"/>
        <rFont val="Arial"/>
        <family val="2"/>
      </rPr>
      <t xml:space="preserve"> :</t>
    </r>
  </si>
  <si>
    <t>Simply Supported.</t>
  </si>
  <si>
    <t>-----------</t>
  </si>
  <si>
    <t>พื้นช่วงเดียว</t>
  </si>
  <si>
    <t>(S/20)</t>
  </si>
  <si>
    <t>พื้นต่อเนื่องด้านเดียว</t>
  </si>
  <si>
    <t>(S/24)</t>
  </si>
  <si>
    <r>
      <t>fy</t>
    </r>
    <r>
      <rPr>
        <vertAlign val="subscript"/>
        <sz val="8"/>
        <color theme="1"/>
        <rFont val="Arial"/>
        <family val="2"/>
      </rPr>
      <t>1</t>
    </r>
  </si>
  <si>
    <t>พื้นต่อเนื่องทั้งสองด้าน</t>
  </si>
  <si>
    <t>(S/28)</t>
  </si>
  <si>
    <t>พื้นยื่น</t>
  </si>
  <si>
    <t>(S/10)</t>
  </si>
  <si>
    <t>; S</t>
  </si>
  <si>
    <t>ถ้า  fy  น้อยกว่า  4000  ksc. ให้คูณค่าในตารางด้วย</t>
  </si>
  <si>
    <t>; L</t>
  </si>
  <si>
    <r>
      <t>t</t>
    </r>
    <r>
      <rPr>
        <vertAlign val="subscript"/>
        <sz val="8"/>
        <color theme="1"/>
        <rFont val="Arial"/>
        <family val="2"/>
      </rPr>
      <t>min</t>
    </r>
  </si>
  <si>
    <t>โมเมนต์ลบตัวริม</t>
  </si>
  <si>
    <r>
      <t>d</t>
    </r>
    <r>
      <rPr>
        <vertAlign val="subscript"/>
        <sz val="8"/>
        <color rgb="FFC00000"/>
        <rFont val="Arial"/>
        <family val="2"/>
      </rPr>
      <t>1</t>
    </r>
  </si>
  <si>
    <t>โมเมนต์บวก</t>
  </si>
  <si>
    <r>
      <t>d</t>
    </r>
    <r>
      <rPr>
        <vertAlign val="subscript"/>
        <sz val="8"/>
        <color rgb="FFC00000"/>
        <rFont val="Arial"/>
        <family val="2"/>
      </rPr>
      <t>2</t>
    </r>
  </si>
  <si>
    <t>โมเมนต์ลบด้านต่อเนื่อง</t>
  </si>
  <si>
    <r>
      <t>d</t>
    </r>
    <r>
      <rPr>
        <vertAlign val="subscript"/>
        <sz val="8"/>
        <color rgb="FFC00000"/>
        <rFont val="Arial"/>
        <family val="2"/>
      </rPr>
      <t>3</t>
    </r>
  </si>
  <si>
    <t>Number of continuous side</t>
  </si>
  <si>
    <t>Temperature Bars</t>
  </si>
  <si>
    <t>Ast</t>
  </si>
  <si>
    <t xml:space="preserve"> mm.</t>
  </si>
  <si>
    <t xml:space="preserve"> @</t>
  </si>
  <si>
    <t xml:space="preserve"> m.</t>
  </si>
  <si>
    <r>
      <t>M</t>
    </r>
    <r>
      <rPr>
        <b/>
        <vertAlign val="subscript"/>
        <sz val="8"/>
        <rFont val="Arial"/>
        <family val="2"/>
      </rPr>
      <t>u1-</t>
    </r>
  </si>
  <si>
    <r>
      <t>M</t>
    </r>
    <r>
      <rPr>
        <b/>
        <vertAlign val="subscript"/>
        <sz val="8"/>
        <rFont val="Arial"/>
        <family val="2"/>
      </rPr>
      <t>u2+</t>
    </r>
  </si>
  <si>
    <r>
      <t>M</t>
    </r>
    <r>
      <rPr>
        <b/>
        <vertAlign val="subscript"/>
        <sz val="8"/>
        <rFont val="Arial"/>
        <family val="2"/>
      </rPr>
      <t>u3-</t>
    </r>
  </si>
  <si>
    <t>5t</t>
  </si>
  <si>
    <r>
      <t>Mu</t>
    </r>
    <r>
      <rPr>
        <vertAlign val="subscript"/>
        <sz val="8"/>
        <rFont val="Arial"/>
        <family val="2"/>
      </rPr>
      <t>1 -</t>
    </r>
  </si>
  <si>
    <r>
      <t>Mu</t>
    </r>
    <r>
      <rPr>
        <vertAlign val="subscript"/>
        <sz val="8"/>
        <rFont val="Arial"/>
        <family val="2"/>
      </rPr>
      <t>2 +</t>
    </r>
  </si>
  <si>
    <r>
      <t>Mu</t>
    </r>
    <r>
      <rPr>
        <vertAlign val="subscript"/>
        <sz val="8"/>
        <rFont val="Arial"/>
        <family val="2"/>
      </rPr>
      <t>3 -</t>
    </r>
  </si>
  <si>
    <r>
      <t>Rebars fy</t>
    </r>
    <r>
      <rPr>
        <vertAlign val="subscript"/>
        <sz val="8"/>
        <color theme="1"/>
        <rFont val="Tahoma"/>
        <family val="2"/>
      </rPr>
      <t>1</t>
    </r>
  </si>
  <si>
    <r>
      <t>Rebars fy</t>
    </r>
    <r>
      <rPr>
        <vertAlign val="subscript"/>
        <sz val="8"/>
        <color theme="1"/>
        <rFont val="Tahoma"/>
        <family val="2"/>
      </rPr>
      <t>2</t>
    </r>
  </si>
  <si>
    <t>Temperature</t>
  </si>
  <si>
    <t>Dead Load on Beam</t>
  </si>
  <si>
    <t>Live Load on Beam</t>
  </si>
  <si>
    <t>Effective depth</t>
  </si>
  <si>
    <r>
      <t>CWuS</t>
    </r>
    <r>
      <rPr>
        <vertAlign val="superscript"/>
        <sz val="8"/>
        <rFont val="Tahoma"/>
        <family val="2"/>
      </rPr>
      <t>2</t>
    </r>
  </si>
  <si>
    <t>Moment Coefficient</t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</si>
  <si>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Tahoma"/>
        <family val="2"/>
      </rPr>
      <t>0.53(</t>
    </r>
    <r>
      <rPr>
        <sz val="8"/>
        <rFont val="Symbol"/>
        <family val="1"/>
        <charset val="2"/>
      </rPr>
      <t>Ö</t>
    </r>
    <r>
      <rPr>
        <sz val="8"/>
        <rFont val="Tahoma"/>
        <family val="2"/>
      </rPr>
      <t>fc’)bd</t>
    </r>
  </si>
  <si>
    <t>@ max [m.]</t>
  </si>
  <si>
    <t>@ use [m.]</t>
  </si>
  <si>
    <t>Cases</t>
  </si>
  <si>
    <t>Slab Size</t>
  </si>
  <si>
    <t>Position</t>
  </si>
  <si>
    <t>Side</t>
  </si>
  <si>
    <t>Steel,As</t>
  </si>
  <si>
    <t>Reinforce</t>
  </si>
  <si>
    <t>ขอบพื้นใน</t>
  </si>
  <si>
    <t>ขอบพื้นนอก</t>
  </si>
  <si>
    <t>เหล็กบนล่าง</t>
  </si>
  <si>
    <t>เหล็กบนบน</t>
  </si>
  <si>
    <t>เส้นบนล่าง</t>
  </si>
  <si>
    <t>เส้นบนบน</t>
  </si>
  <si>
    <t>เส้นบนซ้าย</t>
  </si>
  <si>
    <t>เส้นบนขวา</t>
  </si>
  <si>
    <t>ระยะบนซ้าย1</t>
  </si>
  <si>
    <t>ระยะบนซ้าย2</t>
  </si>
  <si>
    <t>ระยะบนล่าง1</t>
  </si>
  <si>
    <t>ระยะบนล่าง2</t>
  </si>
  <si>
    <t>แถบซ้าย</t>
  </si>
  <si>
    <t>#1</t>
  </si>
  <si>
    <t>#2</t>
  </si>
  <si>
    <t>#3</t>
  </si>
  <si>
    <t>#4</t>
  </si>
  <si>
    <t>#6</t>
  </si>
  <si>
    <t>#5</t>
  </si>
  <si>
    <t>แถบขวา</t>
  </si>
  <si>
    <t>แถบบน</t>
  </si>
  <si>
    <t>แถบล่าง</t>
  </si>
  <si>
    <t>ความหนา</t>
  </si>
  <si>
    <t>สั้น1</t>
  </si>
  <si>
    <t>สั้น2</t>
  </si>
  <si>
    <t>ยาว1</t>
  </si>
  <si>
    <t>ยาว2</t>
  </si>
  <si>
    <t>ระยะล่างซ้าย</t>
  </si>
  <si>
    <t>ระยะล่างล่าง</t>
  </si>
  <si>
    <t>เหล็กล่างตั้ง</t>
  </si>
  <si>
    <t>เหล็กล่างนอน</t>
  </si>
  <si>
    <t>Coefficient</t>
  </si>
  <si>
    <t>Mumber</t>
  </si>
  <si>
    <t>S/L</t>
  </si>
  <si>
    <t>Dead Load [2400(t/100)]</t>
  </si>
  <si>
    <t>Live Load</t>
  </si>
  <si>
    <r>
      <t>0.85</t>
    </r>
    <r>
      <rPr>
        <sz val="8"/>
        <rFont val="Symbol"/>
        <family val="1"/>
        <charset val="2"/>
      </rPr>
      <t>b</t>
    </r>
    <r>
      <rPr>
        <vertAlign val="subscript"/>
        <sz val="8"/>
        <rFont val="Tahoma"/>
        <family val="2"/>
      </rPr>
      <t>1</t>
    </r>
    <r>
      <rPr>
        <sz val="8"/>
        <rFont val="Tahoma"/>
        <family val="2"/>
      </rPr>
      <t>(fc’/fy)(6120/(6120+fy))</t>
    </r>
  </si>
  <si>
    <r>
      <t>d</t>
    </r>
    <r>
      <rPr>
        <vertAlign val="subscript"/>
        <sz val="8"/>
        <rFont val="Tahoma"/>
        <family val="2"/>
      </rPr>
      <t>req</t>
    </r>
  </si>
  <si>
    <r>
      <t>r</t>
    </r>
    <r>
      <rPr>
        <sz val="8"/>
        <rFont val="Arial"/>
        <family val="2"/>
      </rPr>
      <t>fy(1-0.59</t>
    </r>
    <r>
      <rPr>
        <sz val="8"/>
        <rFont val="Symbol"/>
        <family val="1"/>
        <charset val="2"/>
      </rPr>
      <t>r</t>
    </r>
    <r>
      <rPr>
        <sz val="8"/>
        <rFont val="Arial"/>
        <family val="2"/>
      </rPr>
      <t>(fy/fc’))</t>
    </r>
  </si>
  <si>
    <r>
      <t>Ö</t>
    </r>
    <r>
      <rPr>
        <sz val="8"/>
        <rFont val="Arial"/>
        <family val="2"/>
      </rPr>
      <t>(Mu/</t>
    </r>
    <r>
      <rPr>
        <sz val="8"/>
        <rFont val="Symbol"/>
        <family val="1"/>
        <charset val="2"/>
      </rPr>
      <t>f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>Ru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b)</t>
    </r>
  </si>
  <si>
    <r>
      <t>Ru</t>
    </r>
    <r>
      <rPr>
        <vertAlign val="subscript"/>
        <sz val="8"/>
        <rFont val="Tahoma"/>
        <family val="2"/>
      </rPr>
      <t>1</t>
    </r>
  </si>
  <si>
    <r>
      <t>Ru</t>
    </r>
    <r>
      <rPr>
        <vertAlign val="subscript"/>
        <sz val="8"/>
        <rFont val="Tahoma"/>
        <family val="2"/>
      </rPr>
      <t>2</t>
    </r>
  </si>
  <si>
    <r>
      <t>Mu/</t>
    </r>
    <r>
      <rPr>
        <sz val="8"/>
        <rFont val="Symbol"/>
        <family val="1"/>
        <charset val="2"/>
      </rPr>
      <t>f</t>
    </r>
    <r>
      <rPr>
        <vertAlign val="subscript"/>
        <sz val="8"/>
        <rFont val="Tahoma"/>
        <family val="2"/>
      </rPr>
      <t>b</t>
    </r>
    <r>
      <rPr>
        <sz val="8"/>
        <rFont val="Tahoma"/>
        <family val="2"/>
      </rPr>
      <t>bd</t>
    </r>
    <r>
      <rPr>
        <vertAlign val="superscript"/>
        <sz val="8"/>
        <rFont val="Tahoma"/>
        <family val="2"/>
      </rPr>
      <t>2</t>
    </r>
  </si>
  <si>
    <r>
      <t>0.85(fc’/fy)(1-</t>
    </r>
    <r>
      <rPr>
        <sz val="8"/>
        <rFont val="Symbol"/>
        <family val="1"/>
        <charset val="2"/>
      </rPr>
      <t>Ö</t>
    </r>
    <r>
      <rPr>
        <sz val="8"/>
        <rFont val="Tahoma"/>
        <family val="2"/>
      </rPr>
      <t>1-(2Ru/0.85fc’))</t>
    </r>
  </si>
  <si>
    <r>
      <t>r</t>
    </r>
    <r>
      <rPr>
        <sz val="8"/>
        <rFont val="Arial"/>
        <family val="2"/>
      </rPr>
      <t>bd</t>
    </r>
  </si>
  <si>
    <t>kg/sq.m.</t>
  </si>
  <si>
    <t>Maximum Rebars Spacing (S_max)</t>
  </si>
  <si>
    <t>Using Rebars Spacing (S_use)</t>
  </si>
  <si>
    <t>Slab Diagram</t>
  </si>
  <si>
    <t>Load transfer to the Beam</t>
  </si>
  <si>
    <t>Super Imposed Dead Load</t>
  </si>
  <si>
    <t>Main</t>
  </si>
  <si>
    <t>Temp.</t>
  </si>
  <si>
    <r>
      <t>t</t>
    </r>
    <r>
      <rPr>
        <vertAlign val="subscript"/>
        <sz val="8"/>
        <color theme="1"/>
        <rFont val="Tahoma"/>
        <family val="2"/>
      </rPr>
      <t>min</t>
    </r>
  </si>
  <si>
    <t>One Way</t>
  </si>
  <si>
    <t>===&gt;</t>
  </si>
  <si>
    <t>Slab Drawing</t>
  </si>
  <si>
    <t>1.15(WuS/2)-Wud</t>
  </si>
  <si>
    <t>Steel,Ast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</si>
</sst>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87" formatCode="0.0000"/>
    <numFmt numFmtId="188" formatCode="0.0"/>
    <numFmt numFmtId="189" formatCode="0.000"/>
    <numFmt numFmtId="190" formatCode="[$-107041E]d\ mmmm\ yyyy;@"/>
    <numFmt numFmtId="193" formatCode="[$-1070000]d/mm/yyyy\ h:mm\ &quot;น.&quot;;@"/>
    <numFmt numFmtId="194" formatCode="0.00\ &quot;m.&quot;"/>
    <numFmt numFmtId="195" formatCode="0.00\ &quot;cm.&quot;"/>
    <numFmt numFmtId="196" formatCode="General\ &quot;m. thk.&quot;"/>
    <numFmt numFmtId="197" formatCode="0.0E+0"/>
    <numFmt numFmtId="198" formatCode="&quot;@&quot;General"/>
    <numFmt numFmtId="200" formatCode="_(* #,##0.00_);_(* \(#,##0.00\);_(* &quot;-&quot;??_);_(@_)"/>
  </numFmts>
  <fonts count="93" x14ac:knownFonts="1">
    <font>
      <sz val="11"/>
      <color theme="1"/>
      <name val="Tahoma"/>
      <family val="2"/>
      <charset val="222"/>
      <scheme val="minor"/>
    </font>
    <font>
      <sz val="9"/>
      <color theme="1"/>
      <name val="Arial Unicode MS"/>
      <family val="2"/>
    </font>
    <font>
      <sz val="9"/>
      <name val="Arial"/>
      <family val="2"/>
    </font>
    <font>
      <sz val="9"/>
      <color theme="1"/>
      <name val="Tahoma"/>
      <family val="2"/>
      <charset val="222"/>
      <scheme val="minor"/>
    </font>
    <font>
      <sz val="9"/>
      <color rgb="FF0000FF"/>
      <name val="Tahoma"/>
      <family val="2"/>
      <charset val="222"/>
      <scheme val="minor"/>
    </font>
    <font>
      <b/>
      <sz val="9"/>
      <color theme="1"/>
      <name val="Tahoma"/>
      <family val="2"/>
      <scheme val="minor"/>
    </font>
    <font>
      <sz val="9"/>
      <color rgb="FFFF0000"/>
      <name val="Tahoma"/>
      <family val="2"/>
      <charset val="222"/>
      <scheme val="minor"/>
    </font>
    <font>
      <sz val="9"/>
      <name val="Tahoma"/>
      <family val="2"/>
      <scheme val="minor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8"/>
      <name val="Arial"/>
      <family val="2"/>
    </font>
    <font>
      <sz val="9"/>
      <color theme="1"/>
      <name val="Tahoma"/>
      <family val="2"/>
      <scheme val="minor"/>
    </font>
    <font>
      <sz val="8"/>
      <color theme="1"/>
      <name val="Arial"/>
      <family val="2"/>
    </font>
    <font>
      <sz val="8"/>
      <color theme="1"/>
      <name val="Tahoma"/>
      <family val="2"/>
      <scheme val="minor"/>
    </font>
    <font>
      <sz val="8"/>
      <color rgb="FFFF0000"/>
      <name val="Arial"/>
      <family val="2"/>
    </font>
    <font>
      <sz val="8"/>
      <color rgb="FF008000"/>
      <name val="Arial"/>
      <family val="2"/>
    </font>
    <font>
      <b/>
      <sz val="10"/>
      <color theme="0"/>
      <name val="Tahoma"/>
      <family val="2"/>
      <scheme val="minor"/>
    </font>
    <font>
      <sz val="20"/>
      <color theme="0"/>
      <name val="Tahoma"/>
      <family val="2"/>
      <scheme val="minor"/>
    </font>
    <font>
      <b/>
      <sz val="9"/>
      <name val="Tahoma"/>
      <family val="2"/>
      <scheme val="minor"/>
    </font>
    <font>
      <u/>
      <sz val="9.35"/>
      <color theme="10"/>
      <name val="Tahoma"/>
      <family val="2"/>
      <charset val="222"/>
    </font>
    <font>
      <sz val="8"/>
      <color theme="1"/>
      <name val="Tahoma"/>
      <family val="2"/>
      <charset val="222"/>
      <scheme val="minor"/>
    </font>
    <font>
      <sz val="8"/>
      <color rgb="FFFF0000"/>
      <name val="Tahoma"/>
      <family val="2"/>
      <charset val="222"/>
    </font>
    <font>
      <sz val="8"/>
      <name val="Tahoma"/>
      <family val="2"/>
      <charset val="222"/>
      <scheme val="minor"/>
    </font>
    <font>
      <sz val="8"/>
      <color indexed="8"/>
      <name val="Tahoma"/>
      <family val="2"/>
      <scheme val="minor"/>
    </font>
    <font>
      <sz val="8"/>
      <color rgb="FF0000FF"/>
      <name val="Tahoma"/>
      <family val="2"/>
      <scheme val="minor"/>
    </font>
    <font>
      <sz val="8"/>
      <name val="Symbol"/>
      <family val="1"/>
      <charset val="2"/>
    </font>
    <font>
      <vertAlign val="subscript"/>
      <sz val="8"/>
      <name val="Arial"/>
      <family val="2"/>
    </font>
    <font>
      <sz val="8"/>
      <name val="Tahoma"/>
      <family val="2"/>
      <scheme val="minor"/>
    </font>
    <font>
      <sz val="8"/>
      <color rgb="FF0000FF"/>
      <name val="Tahoma"/>
      <family val="2"/>
      <charset val="222"/>
      <scheme val="minor"/>
    </font>
    <font>
      <vertAlign val="subscript"/>
      <sz val="8"/>
      <color indexed="8"/>
      <name val="Arial"/>
      <family val="2"/>
    </font>
    <font>
      <sz val="8"/>
      <name val="Cordia New"/>
      <family val="2"/>
    </font>
    <font>
      <sz val="8"/>
      <color indexed="8"/>
      <name val="Tahoma"/>
      <family val="2"/>
      <charset val="222"/>
      <scheme val="minor"/>
    </font>
    <font>
      <sz val="8"/>
      <color indexed="81"/>
      <name val="Tahoma"/>
      <family val="2"/>
    </font>
    <font>
      <u/>
      <sz val="9"/>
      <name val="Tahoma"/>
      <family val="2"/>
      <scheme val="minor"/>
    </font>
    <font>
      <u/>
      <sz val="9"/>
      <color theme="1"/>
      <name val="Tahoma"/>
      <family val="2"/>
      <charset val="222"/>
      <scheme val="minor"/>
    </font>
    <font>
      <b/>
      <sz val="8"/>
      <color theme="1"/>
      <name val="Tahoma"/>
      <family val="2"/>
      <scheme val="minor"/>
    </font>
    <font>
      <u/>
      <sz val="9"/>
      <color theme="1"/>
      <name val="Tahoma"/>
      <family val="2"/>
      <scheme val="minor"/>
    </font>
    <font>
      <b/>
      <sz val="16"/>
      <color theme="1"/>
      <name val="Tahoma"/>
      <family val="2"/>
      <scheme val="minor"/>
    </font>
    <font>
      <b/>
      <sz val="8"/>
      <name val="Arial"/>
      <family val="2"/>
    </font>
    <font>
      <sz val="8"/>
      <color rgb="FF33CC33"/>
      <name val="Arial"/>
      <family val="2"/>
    </font>
    <font>
      <sz val="8"/>
      <color rgb="FF33CC33"/>
      <name val="Symbol"/>
      <family val="1"/>
      <charset val="2"/>
    </font>
    <font>
      <sz val="8"/>
      <color indexed="12"/>
      <name val="Arial"/>
      <family val="2"/>
    </font>
    <font>
      <sz val="9"/>
      <color indexed="12"/>
      <name val="Arial"/>
      <family val="2"/>
    </font>
    <font>
      <b/>
      <sz val="8"/>
      <color theme="1"/>
      <name val="Arial"/>
      <family val="2"/>
    </font>
    <font>
      <b/>
      <sz val="10"/>
      <color theme="0"/>
      <name val="Arial"/>
      <family val="2"/>
    </font>
    <font>
      <b/>
      <sz val="14"/>
      <name val="Arial"/>
      <family val="2"/>
    </font>
    <font>
      <i/>
      <sz val="8"/>
      <color rgb="FF00B050"/>
      <name val="Arial"/>
      <family val="2"/>
    </font>
    <font>
      <sz val="8"/>
      <color rgb="FF0000FF"/>
      <name val="Arial"/>
      <family val="2"/>
    </font>
    <font>
      <sz val="10"/>
      <name val="Times New Roman"/>
      <family val="1"/>
    </font>
    <font>
      <sz val="8"/>
      <color rgb="FFC00000"/>
      <name val="Arial"/>
      <family val="2"/>
    </font>
    <font>
      <vertAlign val="subscript"/>
      <sz val="8"/>
      <color theme="1"/>
      <name val="Arial"/>
      <family val="2"/>
    </font>
    <font>
      <sz val="8"/>
      <color rgb="FFC00000"/>
      <name val="Symbol"/>
      <family val="1"/>
      <charset val="2"/>
    </font>
    <font>
      <vertAlign val="subscript"/>
      <sz val="8"/>
      <color rgb="FFC00000"/>
      <name val="Arial"/>
      <family val="2"/>
    </font>
    <font>
      <b/>
      <u/>
      <sz val="8"/>
      <color theme="1"/>
      <name val="Arial"/>
      <family val="2"/>
    </font>
    <font>
      <sz val="8"/>
      <color indexed="10"/>
      <name val="Arial"/>
      <family val="2"/>
    </font>
    <font>
      <i/>
      <sz val="8"/>
      <color theme="1"/>
      <name val="Arial"/>
      <family val="2"/>
    </font>
    <font>
      <i/>
      <sz val="8"/>
      <color rgb="FFC00000"/>
      <name val="Arial"/>
      <family val="2"/>
    </font>
    <font>
      <vertAlign val="superscript"/>
      <sz val="8"/>
      <name val="Arial"/>
      <family val="2"/>
    </font>
    <font>
      <u/>
      <sz val="16"/>
      <color theme="10"/>
      <name val="AngsanaUPC"/>
      <family val="2"/>
      <charset val="222"/>
    </font>
    <font>
      <b/>
      <sz val="8"/>
      <color rgb="FFFF0000"/>
      <name val="Arial"/>
      <family val="2"/>
    </font>
    <font>
      <sz val="10"/>
      <color theme="1"/>
      <name val="Tahoma"/>
      <family val="2"/>
      <scheme val="minor"/>
    </font>
    <font>
      <sz val="8"/>
      <color theme="0" tint="-0.499984740745262"/>
      <name val="Tahoma"/>
      <family val="2"/>
      <scheme val="minor"/>
    </font>
    <font>
      <sz val="10"/>
      <name val="Tahoma"/>
      <family val="2"/>
      <charset val="222"/>
    </font>
    <font>
      <u/>
      <sz val="10"/>
      <name val="Tahoma"/>
      <family val="2"/>
      <charset val="222"/>
    </font>
    <font>
      <sz val="8"/>
      <color theme="1"/>
      <name val="Tahoma"/>
      <family val="2"/>
      <charset val="222"/>
    </font>
    <font>
      <sz val="8"/>
      <color theme="1"/>
      <name val="Tahoma"/>
      <family val="2"/>
    </font>
    <font>
      <sz val="8"/>
      <name val="Tahoma"/>
      <family val="2"/>
    </font>
    <font>
      <u/>
      <sz val="9"/>
      <color theme="1"/>
      <name val="Tahoma"/>
      <family val="2"/>
    </font>
    <font>
      <sz val="8"/>
      <color rgb="FF0000FF"/>
      <name val="Tahoma"/>
      <family val="2"/>
    </font>
    <font>
      <vertAlign val="subscript"/>
      <sz val="8"/>
      <color theme="1"/>
      <name val="Tahoma"/>
      <family val="2"/>
    </font>
    <font>
      <u/>
      <sz val="9"/>
      <color theme="1"/>
      <name val="Tahoma"/>
      <family val="2"/>
      <charset val="222"/>
    </font>
    <font>
      <sz val="8"/>
      <color indexed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8"/>
      <name val="Tahoma"/>
      <family val="2"/>
      <charset val="222"/>
    </font>
    <font>
      <b/>
      <i/>
      <sz val="18"/>
      <color rgb="FFFF0000"/>
      <name val="Arial"/>
      <family val="2"/>
    </font>
    <font>
      <sz val="12"/>
      <color rgb="FF0000FF"/>
      <name val="Arial"/>
      <family val="2"/>
    </font>
    <font>
      <sz val="12"/>
      <name val="Arial"/>
      <family val="2"/>
    </font>
    <font>
      <b/>
      <vertAlign val="subscript"/>
      <sz val="8"/>
      <name val="Arial"/>
      <family val="2"/>
    </font>
    <font>
      <u/>
      <sz val="8"/>
      <color rgb="FFFF0000"/>
      <name val="Arial"/>
      <family val="2"/>
    </font>
    <font>
      <sz val="9"/>
      <color theme="1"/>
      <name val="Tahoma"/>
      <family val="2"/>
      <charset val="222"/>
    </font>
    <font>
      <b/>
      <sz val="11"/>
      <color theme="1"/>
      <name val="Tahoma"/>
      <family val="2"/>
    </font>
    <font>
      <b/>
      <sz val="10"/>
      <color theme="1"/>
      <name val="Tahoma"/>
      <family val="2"/>
    </font>
    <font>
      <vertAlign val="superscript"/>
      <sz val="8"/>
      <name val="Tahoma"/>
      <family val="2"/>
    </font>
    <font>
      <sz val="8"/>
      <color theme="0" tint="-0.34998626667073579"/>
      <name val="Tahoma"/>
      <family val="2"/>
      <charset val="222"/>
    </font>
    <font>
      <sz val="8"/>
      <color rgb="FF006600"/>
      <name val="Tahoma"/>
      <family val="2"/>
      <charset val="222"/>
    </font>
    <font>
      <sz val="8"/>
      <color rgb="FF006600"/>
      <name val="Tahoma"/>
      <family val="2"/>
    </font>
    <font>
      <sz val="8"/>
      <color rgb="FF0000FF"/>
      <name val="Tahoma"/>
      <family val="2"/>
      <charset val="222"/>
    </font>
    <font>
      <vertAlign val="subscript"/>
      <sz val="8"/>
      <name val="Tahoma"/>
      <family val="2"/>
    </font>
    <font>
      <b/>
      <sz val="8"/>
      <color theme="1"/>
      <name val="Tahoma"/>
      <family val="2"/>
      <charset val="222"/>
      <scheme val="minor"/>
    </font>
    <font>
      <sz val="16"/>
      <color theme="1"/>
      <name val="AngsanaUPC"/>
      <family val="2"/>
      <charset val="222"/>
    </font>
    <font>
      <u/>
      <sz val="11"/>
      <color theme="1"/>
      <name val="Tahoma"/>
      <family val="2"/>
      <charset val="222"/>
    </font>
    <font>
      <sz val="8"/>
      <color theme="0" tint="-4.9989318521683403E-2"/>
      <name val="Tahoma"/>
      <family val="2"/>
      <charset val="22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F1FF"/>
        <bgColor indexed="64"/>
      </patternFill>
    </fill>
    <fill>
      <gradientFill degree="90">
        <stop position="0">
          <color theme="0" tint="-5.0965910824915313E-2"/>
        </stop>
        <stop position="1">
          <color theme="0" tint="-0.34900967436750391"/>
        </stop>
      </gradientFill>
    </fill>
    <fill>
      <gradientFill degree="90">
        <stop position="0">
          <color theme="0" tint="-5.0965910824915313E-2"/>
        </stop>
        <stop position="1">
          <color theme="0" tint="-0.25098422193060094"/>
        </stop>
      </gradientFill>
    </fill>
    <fill>
      <patternFill patternType="solid">
        <fgColor indexed="9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indexed="64"/>
      </left>
      <right/>
      <top/>
      <bottom style="thick">
        <color auto="1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/>
      <right/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 style="thin">
        <color indexed="64"/>
      </bottom>
      <diagonal/>
    </border>
    <border>
      <left style="medium">
        <color theme="1" tint="0.34998626667073579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24994659260841701"/>
      </bottom>
      <diagonal/>
    </border>
    <border>
      <left/>
      <right/>
      <top style="medium">
        <color theme="0" tint="-0.49998474074526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theme="0" tint="-0.499984740745262"/>
      </top>
      <bottom style="thin">
        <color theme="0" tint="-0.24994659260841701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medium">
        <color theme="1" tint="0.34998626667073579"/>
      </top>
      <bottom style="thin">
        <color indexed="64"/>
      </bottom>
      <diagonal/>
    </border>
    <border>
      <left/>
      <right style="thin">
        <color indexed="64"/>
      </right>
      <top style="medium">
        <color theme="1" tint="0.34998626667073579"/>
      </top>
      <bottom style="thin">
        <color indexed="64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medium">
        <color theme="1" tint="0.34998626667073579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0" tint="-0.24994659260841701"/>
      </bottom>
      <diagonal/>
    </border>
    <border>
      <left/>
      <right/>
      <top style="medium">
        <color theme="1" tint="0.49998474074526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theme="1" tint="0.499984740745262"/>
      </top>
      <bottom style="thin">
        <color theme="0" tint="-0.24994659260841701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thin">
        <color indexed="64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thin">
        <color indexed="64"/>
      </bottom>
      <diagonal/>
    </border>
    <border>
      <left style="hair">
        <color theme="0" tint="-0.499984740745262"/>
      </left>
      <right/>
      <top style="thin">
        <color indexed="64"/>
      </top>
      <bottom/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thin">
        <color indexed="64"/>
      </bottom>
      <diagonal/>
    </border>
    <border>
      <left/>
      <right style="medium">
        <color theme="1" tint="0.499984740745262"/>
      </right>
      <top/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theme="1" tint="0.34998626667073579"/>
      </right>
      <top/>
      <bottom style="thin">
        <color indexed="64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1" tint="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0" tint="-0.24994659260841701"/>
      </left>
      <right/>
      <top style="thin">
        <color indexed="64"/>
      </top>
      <bottom/>
      <diagonal/>
    </border>
    <border>
      <left style="thin">
        <color theme="0" tint="-0.24994659260841701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theme="1" tint="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1" tint="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1" tint="0.34998626667073579"/>
      </bottom>
      <diagonal/>
    </border>
    <border>
      <left style="thin">
        <color indexed="64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1" tint="0.34998626667073579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1" tint="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/>
      <bottom style="thin">
        <color theme="1" tint="0.34998626667073579"/>
      </bottom>
      <diagonal/>
    </border>
    <border>
      <left style="thin">
        <color indexed="64"/>
      </left>
      <right/>
      <top style="medium">
        <color theme="1" tint="0.34998626667073579"/>
      </top>
      <bottom style="thin">
        <color theme="0" tint="-0.24994659260841701"/>
      </bottom>
      <diagonal/>
    </border>
    <border>
      <left/>
      <right/>
      <top style="medium">
        <color theme="1" tint="0.34998626667073579"/>
      </top>
      <bottom style="thin">
        <color theme="0" tint="-0.24994659260841701"/>
      </bottom>
      <diagonal/>
    </border>
    <border>
      <left/>
      <right style="medium">
        <color theme="0" tint="-0.499984740745262"/>
      </right>
      <top/>
      <bottom/>
      <diagonal/>
    </border>
    <border>
      <left/>
      <right style="thin">
        <color theme="0" tint="-0.24994659260841701"/>
      </right>
      <top style="medium">
        <color theme="1" tint="0.34998626667073579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medium">
        <color theme="1" tint="0.34998626667073579"/>
      </top>
      <bottom style="thin">
        <color theme="0" tint="-0.24994659260841701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 style="thin">
        <color theme="1" tint="0.34998626667073579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48" fillId="0" borderId="0"/>
    <xf numFmtId="200" fontId="90" fillId="0" borderId="0" applyFont="0" applyFill="0" applyBorder="0" applyAlignment="0" applyProtection="0"/>
  </cellStyleXfs>
  <cellXfs count="705">
    <xf numFmtId="0" fontId="0" fillId="0" borderId="0" xfId="0"/>
    <xf numFmtId="0" fontId="2" fillId="0" borderId="0" xfId="0" applyFont="1" applyFill="1" applyBorder="1" applyAlignment="1" applyProtection="1">
      <alignment horizontal="left" vertical="center"/>
      <protection hidden="1"/>
    </xf>
    <xf numFmtId="0" fontId="25" fillId="0" borderId="0" xfId="0" applyFont="1" applyFill="1" applyBorder="1" applyAlignment="1" applyProtection="1">
      <alignment horizontal="left" vertical="center"/>
      <protection hidden="1"/>
    </xf>
    <xf numFmtId="0" fontId="27" fillId="0" borderId="0" xfId="0" applyFont="1" applyFill="1" applyBorder="1" applyAlignment="1" applyProtection="1">
      <alignment horizontal="left" vertical="center"/>
      <protection hidden="1"/>
    </xf>
    <xf numFmtId="0" fontId="23" fillId="0" borderId="0" xfId="0" applyFont="1" applyFill="1" applyBorder="1" applyAlignment="1" applyProtection="1">
      <alignment horizontal="left" vertical="center"/>
      <protection hidden="1"/>
    </xf>
    <xf numFmtId="0" fontId="23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Protection="1">
      <protection hidden="1"/>
    </xf>
    <xf numFmtId="2" fontId="3" fillId="0" borderId="0" xfId="0" applyNumberFormat="1" applyFont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vertical="center"/>
      <protection hidden="1"/>
    </xf>
    <xf numFmtId="0" fontId="12" fillId="0" borderId="0" xfId="0" applyNumberFormat="1" applyFont="1" applyFill="1" applyBorder="1" applyAlignment="1" applyProtection="1">
      <alignment vertical="center"/>
      <protection hidden="1"/>
    </xf>
    <xf numFmtId="2" fontId="3" fillId="0" borderId="0" xfId="0" applyNumberFormat="1" applyFont="1" applyAlignment="1" applyProtection="1">
      <alignment vertical="center"/>
      <protection hidden="1"/>
    </xf>
    <xf numFmtId="0" fontId="8" fillId="0" borderId="0" xfId="0" applyNumberFormat="1" applyFont="1" applyFill="1" applyAlignment="1" applyProtection="1">
      <alignment vertical="center"/>
      <protection hidden="1"/>
    </xf>
    <xf numFmtId="0" fontId="10" fillId="0" borderId="0" xfId="0" applyNumberFormat="1" applyFont="1" applyFill="1" applyBorder="1" applyAlignment="1" applyProtection="1">
      <alignment vertical="center"/>
      <protection hidden="1"/>
    </xf>
    <xf numFmtId="189" fontId="12" fillId="0" borderId="0" xfId="0" applyNumberFormat="1" applyFont="1" applyFill="1" applyBorder="1" applyAlignment="1" applyProtection="1">
      <alignment vertical="center"/>
      <protection hidden="1"/>
    </xf>
    <xf numFmtId="0" fontId="8" fillId="0" borderId="0" xfId="0" applyFont="1" applyProtection="1"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Border="1" applyAlignment="1" applyProtection="1">
      <alignment horizontal="left" vertical="center"/>
      <protection hidden="1"/>
    </xf>
    <xf numFmtId="0" fontId="27" fillId="0" borderId="0" xfId="0" applyFont="1" applyFill="1" applyBorder="1" applyAlignment="1" applyProtection="1">
      <alignment vertical="center"/>
      <protection hidden="1"/>
    </xf>
    <xf numFmtId="0" fontId="25" fillId="0" borderId="0" xfId="0" applyFont="1" applyFill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alignment vertical="center"/>
      <protection hidden="1"/>
    </xf>
    <xf numFmtId="0" fontId="13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16" fillId="0" borderId="0" xfId="0" applyFont="1" applyFill="1" applyBorder="1" applyAlignment="1" applyProtection="1">
      <alignment vertical="center"/>
      <protection hidden="1"/>
    </xf>
    <xf numFmtId="0" fontId="11" fillId="0" borderId="0" xfId="0" applyFont="1" applyFill="1" applyBorder="1" applyAlignment="1" applyProtection="1">
      <alignment vertical="center"/>
      <protection hidden="1"/>
    </xf>
    <xf numFmtId="0" fontId="25" fillId="5" borderId="0" xfId="0" applyFont="1" applyFill="1" applyBorder="1" applyAlignment="1" applyProtection="1">
      <alignment horizontal="right" vertical="center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0" fontId="49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/>
      <protection hidden="1"/>
    </xf>
    <xf numFmtId="187" fontId="8" fillId="0" borderId="0" xfId="0" applyNumberFormat="1" applyFont="1" applyFill="1" applyBorder="1" applyAlignment="1" applyProtection="1">
      <protection hidden="1"/>
    </xf>
    <xf numFmtId="0" fontId="53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Border="1" applyProtection="1"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0" fontId="49" fillId="0" borderId="0" xfId="0" quotePrefix="1" applyFont="1" applyFill="1" applyBorder="1" applyAlignment="1" applyProtection="1">
      <alignment horizontal="left"/>
      <protection hidden="1"/>
    </xf>
    <xf numFmtId="0" fontId="0" fillId="5" borderId="0" xfId="0" applyFill="1" applyProtection="1">
      <protection hidden="1"/>
    </xf>
    <xf numFmtId="0" fontId="0" fillId="5" borderId="24" xfId="0" applyFill="1" applyBorder="1" applyProtection="1">
      <protection hidden="1"/>
    </xf>
    <xf numFmtId="0" fontId="0" fillId="5" borderId="28" xfId="0" applyFill="1" applyBorder="1" applyProtection="1">
      <protection hidden="1"/>
    </xf>
    <xf numFmtId="0" fontId="0" fillId="5" borderId="27" xfId="0" applyFill="1" applyBorder="1" applyProtection="1">
      <protection hidden="1"/>
    </xf>
    <xf numFmtId="0" fontId="0" fillId="5" borderId="30" xfId="0" applyFill="1" applyBorder="1" applyProtection="1">
      <protection hidden="1"/>
    </xf>
    <xf numFmtId="0" fontId="0" fillId="5" borderId="25" xfId="0" applyFill="1" applyBorder="1" applyProtection="1">
      <protection hidden="1"/>
    </xf>
    <xf numFmtId="0" fontId="0" fillId="5" borderId="26" xfId="0" applyFill="1" applyBorder="1" applyProtection="1">
      <protection hidden="1"/>
    </xf>
    <xf numFmtId="0" fontId="0" fillId="6" borderId="0" xfId="0" applyFill="1" applyBorder="1" applyProtection="1">
      <protection hidden="1"/>
    </xf>
    <xf numFmtId="0" fontId="0" fillId="5" borderId="29" xfId="0" applyFill="1" applyBorder="1" applyProtection="1">
      <protection hidden="1"/>
    </xf>
    <xf numFmtId="0" fontId="27" fillId="5" borderId="0" xfId="0" applyFont="1" applyFill="1" applyBorder="1" applyAlignment="1" applyProtection="1">
      <alignment vertical="center"/>
      <protection hidden="1"/>
    </xf>
    <xf numFmtId="0" fontId="13" fillId="5" borderId="0" xfId="0" applyFont="1" applyFill="1" applyBorder="1" applyAlignment="1" applyProtection="1">
      <alignment vertical="center"/>
      <protection hidden="1"/>
    </xf>
    <xf numFmtId="0" fontId="20" fillId="5" borderId="0" xfId="0" applyFont="1" applyFill="1" applyBorder="1" applyAlignment="1" applyProtection="1">
      <alignment vertical="center"/>
      <protection hidden="1"/>
    </xf>
    <xf numFmtId="0" fontId="0" fillId="5" borderId="51" xfId="0" applyFill="1" applyBorder="1" applyProtection="1">
      <protection hidden="1"/>
    </xf>
    <xf numFmtId="0" fontId="27" fillId="5" borderId="51" xfId="0" applyFont="1" applyFill="1" applyBorder="1" applyAlignment="1" applyProtection="1">
      <alignment vertical="center"/>
      <protection hidden="1"/>
    </xf>
    <xf numFmtId="0" fontId="20" fillId="5" borderId="0" xfId="0" applyFont="1" applyFill="1" applyBorder="1" applyAlignment="1" applyProtection="1">
      <alignment horizontal="right" vertical="center"/>
      <protection hidden="1"/>
    </xf>
    <xf numFmtId="0" fontId="13" fillId="5" borderId="29" xfId="0" applyFont="1" applyFill="1" applyBorder="1" applyAlignment="1" applyProtection="1">
      <alignment vertical="center"/>
      <protection hidden="1"/>
    </xf>
    <xf numFmtId="0" fontId="13" fillId="5" borderId="30" xfId="0" applyFont="1" applyFill="1" applyBorder="1" applyAlignment="1" applyProtection="1">
      <alignment vertical="center"/>
      <protection hidden="1"/>
    </xf>
    <xf numFmtId="0" fontId="0" fillId="5" borderId="23" xfId="0" applyFill="1" applyBorder="1" applyProtection="1">
      <protection hidden="1"/>
    </xf>
    <xf numFmtId="0" fontId="0" fillId="6" borderId="54" xfId="0" applyFill="1" applyBorder="1" applyProtection="1">
      <protection hidden="1"/>
    </xf>
    <xf numFmtId="0" fontId="1" fillId="6" borderId="0" xfId="0" applyFont="1" applyFill="1" applyBorder="1" applyAlignment="1" applyProtection="1">
      <alignment vertical="center"/>
      <protection hidden="1"/>
    </xf>
    <xf numFmtId="0" fontId="3" fillId="6" borderId="0" xfId="0" applyFont="1" applyFill="1" applyBorder="1" applyAlignment="1" applyProtection="1">
      <alignment vertical="center"/>
      <protection hidden="1"/>
    </xf>
    <xf numFmtId="0" fontId="0" fillId="6" borderId="55" xfId="0" applyFill="1" applyBorder="1" applyProtection="1">
      <protection hidden="1"/>
    </xf>
    <xf numFmtId="0" fontId="20" fillId="5" borderId="8" xfId="0" applyFont="1" applyFill="1" applyBorder="1" applyAlignment="1" applyProtection="1">
      <alignment vertical="center"/>
      <protection hidden="1"/>
    </xf>
    <xf numFmtId="0" fontId="61" fillId="5" borderId="29" xfId="0" applyFont="1" applyFill="1" applyBorder="1" applyAlignment="1" applyProtection="1">
      <alignment horizontal="left" vertical="center"/>
      <protection hidden="1"/>
    </xf>
    <xf numFmtId="0" fontId="31" fillId="0" borderId="0" xfId="0" applyFont="1" applyFill="1" applyBorder="1" applyAlignment="1" applyProtection="1">
      <alignment horizontal="left" vertical="center"/>
      <protection hidden="1"/>
    </xf>
    <xf numFmtId="0" fontId="0" fillId="6" borderId="56" xfId="0" applyFill="1" applyBorder="1" applyProtection="1">
      <protection hidden="1"/>
    </xf>
    <xf numFmtId="0" fontId="0" fillId="6" borderId="17" xfId="0" applyFill="1" applyBorder="1" applyProtection="1">
      <protection hidden="1"/>
    </xf>
    <xf numFmtId="0" fontId="0" fillId="6" borderId="15" xfId="0" applyFill="1" applyBorder="1" applyProtection="1">
      <protection hidden="1"/>
    </xf>
    <xf numFmtId="0" fontId="0" fillId="6" borderId="16" xfId="0" applyFill="1" applyBorder="1" applyProtection="1">
      <protection hidden="1"/>
    </xf>
    <xf numFmtId="0" fontId="17" fillId="5" borderId="0" xfId="0" applyFont="1" applyFill="1" applyBorder="1" applyAlignment="1" applyProtection="1">
      <alignment vertical="center" textRotation="90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left" vertical="center"/>
      <protection hidden="1"/>
    </xf>
    <xf numFmtId="0" fontId="20" fillId="6" borderId="0" xfId="0" applyFont="1" applyFill="1" applyBorder="1" applyAlignment="1" applyProtection="1">
      <alignment vertical="center"/>
      <protection hidden="1"/>
    </xf>
    <xf numFmtId="0" fontId="0" fillId="6" borderId="0" xfId="0" applyFill="1" applyBorder="1" applyAlignment="1" applyProtection="1">
      <alignment vertical="center"/>
      <protection hidden="1"/>
    </xf>
    <xf numFmtId="0" fontId="4" fillId="6" borderId="0" xfId="0" applyFont="1" applyFill="1" applyBorder="1" applyAlignment="1" applyProtection="1">
      <alignment vertical="center"/>
      <protection hidden="1"/>
    </xf>
    <xf numFmtId="0" fontId="6" fillId="6" borderId="0" xfId="0" applyFont="1" applyFill="1" applyBorder="1" applyAlignment="1" applyProtection="1">
      <alignment vertical="center"/>
      <protection hidden="1"/>
    </xf>
    <xf numFmtId="0" fontId="16" fillId="6" borderId="0" xfId="0" applyFont="1" applyFill="1" applyBorder="1" applyAlignment="1" applyProtection="1">
      <alignment vertical="center"/>
      <protection hidden="1"/>
    </xf>
    <xf numFmtId="0" fontId="11" fillId="6" borderId="0" xfId="0" applyFont="1" applyFill="1" applyBorder="1" applyAlignment="1" applyProtection="1">
      <alignment vertical="center"/>
      <protection hidden="1"/>
    </xf>
    <xf numFmtId="0" fontId="36" fillId="6" borderId="0" xfId="0" applyFont="1" applyFill="1" applyBorder="1" applyAlignment="1" applyProtection="1">
      <alignment horizontal="left" vertical="center"/>
      <protection hidden="1"/>
    </xf>
    <xf numFmtId="0" fontId="34" fillId="6" borderId="0" xfId="0" applyFont="1" applyFill="1" applyBorder="1" applyAlignment="1" applyProtection="1">
      <alignment vertical="center"/>
      <protection hidden="1"/>
    </xf>
    <xf numFmtId="0" fontId="33" fillId="6" borderId="0" xfId="0" applyFont="1" applyFill="1" applyBorder="1" applyAlignment="1" applyProtection="1">
      <alignment horizontal="left" vertical="center"/>
      <protection hidden="1"/>
    </xf>
    <xf numFmtId="0" fontId="23" fillId="6" borderId="0" xfId="0" applyFont="1" applyFill="1" applyBorder="1" applyAlignment="1" applyProtection="1">
      <alignment horizontal="left" vertical="center"/>
      <protection hidden="1"/>
    </xf>
    <xf numFmtId="0" fontId="25" fillId="6" borderId="0" xfId="0" applyFont="1" applyFill="1" applyBorder="1" applyAlignment="1" applyProtection="1">
      <alignment horizontal="left" vertical="center"/>
      <protection hidden="1"/>
    </xf>
    <xf numFmtId="0" fontId="23" fillId="6" borderId="0" xfId="0" applyFont="1" applyFill="1" applyBorder="1" applyAlignment="1" applyProtection="1">
      <alignment vertical="center"/>
      <protection hidden="1"/>
    </xf>
    <xf numFmtId="0" fontId="3" fillId="5" borderId="0" xfId="0" applyFont="1" applyFill="1" applyBorder="1" applyAlignment="1" applyProtection="1">
      <alignment vertical="center"/>
      <protection hidden="1"/>
    </xf>
    <xf numFmtId="0" fontId="0" fillId="6" borderId="53" xfId="0" applyFill="1" applyBorder="1" applyProtection="1">
      <protection hidden="1"/>
    </xf>
    <xf numFmtId="0" fontId="4" fillId="6" borderId="17" xfId="0" applyFont="1" applyFill="1" applyBorder="1" applyAlignment="1" applyProtection="1">
      <alignment vertical="center"/>
      <protection hidden="1"/>
    </xf>
    <xf numFmtId="0" fontId="0" fillId="6" borderId="57" xfId="0" applyFill="1" applyBorder="1" applyProtection="1">
      <protection hidden="1"/>
    </xf>
    <xf numFmtId="0" fontId="28" fillId="0" borderId="0" xfId="0" applyFont="1" applyFill="1" applyBorder="1" applyAlignment="1" applyProtection="1">
      <alignment vertical="center"/>
      <protection hidden="1"/>
    </xf>
    <xf numFmtId="0" fontId="20" fillId="5" borderId="23" xfId="0" applyFont="1" applyFill="1" applyBorder="1" applyAlignment="1" applyProtection="1">
      <alignment vertical="center"/>
      <protection hidden="1"/>
    </xf>
    <xf numFmtId="0" fontId="20" fillId="5" borderId="24" xfId="0" applyFont="1" applyFill="1" applyBorder="1" applyAlignment="1" applyProtection="1">
      <alignment vertical="center"/>
      <protection hidden="1"/>
    </xf>
    <xf numFmtId="0" fontId="20" fillId="5" borderId="26" xfId="0" applyFont="1" applyFill="1" applyBorder="1" applyAlignment="1" applyProtection="1">
      <alignment vertical="center"/>
      <protection hidden="1"/>
    </xf>
    <xf numFmtId="0" fontId="28" fillId="5" borderId="26" xfId="0" applyFont="1" applyFill="1" applyBorder="1" applyAlignment="1" applyProtection="1">
      <alignment vertical="center"/>
      <protection hidden="1"/>
    </xf>
    <xf numFmtId="0" fontId="20" fillId="5" borderId="28" xfId="0" applyFont="1" applyFill="1" applyBorder="1" applyAlignment="1" applyProtection="1">
      <alignment vertical="center"/>
      <protection hidden="1"/>
    </xf>
    <xf numFmtId="0" fontId="20" fillId="5" borderId="29" xfId="0" applyFont="1" applyFill="1" applyBorder="1" applyAlignment="1" applyProtection="1">
      <alignment vertical="center"/>
      <protection hidden="1"/>
    </xf>
    <xf numFmtId="0" fontId="24" fillId="0" borderId="0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protection hidden="1"/>
    </xf>
    <xf numFmtId="0" fontId="3" fillId="5" borderId="24" xfId="0" applyFont="1" applyFill="1" applyBorder="1" applyAlignment="1" applyProtection="1">
      <alignment vertical="center"/>
      <protection hidden="1"/>
    </xf>
    <xf numFmtId="0" fontId="0" fillId="0" borderId="0" xfId="0" applyFill="1" applyBorder="1" applyProtection="1">
      <protection hidden="1"/>
    </xf>
    <xf numFmtId="0" fontId="0" fillId="5" borderId="0" xfId="0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right" vertical="center"/>
      <protection hidden="1"/>
    </xf>
    <xf numFmtId="0" fontId="6" fillId="0" borderId="0" xfId="0" applyFont="1" applyFill="1" applyBorder="1" applyAlignment="1" applyProtection="1">
      <alignment vertical="center"/>
      <protection hidden="1"/>
    </xf>
    <xf numFmtId="2" fontId="20" fillId="0" borderId="0" xfId="0" applyNumberFormat="1" applyFont="1" applyFill="1" applyBorder="1" applyAlignment="1" applyProtection="1">
      <alignment vertical="center"/>
      <protection hidden="1"/>
    </xf>
    <xf numFmtId="0" fontId="20" fillId="0" borderId="0" xfId="0" applyFont="1" applyFill="1" applyProtection="1">
      <protection hidden="1"/>
    </xf>
    <xf numFmtId="0" fontId="20" fillId="0" borderId="0" xfId="0" applyFont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25" fillId="0" borderId="0" xfId="0" applyFont="1" applyFill="1" applyAlignment="1" applyProtection="1">
      <alignment horizontal="left" vertical="center"/>
      <protection hidden="1"/>
    </xf>
    <xf numFmtId="0" fontId="20" fillId="0" borderId="0" xfId="0" applyFont="1" applyFill="1" applyAlignment="1" applyProtection="1">
      <alignment horizontal="left" vertical="center"/>
      <protection hidden="1"/>
    </xf>
    <xf numFmtId="0" fontId="20" fillId="0" borderId="0" xfId="0" applyFont="1" applyFill="1" applyAlignment="1" applyProtection="1">
      <alignment vertical="center"/>
      <protection hidden="1"/>
    </xf>
    <xf numFmtId="0" fontId="8" fillId="0" borderId="0" xfId="0" applyFont="1" applyFill="1" applyProtection="1">
      <protection hidden="1"/>
    </xf>
    <xf numFmtId="0" fontId="31" fillId="6" borderId="0" xfId="0" applyFont="1" applyFill="1" applyBorder="1" applyAlignment="1" applyProtection="1">
      <alignment horizontal="left" vertical="center"/>
      <protection hidden="1"/>
    </xf>
    <xf numFmtId="0" fontId="27" fillId="6" borderId="0" xfId="0" applyFont="1" applyFill="1" applyBorder="1" applyAlignment="1" applyProtection="1">
      <alignment horizontal="left" vertical="center"/>
      <protection hidden="1"/>
    </xf>
    <xf numFmtId="0" fontId="28" fillId="6" borderId="0" xfId="0" applyFont="1" applyFill="1" applyBorder="1" applyAlignment="1" applyProtection="1">
      <alignment vertical="center"/>
      <protection hidden="1"/>
    </xf>
    <xf numFmtId="0" fontId="67" fillId="6" borderId="0" xfId="0" applyFont="1" applyFill="1" applyBorder="1" applyAlignment="1" applyProtection="1">
      <alignment horizontal="left" vertical="center"/>
      <protection hidden="1"/>
    </xf>
    <xf numFmtId="0" fontId="12" fillId="0" borderId="0" xfId="0" quotePrefix="1" applyFont="1" applyFill="1" applyBorder="1" applyAlignment="1" applyProtection="1">
      <alignment vertical="center"/>
      <protection hidden="1"/>
    </xf>
    <xf numFmtId="0" fontId="24" fillId="5" borderId="27" xfId="0" applyFont="1" applyFill="1" applyBorder="1" applyAlignment="1" applyProtection="1">
      <alignment vertical="center"/>
      <protection hidden="1"/>
    </xf>
    <xf numFmtId="0" fontId="64" fillId="0" borderId="0" xfId="0" applyFont="1" applyAlignment="1" applyProtection="1">
      <alignment horizontal="left" vertical="center"/>
      <protection hidden="1"/>
    </xf>
    <xf numFmtId="0" fontId="49" fillId="0" borderId="0" xfId="0" applyFont="1" applyFill="1" applyBorder="1" applyAlignment="1" applyProtection="1">
      <alignment vertical="center"/>
      <protection hidden="1"/>
    </xf>
    <xf numFmtId="0" fontId="58" fillId="0" borderId="0" xfId="1" applyFont="1" applyFill="1" applyBorder="1" applyAlignment="1" applyProtection="1">
      <alignment vertical="center"/>
      <protection hidden="1"/>
    </xf>
    <xf numFmtId="0" fontId="63" fillId="5" borderId="0" xfId="1" applyFont="1" applyFill="1" applyBorder="1" applyAlignment="1" applyProtection="1">
      <alignment vertical="center"/>
      <protection hidden="1"/>
    </xf>
    <xf numFmtId="0" fontId="13" fillId="6" borderId="5" xfId="0" applyFont="1" applyFill="1" applyBorder="1" applyAlignment="1" applyProtection="1">
      <alignment horizontal="left" vertical="center"/>
      <protection hidden="1"/>
    </xf>
    <xf numFmtId="0" fontId="11" fillId="6" borderId="5" xfId="0" applyFont="1" applyFill="1" applyBorder="1" applyAlignment="1" applyProtection="1">
      <alignment vertical="center"/>
      <protection hidden="1"/>
    </xf>
    <xf numFmtId="0" fontId="11" fillId="6" borderId="5" xfId="0" applyFont="1" applyFill="1" applyBorder="1" applyProtection="1">
      <protection hidden="1"/>
    </xf>
    <xf numFmtId="0" fontId="13" fillId="6" borderId="8" xfId="0" applyFont="1" applyFill="1" applyBorder="1" applyAlignment="1" applyProtection="1">
      <alignment horizontal="left" vertical="center"/>
      <protection hidden="1"/>
    </xf>
    <xf numFmtId="0" fontId="11" fillId="6" borderId="8" xfId="0" applyFont="1" applyFill="1" applyBorder="1" applyAlignment="1" applyProtection="1">
      <alignment vertical="center"/>
      <protection hidden="1"/>
    </xf>
    <xf numFmtId="0" fontId="11" fillId="6" borderId="8" xfId="0" applyFont="1" applyFill="1" applyBorder="1" applyProtection="1">
      <protection hidden="1"/>
    </xf>
    <xf numFmtId="0" fontId="11" fillId="6" borderId="66" xfId="0" applyFont="1" applyFill="1" applyBorder="1" applyAlignment="1" applyProtection="1">
      <alignment vertical="center"/>
      <protection hidden="1"/>
    </xf>
    <xf numFmtId="0" fontId="11" fillId="6" borderId="66" xfId="0" applyFont="1" applyFill="1" applyBorder="1" applyProtection="1">
      <protection hidden="1"/>
    </xf>
    <xf numFmtId="0" fontId="13" fillId="6" borderId="66" xfId="0" applyFont="1" applyFill="1" applyBorder="1" applyAlignment="1" applyProtection="1">
      <alignment horizontal="left" vertical="center"/>
      <protection hidden="1"/>
    </xf>
    <xf numFmtId="0" fontId="11" fillId="7" borderId="66" xfId="0" applyFont="1" applyFill="1" applyBorder="1" applyAlignment="1" applyProtection="1">
      <alignment vertical="center"/>
      <protection hidden="1"/>
    </xf>
    <xf numFmtId="0" fontId="11" fillId="7" borderId="68" xfId="0" applyFont="1" applyFill="1" applyBorder="1" applyAlignment="1" applyProtection="1">
      <alignment vertical="center"/>
      <protection hidden="1"/>
    </xf>
    <xf numFmtId="0" fontId="18" fillId="7" borderId="71" xfId="0" applyFont="1" applyFill="1" applyBorder="1" applyAlignment="1" applyProtection="1">
      <alignment horizontal="left" vertical="center"/>
      <protection hidden="1"/>
    </xf>
    <xf numFmtId="0" fontId="11" fillId="7" borderId="66" xfId="0" applyFont="1" applyFill="1" applyBorder="1" applyProtection="1">
      <protection hidden="1"/>
    </xf>
    <xf numFmtId="0" fontId="11" fillId="7" borderId="5" xfId="0" applyFont="1" applyFill="1" applyBorder="1" applyAlignment="1" applyProtection="1">
      <alignment vertical="center"/>
      <protection hidden="1"/>
    </xf>
    <xf numFmtId="0" fontId="11" fillId="7" borderId="67" xfId="0" applyFont="1" applyFill="1" applyBorder="1" applyAlignment="1" applyProtection="1">
      <alignment vertical="center"/>
      <protection hidden="1"/>
    </xf>
    <xf numFmtId="0" fontId="5" fillId="7" borderId="70" xfId="0" applyFont="1" applyFill="1" applyBorder="1" applyAlignment="1" applyProtection="1">
      <alignment vertical="center"/>
      <protection hidden="1"/>
    </xf>
    <xf numFmtId="0" fontId="11" fillId="7" borderId="5" xfId="0" applyFont="1" applyFill="1" applyBorder="1" applyProtection="1">
      <protection hidden="1"/>
    </xf>
    <xf numFmtId="0" fontId="11" fillId="7" borderId="8" xfId="0" applyFont="1" applyFill="1" applyBorder="1" applyAlignment="1" applyProtection="1">
      <alignment vertical="center"/>
      <protection hidden="1"/>
    </xf>
    <xf numFmtId="0" fontId="11" fillId="7" borderId="69" xfId="0" applyFont="1" applyFill="1" applyBorder="1" applyAlignment="1" applyProtection="1">
      <alignment vertical="center"/>
      <protection hidden="1"/>
    </xf>
    <xf numFmtId="0" fontId="18" fillId="7" borderId="72" xfId="0" applyFont="1" applyFill="1" applyBorder="1" applyAlignment="1" applyProtection="1">
      <alignment horizontal="left" vertical="center"/>
      <protection hidden="1"/>
    </xf>
    <xf numFmtId="0" fontId="11" fillId="7" borderId="8" xfId="0" applyFont="1" applyFill="1" applyBorder="1" applyProtection="1">
      <protection hidden="1"/>
    </xf>
    <xf numFmtId="0" fontId="0" fillId="7" borderId="0" xfId="0" applyFill="1" applyBorder="1" applyProtection="1">
      <protection hidden="1"/>
    </xf>
    <xf numFmtId="188" fontId="12" fillId="0" borderId="0" xfId="0" applyNumberFormat="1" applyFont="1" applyFill="1" applyBorder="1" applyAlignment="1" applyProtection="1">
      <alignment vertical="center"/>
      <protection hidden="1"/>
    </xf>
    <xf numFmtId="2" fontId="10" fillId="0" borderId="0" xfId="0" applyNumberFormat="1" applyFont="1" applyFill="1" applyBorder="1" applyAlignment="1" applyProtection="1">
      <alignment vertical="center"/>
      <protection hidden="1"/>
    </xf>
    <xf numFmtId="2" fontId="12" fillId="0" borderId="0" xfId="0" applyNumberFormat="1" applyFont="1" applyFill="1" applyBorder="1" applyAlignment="1" applyProtection="1">
      <alignment vertical="center"/>
      <protection hidden="1"/>
    </xf>
    <xf numFmtId="0" fontId="28" fillId="5" borderId="0" xfId="0" applyFont="1" applyFill="1" applyBorder="1" applyAlignment="1" applyProtection="1">
      <alignment vertical="center"/>
      <protection hidden="1"/>
    </xf>
    <xf numFmtId="189" fontId="65" fillId="6" borderId="0" xfId="0" applyNumberFormat="1" applyFont="1" applyFill="1" applyBorder="1" applyAlignment="1" applyProtection="1">
      <alignment vertical="center"/>
      <protection hidden="1"/>
    </xf>
    <xf numFmtId="2" fontId="20" fillId="6" borderId="0" xfId="0" applyNumberFormat="1" applyFont="1" applyFill="1" applyBorder="1" applyAlignment="1" applyProtection="1">
      <alignment vertical="center"/>
      <protection hidden="1"/>
    </xf>
    <xf numFmtId="2" fontId="13" fillId="6" borderId="0" xfId="0" applyNumberFormat="1" applyFont="1" applyFill="1" applyBorder="1" applyAlignment="1" applyProtection="1">
      <alignment vertical="center"/>
      <protection hidden="1"/>
    </xf>
    <xf numFmtId="189" fontId="20" fillId="6" borderId="0" xfId="0" applyNumberFormat="1" applyFont="1" applyFill="1" applyBorder="1" applyAlignment="1" applyProtection="1">
      <alignment vertical="center"/>
      <protection hidden="1"/>
    </xf>
    <xf numFmtId="0" fontId="20" fillId="0" borderId="0" xfId="0" applyFont="1" applyAlignment="1" applyProtection="1">
      <alignment vertical="center"/>
      <protection hidden="1"/>
    </xf>
    <xf numFmtId="0" fontId="20" fillId="5" borderId="25" xfId="0" applyFont="1" applyFill="1" applyBorder="1" applyAlignment="1" applyProtection="1">
      <alignment vertical="center"/>
      <protection hidden="1"/>
    </xf>
    <xf numFmtId="0" fontId="20" fillId="5" borderId="27" xfId="0" applyFont="1" applyFill="1" applyBorder="1" applyAlignment="1" applyProtection="1">
      <alignment vertical="center"/>
      <protection hidden="1"/>
    </xf>
    <xf numFmtId="0" fontId="20" fillId="5" borderId="30" xfId="0" applyFont="1" applyFill="1" applyBorder="1" applyAlignment="1" applyProtection="1">
      <alignment vertical="center"/>
      <protection hidden="1"/>
    </xf>
    <xf numFmtId="190" fontId="9" fillId="0" borderId="0" xfId="0" applyNumberFormat="1" applyFont="1" applyFill="1" applyBorder="1" applyAlignment="1" applyProtection="1">
      <protection hidden="1"/>
    </xf>
    <xf numFmtId="0" fontId="39" fillId="0" borderId="0" xfId="0" applyFont="1" applyFill="1" applyBorder="1" applyAlignment="1" applyProtection="1">
      <alignment vertical="center"/>
      <protection hidden="1"/>
    </xf>
    <xf numFmtId="0" fontId="40" fillId="0" borderId="0" xfId="0" applyFont="1" applyFill="1" applyBorder="1" applyAlignment="1" applyProtection="1">
      <alignment vertical="center"/>
      <protection hidden="1"/>
    </xf>
    <xf numFmtId="0" fontId="20" fillId="5" borderId="0" xfId="0" applyFont="1" applyFill="1" applyAlignment="1" applyProtection="1">
      <alignment vertical="center"/>
      <protection hidden="1"/>
    </xf>
    <xf numFmtId="0" fontId="42" fillId="0" borderId="0" xfId="0" applyFont="1" applyFill="1" applyBorder="1" applyAlignment="1" applyProtection="1">
      <protection hidden="1"/>
    </xf>
    <xf numFmtId="0" fontId="39" fillId="0" borderId="0" xfId="0" applyFont="1" applyFill="1" applyBorder="1" applyAlignment="1" applyProtection="1">
      <alignment vertical="center" textRotation="90"/>
      <protection hidden="1"/>
    </xf>
    <xf numFmtId="0" fontId="8" fillId="0" borderId="0" xfId="0" applyFont="1" applyFill="1" applyBorder="1" applyAlignment="1" applyProtection="1">
      <protection hidden="1"/>
    </xf>
    <xf numFmtId="188" fontId="15" fillId="0" borderId="0" xfId="0" applyNumberFormat="1" applyFont="1" applyFill="1" applyBorder="1" applyAlignment="1" applyProtection="1">
      <alignment vertical="center"/>
      <protection hidden="1"/>
    </xf>
    <xf numFmtId="0" fontId="15" fillId="0" borderId="0" xfId="0" applyFont="1" applyFill="1" applyBorder="1" applyAlignment="1" applyProtection="1">
      <alignment vertical="center"/>
      <protection hidden="1"/>
    </xf>
    <xf numFmtId="188" fontId="47" fillId="0" borderId="0" xfId="0" applyNumberFormat="1" applyFont="1" applyFill="1" applyBorder="1" applyAlignment="1" applyProtection="1">
      <alignment vertical="center"/>
      <protection hidden="1"/>
    </xf>
    <xf numFmtId="0" fontId="47" fillId="0" borderId="0" xfId="0" applyFont="1" applyFill="1" applyBorder="1" applyAlignment="1" applyProtection="1">
      <alignment vertical="center"/>
      <protection hidden="1"/>
    </xf>
    <xf numFmtId="0" fontId="47" fillId="5" borderId="0" xfId="0" applyFont="1" applyFill="1" applyBorder="1" applyAlignment="1" applyProtection="1">
      <alignment vertical="center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43" fillId="0" borderId="0" xfId="0" applyFont="1" applyFill="1" applyBorder="1" applyAlignment="1" applyProtection="1">
      <alignment vertical="center"/>
      <protection hidden="1"/>
    </xf>
    <xf numFmtId="194" fontId="15" fillId="0" borderId="0" xfId="0" applyNumberFormat="1" applyFont="1" applyFill="1" applyBorder="1" applyAlignment="1" applyProtection="1">
      <alignment vertical="center"/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0" fontId="15" fillId="0" borderId="0" xfId="0" applyFont="1" applyFill="1" applyBorder="1" applyProtection="1">
      <protection hidden="1"/>
    </xf>
    <xf numFmtId="0" fontId="15" fillId="0" borderId="0" xfId="0" applyFont="1" applyFill="1" applyBorder="1" applyAlignment="1" applyProtection="1">
      <alignment horizontal="center"/>
      <protection hidden="1"/>
    </xf>
    <xf numFmtId="2" fontId="15" fillId="0" borderId="0" xfId="0" applyNumberFormat="1" applyFont="1" applyFill="1" applyBorder="1" applyAlignment="1" applyProtection="1">
      <protection hidden="1"/>
    </xf>
    <xf numFmtId="2" fontId="49" fillId="0" borderId="0" xfId="0" applyNumberFormat="1" applyFont="1" applyFill="1" applyBorder="1" applyAlignment="1" applyProtection="1">
      <protection hidden="1"/>
    </xf>
    <xf numFmtId="0" fontId="49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left" vertical="center"/>
      <protection hidden="1"/>
    </xf>
    <xf numFmtId="0" fontId="51" fillId="0" borderId="0" xfId="0" applyFont="1" applyFill="1" applyBorder="1" applyAlignment="1" applyProtection="1">
      <alignment horizontal="left"/>
      <protection hidden="1"/>
    </xf>
    <xf numFmtId="0" fontId="49" fillId="0" borderId="0" xfId="0" applyFont="1" applyFill="1" applyBorder="1" applyAlignment="1" applyProtection="1">
      <alignment horizontal="left"/>
      <protection hidden="1"/>
    </xf>
    <xf numFmtId="0" fontId="37" fillId="5" borderId="0" xfId="0" applyFont="1" applyFill="1" applyBorder="1" applyAlignment="1" applyProtection="1">
      <alignment vertical="center"/>
      <protection hidden="1"/>
    </xf>
    <xf numFmtId="2" fontId="47" fillId="0" borderId="0" xfId="0" applyNumberFormat="1" applyFont="1" applyFill="1" applyBorder="1" applyAlignment="1" applyProtection="1">
      <alignment vertical="center"/>
      <protection hidden="1"/>
    </xf>
    <xf numFmtId="0" fontId="14" fillId="0" borderId="0" xfId="0" applyFont="1" applyFill="1" applyBorder="1" applyAlignment="1" applyProtection="1">
      <alignment vertical="center"/>
      <protection hidden="1"/>
    </xf>
    <xf numFmtId="0" fontId="49" fillId="0" borderId="0" xfId="0" applyFont="1" applyFill="1" applyBorder="1" applyAlignment="1" applyProtection="1">
      <protection hidden="1"/>
    </xf>
    <xf numFmtId="2" fontId="49" fillId="0" borderId="0" xfId="0" applyNumberFormat="1" applyFont="1" applyFill="1" applyBorder="1" applyAlignment="1" applyProtection="1">
      <alignment vertical="center"/>
      <protection hidden="1"/>
    </xf>
    <xf numFmtId="0" fontId="22" fillId="0" borderId="0" xfId="0" applyFont="1" applyAlignment="1" applyProtection="1">
      <alignment vertical="center"/>
      <protection hidden="1"/>
    </xf>
    <xf numFmtId="189" fontId="10" fillId="0" borderId="0" xfId="0" applyNumberFormat="1" applyFont="1" applyAlignment="1" applyProtection="1">
      <protection hidden="1"/>
    </xf>
    <xf numFmtId="1" fontId="12" fillId="0" borderId="0" xfId="0" applyNumberFormat="1" applyFont="1" applyFill="1" applyBorder="1" applyAlignment="1" applyProtection="1">
      <alignment vertical="center"/>
      <protection hidden="1"/>
    </xf>
    <xf numFmtId="0" fontId="10" fillId="0" borderId="0" xfId="0" applyFont="1" applyFill="1" applyAlignment="1" applyProtection="1">
      <protection hidden="1"/>
    </xf>
    <xf numFmtId="189" fontId="49" fillId="0" borderId="0" xfId="0" applyNumberFormat="1" applyFont="1" applyFill="1" applyBorder="1" applyAlignment="1" applyProtection="1">
      <alignment vertical="center"/>
      <protection hidden="1"/>
    </xf>
    <xf numFmtId="2" fontId="10" fillId="0" borderId="0" xfId="0" applyNumberFormat="1" applyFont="1" applyFill="1" applyAlignment="1" applyProtection="1">
      <protection hidden="1"/>
    </xf>
    <xf numFmtId="189" fontId="10" fillId="0" borderId="0" xfId="0" applyNumberFormat="1" applyFont="1" applyFill="1" applyAlignment="1" applyProtection="1">
      <protection hidden="1"/>
    </xf>
    <xf numFmtId="0" fontId="21" fillId="0" borderId="0" xfId="0" applyFont="1" applyAlignment="1" applyProtection="1">
      <alignment vertical="center"/>
      <protection hidden="1"/>
    </xf>
    <xf numFmtId="1" fontId="49" fillId="0" borderId="0" xfId="0" applyNumberFormat="1" applyFont="1" applyFill="1" applyBorder="1" applyAlignment="1" applyProtection="1">
      <alignment horizontal="left" vertical="center"/>
      <protection hidden="1"/>
    </xf>
    <xf numFmtId="1" fontId="14" fillId="0" borderId="0" xfId="0" applyNumberFormat="1" applyFont="1" applyFill="1" applyBorder="1" applyAlignment="1" applyProtection="1">
      <alignment horizontal="left" vertical="center"/>
      <protection hidden="1"/>
    </xf>
    <xf numFmtId="0" fontId="72" fillId="0" borderId="0" xfId="0" applyFont="1" applyFill="1" applyBorder="1" applyAlignment="1" applyProtection="1">
      <alignment vertical="center"/>
      <protection hidden="1"/>
    </xf>
    <xf numFmtId="1" fontId="12" fillId="0" borderId="0" xfId="0" applyNumberFormat="1" applyFont="1" applyFill="1" applyBorder="1" applyAlignment="1" applyProtection="1">
      <alignment horizontal="left" vertical="center"/>
      <protection hidden="1"/>
    </xf>
    <xf numFmtId="0" fontId="21" fillId="0" borderId="0" xfId="0" applyFont="1" applyBorder="1" applyAlignment="1" applyProtection="1">
      <alignment vertical="center"/>
      <protection hidden="1"/>
    </xf>
    <xf numFmtId="0" fontId="8" fillId="0" borderId="0" xfId="0" applyFont="1" applyBorder="1" applyProtection="1">
      <protection hidden="1"/>
    </xf>
    <xf numFmtId="2" fontId="54" fillId="0" borderId="0" xfId="0" applyNumberFormat="1" applyFont="1" applyBorder="1" applyAlignment="1" applyProtection="1">
      <protection hidden="1"/>
    </xf>
    <xf numFmtId="2" fontId="10" fillId="0" borderId="0" xfId="0" applyNumberFormat="1" applyFont="1" applyBorder="1" applyAlignment="1" applyProtection="1">
      <alignment vertical="center"/>
      <protection hidden="1"/>
    </xf>
    <xf numFmtId="189" fontId="10" fillId="0" borderId="0" xfId="0" applyNumberFormat="1" applyFont="1" applyFill="1" applyBorder="1" applyAlignment="1" applyProtection="1">
      <protection hidden="1"/>
    </xf>
    <xf numFmtId="0" fontId="20" fillId="0" borderId="4" xfId="0" applyFont="1" applyBorder="1" applyAlignment="1" applyProtection="1">
      <alignment vertical="center"/>
      <protection hidden="1"/>
    </xf>
    <xf numFmtId="1" fontId="20" fillId="0" borderId="5" xfId="0" applyNumberFormat="1" applyFont="1" applyBorder="1" applyAlignment="1" applyProtection="1">
      <alignment vertical="center"/>
      <protection hidden="1"/>
    </xf>
    <xf numFmtId="1" fontId="20" fillId="0" borderId="6" xfId="0" applyNumberFormat="1" applyFont="1" applyBorder="1" applyAlignment="1" applyProtection="1">
      <alignment vertical="center"/>
      <protection hidden="1"/>
    </xf>
    <xf numFmtId="0" fontId="20" fillId="0" borderId="7" xfId="0" applyFont="1" applyBorder="1" applyAlignment="1" applyProtection="1">
      <alignment vertical="center"/>
      <protection hidden="1"/>
    </xf>
    <xf numFmtId="0" fontId="20" fillId="0" borderId="8" xfId="0" applyNumberFormat="1" applyFont="1" applyBorder="1" applyAlignment="1" applyProtection="1">
      <alignment vertical="center"/>
      <protection hidden="1"/>
    </xf>
    <xf numFmtId="0" fontId="20" fillId="0" borderId="9" xfId="0" applyFont="1" applyBorder="1" applyAlignment="1" applyProtection="1">
      <alignment vertical="center"/>
      <protection hidden="1"/>
    </xf>
    <xf numFmtId="1" fontId="20" fillId="0" borderId="8" xfId="0" applyNumberFormat="1" applyFont="1" applyBorder="1" applyAlignment="1" applyProtection="1">
      <alignment vertical="center"/>
      <protection hidden="1"/>
    </xf>
    <xf numFmtId="1" fontId="20" fillId="0" borderId="9" xfId="0" applyNumberFormat="1" applyFont="1" applyBorder="1" applyAlignment="1" applyProtection="1">
      <alignment vertical="center"/>
      <protection hidden="1"/>
    </xf>
    <xf numFmtId="0" fontId="20" fillId="0" borderId="8" xfId="0" applyFont="1" applyBorder="1" applyAlignment="1" applyProtection="1">
      <alignment vertical="center"/>
      <protection hidden="1"/>
    </xf>
    <xf numFmtId="0" fontId="20" fillId="0" borderId="5" xfId="0" applyFont="1" applyBorder="1" applyAlignment="1" applyProtection="1">
      <alignment vertical="center"/>
      <protection hidden="1"/>
    </xf>
    <xf numFmtId="0" fontId="20" fillId="0" borderId="6" xfId="0" applyFont="1" applyBorder="1" applyAlignment="1" applyProtection="1">
      <alignment vertical="center"/>
      <protection hidden="1"/>
    </xf>
    <xf numFmtId="195" fontId="49" fillId="0" borderId="0" xfId="0" applyNumberFormat="1" applyFont="1" applyFill="1" applyBorder="1" applyAlignment="1" applyProtection="1">
      <alignment vertical="center"/>
      <protection hidden="1"/>
    </xf>
    <xf numFmtId="0" fontId="75" fillId="0" borderId="0" xfId="0" applyFont="1" applyFill="1" applyBorder="1" applyAlignment="1" applyProtection="1">
      <alignment vertical="center"/>
      <protection hidden="1"/>
    </xf>
    <xf numFmtId="2" fontId="8" fillId="0" borderId="0" xfId="0" applyNumberFormat="1" applyFont="1" applyFill="1" applyBorder="1" applyAlignment="1" applyProtection="1">
      <alignment vertical="center"/>
      <protection hidden="1"/>
    </xf>
    <xf numFmtId="0" fontId="77" fillId="0" borderId="0" xfId="0" applyFont="1" applyFill="1" applyBorder="1" applyAlignment="1" applyProtection="1">
      <alignment textRotation="90"/>
      <protection hidden="1"/>
    </xf>
    <xf numFmtId="190" fontId="49" fillId="0" borderId="0" xfId="0" applyNumberFormat="1" applyFont="1" applyFill="1" applyBorder="1" applyAlignment="1" applyProtection="1">
      <alignment vertical="center"/>
      <protection hidden="1"/>
    </xf>
    <xf numFmtId="0" fontId="65" fillId="5" borderId="38" xfId="0" applyFont="1" applyFill="1" applyBorder="1" applyAlignment="1" applyProtection="1">
      <alignment horizontal="right" vertical="center"/>
      <protection hidden="1"/>
    </xf>
    <xf numFmtId="0" fontId="43" fillId="0" borderId="0" xfId="0" applyFont="1" applyFill="1" applyBorder="1" applyAlignment="1" applyProtection="1">
      <alignment horizontal="left" vertical="center"/>
      <protection hidden="1"/>
    </xf>
    <xf numFmtId="0" fontId="76" fillId="0" borderId="0" xfId="0" applyFont="1" applyFill="1" applyBorder="1" applyAlignment="1" applyProtection="1">
      <alignment textRotation="90"/>
      <protection hidden="1"/>
    </xf>
    <xf numFmtId="2" fontId="76" fillId="0" borderId="0" xfId="0" applyNumberFormat="1" applyFont="1" applyFill="1" applyBorder="1" applyAlignment="1" applyProtection="1">
      <alignment textRotation="90"/>
      <protection hidden="1"/>
    </xf>
    <xf numFmtId="189" fontId="10" fillId="0" borderId="0" xfId="0" applyNumberFormat="1" applyFont="1" applyFill="1" applyBorder="1" applyAlignment="1" applyProtection="1">
      <alignment vertical="center"/>
      <protection hidden="1"/>
    </xf>
    <xf numFmtId="0" fontId="20" fillId="5" borderId="73" xfId="0" applyFont="1" applyFill="1" applyBorder="1" applyAlignment="1" applyProtection="1">
      <alignment vertical="center"/>
      <protection hidden="1"/>
    </xf>
    <xf numFmtId="0" fontId="64" fillId="5" borderId="0" xfId="0" applyFont="1" applyFill="1" applyBorder="1" applyAlignment="1" applyProtection="1">
      <alignment horizontal="left" vertical="center"/>
      <protection hidden="1"/>
    </xf>
    <xf numFmtId="0" fontId="10" fillId="5" borderId="0" xfId="0" applyFont="1" applyFill="1" applyBorder="1" applyAlignment="1" applyProtection="1">
      <alignment vertical="center"/>
      <protection hidden="1"/>
    </xf>
    <xf numFmtId="2" fontId="65" fillId="5" borderId="0" xfId="0" applyNumberFormat="1" applyFont="1" applyFill="1" applyBorder="1" applyAlignment="1" applyProtection="1">
      <alignment vertical="center"/>
      <protection hidden="1"/>
    </xf>
    <xf numFmtId="0" fontId="14" fillId="5" borderId="0" xfId="0" applyFont="1" applyFill="1" applyBorder="1" applyAlignment="1" applyProtection="1">
      <alignment vertical="center"/>
      <protection hidden="1"/>
    </xf>
    <xf numFmtId="188" fontId="20" fillId="5" borderId="0" xfId="0" applyNumberFormat="1" applyFont="1" applyFill="1" applyBorder="1" applyAlignment="1" applyProtection="1">
      <alignment vertical="center"/>
      <protection hidden="1"/>
    </xf>
    <xf numFmtId="2" fontId="20" fillId="5" borderId="0" xfId="0" applyNumberFormat="1" applyFont="1" applyFill="1" applyBorder="1" applyAlignment="1" applyProtection="1">
      <alignment vertical="center"/>
      <protection hidden="1"/>
    </xf>
    <xf numFmtId="0" fontId="0" fillId="5" borderId="0" xfId="0" applyFill="1" applyBorder="1" applyAlignment="1" applyProtection="1">
      <protection hidden="1"/>
    </xf>
    <xf numFmtId="0" fontId="0" fillId="5" borderId="0" xfId="0" applyFill="1" applyBorder="1" applyAlignment="1" applyProtection="1">
      <alignment horizontal="left" vertical="center"/>
      <protection hidden="1"/>
    </xf>
    <xf numFmtId="0" fontId="0" fillId="6" borderId="0" xfId="0" applyFill="1" applyBorder="1" applyAlignment="1" applyProtection="1">
      <alignment horizontal="left" vertical="center"/>
      <protection hidden="1"/>
    </xf>
    <xf numFmtId="0" fontId="35" fillId="5" borderId="0" xfId="0" applyFont="1" applyFill="1" applyBorder="1" applyAlignment="1" applyProtection="1">
      <alignment vertical="center"/>
      <protection hidden="1"/>
    </xf>
    <xf numFmtId="189" fontId="20" fillId="0" borderId="0" xfId="0" applyNumberFormat="1" applyFont="1" applyFill="1" applyBorder="1" applyAlignment="1" applyProtection="1">
      <alignment vertical="center"/>
      <protection hidden="1"/>
    </xf>
    <xf numFmtId="0" fontId="0" fillId="6" borderId="0" xfId="0" applyFill="1" applyBorder="1" applyAlignment="1" applyProtection="1">
      <alignment horizontal="left"/>
      <protection hidden="1"/>
    </xf>
    <xf numFmtId="0" fontId="22" fillId="5" borderId="0" xfId="0" applyFont="1" applyFill="1" applyBorder="1" applyAlignment="1" applyProtection="1">
      <alignment vertical="center"/>
      <protection hidden="1"/>
    </xf>
    <xf numFmtId="0" fontId="81" fillId="5" borderId="0" xfId="0" applyFont="1" applyFill="1" applyProtection="1">
      <protection hidden="1"/>
    </xf>
    <xf numFmtId="0" fontId="0" fillId="6" borderId="0" xfId="0" applyFill="1" applyBorder="1" applyAlignment="1" applyProtection="1">
      <protection hidden="1"/>
    </xf>
    <xf numFmtId="0" fontId="0" fillId="5" borderId="0" xfId="0" applyFill="1" applyBorder="1" applyProtection="1">
      <protection hidden="1"/>
    </xf>
    <xf numFmtId="0" fontId="72" fillId="5" borderId="0" xfId="0" applyFont="1" applyFill="1" applyBorder="1" applyAlignment="1" applyProtection="1">
      <alignment vertical="center"/>
      <protection hidden="1"/>
    </xf>
    <xf numFmtId="0" fontId="71" fillId="5" borderId="0" xfId="0" applyFont="1" applyFill="1" applyBorder="1" applyAlignment="1" applyProtection="1">
      <alignment horizontal="left" vertical="center"/>
      <protection hidden="1"/>
    </xf>
    <xf numFmtId="0" fontId="66" fillId="5" borderId="0" xfId="0" applyFont="1" applyFill="1" applyBorder="1" applyAlignment="1" applyProtection="1">
      <alignment horizontal="left" vertical="center"/>
      <protection hidden="1"/>
    </xf>
    <xf numFmtId="0" fontId="62" fillId="5" borderId="0" xfId="1" applyFont="1" applyFill="1" applyBorder="1" applyAlignment="1" applyProtection="1">
      <alignment vertical="center"/>
      <protection hidden="1"/>
    </xf>
    <xf numFmtId="0" fontId="60" fillId="5" borderId="0" xfId="0" applyFont="1" applyFill="1" applyBorder="1" applyAlignment="1" applyProtection="1">
      <alignment vertical="center"/>
      <protection hidden="1"/>
    </xf>
    <xf numFmtId="0" fontId="12" fillId="5" borderId="0" xfId="0" applyFont="1" applyFill="1" applyBorder="1" applyAlignment="1" applyProtection="1">
      <alignment horizontal="left" vertical="center"/>
      <protection hidden="1"/>
    </xf>
    <xf numFmtId="0" fontId="9" fillId="5" borderId="0" xfId="0" applyFont="1" applyFill="1" applyBorder="1" applyProtection="1">
      <protection hidden="1"/>
    </xf>
    <xf numFmtId="0" fontId="10" fillId="5" borderId="0" xfId="0" applyFont="1" applyFill="1" applyBorder="1" applyAlignment="1" applyProtection="1">
      <alignment horizontal="left"/>
      <protection hidden="1"/>
    </xf>
    <xf numFmtId="0" fontId="12" fillId="5" borderId="0" xfId="0" applyFont="1" applyFill="1" applyBorder="1" applyAlignment="1" applyProtection="1">
      <alignment horizontal="left"/>
      <protection hidden="1"/>
    </xf>
    <xf numFmtId="0" fontId="38" fillId="5" borderId="0" xfId="0" applyFont="1" applyFill="1" applyBorder="1" applyAlignment="1" applyProtection="1">
      <protection hidden="1"/>
    </xf>
    <xf numFmtId="0" fontId="38" fillId="5" borderId="0" xfId="0" applyFont="1" applyFill="1" applyBorder="1" applyAlignment="1" applyProtection="1">
      <alignment horizontal="left"/>
      <protection hidden="1"/>
    </xf>
    <xf numFmtId="193" fontId="8" fillId="5" borderId="0" xfId="0" applyNumberFormat="1" applyFont="1" applyFill="1" applyBorder="1" applyAlignment="1" applyProtection="1">
      <protection hidden="1"/>
    </xf>
    <xf numFmtId="190" fontId="9" fillId="5" borderId="0" xfId="0" applyNumberFormat="1" applyFont="1" applyFill="1" applyBorder="1" applyAlignment="1" applyProtection="1">
      <protection hidden="1"/>
    </xf>
    <xf numFmtId="0" fontId="41" fillId="5" borderId="0" xfId="0" applyFont="1" applyFill="1" applyBorder="1" applyAlignment="1" applyProtection="1">
      <protection hidden="1"/>
    </xf>
    <xf numFmtId="0" fontId="42" fillId="5" borderId="0" xfId="0" applyFont="1" applyFill="1" applyBorder="1" applyAlignment="1" applyProtection="1">
      <protection hidden="1"/>
    </xf>
    <xf numFmtId="0" fontId="44" fillId="5" borderId="0" xfId="0" applyFont="1" applyFill="1" applyBorder="1" applyAlignment="1" applyProtection="1">
      <alignment vertical="center"/>
      <protection hidden="1"/>
    </xf>
    <xf numFmtId="0" fontId="45" fillId="5" borderId="0" xfId="0" applyFont="1" applyFill="1" applyBorder="1" applyAlignment="1" applyProtection="1">
      <alignment vertical="center"/>
      <protection hidden="1"/>
    </xf>
    <xf numFmtId="0" fontId="45" fillId="5" borderId="0" xfId="0" applyFont="1" applyFill="1" applyBorder="1" applyAlignment="1" applyProtection="1">
      <alignment horizontal="center" vertical="center"/>
      <protection hidden="1"/>
    </xf>
    <xf numFmtId="0" fontId="46" fillId="5" borderId="0" xfId="0" applyFont="1" applyFill="1" applyBorder="1" applyAlignment="1" applyProtection="1">
      <protection hidden="1"/>
    </xf>
    <xf numFmtId="0" fontId="12" fillId="5" borderId="0" xfId="0" quotePrefix="1" applyFont="1" applyFill="1" applyBorder="1" applyAlignment="1" applyProtection="1">
      <alignment vertical="center"/>
      <protection hidden="1"/>
    </xf>
    <xf numFmtId="0" fontId="10" fillId="5" borderId="0" xfId="0" applyFont="1" applyFill="1" applyBorder="1" applyAlignment="1" applyProtection="1">
      <alignment horizontal="left" vertical="center"/>
      <protection hidden="1"/>
    </xf>
    <xf numFmtId="0" fontId="25" fillId="5" borderId="0" xfId="0" applyFont="1" applyFill="1" applyBorder="1" applyAlignment="1" applyProtection="1">
      <alignment vertical="center"/>
      <protection hidden="1"/>
    </xf>
    <xf numFmtId="197" fontId="12" fillId="5" borderId="0" xfId="0" applyNumberFormat="1" applyFont="1" applyFill="1" applyBorder="1" applyAlignment="1" applyProtection="1">
      <alignment vertical="center"/>
      <protection hidden="1"/>
    </xf>
    <xf numFmtId="187" fontId="12" fillId="5" borderId="0" xfId="0" applyNumberFormat="1" applyFont="1" applyFill="1" applyBorder="1" applyAlignment="1" applyProtection="1">
      <alignment vertical="center"/>
      <protection hidden="1"/>
    </xf>
    <xf numFmtId="2" fontId="8" fillId="5" borderId="0" xfId="0" applyNumberFormat="1" applyFont="1" applyFill="1" applyBorder="1" applyAlignment="1" applyProtection="1">
      <alignment vertical="center"/>
      <protection hidden="1"/>
    </xf>
    <xf numFmtId="2" fontId="49" fillId="5" borderId="0" xfId="0" quotePrefix="1" applyNumberFormat="1" applyFont="1" applyFill="1" applyBorder="1" applyAlignment="1" applyProtection="1">
      <protection hidden="1"/>
    </xf>
    <xf numFmtId="0" fontId="49" fillId="5" borderId="0" xfId="0" applyFont="1" applyFill="1" applyBorder="1" applyAlignment="1" applyProtection="1">
      <alignment horizontal="left" vertical="center"/>
      <protection hidden="1"/>
    </xf>
    <xf numFmtId="2" fontId="10" fillId="5" borderId="0" xfId="0" applyNumberFormat="1" applyFont="1" applyFill="1" applyBorder="1" applyAlignment="1" applyProtection="1">
      <alignment vertical="center"/>
      <protection hidden="1"/>
    </xf>
    <xf numFmtId="0" fontId="49" fillId="5" borderId="0" xfId="0" applyFont="1" applyFill="1" applyBorder="1" applyAlignment="1" applyProtection="1">
      <alignment vertical="center"/>
      <protection hidden="1"/>
    </xf>
    <xf numFmtId="0" fontId="8" fillId="5" borderId="0" xfId="0" applyFont="1" applyFill="1" applyBorder="1" applyAlignment="1" applyProtection="1">
      <alignment horizontal="left"/>
      <protection hidden="1"/>
    </xf>
    <xf numFmtId="0" fontId="8" fillId="5" borderId="0" xfId="0" applyFont="1" applyFill="1" applyBorder="1" applyAlignment="1" applyProtection="1">
      <alignment horizontal="left" vertical="center"/>
      <protection hidden="1"/>
    </xf>
    <xf numFmtId="0" fontId="12" fillId="5" borderId="0" xfId="0" applyFont="1" applyFill="1" applyBorder="1" applyAlignment="1" applyProtection="1">
      <alignment vertical="center"/>
      <protection hidden="1"/>
    </xf>
    <xf numFmtId="1" fontId="8" fillId="5" borderId="0" xfId="0" applyNumberFormat="1" applyFont="1" applyFill="1" applyBorder="1" applyAlignment="1" applyProtection="1">
      <alignment vertical="center"/>
      <protection hidden="1"/>
    </xf>
    <xf numFmtId="0" fontId="25" fillId="5" borderId="0" xfId="0" applyFont="1" applyFill="1" applyBorder="1" applyAlignment="1" applyProtection="1">
      <alignment horizontal="left" vertical="center"/>
      <protection hidden="1"/>
    </xf>
    <xf numFmtId="0" fontId="55" fillId="5" borderId="0" xfId="0" applyFont="1" applyFill="1" applyBorder="1" applyAlignment="1" applyProtection="1">
      <alignment vertical="center"/>
      <protection hidden="1"/>
    </xf>
    <xf numFmtId="0" fontId="56" fillId="5" borderId="0" xfId="0" applyFont="1" applyFill="1" applyBorder="1" applyAlignment="1" applyProtection="1">
      <alignment vertical="center"/>
      <protection hidden="1"/>
    </xf>
    <xf numFmtId="188" fontId="10" fillId="5" borderId="0" xfId="0" applyNumberFormat="1" applyFont="1" applyFill="1" applyBorder="1" applyAlignment="1" applyProtection="1">
      <alignment vertical="center"/>
      <protection hidden="1"/>
    </xf>
    <xf numFmtId="0" fontId="25" fillId="5" borderId="0" xfId="0" applyFont="1" applyFill="1" applyBorder="1" applyProtection="1">
      <protection hidden="1"/>
    </xf>
    <xf numFmtId="2" fontId="12" fillId="5" borderId="0" xfId="0" applyNumberFormat="1" applyFont="1" applyFill="1" applyBorder="1" applyAlignment="1" applyProtection="1">
      <alignment vertical="center"/>
      <protection hidden="1"/>
    </xf>
    <xf numFmtId="187" fontId="8" fillId="5" borderId="0" xfId="0" applyNumberFormat="1" applyFont="1" applyFill="1" applyBorder="1" applyAlignment="1" applyProtection="1">
      <alignment vertical="center"/>
      <protection hidden="1"/>
    </xf>
    <xf numFmtId="187" fontId="8" fillId="5" borderId="0" xfId="0" applyNumberFormat="1" applyFont="1" applyFill="1" applyBorder="1" applyAlignment="1" applyProtection="1">
      <protection hidden="1"/>
    </xf>
    <xf numFmtId="187" fontId="10" fillId="5" borderId="0" xfId="0" applyNumberFormat="1" applyFont="1" applyFill="1" applyBorder="1" applyAlignment="1" applyProtection="1">
      <alignment vertical="center"/>
      <protection hidden="1"/>
    </xf>
    <xf numFmtId="0" fontId="12" fillId="5" borderId="0" xfId="0" applyNumberFormat="1" applyFont="1" applyFill="1" applyBorder="1" applyAlignment="1" applyProtection="1">
      <alignment vertical="center"/>
      <protection hidden="1"/>
    </xf>
    <xf numFmtId="0" fontId="59" fillId="5" borderId="0" xfId="0" applyFont="1" applyFill="1" applyBorder="1" applyAlignment="1" applyProtection="1">
      <alignment vertical="center"/>
      <protection hidden="1"/>
    </xf>
    <xf numFmtId="0" fontId="43" fillId="5" borderId="0" xfId="0" applyFont="1" applyFill="1" applyBorder="1" applyAlignment="1" applyProtection="1">
      <alignment vertical="center"/>
      <protection hidden="1"/>
    </xf>
    <xf numFmtId="2" fontId="47" fillId="5" borderId="0" xfId="0" applyNumberFormat="1" applyFont="1" applyFill="1" applyBorder="1" applyAlignment="1" applyProtection="1">
      <alignment vertical="center"/>
      <protection hidden="1"/>
    </xf>
    <xf numFmtId="0" fontId="8" fillId="5" borderId="0" xfId="0" applyFont="1" applyFill="1" applyBorder="1" applyAlignment="1" applyProtection="1">
      <alignment vertical="center"/>
      <protection hidden="1"/>
    </xf>
    <xf numFmtId="2" fontId="10" fillId="5" borderId="0" xfId="0" applyNumberFormat="1" applyFont="1" applyFill="1" applyBorder="1" applyAlignment="1" applyProtection="1">
      <protection hidden="1"/>
    </xf>
    <xf numFmtId="189" fontId="10" fillId="5" borderId="0" xfId="0" applyNumberFormat="1" applyFont="1" applyFill="1" applyBorder="1" applyAlignment="1" applyProtection="1">
      <protection hidden="1"/>
    </xf>
    <xf numFmtId="0" fontId="47" fillId="5" borderId="0" xfId="0" applyNumberFormat="1" applyFont="1" applyFill="1" applyBorder="1" applyAlignment="1" applyProtection="1">
      <alignment vertical="center"/>
      <protection hidden="1"/>
    </xf>
    <xf numFmtId="198" fontId="20" fillId="5" borderId="0" xfId="0" applyNumberFormat="1" applyFont="1" applyFill="1" applyBorder="1" applyAlignment="1" applyProtection="1">
      <alignment vertical="center"/>
      <protection hidden="1"/>
    </xf>
    <xf numFmtId="0" fontId="21" fillId="5" borderId="0" xfId="0" applyFont="1" applyFill="1" applyBorder="1" applyAlignment="1" applyProtection="1">
      <alignment vertical="center"/>
      <protection hidden="1"/>
    </xf>
    <xf numFmtId="0" fontId="47" fillId="5" borderId="0" xfId="0" applyFont="1" applyFill="1" applyBorder="1" applyAlignment="1" applyProtection="1">
      <alignment horizontal="left" vertical="center"/>
      <protection hidden="1"/>
    </xf>
    <xf numFmtId="0" fontId="2" fillId="5" borderId="0" xfId="0" applyFont="1" applyFill="1" applyBorder="1" applyAlignment="1" applyProtection="1">
      <alignment horizontal="left" vertical="center"/>
      <protection hidden="1"/>
    </xf>
    <xf numFmtId="0" fontId="10" fillId="5" borderId="0" xfId="0" applyFont="1" applyFill="1" applyBorder="1" applyAlignment="1" applyProtection="1">
      <alignment horizontal="center" vertical="center"/>
      <protection hidden="1"/>
    </xf>
    <xf numFmtId="0" fontId="58" fillId="5" borderId="0" xfId="1" applyFont="1" applyFill="1" applyBorder="1" applyAlignment="1" applyProtection="1">
      <alignment vertical="center"/>
      <protection hidden="1"/>
    </xf>
    <xf numFmtId="0" fontId="53" fillId="5" borderId="0" xfId="0" applyFont="1" applyFill="1" applyBorder="1" applyAlignment="1" applyProtection="1">
      <alignment horizontal="left" vertical="center"/>
      <protection hidden="1"/>
    </xf>
    <xf numFmtId="0" fontId="8" fillId="5" borderId="0" xfId="0" applyFont="1" applyFill="1" applyBorder="1" applyProtection="1">
      <protection hidden="1"/>
    </xf>
    <xf numFmtId="0" fontId="49" fillId="5" borderId="0" xfId="0" quotePrefix="1" applyFont="1" applyFill="1" applyBorder="1" applyAlignment="1" applyProtection="1">
      <alignment horizontal="left"/>
      <protection hidden="1"/>
    </xf>
    <xf numFmtId="0" fontId="66" fillId="0" borderId="0" xfId="0" applyFont="1" applyFill="1" applyBorder="1" applyAlignment="1" applyProtection="1">
      <alignment vertical="center"/>
      <protection hidden="1"/>
    </xf>
    <xf numFmtId="0" fontId="65" fillId="0" borderId="0" xfId="0" applyFont="1" applyFill="1" applyBorder="1" applyAlignment="1" applyProtection="1">
      <alignment vertical="center"/>
      <protection hidden="1"/>
    </xf>
    <xf numFmtId="0" fontId="73" fillId="0" borderId="0" xfId="0" applyFont="1" applyFill="1" applyBorder="1" applyAlignment="1" applyProtection="1">
      <alignment vertical="center"/>
      <protection hidden="1"/>
    </xf>
    <xf numFmtId="0" fontId="71" fillId="0" borderId="0" xfId="0" applyFont="1" applyFill="1" applyBorder="1" applyAlignment="1" applyProtection="1">
      <alignment vertical="center"/>
      <protection hidden="1"/>
    </xf>
    <xf numFmtId="2" fontId="13" fillId="5" borderId="0" xfId="0" applyNumberFormat="1" applyFont="1" applyFill="1" applyBorder="1" applyAlignment="1" applyProtection="1">
      <alignment vertical="center"/>
      <protection hidden="1"/>
    </xf>
    <xf numFmtId="0" fontId="5" fillId="7" borderId="71" xfId="0" applyFont="1" applyFill="1" applyBorder="1" applyAlignment="1" applyProtection="1">
      <alignment vertical="center"/>
      <protection hidden="1"/>
    </xf>
    <xf numFmtId="0" fontId="5" fillId="7" borderId="72" xfId="0" applyFont="1" applyFill="1" applyBorder="1" applyAlignment="1" applyProtection="1">
      <alignment horizontal="left" vertical="center"/>
      <protection hidden="1"/>
    </xf>
    <xf numFmtId="0" fontId="11" fillId="6" borderId="67" xfId="0" applyFont="1" applyFill="1" applyBorder="1" applyProtection="1">
      <protection hidden="1"/>
    </xf>
    <xf numFmtId="0" fontId="11" fillId="6" borderId="68" xfId="0" applyFont="1" applyFill="1" applyBorder="1" applyProtection="1">
      <protection hidden="1"/>
    </xf>
    <xf numFmtId="0" fontId="11" fillId="6" borderId="69" xfId="0" applyFont="1" applyFill="1" applyBorder="1" applyProtection="1">
      <protection hidden="1"/>
    </xf>
    <xf numFmtId="0" fontId="20" fillId="5" borderId="47" xfId="0" applyFont="1" applyFill="1" applyBorder="1" applyAlignment="1" applyProtection="1">
      <alignment vertical="center"/>
      <protection hidden="1"/>
    </xf>
    <xf numFmtId="0" fontId="28" fillId="5" borderId="27" xfId="0" applyFont="1" applyFill="1" applyBorder="1" applyAlignment="1" applyProtection="1">
      <alignment vertical="center"/>
      <protection hidden="1"/>
    </xf>
    <xf numFmtId="0" fontId="37" fillId="0" borderId="0" xfId="0" applyFont="1" applyFill="1" applyBorder="1" applyAlignment="1" applyProtection="1">
      <alignment vertical="center"/>
      <protection hidden="1"/>
    </xf>
    <xf numFmtId="0" fontId="73" fillId="5" borderId="0" xfId="0" applyFont="1" applyFill="1" applyBorder="1" applyAlignment="1" applyProtection="1">
      <alignment vertical="center"/>
      <protection hidden="1"/>
    </xf>
    <xf numFmtId="0" fontId="70" fillId="5" borderId="0" xfId="0" applyFont="1" applyFill="1" applyBorder="1" applyAlignment="1" applyProtection="1">
      <alignment vertical="center"/>
      <protection hidden="1"/>
    </xf>
    <xf numFmtId="0" fontId="66" fillId="5" borderId="0" xfId="0" applyFont="1" applyFill="1" applyBorder="1" applyAlignment="1" applyProtection="1">
      <alignment vertical="center"/>
      <protection hidden="1"/>
    </xf>
    <xf numFmtId="187" fontId="65" fillId="5" borderId="0" xfId="0" applyNumberFormat="1" applyFont="1" applyFill="1" applyBorder="1" applyAlignment="1" applyProtection="1">
      <alignment vertical="center"/>
      <protection hidden="1"/>
    </xf>
    <xf numFmtId="0" fontId="64" fillId="7" borderId="0" xfId="0" applyFont="1" applyFill="1" applyBorder="1" applyAlignment="1" applyProtection="1">
      <alignment horizontal="left" vertical="center"/>
      <protection hidden="1"/>
    </xf>
    <xf numFmtId="0" fontId="65" fillId="6" borderId="0" xfId="0" applyFont="1" applyFill="1" applyBorder="1" applyAlignment="1" applyProtection="1">
      <alignment horizontal="left"/>
      <protection hidden="1"/>
    </xf>
    <xf numFmtId="0" fontId="64" fillId="0" borderId="0" xfId="0" applyFont="1" applyFill="1" applyBorder="1" applyAlignment="1" applyProtection="1">
      <alignment horizontal="left" vertical="center"/>
      <protection hidden="1"/>
    </xf>
    <xf numFmtId="0" fontId="20" fillId="7" borderId="0" xfId="0" applyFont="1" applyFill="1" applyBorder="1" applyAlignment="1" applyProtection="1">
      <alignment horizontal="left" vertical="center"/>
      <protection hidden="1"/>
    </xf>
    <xf numFmtId="0" fontId="65" fillId="5" borderId="0" xfId="0" applyFont="1" applyFill="1" applyBorder="1" applyAlignment="1" applyProtection="1">
      <alignment vertical="center"/>
      <protection hidden="1"/>
    </xf>
    <xf numFmtId="2" fontId="66" fillId="5" borderId="0" xfId="0" applyNumberFormat="1" applyFont="1" applyFill="1" applyBorder="1" applyAlignment="1" applyProtection="1">
      <alignment vertical="center"/>
      <protection hidden="1"/>
    </xf>
    <xf numFmtId="0" fontId="66" fillId="5" borderId="0" xfId="0" applyNumberFormat="1" applyFont="1" applyFill="1" applyBorder="1" applyAlignment="1" applyProtection="1">
      <alignment vertical="center"/>
      <protection hidden="1"/>
    </xf>
    <xf numFmtId="2" fontId="20" fillId="7" borderId="0" xfId="0" applyNumberFormat="1" applyFont="1" applyFill="1" applyBorder="1" applyAlignment="1" applyProtection="1">
      <alignment horizontal="left" vertical="center"/>
      <protection hidden="1"/>
    </xf>
    <xf numFmtId="0" fontId="89" fillId="6" borderId="0" xfId="0" applyFont="1" applyFill="1" applyBorder="1" applyAlignment="1" applyProtection="1">
      <alignment horizontal="left" vertical="center"/>
      <protection hidden="1"/>
    </xf>
    <xf numFmtId="0" fontId="71" fillId="5" borderId="0" xfId="0" applyFont="1" applyFill="1" applyBorder="1" applyAlignment="1" applyProtection="1">
      <alignment vertical="center"/>
      <protection hidden="1"/>
    </xf>
    <xf numFmtId="0" fontId="65" fillId="5" borderId="0" xfId="0" applyNumberFormat="1" applyFont="1" applyFill="1" applyBorder="1" applyAlignment="1" applyProtection="1">
      <alignment vertical="center"/>
      <protection hidden="1"/>
    </xf>
    <xf numFmtId="0" fontId="64" fillId="5" borderId="0" xfId="0" applyFont="1" applyFill="1" applyBorder="1" applyAlignment="1" applyProtection="1">
      <alignment vertical="center"/>
      <protection hidden="1"/>
    </xf>
    <xf numFmtId="0" fontId="36" fillId="5" borderId="0" xfId="0" applyFont="1" applyFill="1" applyBorder="1" applyAlignment="1" applyProtection="1">
      <alignment horizontal="left" vertical="center"/>
      <protection hidden="1"/>
    </xf>
    <xf numFmtId="0" fontId="27" fillId="5" borderId="0" xfId="0" applyFont="1" applyFill="1" applyBorder="1" applyAlignment="1" applyProtection="1">
      <alignment horizontal="left" vertical="center"/>
      <protection hidden="1"/>
    </xf>
    <xf numFmtId="0" fontId="84" fillId="5" borderId="0" xfId="0" quotePrefix="1" applyFont="1" applyFill="1" applyBorder="1" applyAlignment="1" applyProtection="1">
      <alignment horizontal="left"/>
      <protection hidden="1"/>
    </xf>
    <xf numFmtId="0" fontId="74" fillId="5" borderId="0" xfId="0" applyFont="1" applyFill="1" applyBorder="1" applyAlignment="1" applyProtection="1">
      <alignment horizontal="left" vertical="center"/>
      <protection hidden="1"/>
    </xf>
    <xf numFmtId="0" fontId="34" fillId="0" borderId="0" xfId="0" applyFont="1" applyFill="1" applyBorder="1" applyAlignment="1" applyProtection="1">
      <alignment vertical="center"/>
      <protection hidden="1"/>
    </xf>
    <xf numFmtId="0" fontId="33" fillId="0" borderId="0" xfId="0" applyFont="1" applyFill="1" applyBorder="1" applyAlignment="1" applyProtection="1">
      <alignment horizontal="left" vertical="center"/>
      <protection hidden="1"/>
    </xf>
    <xf numFmtId="0" fontId="36" fillId="0" borderId="0" xfId="0" applyFont="1" applyFill="1" applyBorder="1" applyAlignment="1" applyProtection="1">
      <alignment horizontal="left" vertical="center"/>
      <protection hidden="1"/>
    </xf>
    <xf numFmtId="0" fontId="72" fillId="0" borderId="0" xfId="0" applyFont="1" applyFill="1" applyBorder="1" applyAlignment="1" applyProtection="1">
      <alignment horizontal="left" vertical="center"/>
      <protection hidden="1"/>
    </xf>
    <xf numFmtId="2" fontId="65" fillId="0" borderId="0" xfId="0" applyNumberFormat="1" applyFont="1" applyFill="1" applyBorder="1" applyAlignment="1" applyProtection="1">
      <alignment vertical="center"/>
      <protection hidden="1"/>
    </xf>
    <xf numFmtId="0" fontId="65" fillId="0" borderId="0" xfId="0" applyFont="1" applyFill="1" applyBorder="1" applyAlignment="1" applyProtection="1">
      <alignment horizontal="left" vertical="center"/>
      <protection hidden="1"/>
    </xf>
    <xf numFmtId="2" fontId="13" fillId="0" borderId="0" xfId="0" applyNumberFormat="1" applyFont="1" applyFill="1" applyBorder="1" applyAlignment="1" applyProtection="1">
      <alignment vertical="center"/>
      <protection hidden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1" fontId="66" fillId="0" borderId="0" xfId="0" applyNumberFormat="1" applyFont="1" applyFill="1" applyBorder="1" applyAlignment="1" applyProtection="1">
      <alignment vertical="center"/>
      <protection hidden="1"/>
    </xf>
    <xf numFmtId="188" fontId="65" fillId="0" borderId="0" xfId="0" applyNumberFormat="1" applyFont="1" applyFill="1" applyBorder="1" applyAlignment="1" applyProtection="1">
      <alignment vertical="center"/>
      <protection hidden="1"/>
    </xf>
    <xf numFmtId="2" fontId="66" fillId="0" borderId="0" xfId="0" applyNumberFormat="1" applyFont="1" applyFill="1" applyBorder="1" applyAlignment="1" applyProtection="1">
      <alignment vertical="center"/>
      <protection hidden="1"/>
    </xf>
    <xf numFmtId="0" fontId="65" fillId="0" borderId="0" xfId="0" applyFont="1" applyFill="1" applyBorder="1" applyAlignment="1" applyProtection="1">
      <alignment horizontal="left"/>
      <protection hidden="1"/>
    </xf>
    <xf numFmtId="2" fontId="64" fillId="0" borderId="0" xfId="0" applyNumberFormat="1" applyFont="1" applyFill="1" applyBorder="1" applyAlignment="1" applyProtection="1">
      <alignment vertical="center"/>
      <protection hidden="1"/>
    </xf>
    <xf numFmtId="0" fontId="89" fillId="0" borderId="0" xfId="0" applyFont="1" applyFill="1" applyBorder="1" applyAlignment="1" applyProtection="1">
      <alignment horizontal="left" vertical="center"/>
      <protection hidden="1"/>
    </xf>
    <xf numFmtId="2" fontId="20" fillId="0" borderId="0" xfId="0" applyNumberFormat="1" applyFont="1" applyFill="1" applyBorder="1" applyAlignment="1" applyProtection="1">
      <alignment horizontal="left" vertical="center"/>
      <protection hidden="1"/>
    </xf>
    <xf numFmtId="0" fontId="67" fillId="0" borderId="0" xfId="0" applyFont="1" applyFill="1" applyBorder="1" applyAlignment="1" applyProtection="1">
      <alignment horizontal="left" vertical="center"/>
      <protection hidden="1"/>
    </xf>
    <xf numFmtId="0" fontId="0" fillId="6" borderId="0" xfId="0" applyFill="1" applyProtection="1">
      <protection hidden="1"/>
    </xf>
    <xf numFmtId="0" fontId="0" fillId="7" borderId="0" xfId="0" applyFill="1" applyBorder="1" applyAlignment="1" applyProtection="1">
      <protection hidden="1"/>
    </xf>
    <xf numFmtId="0" fontId="0" fillId="7" borderId="0" xfId="0" applyFill="1" applyProtection="1">
      <protection hidden="1"/>
    </xf>
    <xf numFmtId="0" fontId="25" fillId="6" borderId="0" xfId="0" applyFont="1" applyFill="1" applyAlignment="1" applyProtection="1">
      <alignment horizontal="left" vertical="center"/>
      <protection hidden="1"/>
    </xf>
    <xf numFmtId="0" fontId="65" fillId="6" borderId="0" xfId="0" applyFont="1" applyFill="1" applyAlignment="1" applyProtection="1">
      <alignment horizontal="left"/>
      <protection hidden="1"/>
    </xf>
    <xf numFmtId="0" fontId="66" fillId="6" borderId="0" xfId="0" applyFont="1" applyFill="1" applyBorder="1" applyProtection="1">
      <protection hidden="1"/>
    </xf>
    <xf numFmtId="0" fontId="20" fillId="6" borderId="0" xfId="0" applyFont="1" applyFill="1" applyAlignment="1" applyProtection="1">
      <alignment vertical="center"/>
      <protection hidden="1"/>
    </xf>
    <xf numFmtId="0" fontId="20" fillId="7" borderId="0" xfId="0" applyFont="1" applyFill="1" applyAlignment="1" applyProtection="1">
      <alignment horizontal="left" vertical="center"/>
      <protection hidden="1"/>
    </xf>
    <xf numFmtId="0" fontId="20" fillId="6" borderId="0" xfId="0" applyFont="1" applyFill="1" applyProtection="1">
      <protection hidden="1"/>
    </xf>
    <xf numFmtId="0" fontId="25" fillId="10" borderId="0" xfId="0" applyFont="1" applyFill="1" applyBorder="1" applyAlignment="1" applyProtection="1">
      <alignment horizontal="left" vertical="center"/>
      <protection hidden="1"/>
    </xf>
    <xf numFmtId="0" fontId="34" fillId="6" borderId="0" xfId="0" applyFont="1" applyFill="1" applyAlignment="1" applyProtection="1">
      <alignment horizontal="left" vertical="center"/>
      <protection hidden="1"/>
    </xf>
    <xf numFmtId="0" fontId="20" fillId="5" borderId="98" xfId="0" applyFont="1" applyFill="1" applyBorder="1" applyAlignment="1" applyProtection="1">
      <alignment vertical="center"/>
      <protection hidden="1"/>
    </xf>
    <xf numFmtId="0" fontId="20" fillId="5" borderId="29" xfId="0" applyFont="1" applyFill="1" applyBorder="1" applyAlignment="1" applyProtection="1">
      <alignment horizontal="left" vertical="center"/>
      <protection hidden="1"/>
    </xf>
    <xf numFmtId="0" fontId="20" fillId="5" borderId="27" xfId="0" applyFont="1" applyFill="1" applyBorder="1" applyAlignment="1" applyProtection="1">
      <alignment horizontal="left" vertical="center"/>
      <protection hidden="1"/>
    </xf>
    <xf numFmtId="0" fontId="20" fillId="5" borderId="42" xfId="0" applyFont="1" applyFill="1" applyBorder="1" applyAlignment="1" applyProtection="1">
      <alignment vertical="center"/>
      <protection hidden="1"/>
    </xf>
    <xf numFmtId="0" fontId="20" fillId="9" borderId="2" xfId="0" applyFont="1" applyFill="1" applyBorder="1" applyAlignment="1" applyProtection="1">
      <alignment vertical="center"/>
      <protection hidden="1"/>
    </xf>
    <xf numFmtId="0" fontId="20" fillId="9" borderId="0" xfId="0" applyFont="1" applyFill="1" applyBorder="1" applyAlignment="1" applyProtection="1">
      <alignment horizontal="left" vertical="center"/>
      <protection hidden="1"/>
    </xf>
    <xf numFmtId="0" fontId="20" fillId="9" borderId="5" xfId="0" applyFont="1" applyFill="1" applyBorder="1" applyAlignment="1" applyProtection="1">
      <alignment vertical="center"/>
      <protection hidden="1"/>
    </xf>
    <xf numFmtId="0" fontId="20" fillId="9" borderId="3" xfId="0" applyFont="1" applyFill="1" applyBorder="1" applyAlignment="1" applyProtection="1">
      <alignment horizontal="right" vertical="center"/>
      <protection hidden="1"/>
    </xf>
    <xf numFmtId="0" fontId="65" fillId="5" borderId="0" xfId="0" applyFont="1" applyFill="1" applyBorder="1" applyAlignment="1" applyProtection="1">
      <alignment horizontal="left" vertical="center"/>
      <protection hidden="1"/>
    </xf>
    <xf numFmtId="0" fontId="20" fillId="0" borderId="42" xfId="0" applyFont="1" applyFill="1" applyBorder="1" applyAlignment="1" applyProtection="1">
      <alignment vertical="center"/>
      <protection hidden="1"/>
    </xf>
    <xf numFmtId="0" fontId="20" fillId="5" borderId="51" xfId="0" applyFont="1" applyFill="1" applyBorder="1" applyAlignment="1" applyProtection="1">
      <alignment vertical="center"/>
      <protection hidden="1"/>
    </xf>
    <xf numFmtId="0" fontId="20" fillId="5" borderId="76" xfId="0" applyFont="1" applyFill="1" applyBorder="1" applyAlignment="1" applyProtection="1">
      <alignment vertical="center"/>
      <protection hidden="1"/>
    </xf>
    <xf numFmtId="0" fontId="20" fillId="5" borderId="88" xfId="0" applyFont="1" applyFill="1" applyBorder="1" applyAlignment="1" applyProtection="1">
      <alignment vertical="center"/>
      <protection hidden="1"/>
    </xf>
    <xf numFmtId="0" fontId="20" fillId="5" borderId="75" xfId="0" applyFont="1" applyFill="1" applyBorder="1" applyAlignment="1" applyProtection="1">
      <alignment vertical="center"/>
      <protection hidden="1"/>
    </xf>
    <xf numFmtId="0" fontId="20" fillId="5" borderId="82" xfId="0" applyFont="1" applyFill="1" applyBorder="1" applyAlignment="1" applyProtection="1">
      <alignment vertical="center"/>
      <protection hidden="1"/>
    </xf>
    <xf numFmtId="0" fontId="20" fillId="5" borderId="102" xfId="0" applyFont="1" applyFill="1" applyBorder="1" applyAlignment="1" applyProtection="1">
      <alignment vertical="center"/>
      <protection hidden="1"/>
    </xf>
    <xf numFmtId="0" fontId="20" fillId="5" borderId="103" xfId="0" applyFont="1" applyFill="1" applyBorder="1" applyAlignment="1" applyProtection="1">
      <alignment vertical="center"/>
      <protection hidden="1"/>
    </xf>
    <xf numFmtId="2" fontId="28" fillId="0" borderId="0" xfId="0" applyNumberFormat="1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vertical="center" wrapText="1"/>
      <protection hidden="1"/>
    </xf>
    <xf numFmtId="0" fontId="66" fillId="0" borderId="0" xfId="0" applyNumberFormat="1" applyFont="1" applyFill="1" applyBorder="1" applyAlignment="1" applyProtection="1">
      <alignment vertical="center"/>
      <protection hidden="1"/>
    </xf>
    <xf numFmtId="188" fontId="20" fillId="0" borderId="0" xfId="0" applyNumberFormat="1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74" fillId="0" borderId="0" xfId="0" applyFont="1" applyFill="1" applyBorder="1" applyAlignment="1" applyProtection="1">
      <alignment vertical="center"/>
      <protection hidden="1"/>
    </xf>
    <xf numFmtId="0" fontId="61" fillId="0" borderId="0" xfId="0" applyFont="1" applyFill="1" applyBorder="1" applyAlignment="1" applyProtection="1">
      <alignment horizontal="left" vertical="center"/>
      <protection hidden="1"/>
    </xf>
    <xf numFmtId="0" fontId="14" fillId="5" borderId="27" xfId="0" applyFont="1" applyFill="1" applyBorder="1" applyAlignment="1" applyProtection="1">
      <alignment vertical="center"/>
      <protection hidden="1"/>
    </xf>
    <xf numFmtId="0" fontId="10" fillId="5" borderId="27" xfId="0" applyFont="1" applyFill="1" applyBorder="1" applyAlignment="1" applyProtection="1">
      <alignment vertical="center"/>
      <protection hidden="1"/>
    </xf>
    <xf numFmtId="2" fontId="20" fillId="5" borderId="27" xfId="0" applyNumberFormat="1" applyFont="1" applyFill="1" applyBorder="1" applyAlignment="1" applyProtection="1">
      <alignment vertical="center"/>
      <protection hidden="1"/>
    </xf>
    <xf numFmtId="0" fontId="37" fillId="5" borderId="29" xfId="0" applyFont="1" applyFill="1" applyBorder="1" applyAlignment="1" applyProtection="1">
      <alignment vertical="center"/>
      <protection hidden="1"/>
    </xf>
    <xf numFmtId="0" fontId="20" fillId="0" borderId="20" xfId="0" applyFont="1" applyFill="1" applyBorder="1" applyAlignment="1" applyProtection="1">
      <alignment vertical="center"/>
      <protection hidden="1"/>
    </xf>
    <xf numFmtId="0" fontId="20" fillId="0" borderId="41" xfId="0" applyFont="1" applyFill="1" applyBorder="1" applyAlignment="1" applyProtection="1">
      <alignment vertical="center"/>
      <protection hidden="1"/>
    </xf>
    <xf numFmtId="0" fontId="20" fillId="0" borderId="22" xfId="0" applyFont="1" applyFill="1" applyBorder="1" applyAlignment="1" applyProtection="1">
      <alignment vertical="center"/>
      <protection hidden="1"/>
    </xf>
    <xf numFmtId="0" fontId="20" fillId="0" borderId="42" xfId="0" applyFont="1" applyFill="1" applyBorder="1" applyAlignment="1" applyProtection="1">
      <alignment horizontal="left" vertical="center"/>
      <protection hidden="1"/>
    </xf>
    <xf numFmtId="0" fontId="14" fillId="0" borderId="42" xfId="0" applyFont="1" applyFill="1" applyBorder="1" applyAlignment="1" applyProtection="1">
      <alignment vertical="center"/>
      <protection hidden="1"/>
    </xf>
    <xf numFmtId="0" fontId="10" fillId="0" borderId="42" xfId="0" applyFont="1" applyFill="1" applyBorder="1" applyAlignment="1" applyProtection="1">
      <alignment vertical="center"/>
      <protection hidden="1"/>
    </xf>
    <xf numFmtId="2" fontId="20" fillId="0" borderId="42" xfId="0" applyNumberFormat="1" applyFont="1" applyFill="1" applyBorder="1" applyAlignment="1" applyProtection="1">
      <alignment vertical="center"/>
      <protection hidden="1"/>
    </xf>
    <xf numFmtId="0" fontId="20" fillId="0" borderId="43" xfId="0" applyFont="1" applyFill="1" applyBorder="1" applyAlignment="1" applyProtection="1">
      <alignment vertical="center"/>
      <protection hidden="1"/>
    </xf>
    <xf numFmtId="0" fontId="20" fillId="0" borderId="44" xfId="0" applyFont="1" applyFill="1" applyBorder="1" applyAlignment="1" applyProtection="1">
      <alignment vertical="center"/>
      <protection hidden="1"/>
    </xf>
    <xf numFmtId="0" fontId="20" fillId="0" borderId="45" xfId="0" applyFont="1" applyFill="1" applyBorder="1" applyAlignment="1" applyProtection="1">
      <alignment vertical="center"/>
      <protection hidden="1"/>
    </xf>
    <xf numFmtId="0" fontId="91" fillId="0" borderId="37" xfId="0" applyFont="1" applyFill="1" applyBorder="1" applyAlignment="1" applyProtection="1">
      <alignment vertical="center"/>
      <protection hidden="1"/>
    </xf>
    <xf numFmtId="0" fontId="65" fillId="0" borderId="0" xfId="0" applyFont="1" applyFill="1" applyAlignment="1" applyProtection="1">
      <alignment horizontal="left" vertical="center"/>
      <protection hidden="1"/>
    </xf>
    <xf numFmtId="0" fontId="10" fillId="5" borderId="79" xfId="0" applyFont="1" applyFill="1" applyBorder="1" applyAlignment="1" applyProtection="1">
      <alignment horizontal="left" vertical="center"/>
      <protection hidden="1"/>
    </xf>
    <xf numFmtId="0" fontId="10" fillId="5" borderId="51" xfId="0" applyFont="1" applyFill="1" applyBorder="1" applyAlignment="1" applyProtection="1">
      <alignment horizontal="left" vertical="center"/>
      <protection hidden="1"/>
    </xf>
    <xf numFmtId="0" fontId="10" fillId="5" borderId="48" xfId="0" applyFont="1" applyFill="1" applyBorder="1" applyAlignment="1" applyProtection="1">
      <alignment horizontal="left" vertical="center"/>
      <protection hidden="1"/>
    </xf>
    <xf numFmtId="0" fontId="10" fillId="5" borderId="47" xfId="0" applyFont="1" applyFill="1" applyBorder="1" applyAlignment="1" applyProtection="1">
      <alignment horizontal="left" vertical="center"/>
      <protection hidden="1"/>
    </xf>
    <xf numFmtId="0" fontId="10" fillId="5" borderId="76" xfId="0" applyFont="1" applyFill="1" applyBorder="1" applyAlignment="1" applyProtection="1">
      <alignment horizontal="left" vertical="center"/>
      <protection hidden="1"/>
    </xf>
    <xf numFmtId="189" fontId="65" fillId="0" borderId="0" xfId="0" applyNumberFormat="1" applyFont="1" applyFill="1" applyBorder="1" applyAlignment="1" applyProtection="1">
      <alignment horizontal="left" vertical="center"/>
      <protection hidden="1"/>
    </xf>
    <xf numFmtId="0" fontId="34" fillId="5" borderId="0" xfId="0" applyFont="1" applyFill="1" applyBorder="1" applyAlignment="1" applyProtection="1">
      <alignment vertical="center"/>
      <protection hidden="1"/>
    </xf>
    <xf numFmtId="2" fontId="65" fillId="5" borderId="0" xfId="0" applyNumberFormat="1" applyFont="1" applyFill="1" applyBorder="1" applyAlignment="1" applyProtection="1">
      <alignment horizontal="left" vertical="center"/>
      <protection hidden="1"/>
    </xf>
    <xf numFmtId="2" fontId="66" fillId="5" borderId="0" xfId="0" applyNumberFormat="1" applyFont="1" applyFill="1" applyBorder="1" applyAlignment="1" applyProtection="1">
      <alignment horizontal="left" vertical="center"/>
      <protection hidden="1"/>
    </xf>
    <xf numFmtId="0" fontId="31" fillId="5" borderId="0" xfId="0" applyFont="1" applyFill="1" applyBorder="1" applyAlignment="1" applyProtection="1">
      <alignment horizontal="left" vertical="center"/>
      <protection hidden="1"/>
    </xf>
    <xf numFmtId="0" fontId="35" fillId="5" borderId="0" xfId="0" applyFont="1" applyFill="1" applyBorder="1" applyAlignment="1" applyProtection="1">
      <alignment horizontal="left" vertical="center"/>
      <protection hidden="1"/>
    </xf>
    <xf numFmtId="0" fontId="65" fillId="0" borderId="0" xfId="0" applyFont="1" applyFill="1" applyAlignment="1" applyProtection="1">
      <alignment horizontal="left"/>
      <protection hidden="1"/>
    </xf>
    <xf numFmtId="188" fontId="65" fillId="5" borderId="0" xfId="0" applyNumberFormat="1" applyFont="1" applyFill="1" applyBorder="1" applyAlignment="1" applyProtection="1">
      <alignment vertical="center"/>
      <protection hidden="1"/>
    </xf>
    <xf numFmtId="2" fontId="86" fillId="6" borderId="0" xfId="0" applyNumberFormat="1" applyFont="1" applyFill="1" applyBorder="1" applyAlignment="1" applyProtection="1">
      <alignment horizontal="left" vertical="center"/>
      <protection hidden="1"/>
    </xf>
    <xf numFmtId="189" fontId="65" fillId="0" borderId="0" xfId="0" applyNumberFormat="1" applyFont="1" applyFill="1" applyBorder="1" applyAlignment="1" applyProtection="1">
      <alignment vertical="center"/>
      <protection hidden="1"/>
    </xf>
    <xf numFmtId="187" fontId="65" fillId="0" borderId="0" xfId="0" applyNumberFormat="1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alignment horizontal="left" vertical="center"/>
      <protection hidden="1"/>
    </xf>
    <xf numFmtId="0" fontId="20" fillId="0" borderId="0" xfId="0" quotePrefix="1" applyFont="1" applyFill="1" applyAlignment="1" applyProtection="1">
      <alignment horizontal="left" vertical="center"/>
      <protection hidden="1"/>
    </xf>
    <xf numFmtId="0" fontId="66" fillId="0" borderId="0" xfId="0" applyFont="1" applyFill="1" applyBorder="1" applyProtection="1">
      <protection hidden="1"/>
    </xf>
    <xf numFmtId="2" fontId="86" fillId="0" borderId="0" xfId="0" applyNumberFormat="1" applyFont="1" applyFill="1" applyBorder="1" applyAlignment="1" applyProtection="1">
      <alignment horizontal="left" vertical="center"/>
      <protection hidden="1"/>
    </xf>
    <xf numFmtId="0" fontId="34" fillId="0" borderId="0" xfId="0" applyFont="1" applyFill="1" applyAlignment="1" applyProtection="1">
      <alignment horizontal="left" vertical="center"/>
      <protection hidden="1"/>
    </xf>
    <xf numFmtId="0" fontId="65" fillId="0" borderId="0" xfId="0" applyFont="1" applyFill="1" applyAlignment="1" applyProtection="1">
      <alignment vertical="center"/>
      <protection hidden="1"/>
    </xf>
    <xf numFmtId="2" fontId="65" fillId="0" borderId="0" xfId="0" applyNumberFormat="1" applyFont="1" applyFill="1" applyAlignment="1" applyProtection="1">
      <alignment vertical="center"/>
      <protection hidden="1"/>
    </xf>
    <xf numFmtId="0" fontId="65" fillId="0" borderId="0" xfId="0" applyNumberFormat="1" applyFont="1" applyFill="1" applyBorder="1" applyAlignment="1" applyProtection="1">
      <alignment vertical="center"/>
      <protection hidden="1"/>
    </xf>
    <xf numFmtId="1" fontId="65" fillId="0" borderId="0" xfId="0" applyNumberFormat="1" applyFont="1" applyFill="1" applyAlignment="1" applyProtection="1">
      <alignment vertical="center"/>
      <protection hidden="1"/>
    </xf>
    <xf numFmtId="187" fontId="65" fillId="0" borderId="0" xfId="0" applyNumberFormat="1" applyFont="1" applyFill="1" applyAlignment="1" applyProtection="1">
      <alignment vertical="center"/>
      <protection hidden="1"/>
    </xf>
    <xf numFmtId="0" fontId="20" fillId="6" borderId="0" xfId="0" applyFont="1" applyFill="1" applyBorder="1" applyAlignment="1" applyProtection="1">
      <alignment horizontal="center" vertical="center"/>
      <protection hidden="1"/>
    </xf>
    <xf numFmtId="0" fontId="64" fillId="5" borderId="0" xfId="0" applyFont="1" applyFill="1" applyAlignment="1" applyProtection="1">
      <alignment horizontal="left" vertical="center"/>
      <protection hidden="1"/>
    </xf>
    <xf numFmtId="0" fontId="85" fillId="6" borderId="0" xfId="0" applyFont="1" applyFill="1" applyBorder="1" applyAlignment="1" applyProtection="1">
      <alignment horizontal="left" vertical="center"/>
      <protection hidden="1"/>
    </xf>
    <xf numFmtId="0" fontId="92" fillId="5" borderId="0" xfId="0" applyFont="1" applyFill="1" applyAlignment="1" applyProtection="1">
      <alignment horizontal="left" vertical="center"/>
      <protection hidden="1"/>
    </xf>
    <xf numFmtId="0" fontId="13" fillId="5" borderId="0" xfId="0" applyFont="1" applyFill="1" applyBorder="1" applyAlignment="1" applyProtection="1">
      <alignment horizontal="left" vertical="center"/>
      <protection hidden="1"/>
    </xf>
    <xf numFmtId="0" fontId="20" fillId="0" borderId="0" xfId="0" applyFont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5" borderId="0" xfId="0" applyFont="1" applyFill="1" applyBorder="1" applyAlignment="1" applyProtection="1">
      <alignment horizontal="center" vertical="center"/>
      <protection hidden="1"/>
    </xf>
    <xf numFmtId="0" fontId="20" fillId="6" borderId="0" xfId="0" applyFont="1" applyFill="1" applyBorder="1" applyAlignment="1" applyProtection="1">
      <alignment horizontal="left" vertical="center"/>
      <protection hidden="1"/>
    </xf>
    <xf numFmtId="0" fontId="72" fillId="7" borderId="0" xfId="0" applyFont="1" applyFill="1" applyBorder="1" applyAlignment="1" applyProtection="1">
      <alignment horizontal="left" vertical="center"/>
      <protection hidden="1"/>
    </xf>
    <xf numFmtId="189" fontId="65" fillId="6" borderId="0" xfId="0" applyNumberFormat="1" applyFont="1" applyFill="1" applyBorder="1" applyAlignment="1" applyProtection="1">
      <alignment horizontal="left" vertical="center"/>
      <protection hidden="1"/>
    </xf>
    <xf numFmtId="0" fontId="13" fillId="6" borderId="0" xfId="0" applyFont="1" applyFill="1" applyBorder="1" applyAlignment="1" applyProtection="1">
      <alignment horizontal="left" vertical="center"/>
      <protection hidden="1"/>
    </xf>
    <xf numFmtId="2" fontId="65" fillId="6" borderId="0" xfId="0" applyNumberFormat="1" applyFont="1" applyFill="1" applyBorder="1" applyAlignment="1" applyProtection="1">
      <alignment horizontal="left" vertical="center"/>
      <protection hidden="1"/>
    </xf>
    <xf numFmtId="0" fontId="66" fillId="6" borderId="0" xfId="0" applyFont="1" applyFill="1" applyBorder="1" applyAlignment="1" applyProtection="1">
      <alignment horizontal="left" vertical="center"/>
      <protection hidden="1"/>
    </xf>
    <xf numFmtId="187" fontId="65" fillId="6" borderId="0" xfId="0" applyNumberFormat="1" applyFont="1" applyFill="1" applyBorder="1" applyAlignment="1" applyProtection="1">
      <alignment horizontal="left" vertical="center"/>
      <protection hidden="1"/>
    </xf>
    <xf numFmtId="0" fontId="12" fillId="0" borderId="0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189" fontId="12" fillId="0" borderId="0" xfId="0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Border="1" applyAlignment="1" applyProtection="1">
      <alignment horizontal="left" vertical="center"/>
      <protection hidden="1"/>
    </xf>
    <xf numFmtId="188" fontId="12" fillId="0" borderId="0" xfId="0" applyNumberFormat="1" applyFont="1" applyFill="1" applyBorder="1" applyAlignment="1" applyProtection="1">
      <alignment horizontal="left" vertical="center"/>
      <protection hidden="1"/>
    </xf>
    <xf numFmtId="0" fontId="49" fillId="0" borderId="0" xfId="0" applyFont="1" applyFill="1" applyBorder="1" applyAlignment="1" applyProtection="1">
      <alignment horizontal="center" vertical="center"/>
      <protection hidden="1"/>
    </xf>
    <xf numFmtId="0" fontId="49" fillId="0" borderId="0" xfId="0" applyFont="1" applyFill="1" applyBorder="1" applyAlignment="1" applyProtection="1">
      <alignment horizontal="center"/>
      <protection hidden="1"/>
    </xf>
    <xf numFmtId="0" fontId="20" fillId="9" borderId="4" xfId="0" applyFont="1" applyFill="1" applyBorder="1" applyAlignment="1" applyProtection="1">
      <alignment horizontal="left" vertical="center"/>
      <protection hidden="1"/>
    </xf>
    <xf numFmtId="0" fontId="20" fillId="5" borderId="0" xfId="0" applyFont="1" applyFill="1" applyBorder="1" applyAlignment="1" applyProtection="1">
      <alignment horizontal="left" vertical="center"/>
      <protection hidden="1"/>
    </xf>
    <xf numFmtId="0" fontId="20" fillId="9" borderId="1" xfId="0" applyFont="1" applyFill="1" applyBorder="1" applyAlignment="1" applyProtection="1">
      <alignment horizontal="left" vertical="center"/>
      <protection hidden="1"/>
    </xf>
    <xf numFmtId="0" fontId="3" fillId="5" borderId="0" xfId="0" applyFont="1" applyFill="1" applyBorder="1" applyAlignment="1" applyProtection="1">
      <alignment horizontal="left" vertical="center"/>
      <protection hidden="1"/>
    </xf>
    <xf numFmtId="0" fontId="65" fillId="6" borderId="0" xfId="0" applyFont="1" applyFill="1" applyBorder="1" applyAlignment="1" applyProtection="1">
      <alignment horizontal="left" vertical="center"/>
      <protection hidden="1"/>
    </xf>
    <xf numFmtId="0" fontId="65" fillId="6" borderId="0" xfId="0" applyFont="1" applyFill="1" applyAlignment="1" applyProtection="1">
      <alignment horizontal="left" vertical="center"/>
      <protection hidden="1"/>
    </xf>
    <xf numFmtId="189" fontId="10" fillId="0" borderId="0" xfId="0" applyNumberFormat="1" applyFont="1" applyFill="1" applyBorder="1" applyAlignment="1" applyProtection="1">
      <alignment horizontal="center" vertical="center"/>
      <protection hidden="1"/>
    </xf>
    <xf numFmtId="0" fontId="47" fillId="0" borderId="0" xfId="0" applyFont="1" applyFill="1" applyBorder="1" applyAlignment="1" applyProtection="1">
      <alignment horizontal="left" vertical="center"/>
      <protection hidden="1"/>
    </xf>
    <xf numFmtId="0" fontId="20" fillId="6" borderId="0" xfId="0" applyFont="1" applyFill="1" applyAlignment="1" applyProtection="1">
      <alignment horizontal="left" vertical="center"/>
      <protection hidden="1"/>
    </xf>
    <xf numFmtId="0" fontId="64" fillId="6" borderId="0" xfId="0" applyFont="1" applyFill="1" applyBorder="1" applyAlignment="1" applyProtection="1">
      <alignment horizontal="left" vertical="center"/>
      <protection hidden="1"/>
    </xf>
    <xf numFmtId="187" fontId="65" fillId="0" borderId="0" xfId="0" applyNumberFormat="1" applyFont="1" applyFill="1" applyBorder="1" applyAlignment="1" applyProtection="1">
      <alignment horizontal="left" vertical="center"/>
      <protection hidden="1"/>
    </xf>
    <xf numFmtId="2" fontId="65" fillId="0" borderId="0" xfId="0" applyNumberFormat="1" applyFont="1" applyFill="1" applyBorder="1" applyAlignment="1" applyProtection="1">
      <alignment horizontal="left" vertical="center"/>
      <protection hidden="1"/>
    </xf>
    <xf numFmtId="0" fontId="20" fillId="6" borderId="0" xfId="0" quotePrefix="1" applyFont="1" applyFill="1" applyAlignment="1" applyProtection="1">
      <alignment horizontal="left" vertical="center"/>
      <protection hidden="1"/>
    </xf>
    <xf numFmtId="0" fontId="64" fillId="6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15" fillId="0" borderId="0" xfId="0" applyFont="1" applyFill="1" applyBorder="1" applyAlignment="1" applyProtection="1">
      <alignment horizontal="left" vertical="center"/>
      <protection hidden="1"/>
    </xf>
    <xf numFmtId="0" fontId="66" fillId="0" borderId="0" xfId="0" applyFont="1" applyFill="1" applyBorder="1" applyAlignment="1" applyProtection="1">
      <alignment horizontal="left" vertical="center"/>
      <protection hidden="1"/>
    </xf>
    <xf numFmtId="0" fontId="64" fillId="0" borderId="0" xfId="0" applyFont="1" applyFill="1" applyAlignment="1" applyProtection="1">
      <alignment horizontal="left" vertical="center"/>
      <protection hidden="1"/>
    </xf>
    <xf numFmtId="1" fontId="47" fillId="5" borderId="0" xfId="0" applyNumberFormat="1" applyFont="1" applyFill="1" applyBorder="1" applyAlignment="1" applyProtection="1">
      <alignment vertical="center"/>
      <protection hidden="1"/>
    </xf>
    <xf numFmtId="0" fontId="10" fillId="0" borderId="0" xfId="2" applyFont="1" applyFill="1" applyBorder="1" applyAlignment="1" applyProtection="1">
      <alignment horizontal="left" vertical="center"/>
      <protection hidden="1"/>
    </xf>
    <xf numFmtId="189" fontId="47" fillId="0" borderId="0" xfId="0" applyNumberFormat="1" applyFont="1" applyFill="1" applyBorder="1" applyAlignment="1" applyProtection="1">
      <alignment vertical="center"/>
      <protection hidden="1"/>
    </xf>
    <xf numFmtId="0" fontId="47" fillId="0" borderId="0" xfId="0" applyFont="1" applyFill="1" applyBorder="1" applyAlignment="1" applyProtection="1">
      <alignment horizontal="center" vertical="center"/>
      <protection hidden="1"/>
    </xf>
    <xf numFmtId="0" fontId="38" fillId="0" borderId="0" xfId="0" applyFont="1" applyFill="1" applyBorder="1" applyAlignment="1" applyProtection="1">
      <alignment horizontal="left" vertical="center"/>
      <protection hidden="1"/>
    </xf>
    <xf numFmtId="0" fontId="79" fillId="0" borderId="0" xfId="0" applyFont="1" applyFill="1" applyBorder="1" applyAlignment="1" applyProtection="1">
      <alignment vertical="center"/>
      <protection hidden="1"/>
    </xf>
    <xf numFmtId="0" fontId="47" fillId="0" borderId="0" xfId="0" applyNumberFormat="1" applyFont="1" applyFill="1" applyBorder="1" applyAlignment="1" applyProtection="1">
      <alignment vertical="center"/>
      <protection hidden="1"/>
    </xf>
    <xf numFmtId="0" fontId="68" fillId="0" borderId="0" xfId="0" applyFont="1" applyFill="1" applyBorder="1" applyAlignment="1" applyProtection="1">
      <alignment vertical="center"/>
      <protection hidden="1"/>
    </xf>
    <xf numFmtId="0" fontId="28" fillId="0" borderId="31" xfId="0" applyFont="1" applyBorder="1" applyAlignment="1" applyProtection="1">
      <alignment horizontal="left" vertical="center"/>
      <protection locked="0" hidden="1"/>
    </xf>
    <xf numFmtId="0" fontId="28" fillId="0" borderId="32" xfId="0" applyFont="1" applyBorder="1" applyAlignment="1" applyProtection="1">
      <alignment horizontal="left" vertical="center"/>
      <protection locked="0" hidden="1"/>
    </xf>
    <xf numFmtId="0" fontId="28" fillId="0" borderId="33" xfId="0" applyFont="1" applyBorder="1" applyAlignment="1" applyProtection="1">
      <alignment horizontal="left" vertical="center"/>
      <protection locked="0" hidden="1"/>
    </xf>
    <xf numFmtId="0" fontId="3" fillId="5" borderId="24" xfId="0" applyFont="1" applyFill="1" applyBorder="1" applyAlignment="1" applyProtection="1">
      <alignment horizontal="center" vertical="center"/>
      <protection hidden="1"/>
    </xf>
    <xf numFmtId="0" fontId="3" fillId="5" borderId="0" xfId="0" applyFont="1" applyFill="1" applyBorder="1" applyAlignment="1" applyProtection="1">
      <alignment horizontal="center" vertical="center"/>
      <protection hidden="1"/>
    </xf>
    <xf numFmtId="0" fontId="20" fillId="5" borderId="7" xfId="0" applyFont="1" applyFill="1" applyBorder="1" applyAlignment="1" applyProtection="1">
      <alignment horizontal="left" vertical="center"/>
      <protection hidden="1"/>
    </xf>
    <xf numFmtId="0" fontId="20" fillId="5" borderId="8" xfId="0" applyFont="1" applyFill="1" applyBorder="1" applyAlignment="1" applyProtection="1">
      <alignment horizontal="left" vertical="center"/>
      <protection hidden="1"/>
    </xf>
    <xf numFmtId="0" fontId="20" fillId="5" borderId="9" xfId="0" applyFont="1" applyFill="1" applyBorder="1" applyAlignment="1" applyProtection="1">
      <alignment horizontal="left" vertical="center"/>
      <protection hidden="1"/>
    </xf>
    <xf numFmtId="0" fontId="20" fillId="8" borderId="10" xfId="0" applyFont="1" applyFill="1" applyBorder="1" applyAlignment="1" applyProtection="1">
      <alignment horizontal="left" vertical="center"/>
      <protection hidden="1"/>
    </xf>
    <xf numFmtId="0" fontId="80" fillId="5" borderId="24" xfId="0" applyFont="1" applyFill="1" applyBorder="1" applyAlignment="1" applyProtection="1">
      <alignment horizontal="center" vertical="center"/>
      <protection hidden="1"/>
    </xf>
    <xf numFmtId="0" fontId="80" fillId="5" borderId="0" xfId="0" applyFont="1" applyFill="1" applyBorder="1" applyAlignment="1" applyProtection="1">
      <alignment horizontal="center" vertical="center"/>
      <protection hidden="1"/>
    </xf>
    <xf numFmtId="0" fontId="0" fillId="0" borderId="24" xfId="0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20" fillId="8" borderId="83" xfId="0" applyFont="1" applyFill="1" applyBorder="1" applyAlignment="1" applyProtection="1">
      <alignment horizontal="left" vertical="center"/>
      <protection hidden="1"/>
    </xf>
    <xf numFmtId="0" fontId="64" fillId="8" borderId="10" xfId="0" applyFont="1" applyFill="1" applyBorder="1" applyAlignment="1" applyProtection="1">
      <alignment horizontal="left" vertical="center"/>
      <protection hidden="1"/>
    </xf>
    <xf numFmtId="0" fontId="20" fillId="6" borderId="0" xfId="0" applyFont="1" applyFill="1" applyBorder="1" applyAlignment="1" applyProtection="1">
      <alignment horizontal="left" vertical="center"/>
      <protection hidden="1"/>
    </xf>
    <xf numFmtId="2" fontId="20" fillId="6" borderId="0" xfId="0" applyNumberFormat="1" applyFont="1" applyFill="1" applyBorder="1" applyAlignment="1" applyProtection="1">
      <alignment horizontal="left" vertical="center"/>
      <protection hidden="1"/>
    </xf>
    <xf numFmtId="0" fontId="72" fillId="7" borderId="0" xfId="0" applyFont="1" applyFill="1" applyBorder="1" applyAlignment="1" applyProtection="1">
      <alignment horizontal="left" vertical="center"/>
      <protection hidden="1"/>
    </xf>
    <xf numFmtId="0" fontId="64" fillId="8" borderId="10" xfId="0" quotePrefix="1" applyFont="1" applyFill="1" applyBorder="1" applyAlignment="1" applyProtection="1">
      <alignment horizontal="left" vertical="center"/>
      <protection hidden="1"/>
    </xf>
    <xf numFmtId="0" fontId="68" fillId="0" borderId="31" xfId="0" applyFont="1" applyFill="1" applyBorder="1" applyAlignment="1" applyProtection="1">
      <alignment horizontal="left" vertical="center"/>
      <protection locked="0" hidden="1"/>
    </xf>
    <xf numFmtId="0" fontId="68" fillId="0" borderId="32" xfId="0" applyFont="1" applyFill="1" applyBorder="1" applyAlignment="1" applyProtection="1">
      <alignment horizontal="left" vertical="center"/>
      <protection locked="0" hidden="1"/>
    </xf>
    <xf numFmtId="0" fontId="68" fillId="0" borderId="33" xfId="0" applyFont="1" applyFill="1" applyBorder="1" applyAlignment="1" applyProtection="1">
      <alignment horizontal="left" vertical="center"/>
      <protection locked="0" hidden="1"/>
    </xf>
    <xf numFmtId="2" fontId="13" fillId="6" borderId="0" xfId="0" applyNumberFormat="1" applyFont="1" applyFill="1" applyBorder="1" applyAlignment="1" applyProtection="1">
      <alignment horizontal="left" vertical="center"/>
      <protection hidden="1"/>
    </xf>
    <xf numFmtId="0" fontId="13" fillId="6" borderId="0" xfId="0" applyFont="1" applyFill="1" applyBorder="1" applyAlignment="1" applyProtection="1">
      <alignment horizontal="left" vertical="center"/>
      <protection hidden="1"/>
    </xf>
    <xf numFmtId="2" fontId="65" fillId="6" borderId="0" xfId="0" applyNumberFormat="1" applyFont="1" applyFill="1" applyBorder="1" applyAlignment="1" applyProtection="1">
      <alignment horizontal="left" vertical="center"/>
      <protection hidden="1"/>
    </xf>
    <xf numFmtId="2" fontId="66" fillId="6" borderId="0" xfId="0" applyNumberFormat="1" applyFont="1" applyFill="1" applyBorder="1" applyAlignment="1" applyProtection="1">
      <alignment horizontal="left" vertical="center"/>
      <protection hidden="1"/>
    </xf>
    <xf numFmtId="0" fontId="66" fillId="6" borderId="0" xfId="0" applyFont="1" applyFill="1" applyBorder="1" applyAlignment="1" applyProtection="1">
      <alignment horizontal="left" vertical="center"/>
      <protection hidden="1"/>
    </xf>
    <xf numFmtId="187" fontId="65" fillId="6" borderId="0" xfId="0" applyNumberFormat="1" applyFont="1" applyFill="1" applyBorder="1" applyAlignment="1" applyProtection="1">
      <alignment horizontal="left" vertical="center"/>
      <protection hidden="1"/>
    </xf>
    <xf numFmtId="0" fontId="68" fillId="0" borderId="31" xfId="0" applyNumberFormat="1" applyFont="1" applyFill="1" applyBorder="1" applyAlignment="1" applyProtection="1">
      <alignment horizontal="left" vertical="center"/>
      <protection locked="0" hidden="1"/>
    </xf>
    <xf numFmtId="0" fontId="68" fillId="0" borderId="32" xfId="0" applyNumberFormat="1" applyFont="1" applyFill="1" applyBorder="1" applyAlignment="1" applyProtection="1">
      <alignment horizontal="left" vertical="center"/>
      <protection locked="0" hidden="1"/>
    </xf>
    <xf numFmtId="0" fontId="68" fillId="0" borderId="33" xfId="0" applyNumberFormat="1" applyFont="1" applyFill="1" applyBorder="1" applyAlignment="1" applyProtection="1">
      <alignment horizontal="left" vertical="center"/>
      <protection locked="0" hidden="1"/>
    </xf>
    <xf numFmtId="2" fontId="28" fillId="0" borderId="31" xfId="0" applyNumberFormat="1" applyFont="1" applyBorder="1" applyAlignment="1" applyProtection="1">
      <alignment horizontal="left" vertical="center"/>
      <protection locked="0" hidden="1"/>
    </xf>
    <xf numFmtId="2" fontId="28" fillId="0" borderId="32" xfId="0" applyNumberFormat="1" applyFont="1" applyBorder="1" applyAlignment="1" applyProtection="1">
      <alignment horizontal="left" vertical="center"/>
      <protection locked="0" hidden="1"/>
    </xf>
    <xf numFmtId="2" fontId="28" fillId="0" borderId="33" xfId="0" applyNumberFormat="1" applyFont="1" applyBorder="1" applyAlignment="1" applyProtection="1">
      <alignment horizontal="left" vertical="center"/>
      <protection locked="0" hidden="1"/>
    </xf>
    <xf numFmtId="2" fontId="20" fillId="4" borderId="31" xfId="0" applyNumberFormat="1" applyFont="1" applyFill="1" applyBorder="1" applyAlignment="1" applyProtection="1">
      <alignment horizontal="left" vertical="center"/>
      <protection hidden="1"/>
    </xf>
    <xf numFmtId="0" fontId="20" fillId="4" borderId="32" xfId="0" applyFont="1" applyFill="1" applyBorder="1" applyAlignment="1" applyProtection="1">
      <alignment horizontal="left" vertical="center"/>
      <protection hidden="1"/>
    </xf>
    <xf numFmtId="0" fontId="20" fillId="4" borderId="33" xfId="0" applyFont="1" applyFill="1" applyBorder="1" applyAlignment="1" applyProtection="1">
      <alignment horizontal="left" vertical="center"/>
      <protection hidden="1"/>
    </xf>
    <xf numFmtId="0" fontId="74" fillId="5" borderId="1" xfId="0" applyFont="1" applyFill="1" applyBorder="1" applyAlignment="1" applyProtection="1">
      <alignment horizontal="left" vertical="center"/>
      <protection hidden="1"/>
    </xf>
    <xf numFmtId="0" fontId="74" fillId="5" borderId="2" xfId="0" applyFont="1" applyFill="1" applyBorder="1" applyAlignment="1" applyProtection="1">
      <alignment horizontal="left" vertical="center"/>
      <protection hidden="1"/>
    </xf>
    <xf numFmtId="0" fontId="74" fillId="5" borderId="3" xfId="0" applyFont="1" applyFill="1" applyBorder="1" applyAlignment="1" applyProtection="1">
      <alignment horizontal="left" vertical="center"/>
      <protection hidden="1"/>
    </xf>
    <xf numFmtId="0" fontId="20" fillId="5" borderId="1" xfId="0" applyFont="1" applyFill="1" applyBorder="1" applyAlignment="1" applyProtection="1">
      <alignment horizontal="left" vertical="center"/>
      <protection hidden="1"/>
    </xf>
    <xf numFmtId="0" fontId="20" fillId="5" borderId="2" xfId="0" applyFont="1" applyFill="1" applyBorder="1" applyAlignment="1" applyProtection="1">
      <alignment horizontal="left" vertical="center"/>
      <protection hidden="1"/>
    </xf>
    <xf numFmtId="0" fontId="20" fillId="5" borderId="3" xfId="0" applyFont="1" applyFill="1" applyBorder="1" applyAlignment="1" applyProtection="1">
      <alignment horizontal="left" vertical="center"/>
      <protection hidden="1"/>
    </xf>
    <xf numFmtId="0" fontId="20" fillId="7" borderId="52" xfId="0" applyFont="1" applyFill="1" applyBorder="1" applyAlignment="1" applyProtection="1">
      <alignment horizontal="left" vertical="center"/>
      <protection hidden="1"/>
    </xf>
    <xf numFmtId="0" fontId="20" fillId="7" borderId="85" xfId="0" applyFont="1" applyFill="1" applyBorder="1" applyAlignment="1" applyProtection="1">
      <alignment horizontal="left" vertical="center"/>
      <protection hidden="1"/>
    </xf>
    <xf numFmtId="0" fontId="20" fillId="7" borderId="3" xfId="0" applyFont="1" applyFill="1" applyBorder="1" applyAlignment="1" applyProtection="1">
      <alignment horizontal="left" vertical="center"/>
      <protection hidden="1"/>
    </xf>
    <xf numFmtId="0" fontId="20" fillId="7" borderId="10" xfId="0" applyFont="1" applyFill="1" applyBorder="1" applyAlignment="1" applyProtection="1">
      <alignment horizontal="left" vertical="center"/>
      <protection hidden="1"/>
    </xf>
    <xf numFmtId="0" fontId="20" fillId="7" borderId="86" xfId="0" applyFont="1" applyFill="1" applyBorder="1" applyAlignment="1" applyProtection="1">
      <alignment horizontal="left" vertical="center"/>
      <protection hidden="1"/>
    </xf>
    <xf numFmtId="0" fontId="20" fillId="7" borderId="84" xfId="0" applyFont="1" applyFill="1" applyBorder="1" applyAlignment="1" applyProtection="1">
      <alignment horizontal="left" vertical="center"/>
      <protection hidden="1"/>
    </xf>
    <xf numFmtId="2" fontId="10" fillId="0" borderId="0" xfId="0" applyNumberFormat="1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20" fillId="5" borderId="4" xfId="0" applyFont="1" applyFill="1" applyBorder="1" applyAlignment="1" applyProtection="1">
      <alignment horizontal="left" vertical="center"/>
      <protection hidden="1"/>
    </xf>
    <xf numFmtId="0" fontId="20" fillId="5" borderId="5" xfId="0" applyFont="1" applyFill="1" applyBorder="1" applyAlignment="1" applyProtection="1">
      <alignment horizontal="left" vertical="center"/>
      <protection hidden="1"/>
    </xf>
    <xf numFmtId="0" fontId="20" fillId="5" borderId="6" xfId="0" applyFont="1" applyFill="1" applyBorder="1" applyAlignment="1" applyProtection="1">
      <alignment horizontal="left" vertical="center"/>
      <protection hidden="1"/>
    </xf>
    <xf numFmtId="0" fontId="12" fillId="0" borderId="0" xfId="0" applyNumberFormat="1" applyFont="1" applyFill="1" applyBorder="1" applyAlignment="1" applyProtection="1">
      <alignment horizontal="left" vertical="center"/>
      <protection hidden="1"/>
    </xf>
    <xf numFmtId="0" fontId="47" fillId="0" borderId="0" xfId="0" applyNumberFormat="1" applyFont="1" applyFill="1" applyBorder="1" applyAlignment="1" applyProtection="1">
      <alignment horizontal="center" vertical="center"/>
      <protection hidden="1"/>
    </xf>
    <xf numFmtId="2" fontId="12" fillId="0" borderId="0" xfId="0" applyNumberFormat="1" applyFont="1" applyFill="1" applyBorder="1" applyAlignment="1" applyProtection="1">
      <alignment horizontal="left" vertical="center"/>
      <protection hidden="1"/>
    </xf>
    <xf numFmtId="196" fontId="20" fillId="0" borderId="0" xfId="0" applyNumberFormat="1" applyFont="1" applyAlignment="1" applyProtection="1">
      <alignment horizontal="center" vertical="center"/>
      <protection hidden="1"/>
    </xf>
    <xf numFmtId="0" fontId="47" fillId="0" borderId="0" xfId="0" applyFont="1" applyFill="1" applyBorder="1" applyAlignment="1" applyProtection="1">
      <alignment horizontal="left" vertical="center"/>
      <protection hidden="1"/>
    </xf>
    <xf numFmtId="0" fontId="20" fillId="0" borderId="0" xfId="0" applyNumberFormat="1" applyFont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198" fontId="20" fillId="0" borderId="0" xfId="0" applyNumberFormat="1" applyFont="1" applyBorder="1" applyAlignment="1" applyProtection="1">
      <alignment horizontal="center" vertical="center"/>
      <protection hidden="1"/>
    </xf>
    <xf numFmtId="189" fontId="10" fillId="0" borderId="0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right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2" fontId="12" fillId="0" borderId="0" xfId="0" applyNumberFormat="1" applyFont="1" applyFill="1" applyBorder="1" applyAlignment="1" applyProtection="1">
      <alignment horizontal="center" vertical="center"/>
      <protection hidden="1"/>
    </xf>
    <xf numFmtId="189" fontId="12" fillId="0" borderId="0" xfId="0" applyNumberFormat="1" applyFont="1" applyFill="1" applyBorder="1" applyAlignment="1" applyProtection="1">
      <alignment horizontal="center" vertical="center"/>
      <protection hidden="1"/>
    </xf>
    <xf numFmtId="2" fontId="8" fillId="0" borderId="0" xfId="0" applyNumberFormat="1" applyFont="1" applyFill="1" applyBorder="1" applyAlignment="1" applyProtection="1">
      <alignment horizontal="center" vertical="center"/>
      <protection hidden="1"/>
    </xf>
    <xf numFmtId="0" fontId="25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2" fontId="8" fillId="0" borderId="0" xfId="0" applyNumberFormat="1" applyFont="1" applyFill="1" applyBorder="1" applyAlignment="1" applyProtection="1">
      <alignment horizontal="left" vertical="center"/>
      <protection hidden="1"/>
    </xf>
    <xf numFmtId="188" fontId="12" fillId="0" borderId="0" xfId="0" applyNumberFormat="1" applyFont="1" applyFill="1" applyBorder="1" applyAlignment="1" applyProtection="1">
      <alignment horizontal="left" vertical="center"/>
      <protection hidden="1"/>
    </xf>
    <xf numFmtId="187" fontId="10" fillId="0" borderId="0" xfId="0" applyNumberFormat="1" applyFont="1" applyFill="1" applyBorder="1" applyAlignment="1" applyProtection="1">
      <alignment horizontal="left" vertical="center"/>
      <protection hidden="1"/>
    </xf>
    <xf numFmtId="0" fontId="49" fillId="0" borderId="0" xfId="0" applyFont="1" applyFill="1" applyBorder="1" applyAlignment="1" applyProtection="1">
      <alignment horizontal="center" vertical="center"/>
      <protection hidden="1"/>
    </xf>
    <xf numFmtId="2" fontId="21" fillId="0" borderId="0" xfId="0" applyNumberFormat="1" applyFont="1" applyAlignment="1" applyProtection="1">
      <alignment horizontal="left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49" fillId="0" borderId="0" xfId="0" applyFont="1" applyFill="1" applyBorder="1" applyAlignment="1" applyProtection="1">
      <alignment horizontal="center"/>
      <protection hidden="1"/>
    </xf>
    <xf numFmtId="2" fontId="49" fillId="0" borderId="0" xfId="0" applyNumberFormat="1" applyFont="1" applyFill="1" applyBorder="1" applyAlignment="1" applyProtection="1">
      <alignment horizontal="center"/>
      <protection hidden="1"/>
    </xf>
    <xf numFmtId="2" fontId="49" fillId="0" borderId="0" xfId="0" applyNumberFormat="1" applyFont="1" applyFill="1" applyBorder="1" applyAlignment="1" applyProtection="1">
      <alignment horizontal="center" vertical="center"/>
      <protection hidden="1"/>
    </xf>
    <xf numFmtId="187" fontId="8" fillId="0" borderId="0" xfId="0" applyNumberFormat="1" applyFont="1" applyFill="1" applyBorder="1" applyAlignment="1" applyProtection="1">
      <alignment horizontal="left" vertical="center"/>
      <protection hidden="1"/>
    </xf>
    <xf numFmtId="2" fontId="49" fillId="0" borderId="0" xfId="0" applyNumberFormat="1" applyFont="1" applyFill="1" applyBorder="1" applyAlignment="1" applyProtection="1">
      <alignment horizontal="left"/>
      <protection hidden="1"/>
    </xf>
    <xf numFmtId="2" fontId="47" fillId="0" borderId="0" xfId="0" applyNumberFormat="1" applyFont="1" applyFill="1" applyBorder="1" applyAlignment="1" applyProtection="1">
      <alignment horizontal="left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195" fontId="14" fillId="0" borderId="0" xfId="0" applyNumberFormat="1" applyFont="1" applyFill="1" applyBorder="1" applyAlignment="1" applyProtection="1">
      <alignment horizontal="left" vertical="center"/>
      <protection hidden="1"/>
    </xf>
    <xf numFmtId="1" fontId="8" fillId="0" borderId="0" xfId="0" applyNumberFormat="1" applyFont="1" applyFill="1" applyBorder="1" applyAlignment="1" applyProtection="1">
      <alignment horizontal="left" vertical="center"/>
      <protection hidden="1"/>
    </xf>
    <xf numFmtId="0" fontId="38" fillId="0" borderId="0" xfId="0" applyFont="1" applyFill="1" applyBorder="1" applyAlignment="1" applyProtection="1">
      <alignment horizontal="left" vertical="center"/>
      <protection hidden="1"/>
    </xf>
    <xf numFmtId="188" fontId="10" fillId="2" borderId="0" xfId="0" applyNumberFormat="1" applyFont="1" applyFill="1" applyBorder="1" applyAlignment="1" applyProtection="1">
      <alignment horizontal="left" vertical="center"/>
      <protection hidden="1"/>
    </xf>
    <xf numFmtId="0" fontId="20" fillId="9" borderId="60" xfId="0" applyFont="1" applyFill="1" applyBorder="1" applyAlignment="1" applyProtection="1">
      <alignment horizontal="center" vertical="center"/>
      <protection hidden="1"/>
    </xf>
    <xf numFmtId="0" fontId="20" fillId="9" borderId="5" xfId="0" applyFont="1" applyFill="1" applyBorder="1" applyAlignment="1" applyProtection="1">
      <alignment horizontal="center" vertical="center"/>
      <protection hidden="1"/>
    </xf>
    <xf numFmtId="0" fontId="20" fillId="9" borderId="6" xfId="0" applyFont="1" applyFill="1" applyBorder="1" applyAlignment="1" applyProtection="1">
      <alignment horizontal="center" vertical="center"/>
      <protection hidden="1"/>
    </xf>
    <xf numFmtId="0" fontId="20" fillId="9" borderId="22" xfId="0" applyFont="1" applyFill="1" applyBorder="1" applyAlignment="1" applyProtection="1">
      <alignment horizontal="center" vertical="center"/>
      <protection hidden="1"/>
    </xf>
    <xf numFmtId="0" fontId="20" fillId="9" borderId="0" xfId="0" applyFont="1" applyFill="1" applyBorder="1" applyAlignment="1" applyProtection="1">
      <alignment horizontal="center" vertical="center"/>
      <protection hidden="1"/>
    </xf>
    <xf numFmtId="0" fontId="20" fillId="9" borderId="11" xfId="0" applyFont="1" applyFill="1" applyBorder="1" applyAlignment="1" applyProtection="1">
      <alignment horizontal="center" vertical="center"/>
      <protection hidden="1"/>
    </xf>
    <xf numFmtId="0" fontId="20" fillId="9" borderId="43" xfId="0" applyFont="1" applyFill="1" applyBorder="1" applyAlignment="1" applyProtection="1">
      <alignment horizontal="center" vertical="center"/>
      <protection hidden="1"/>
    </xf>
    <xf numFmtId="0" fontId="20" fillId="9" borderId="44" xfId="0" applyFont="1" applyFill="1" applyBorder="1" applyAlignment="1" applyProtection="1">
      <alignment horizontal="center" vertical="center"/>
      <protection hidden="1"/>
    </xf>
    <xf numFmtId="0" fontId="20" fillId="9" borderId="95" xfId="0" applyFont="1" applyFill="1" applyBorder="1" applyAlignment="1" applyProtection="1">
      <alignment horizontal="center" vertical="center"/>
      <protection hidden="1"/>
    </xf>
    <xf numFmtId="0" fontId="20" fillId="5" borderId="79" xfId="0" applyNumberFormat="1" applyFont="1" applyFill="1" applyBorder="1" applyAlignment="1" applyProtection="1">
      <alignment horizontal="center" vertical="center"/>
      <protection hidden="1"/>
    </xf>
    <xf numFmtId="0" fontId="20" fillId="5" borderId="51" xfId="0" applyNumberFormat="1" applyFont="1" applyFill="1" applyBorder="1" applyAlignment="1" applyProtection="1">
      <alignment horizontal="center" vertical="center"/>
      <protection hidden="1"/>
    </xf>
    <xf numFmtId="0" fontId="20" fillId="5" borderId="48" xfId="0" applyNumberFormat="1" applyFont="1" applyFill="1" applyBorder="1" applyAlignment="1" applyProtection="1">
      <alignment horizontal="center" vertical="center"/>
      <protection hidden="1"/>
    </xf>
    <xf numFmtId="0" fontId="87" fillId="0" borderId="79" xfId="0" applyFont="1" applyFill="1" applyBorder="1" applyAlignment="1" applyProtection="1">
      <alignment horizontal="center" vertical="center"/>
      <protection locked="0" hidden="1"/>
    </xf>
    <xf numFmtId="0" fontId="87" fillId="0" borderId="51" xfId="0" applyFont="1" applyFill="1" applyBorder="1" applyAlignment="1" applyProtection="1">
      <alignment horizontal="center" vertical="center"/>
      <protection locked="0" hidden="1"/>
    </xf>
    <xf numFmtId="0" fontId="87" fillId="0" borderId="48" xfId="0" applyFont="1" applyFill="1" applyBorder="1" applyAlignment="1" applyProtection="1">
      <alignment horizontal="center" vertical="center"/>
      <protection locked="0" hidden="1"/>
    </xf>
    <xf numFmtId="0" fontId="20" fillId="9" borderId="37" xfId="0" applyFont="1" applyFill="1" applyBorder="1" applyAlignment="1" applyProtection="1">
      <alignment horizontal="center" vertical="center"/>
      <protection hidden="1"/>
    </xf>
    <xf numFmtId="0" fontId="20" fillId="9" borderId="20" xfId="0" applyFont="1" applyFill="1" applyBorder="1" applyAlignment="1" applyProtection="1">
      <alignment horizontal="center" vertical="center"/>
      <protection hidden="1"/>
    </xf>
    <xf numFmtId="0" fontId="20" fillId="9" borderId="36" xfId="0" applyFont="1" applyFill="1" applyBorder="1" applyAlignment="1" applyProtection="1">
      <alignment horizontal="center" vertical="center"/>
      <protection hidden="1"/>
    </xf>
    <xf numFmtId="0" fontId="20" fillId="9" borderId="89" xfId="0" applyFont="1" applyFill="1" applyBorder="1" applyAlignment="1" applyProtection="1">
      <alignment horizontal="left" vertical="center"/>
      <protection hidden="1"/>
    </xf>
    <xf numFmtId="0" fontId="20" fillId="9" borderId="39" xfId="0" applyFont="1" applyFill="1" applyBorder="1" applyAlignment="1" applyProtection="1">
      <alignment horizontal="left" vertical="center"/>
      <protection hidden="1"/>
    </xf>
    <xf numFmtId="0" fontId="20" fillId="9" borderId="40" xfId="0" applyFont="1" applyFill="1" applyBorder="1" applyAlignment="1" applyProtection="1">
      <alignment horizontal="left" vertical="center"/>
      <protection hidden="1"/>
    </xf>
    <xf numFmtId="0" fontId="20" fillId="5" borderId="100" xfId="0" applyFont="1" applyFill="1" applyBorder="1" applyAlignment="1" applyProtection="1">
      <alignment horizontal="left" vertical="center"/>
      <protection hidden="1"/>
    </xf>
    <xf numFmtId="0" fontId="20" fillId="5" borderId="97" xfId="0" applyFont="1" applyFill="1" applyBorder="1" applyAlignment="1" applyProtection="1">
      <alignment horizontal="left" vertical="center"/>
      <protection hidden="1"/>
    </xf>
    <xf numFmtId="0" fontId="20" fillId="5" borderId="101" xfId="0" applyFont="1" applyFill="1" applyBorder="1" applyAlignment="1" applyProtection="1">
      <alignment horizontal="left" vertical="center"/>
      <protection hidden="1"/>
    </xf>
    <xf numFmtId="0" fontId="66" fillId="5" borderId="96" xfId="0" applyFont="1" applyFill="1" applyBorder="1" applyAlignment="1" applyProtection="1">
      <alignment horizontal="center" vertical="center"/>
      <protection hidden="1"/>
    </xf>
    <xf numFmtId="0" fontId="66" fillId="5" borderId="97" xfId="0" applyFont="1" applyFill="1" applyBorder="1" applyAlignment="1" applyProtection="1">
      <alignment horizontal="center" vertical="center"/>
      <protection hidden="1"/>
    </xf>
    <xf numFmtId="0" fontId="66" fillId="5" borderId="99" xfId="0" applyFont="1" applyFill="1" applyBorder="1" applyAlignment="1" applyProtection="1">
      <alignment horizontal="center" vertical="center"/>
      <protection hidden="1"/>
    </xf>
    <xf numFmtId="0" fontId="20" fillId="9" borderId="4" xfId="0" applyFont="1" applyFill="1" applyBorder="1" applyAlignment="1" applyProtection="1">
      <alignment horizontal="left" vertical="center"/>
      <protection hidden="1"/>
    </xf>
    <xf numFmtId="0" fontId="20" fillId="9" borderId="5" xfId="0" applyFont="1" applyFill="1" applyBorder="1" applyAlignment="1" applyProtection="1">
      <alignment horizontal="left" vertical="center"/>
      <protection hidden="1"/>
    </xf>
    <xf numFmtId="0" fontId="20" fillId="9" borderId="6" xfId="0" applyFont="1" applyFill="1" applyBorder="1" applyAlignment="1" applyProtection="1">
      <alignment horizontal="left" vertical="center"/>
      <protection hidden="1"/>
    </xf>
    <xf numFmtId="0" fontId="20" fillId="5" borderId="0" xfId="0" applyFont="1" applyFill="1" applyBorder="1" applyAlignment="1" applyProtection="1">
      <alignment horizontal="left" vertical="center"/>
      <protection hidden="1"/>
    </xf>
    <xf numFmtId="2" fontId="64" fillId="6" borderId="0" xfId="0" applyNumberFormat="1" applyFont="1" applyFill="1" applyBorder="1" applyAlignment="1" applyProtection="1">
      <alignment horizontal="left" vertical="center"/>
      <protection hidden="1"/>
    </xf>
    <xf numFmtId="0" fontId="20" fillId="6" borderId="0" xfId="0" applyNumberFormat="1" applyFont="1" applyFill="1" applyBorder="1" applyAlignment="1" applyProtection="1">
      <alignment horizontal="left" vertical="center"/>
      <protection hidden="1"/>
    </xf>
    <xf numFmtId="0" fontId="65" fillId="6" borderId="0" xfId="0" applyNumberFormat="1" applyFont="1" applyFill="1" applyBorder="1" applyAlignment="1" applyProtection="1">
      <alignment horizontal="left" vertical="center"/>
      <protection hidden="1"/>
    </xf>
    <xf numFmtId="0" fontId="66" fillId="5" borderId="92" xfId="0" applyFont="1" applyFill="1" applyBorder="1" applyAlignment="1" applyProtection="1">
      <alignment horizontal="center" vertical="center"/>
      <protection hidden="1"/>
    </xf>
    <xf numFmtId="0" fontId="66" fillId="5" borderId="29" xfId="0" applyFont="1" applyFill="1" applyBorder="1" applyAlignment="1" applyProtection="1">
      <alignment horizontal="center" vertical="center"/>
      <protection hidden="1"/>
    </xf>
    <xf numFmtId="0" fontId="66" fillId="5" borderId="30" xfId="0" applyFont="1" applyFill="1" applyBorder="1" applyAlignment="1" applyProtection="1">
      <alignment horizontal="center" vertical="center"/>
      <protection hidden="1"/>
    </xf>
    <xf numFmtId="0" fontId="20" fillId="9" borderId="10" xfId="0" applyFont="1" applyFill="1" applyBorder="1" applyAlignment="1" applyProtection="1">
      <alignment horizontal="left" vertical="center"/>
      <protection hidden="1"/>
    </xf>
    <xf numFmtId="0" fontId="20" fillId="9" borderId="1" xfId="0" applyFont="1" applyFill="1" applyBorder="1" applyAlignment="1" applyProtection="1">
      <alignment horizontal="left" vertical="center"/>
      <protection hidden="1"/>
    </xf>
    <xf numFmtId="0" fontId="20" fillId="9" borderId="2" xfId="0" applyFont="1" applyFill="1" applyBorder="1" applyAlignment="1" applyProtection="1">
      <alignment horizontal="left" vertical="center"/>
      <protection hidden="1"/>
    </xf>
    <xf numFmtId="0" fontId="20" fillId="9" borderId="3" xfId="0" applyFont="1" applyFill="1" applyBorder="1" applyAlignment="1" applyProtection="1">
      <alignment horizontal="left" vertical="center"/>
      <protection hidden="1"/>
    </xf>
    <xf numFmtId="0" fontId="66" fillId="5" borderId="59" xfId="0" applyFont="1" applyFill="1" applyBorder="1" applyAlignment="1" applyProtection="1">
      <alignment horizontal="left" vertical="center"/>
      <protection hidden="1"/>
    </xf>
    <xf numFmtId="2" fontId="68" fillId="0" borderId="31" xfId="0" applyNumberFormat="1" applyFont="1" applyFill="1" applyBorder="1" applyAlignment="1" applyProtection="1">
      <alignment horizontal="left" vertical="center"/>
      <protection locked="0" hidden="1"/>
    </xf>
    <xf numFmtId="2" fontId="68" fillId="0" borderId="32" xfId="0" applyNumberFormat="1" applyFont="1" applyFill="1" applyBorder="1" applyAlignment="1" applyProtection="1">
      <alignment horizontal="left" vertical="center"/>
      <protection locked="0" hidden="1"/>
    </xf>
    <xf numFmtId="2" fontId="68" fillId="0" borderId="33" xfId="0" applyNumberFormat="1" applyFont="1" applyFill="1" applyBorder="1" applyAlignment="1" applyProtection="1">
      <alignment horizontal="left" vertical="center"/>
      <protection locked="0" hidden="1"/>
    </xf>
    <xf numFmtId="0" fontId="20" fillId="9" borderId="21" xfId="0" applyFont="1" applyFill="1" applyBorder="1" applyAlignment="1" applyProtection="1">
      <alignment horizontal="center" vertical="center"/>
      <protection hidden="1"/>
    </xf>
    <xf numFmtId="0" fontId="20" fillId="9" borderId="8" xfId="0" applyFont="1" applyFill="1" applyBorder="1" applyAlignment="1" applyProtection="1">
      <alignment horizontal="center" vertical="center"/>
      <protection hidden="1"/>
    </xf>
    <xf numFmtId="0" fontId="20" fillId="9" borderId="9" xfId="0" applyFont="1" applyFill="1" applyBorder="1" applyAlignment="1" applyProtection="1">
      <alignment horizontal="center" vertical="center"/>
      <protection hidden="1"/>
    </xf>
    <xf numFmtId="2" fontId="65" fillId="5" borderId="79" xfId="0" applyNumberFormat="1" applyFont="1" applyFill="1" applyBorder="1" applyAlignment="1" applyProtection="1">
      <alignment horizontal="center" vertical="center"/>
      <protection hidden="1"/>
    </xf>
    <xf numFmtId="2" fontId="65" fillId="5" borderId="51" xfId="0" applyNumberFormat="1" applyFont="1" applyFill="1" applyBorder="1" applyAlignment="1" applyProtection="1">
      <alignment horizontal="center" vertical="center"/>
      <protection hidden="1"/>
    </xf>
    <xf numFmtId="2" fontId="65" fillId="5" borderId="48" xfId="0" applyNumberFormat="1" applyFont="1" applyFill="1" applyBorder="1" applyAlignment="1" applyProtection="1">
      <alignment horizontal="center" vertical="center"/>
      <protection hidden="1"/>
    </xf>
    <xf numFmtId="0" fontId="68" fillId="0" borderId="79" xfId="0" applyFont="1" applyFill="1" applyBorder="1" applyAlignment="1" applyProtection="1">
      <alignment horizontal="center" vertical="center"/>
      <protection locked="0" hidden="1"/>
    </xf>
    <xf numFmtId="0" fontId="68" fillId="0" borderId="51" xfId="0" applyFont="1" applyFill="1" applyBorder="1" applyAlignment="1" applyProtection="1">
      <alignment horizontal="center" vertical="center"/>
      <protection locked="0" hidden="1"/>
    </xf>
    <xf numFmtId="0" fontId="68" fillId="0" borderId="48" xfId="0" applyFont="1" applyFill="1" applyBorder="1" applyAlignment="1" applyProtection="1">
      <alignment horizontal="center" vertical="center"/>
      <protection locked="0" hidden="1"/>
    </xf>
    <xf numFmtId="0" fontId="7" fillId="5" borderId="24" xfId="0" applyFont="1" applyFill="1" applyBorder="1" applyAlignment="1" applyProtection="1">
      <alignment horizontal="left" vertical="center"/>
      <protection hidden="1"/>
    </xf>
    <xf numFmtId="0" fontId="7" fillId="5" borderId="0" xfId="0" applyFont="1" applyFill="1" applyBorder="1" applyAlignment="1" applyProtection="1">
      <alignment horizontal="left" vertical="center"/>
      <protection hidden="1"/>
    </xf>
    <xf numFmtId="0" fontId="28" fillId="0" borderId="63" xfId="0" applyFont="1" applyFill="1" applyBorder="1" applyAlignment="1" applyProtection="1">
      <alignment horizontal="left" vertical="center"/>
      <protection locked="0" hidden="1"/>
    </xf>
    <xf numFmtId="0" fontId="28" fillId="0" borderId="64" xfId="0" applyFont="1" applyFill="1" applyBorder="1" applyAlignment="1" applyProtection="1">
      <alignment horizontal="left" vertical="center"/>
      <protection locked="0" hidden="1"/>
    </xf>
    <xf numFmtId="0" fontId="28" fillId="0" borderId="65" xfId="0" applyFont="1" applyFill="1" applyBorder="1" applyAlignment="1" applyProtection="1">
      <alignment horizontal="left" vertical="center"/>
      <protection locked="0" hidden="1"/>
    </xf>
    <xf numFmtId="0" fontId="68" fillId="5" borderId="47" xfId="0" applyFont="1" applyFill="1" applyBorder="1" applyAlignment="1" applyProtection="1">
      <alignment horizontal="left" vertical="center"/>
      <protection hidden="1"/>
    </xf>
    <xf numFmtId="0" fontId="68" fillId="5" borderId="51" xfId="0" applyFont="1" applyFill="1" applyBorder="1" applyAlignment="1" applyProtection="1">
      <alignment horizontal="left" vertical="center"/>
      <protection hidden="1"/>
    </xf>
    <xf numFmtId="0" fontId="68" fillId="5" borderId="76" xfId="0" applyFont="1" applyFill="1" applyBorder="1" applyAlignment="1" applyProtection="1">
      <alignment horizontal="left" vertical="center"/>
      <protection hidden="1"/>
    </xf>
    <xf numFmtId="0" fontId="20" fillId="5" borderId="47" xfId="0" applyFont="1" applyFill="1" applyBorder="1" applyAlignment="1" applyProtection="1">
      <alignment horizontal="left" vertical="center"/>
      <protection hidden="1"/>
    </xf>
    <xf numFmtId="0" fontId="20" fillId="5" borderId="51" xfId="0" applyFont="1" applyFill="1" applyBorder="1" applyAlignment="1" applyProtection="1">
      <alignment horizontal="left" vertical="center"/>
      <protection hidden="1"/>
    </xf>
    <xf numFmtId="0" fontId="20" fillId="5" borderId="76" xfId="0" applyFont="1" applyFill="1" applyBorder="1" applyAlignment="1" applyProtection="1">
      <alignment horizontal="left" vertical="center"/>
      <protection hidden="1"/>
    </xf>
    <xf numFmtId="1" fontId="10" fillId="5" borderId="47" xfId="0" applyNumberFormat="1" applyFont="1" applyFill="1" applyBorder="1" applyAlignment="1" applyProtection="1">
      <alignment horizontal="left" vertical="center"/>
      <protection hidden="1"/>
    </xf>
    <xf numFmtId="1" fontId="10" fillId="5" borderId="51" xfId="0" applyNumberFormat="1" applyFont="1" applyFill="1" applyBorder="1" applyAlignment="1" applyProtection="1">
      <alignment horizontal="left" vertical="center"/>
      <protection hidden="1"/>
    </xf>
    <xf numFmtId="1" fontId="10" fillId="5" borderId="76" xfId="0" applyNumberFormat="1" applyFont="1" applyFill="1" applyBorder="1" applyAlignment="1" applyProtection="1">
      <alignment horizontal="left" vertical="center"/>
      <protection hidden="1"/>
    </xf>
    <xf numFmtId="0" fontId="66" fillId="5" borderId="80" xfId="0" applyNumberFormat="1" applyFont="1" applyFill="1" applyBorder="1" applyAlignment="1" applyProtection="1">
      <alignment horizontal="center" vertical="center"/>
      <protection hidden="1"/>
    </xf>
    <xf numFmtId="0" fontId="66" fillId="5" borderId="49" xfId="0" applyNumberFormat="1" applyFont="1" applyFill="1" applyBorder="1" applyAlignment="1" applyProtection="1">
      <alignment horizontal="center" vertical="center"/>
      <protection hidden="1"/>
    </xf>
    <xf numFmtId="0" fontId="66" fillId="5" borderId="62" xfId="0" applyNumberFormat="1" applyFont="1" applyFill="1" applyBorder="1" applyAlignment="1" applyProtection="1">
      <alignment horizontal="center" vertical="center"/>
      <protection hidden="1"/>
    </xf>
    <xf numFmtId="1" fontId="10" fillId="5" borderId="88" xfId="0" applyNumberFormat="1" applyFont="1" applyFill="1" applyBorder="1" applyAlignment="1" applyProtection="1">
      <alignment horizontal="left" vertical="center"/>
      <protection hidden="1"/>
    </xf>
    <xf numFmtId="1" fontId="10" fillId="5" borderId="8" xfId="0" applyNumberFormat="1" applyFont="1" applyFill="1" applyBorder="1" applyAlignment="1" applyProtection="1">
      <alignment horizontal="left" vertical="center"/>
      <protection hidden="1"/>
    </xf>
    <xf numFmtId="1" fontId="10" fillId="5" borderId="75" xfId="0" applyNumberFormat="1" applyFont="1" applyFill="1" applyBorder="1" applyAlignment="1" applyProtection="1">
      <alignment horizontal="left" vertical="center"/>
      <protection hidden="1"/>
    </xf>
    <xf numFmtId="1" fontId="47" fillId="0" borderId="78" xfId="0" applyNumberFormat="1" applyFont="1" applyFill="1" applyBorder="1" applyAlignment="1" applyProtection="1">
      <alignment horizontal="center" vertical="center"/>
      <protection locked="0" hidden="1"/>
    </xf>
    <xf numFmtId="1" fontId="47" fillId="0" borderId="50" xfId="0" applyNumberFormat="1" applyFont="1" applyFill="1" applyBorder="1" applyAlignment="1" applyProtection="1">
      <alignment horizontal="center" vertical="center"/>
      <protection locked="0" hidden="1"/>
    </xf>
    <xf numFmtId="1" fontId="47" fillId="0" borderId="77" xfId="0" applyNumberFormat="1" applyFont="1" applyFill="1" applyBorder="1" applyAlignment="1" applyProtection="1">
      <alignment horizontal="center" vertical="center"/>
      <protection locked="0" hidden="1"/>
    </xf>
    <xf numFmtId="1" fontId="10" fillId="5" borderId="87" xfId="0" applyNumberFormat="1" applyFont="1" applyFill="1" applyBorder="1" applyAlignment="1" applyProtection="1">
      <alignment horizontal="left" vertical="center"/>
      <protection hidden="1"/>
    </xf>
    <xf numFmtId="1" fontId="10" fillId="5" borderId="5" xfId="0" applyNumberFormat="1" applyFont="1" applyFill="1" applyBorder="1" applyAlignment="1" applyProtection="1">
      <alignment horizontal="left" vertical="center"/>
      <protection hidden="1"/>
    </xf>
    <xf numFmtId="1" fontId="10" fillId="5" borderId="74" xfId="0" applyNumberFormat="1" applyFont="1" applyFill="1" applyBorder="1" applyAlignment="1" applyProtection="1">
      <alignment horizontal="left" vertical="center"/>
      <protection hidden="1"/>
    </xf>
    <xf numFmtId="1" fontId="47" fillId="0" borderId="92" xfId="0" applyNumberFormat="1" applyFont="1" applyFill="1" applyBorder="1" applyAlignment="1" applyProtection="1">
      <alignment horizontal="center" vertical="center"/>
      <protection locked="0" hidden="1"/>
    </xf>
    <xf numFmtId="1" fontId="47" fillId="0" borderId="29" xfId="0" applyNumberFormat="1" applyFont="1" applyFill="1" applyBorder="1" applyAlignment="1" applyProtection="1">
      <alignment horizontal="center" vertical="center"/>
      <protection locked="0" hidden="1"/>
    </xf>
    <xf numFmtId="1" fontId="47" fillId="0" borderId="30" xfId="0" applyNumberFormat="1" applyFont="1" applyFill="1" applyBorder="1" applyAlignment="1" applyProtection="1">
      <alignment horizontal="center" vertical="center"/>
      <protection locked="0" hidden="1"/>
    </xf>
    <xf numFmtId="0" fontId="72" fillId="5" borderId="58" xfId="0" applyFont="1" applyFill="1" applyBorder="1" applyAlignment="1" applyProtection="1">
      <alignment horizontal="left" vertical="center"/>
      <protection hidden="1"/>
    </xf>
    <xf numFmtId="0" fontId="72" fillId="5" borderId="46" xfId="0" applyFont="1" applyFill="1" applyBorder="1" applyAlignment="1" applyProtection="1">
      <alignment horizontal="left" vertical="center"/>
      <protection hidden="1"/>
    </xf>
    <xf numFmtId="0" fontId="72" fillId="5" borderId="94" xfId="0" applyFont="1" applyFill="1" applyBorder="1" applyAlignment="1" applyProtection="1">
      <alignment horizontal="left" vertical="center"/>
      <protection hidden="1"/>
    </xf>
    <xf numFmtId="0" fontId="3" fillId="5" borderId="24" xfId="0" applyFont="1" applyFill="1" applyBorder="1" applyAlignment="1" applyProtection="1">
      <alignment horizontal="left" vertical="center"/>
      <protection hidden="1"/>
    </xf>
    <xf numFmtId="0" fontId="3" fillId="5" borderId="0" xfId="0" applyFont="1" applyFill="1" applyBorder="1" applyAlignment="1" applyProtection="1">
      <alignment horizontal="left" vertical="center"/>
      <protection hidden="1"/>
    </xf>
    <xf numFmtId="0" fontId="82" fillId="3" borderId="34" xfId="0" applyFont="1" applyFill="1" applyBorder="1" applyAlignment="1" applyProtection="1">
      <alignment horizontal="center" vertical="center"/>
      <protection hidden="1"/>
    </xf>
    <xf numFmtId="0" fontId="82" fillId="3" borderId="14" xfId="0" applyFont="1" applyFill="1" applyBorder="1" applyAlignment="1" applyProtection="1">
      <alignment horizontal="center" vertical="center"/>
      <protection hidden="1"/>
    </xf>
    <xf numFmtId="0" fontId="82" fillId="3" borderId="35" xfId="0" applyFont="1" applyFill="1" applyBorder="1" applyAlignment="1" applyProtection="1">
      <alignment horizontal="center" vertical="center"/>
      <protection hidden="1"/>
    </xf>
    <xf numFmtId="0" fontId="82" fillId="3" borderId="18" xfId="0" applyFont="1" applyFill="1" applyBorder="1" applyAlignment="1" applyProtection="1">
      <alignment horizontal="center" vertical="center"/>
      <protection hidden="1"/>
    </xf>
    <xf numFmtId="0" fontId="82" fillId="3" borderId="13" xfId="0" applyFont="1" applyFill="1" applyBorder="1" applyAlignment="1" applyProtection="1">
      <alignment horizontal="center" vertical="center"/>
      <protection hidden="1"/>
    </xf>
    <xf numFmtId="0" fontId="82" fillId="3" borderId="19" xfId="0" applyFont="1" applyFill="1" applyBorder="1" applyAlignment="1" applyProtection="1">
      <alignment horizontal="center" vertical="center"/>
      <protection hidden="1"/>
    </xf>
    <xf numFmtId="0" fontId="82" fillId="3" borderId="7" xfId="0" applyFont="1" applyFill="1" applyBorder="1" applyAlignment="1" applyProtection="1">
      <alignment horizontal="center" vertical="center"/>
      <protection hidden="1"/>
    </xf>
    <xf numFmtId="0" fontId="82" fillId="3" borderId="8" xfId="0" applyFont="1" applyFill="1" applyBorder="1" applyAlignment="1" applyProtection="1">
      <alignment horizontal="center" vertical="center"/>
      <protection hidden="1"/>
    </xf>
    <xf numFmtId="0" fontId="82" fillId="3" borderId="9" xfId="0" applyFont="1" applyFill="1" applyBorder="1" applyAlignment="1" applyProtection="1">
      <alignment horizontal="center" vertical="center"/>
      <protection hidden="1"/>
    </xf>
    <xf numFmtId="0" fontId="82" fillId="3" borderId="4" xfId="0" applyFont="1" applyFill="1" applyBorder="1" applyAlignment="1" applyProtection="1">
      <alignment horizontal="center" vertical="center"/>
      <protection hidden="1"/>
    </xf>
    <xf numFmtId="0" fontId="82" fillId="3" borderId="5" xfId="0" applyFont="1" applyFill="1" applyBorder="1" applyAlignment="1" applyProtection="1">
      <alignment horizontal="center" vertical="center"/>
      <protection hidden="1"/>
    </xf>
    <xf numFmtId="0" fontId="82" fillId="3" borderId="6" xfId="0" applyFont="1" applyFill="1" applyBorder="1" applyAlignment="1" applyProtection="1">
      <alignment horizontal="center" vertical="center"/>
      <protection hidden="1"/>
    </xf>
    <xf numFmtId="0" fontId="20" fillId="9" borderId="81" xfId="0" applyFont="1" applyFill="1" applyBorder="1" applyAlignment="1" applyProtection="1">
      <alignment horizontal="left" vertical="center"/>
      <protection hidden="1"/>
    </xf>
    <xf numFmtId="0" fontId="20" fillId="5" borderId="78" xfId="0" applyFont="1" applyFill="1" applyBorder="1" applyAlignment="1" applyProtection="1">
      <alignment horizontal="center" vertical="center"/>
      <protection hidden="1"/>
    </xf>
    <xf numFmtId="0" fontId="20" fillId="5" borderId="50" xfId="0" applyFont="1" applyFill="1" applyBorder="1" applyAlignment="1" applyProtection="1">
      <alignment horizontal="center" vertical="center"/>
      <protection hidden="1"/>
    </xf>
    <xf numFmtId="0" fontId="20" fillId="5" borderId="77" xfId="0" applyFont="1" applyFill="1" applyBorder="1" applyAlignment="1" applyProtection="1">
      <alignment horizontal="center" vertical="center"/>
      <protection hidden="1"/>
    </xf>
    <xf numFmtId="2" fontId="20" fillId="5" borderId="79" xfId="0" applyNumberFormat="1" applyFont="1" applyFill="1" applyBorder="1" applyAlignment="1" applyProtection="1">
      <alignment horizontal="center" vertical="center"/>
      <protection hidden="1"/>
    </xf>
    <xf numFmtId="2" fontId="20" fillId="5" borderId="51" xfId="0" applyNumberFormat="1" applyFont="1" applyFill="1" applyBorder="1" applyAlignment="1" applyProtection="1">
      <alignment horizontal="center" vertical="center"/>
      <protection hidden="1"/>
    </xf>
    <xf numFmtId="2" fontId="20" fillId="5" borderId="48" xfId="0" applyNumberFormat="1" applyFont="1" applyFill="1" applyBorder="1" applyAlignment="1" applyProtection="1">
      <alignment horizontal="center" vertical="center"/>
      <protection hidden="1"/>
    </xf>
    <xf numFmtId="0" fontId="72" fillId="5" borderId="90" xfId="0" applyFont="1" applyFill="1" applyBorder="1" applyAlignment="1" applyProtection="1">
      <alignment horizontal="center" vertical="center"/>
      <protection hidden="1"/>
    </xf>
    <xf numFmtId="0" fontId="72" fillId="5" borderId="91" xfId="0" applyFont="1" applyFill="1" applyBorder="1" applyAlignment="1" applyProtection="1">
      <alignment horizontal="center" vertical="center"/>
      <protection hidden="1"/>
    </xf>
    <xf numFmtId="0" fontId="66" fillId="5" borderId="61" xfId="0" applyFont="1" applyFill="1" applyBorder="1" applyAlignment="1" applyProtection="1">
      <alignment horizontal="left" vertical="center"/>
      <protection hidden="1"/>
    </xf>
    <xf numFmtId="0" fontId="66" fillId="5" borderId="93" xfId="0" applyFont="1" applyFill="1" applyBorder="1" applyAlignment="1" applyProtection="1">
      <alignment horizontal="left" vertical="center"/>
      <protection hidden="1"/>
    </xf>
    <xf numFmtId="188" fontId="20" fillId="5" borderId="79" xfId="0" applyNumberFormat="1" applyFont="1" applyFill="1" applyBorder="1" applyAlignment="1" applyProtection="1">
      <alignment horizontal="left" vertical="center"/>
      <protection hidden="1"/>
    </xf>
    <xf numFmtId="188" fontId="20" fillId="5" borderId="51" xfId="0" applyNumberFormat="1" applyFont="1" applyFill="1" applyBorder="1" applyAlignment="1" applyProtection="1">
      <alignment horizontal="left" vertical="center"/>
      <protection hidden="1"/>
    </xf>
    <xf numFmtId="188" fontId="20" fillId="5" borderId="48" xfId="0" applyNumberFormat="1" applyFont="1" applyFill="1" applyBorder="1" applyAlignment="1" applyProtection="1">
      <alignment horizontal="left" vertical="center"/>
      <protection hidden="1"/>
    </xf>
    <xf numFmtId="188" fontId="20" fillId="5" borderId="47" xfId="0" applyNumberFormat="1" applyFont="1" applyFill="1" applyBorder="1" applyAlignment="1" applyProtection="1">
      <alignment horizontal="left" vertical="center"/>
      <protection hidden="1"/>
    </xf>
    <xf numFmtId="188" fontId="20" fillId="5" borderId="76" xfId="0" applyNumberFormat="1" applyFont="1" applyFill="1" applyBorder="1" applyAlignment="1" applyProtection="1">
      <alignment horizontal="left" vertical="center"/>
      <protection hidden="1"/>
    </xf>
    <xf numFmtId="189" fontId="20" fillId="5" borderId="79" xfId="0" applyNumberFormat="1" applyFont="1" applyFill="1" applyBorder="1" applyAlignment="1" applyProtection="1">
      <alignment horizontal="left" vertical="center"/>
      <protection hidden="1"/>
    </xf>
    <xf numFmtId="189" fontId="20" fillId="5" borderId="51" xfId="0" applyNumberFormat="1" applyFont="1" applyFill="1" applyBorder="1" applyAlignment="1" applyProtection="1">
      <alignment horizontal="left" vertical="center"/>
      <protection hidden="1"/>
    </xf>
    <xf numFmtId="189" fontId="20" fillId="5" borderId="48" xfId="0" applyNumberFormat="1" applyFont="1" applyFill="1" applyBorder="1" applyAlignment="1" applyProtection="1">
      <alignment horizontal="left" vertical="center"/>
      <protection hidden="1"/>
    </xf>
    <xf numFmtId="189" fontId="20" fillId="5" borderId="47" xfId="0" applyNumberFormat="1" applyFont="1" applyFill="1" applyBorder="1" applyAlignment="1" applyProtection="1">
      <alignment horizontal="left" vertical="center"/>
      <protection hidden="1"/>
    </xf>
    <xf numFmtId="189" fontId="20" fillId="5" borderId="76" xfId="0" applyNumberFormat="1" applyFont="1" applyFill="1" applyBorder="1" applyAlignment="1" applyProtection="1">
      <alignment horizontal="left" vertical="center"/>
      <protection hidden="1"/>
    </xf>
    <xf numFmtId="2" fontId="20" fillId="5" borderId="12" xfId="0" applyNumberFormat="1" applyFont="1" applyFill="1" applyBorder="1" applyAlignment="1" applyProtection="1">
      <alignment horizontal="left" vertical="center"/>
      <protection hidden="1"/>
    </xf>
    <xf numFmtId="2" fontId="20" fillId="5" borderId="0" xfId="0" applyNumberFormat="1" applyFont="1" applyFill="1" applyBorder="1" applyAlignment="1" applyProtection="1">
      <alignment horizontal="left" vertical="center"/>
      <protection hidden="1"/>
    </xf>
    <xf numFmtId="2" fontId="20" fillId="5" borderId="27" xfId="0" applyNumberFormat="1" applyFont="1" applyFill="1" applyBorder="1" applyAlignment="1" applyProtection="1">
      <alignment horizontal="left" vertical="center"/>
      <protection hidden="1"/>
    </xf>
    <xf numFmtId="2" fontId="20" fillId="5" borderId="26" xfId="0" applyNumberFormat="1" applyFont="1" applyFill="1" applyBorder="1" applyAlignment="1" applyProtection="1">
      <alignment horizontal="left" vertical="center"/>
      <protection hidden="1"/>
    </xf>
    <xf numFmtId="2" fontId="20" fillId="5" borderId="42" xfId="0" applyNumberFormat="1" applyFont="1" applyFill="1" applyBorder="1" applyAlignment="1" applyProtection="1">
      <alignment horizontal="left" vertical="center"/>
      <protection hidden="1"/>
    </xf>
    <xf numFmtId="0" fontId="20" fillId="5" borderId="58" xfId="0" applyNumberFormat="1" applyFont="1" applyFill="1" applyBorder="1" applyAlignment="1" applyProtection="1">
      <alignment horizontal="left" vertical="center"/>
      <protection hidden="1"/>
    </xf>
    <xf numFmtId="0" fontId="20" fillId="5" borderId="46" xfId="0" applyNumberFormat="1" applyFont="1" applyFill="1" applyBorder="1" applyAlignment="1" applyProtection="1">
      <alignment horizontal="left" vertical="center"/>
      <protection hidden="1"/>
    </xf>
    <xf numFmtId="0" fontId="20" fillId="5" borderId="94" xfId="0" applyNumberFormat="1" applyFont="1" applyFill="1" applyBorder="1" applyAlignment="1" applyProtection="1">
      <alignment horizontal="left" vertical="center"/>
      <protection hidden="1"/>
    </xf>
    <xf numFmtId="0" fontId="87" fillId="0" borderId="79" xfId="0" applyFont="1" applyFill="1" applyBorder="1" applyAlignment="1" applyProtection="1">
      <alignment horizontal="left" vertical="center"/>
      <protection locked="0" hidden="1"/>
    </xf>
    <xf numFmtId="0" fontId="87" fillId="0" borderId="51" xfId="0" applyFont="1" applyFill="1" applyBorder="1" applyAlignment="1" applyProtection="1">
      <alignment horizontal="left" vertical="center"/>
      <protection locked="0" hidden="1"/>
    </xf>
    <xf numFmtId="0" fontId="87" fillId="0" borderId="48" xfId="0" applyFont="1" applyFill="1" applyBorder="1" applyAlignment="1" applyProtection="1">
      <alignment horizontal="left" vertical="center"/>
      <protection locked="0" hidden="1"/>
    </xf>
    <xf numFmtId="0" fontId="87" fillId="0" borderId="47" xfId="0" applyFont="1" applyFill="1" applyBorder="1" applyAlignment="1" applyProtection="1">
      <alignment horizontal="left" vertical="center"/>
      <protection locked="0" hidden="1"/>
    </xf>
    <xf numFmtId="0" fontId="87" fillId="0" borderId="76" xfId="0" applyFont="1" applyFill="1" applyBorder="1" applyAlignment="1" applyProtection="1">
      <alignment horizontal="left" vertical="center"/>
      <protection locked="0" hidden="1"/>
    </xf>
    <xf numFmtId="0" fontId="65" fillId="6" borderId="0" xfId="0" applyFont="1" applyFill="1" applyBorder="1" applyAlignment="1" applyProtection="1">
      <alignment horizontal="left" vertical="center"/>
      <protection hidden="1"/>
    </xf>
    <xf numFmtId="0" fontId="65" fillId="6" borderId="0" xfId="0" applyFont="1" applyFill="1" applyAlignment="1" applyProtection="1">
      <alignment horizontal="left" vertical="center"/>
      <protection hidden="1"/>
    </xf>
    <xf numFmtId="2" fontId="65" fillId="6" borderId="0" xfId="0" applyNumberFormat="1" applyFont="1" applyFill="1" applyAlignment="1" applyProtection="1">
      <alignment horizontal="left" vertical="center"/>
      <protection hidden="1"/>
    </xf>
    <xf numFmtId="1" fontId="66" fillId="6" borderId="0" xfId="0" applyNumberFormat="1" applyFont="1" applyFill="1" applyBorder="1" applyAlignment="1" applyProtection="1">
      <alignment horizontal="left" vertical="center"/>
      <protection hidden="1"/>
    </xf>
    <xf numFmtId="1" fontId="65" fillId="6" borderId="0" xfId="0" applyNumberFormat="1" applyFont="1" applyFill="1" applyAlignment="1" applyProtection="1">
      <alignment horizontal="left" vertical="center"/>
      <protection hidden="1"/>
    </xf>
    <xf numFmtId="187" fontId="65" fillId="6" borderId="0" xfId="0" applyNumberFormat="1" applyFont="1" applyFill="1" applyAlignment="1" applyProtection="1">
      <alignment horizontal="left" vertical="center"/>
      <protection hidden="1"/>
    </xf>
    <xf numFmtId="189" fontId="65" fillId="6" borderId="0" xfId="0" applyNumberFormat="1" applyFont="1" applyFill="1" applyAlignment="1" applyProtection="1">
      <alignment horizontal="left" vertical="center"/>
      <protection hidden="1"/>
    </xf>
    <xf numFmtId="188" fontId="65" fillId="6" borderId="0" xfId="0" applyNumberFormat="1" applyFont="1" applyFill="1" applyBorder="1" applyAlignment="1" applyProtection="1">
      <alignment horizontal="left" vertical="center"/>
      <protection hidden="1"/>
    </xf>
  </cellXfs>
  <cellStyles count="4">
    <cellStyle name="Hyperlink" xfId="1" builtinId="8"/>
    <cellStyle name="Normal" xfId="0" builtinId="0"/>
    <cellStyle name="Normal_RC-SLAB" xfId="2"/>
    <cellStyle name="เครื่องหมายจุลภาค 2" xfId="3"/>
  </cellStyles>
  <dxfs count="0"/>
  <tableStyles count="0" defaultTableStyle="TableStyleMedium2" defaultPivotStyle="PivotStyleLight16"/>
  <colors>
    <mruColors>
      <color rgb="FF99FF99"/>
      <color rgb="FF006600"/>
      <color rgb="FF008000"/>
      <color rgb="FF0000FF"/>
      <color rgb="FFFFFF99"/>
      <color rgb="FFFF0066"/>
      <color rgb="FFFFFFCC"/>
      <color rgb="FFDDF1FF"/>
      <color rgb="FFFF00FF"/>
      <color rgb="FFC9E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'One way Slab'!$NT$126</c:f>
              <c:strCache>
                <c:ptCount val="1"/>
                <c:pt idx="0">
                  <c:v>ขอบพื้นใน</c:v>
                </c:pt>
              </c:strCache>
            </c:strRef>
          </c:tx>
          <c:spPr>
            <a:ln w="63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'One way Slab'!$NU$127:$NY$127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'One way Slab'!$NU$128:$NY$128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1.5</c:v>
                </c:pt>
                <c:pt idx="3">
                  <c:v>1.5</c:v>
                </c:pt>
                <c:pt idx="4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'One way Slab'!$OA$126</c:f>
              <c:strCache>
                <c:ptCount val="1"/>
                <c:pt idx="0">
                  <c:v>ขอบพื้นนอก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Slab'!$OA$127:$OE$127</c:f>
              <c:numCache>
                <c:formatCode>General</c:formatCode>
                <c:ptCount val="5"/>
                <c:pt idx="0">
                  <c:v>-0.1</c:v>
                </c:pt>
                <c:pt idx="1">
                  <c:v>2.1</c:v>
                </c:pt>
                <c:pt idx="2">
                  <c:v>2.1</c:v>
                </c:pt>
                <c:pt idx="3">
                  <c:v>-0.1</c:v>
                </c:pt>
                <c:pt idx="4">
                  <c:v>-0.1</c:v>
                </c:pt>
              </c:numCache>
            </c:numRef>
          </c:xVal>
          <c:yVal>
            <c:numRef>
              <c:f>'One way Slab'!$OA$128:$OE$128</c:f>
              <c:numCache>
                <c:formatCode>General</c:formatCode>
                <c:ptCount val="5"/>
                <c:pt idx="0">
                  <c:v>-0.1</c:v>
                </c:pt>
                <c:pt idx="1">
                  <c:v>-0.1</c:v>
                </c:pt>
                <c:pt idx="2">
                  <c:v>1.6</c:v>
                </c:pt>
                <c:pt idx="3">
                  <c:v>1.6</c:v>
                </c:pt>
                <c:pt idx="4">
                  <c:v>-0.1</c:v>
                </c:pt>
              </c:numCache>
            </c:numRef>
          </c:yVal>
          <c:smooth val="0"/>
        </c:ser>
        <c:ser>
          <c:idx val="4"/>
          <c:order val="2"/>
          <c:tx>
            <c:strRef>
              <c:f>'One way Slab'!$NT$132</c:f>
              <c:strCache>
                <c:ptCount val="1"/>
                <c:pt idx="0">
                  <c:v>เหล็กบนล่าง</c:v>
                </c:pt>
              </c:strCache>
            </c:strRef>
          </c:tx>
          <c:spPr>
            <a:ln w="38100" cap="flat">
              <a:solidFill>
                <a:prstClr val="black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6175324940315182E-2"/>
                  <c:y val="4.4116430687450081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'One way Slab'!$NU$133:$NV$133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'One way Slab'!$NU$134:$NV$134</c:f>
              <c:numCache>
                <c:formatCode>General</c:formatCode>
                <c:ptCount val="2"/>
                <c:pt idx="0">
                  <c:v>-0.1</c:v>
                </c:pt>
                <c:pt idx="1">
                  <c:v>0.3</c:v>
                </c:pt>
              </c:numCache>
            </c:numRef>
          </c:yVal>
          <c:smooth val="0"/>
        </c:ser>
        <c:ser>
          <c:idx val="5"/>
          <c:order val="3"/>
          <c:tx>
            <c:strRef>
              <c:f>'One way Slab'!$NX$132</c:f>
              <c:strCache>
                <c:ptCount val="1"/>
                <c:pt idx="0">
                  <c:v>เหล็กบนบน</c:v>
                </c:pt>
              </c:strCache>
            </c:strRef>
          </c:tx>
          <c:spPr>
            <a:ln w="3810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layout>
                <c:manualLayout>
                  <c:x val="-3.6175324940315182E-2"/>
                  <c:y val="-4.7050440759982312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xVal>
            <c:numRef>
              <c:f>'One way Slab'!$NX$133:$NY$133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'One way Slab'!$NX$134:$NY$134</c:f>
              <c:numCache>
                <c:formatCode>General</c:formatCode>
                <c:ptCount val="2"/>
                <c:pt idx="0">
                  <c:v>1.2</c:v>
                </c:pt>
                <c:pt idx="1">
                  <c:v>1.6</c:v>
                </c:pt>
              </c:numCache>
            </c:numRef>
          </c:yVal>
          <c:smooth val="0"/>
        </c:ser>
        <c:ser>
          <c:idx val="2"/>
          <c:order val="4"/>
          <c:tx>
            <c:strRef>
              <c:f>'One way Slab'!$NT$135</c:f>
              <c:strCache>
                <c:ptCount val="1"/>
                <c:pt idx="0">
                  <c:v>เส้นบนล่าง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'One way Slab'!$NU$136:$NV$136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'One way Slab'!$NU$137:$NV$137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yVal>
          <c:smooth val="0"/>
        </c:ser>
        <c:ser>
          <c:idx val="3"/>
          <c:order val="5"/>
          <c:marker>
            <c:symbol val="circle"/>
            <c:size val="10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'One way Slab'!$NX$136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Slab'!$NX$137</c:f>
              <c:numCache>
                <c:formatCode>General</c:formatCode>
                <c:ptCount val="1"/>
                <c:pt idx="0">
                  <c:v>0.2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'One way Slab'!$NT$138</c:f>
              <c:strCache>
                <c:ptCount val="1"/>
                <c:pt idx="0">
                  <c:v>เส้นบนบน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'One way Slab'!$NU$139:$NV$139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'One way Slab'!$NU$140:$NV$140</c:f>
              <c:numCache>
                <c:formatCode>General</c:formatCode>
                <c:ptCount val="2"/>
                <c:pt idx="0">
                  <c:v>1.3</c:v>
                </c:pt>
                <c:pt idx="1">
                  <c:v>1.3</c:v>
                </c:pt>
              </c:numCache>
            </c:numRef>
          </c:yVal>
          <c:smooth val="0"/>
        </c:ser>
        <c:ser>
          <c:idx val="7"/>
          <c:order val="7"/>
          <c:marker>
            <c:symbol val="circle"/>
            <c:size val="10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'One way Slab'!$NX$139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Slab'!$NX$140</c:f>
              <c:numCache>
                <c:formatCode>General</c:formatCode>
                <c:ptCount val="1"/>
                <c:pt idx="0">
                  <c:v>1.3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'One way Slab'!$NT$147</c:f>
              <c:strCache>
                <c:ptCount val="1"/>
                <c:pt idx="0">
                  <c:v>ระยะบนซ้าย1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'One way Slab'!$NU$148:$NV$148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xVal>
          <c:yVal>
            <c:numRef>
              <c:f>'One way Slab'!$NU$149:$NV$149</c:f>
              <c:numCache>
                <c:formatCode>General</c:formatCode>
                <c:ptCount val="2"/>
                <c:pt idx="0">
                  <c:v>-0.05</c:v>
                </c:pt>
                <c:pt idx="1">
                  <c:v>0.3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'One way Slab'!$NT$147</c:f>
              <c:strCache>
                <c:ptCount val="1"/>
                <c:pt idx="0">
                  <c:v>ระยะบนซ้าย1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Slab'!$NX$148:$NY$148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'One way Slab'!$NX$149:$NY$149</c:f>
              <c:numCache>
                <c:formatCode>General</c:formatCode>
                <c:ptCount val="2"/>
                <c:pt idx="0">
                  <c:v>-0.05</c:v>
                </c:pt>
                <c:pt idx="1">
                  <c:v>-0.05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'One way Slab'!$NT$147</c:f>
              <c:strCache>
                <c:ptCount val="1"/>
                <c:pt idx="0">
                  <c:v>ระยะบนซ้าย1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Slab'!$OA$148:$OB$148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'One way Slab'!$OA$149:$OB$149</c:f>
              <c:numCache>
                <c:formatCode>General</c:formatCode>
                <c:ptCount val="2"/>
                <c:pt idx="0">
                  <c:v>0.3</c:v>
                </c:pt>
                <c:pt idx="1">
                  <c:v>0.3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'One way Slab'!$NT$150</c:f>
              <c:strCache>
                <c:ptCount val="1"/>
                <c:pt idx="0">
                  <c:v>ระยะบนซ้าย2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'One way Slab'!$NU$151:$NV$151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xVal>
          <c:yVal>
            <c:numRef>
              <c:f>'One way Slab'!$NU$152:$NV$152</c:f>
              <c:numCache>
                <c:formatCode>General</c:formatCode>
                <c:ptCount val="2"/>
                <c:pt idx="0">
                  <c:v>1.2</c:v>
                </c:pt>
                <c:pt idx="1">
                  <c:v>1.55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'One way Slab'!$NT$150</c:f>
              <c:strCache>
                <c:ptCount val="1"/>
                <c:pt idx="0">
                  <c:v>ระยะบนซ้าย2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Slab'!$NX$151:$NY$151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'One way Slab'!$NX$152:$NY$152</c:f>
              <c:numCache>
                <c:formatCode>General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'One way Slab'!$NT$150</c:f>
              <c:strCache>
                <c:ptCount val="1"/>
                <c:pt idx="0">
                  <c:v>ระยะบนซ้าย2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Slab'!$OA$151:$OB$151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'One way Slab'!$OA$152:$OB$152</c:f>
              <c:numCache>
                <c:formatCode>General</c:formatCode>
                <c:ptCount val="2"/>
                <c:pt idx="0">
                  <c:v>1.55</c:v>
                </c:pt>
                <c:pt idx="1">
                  <c:v>1.55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'One way Slab'!$NT$153</c:f>
              <c:strCache>
                <c:ptCount val="1"/>
                <c:pt idx="0">
                  <c:v>ระยะบนล่าง1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'One way Slab'!$NU$154:$NV$154</c:f>
              <c:numCache>
                <c:formatCode>General</c:formatCode>
                <c:ptCount val="2"/>
                <c:pt idx="0">
                  <c:v>-0.05</c:v>
                </c:pt>
                <c:pt idx="1">
                  <c:v>0.4</c:v>
                </c:pt>
              </c:numCache>
            </c:numRef>
          </c:xVal>
          <c:yVal>
            <c:numRef>
              <c:f>'One way Slab'!$NU$155:$NV$155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yVal>
          <c:smooth val="0"/>
        </c:ser>
        <c:ser>
          <c:idx val="15"/>
          <c:order val="15"/>
          <c:tx>
            <c:strRef>
              <c:f>'One way Slab'!$NT$153</c:f>
              <c:strCache>
                <c:ptCount val="1"/>
                <c:pt idx="0">
                  <c:v>ระยะบนล่าง1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'One way Slab'!$NX$154:$NY$154</c:f>
              <c:numCache>
                <c:formatCode>General</c:formatCode>
                <c:ptCount val="2"/>
                <c:pt idx="0">
                  <c:v>-0.05</c:v>
                </c:pt>
                <c:pt idx="1">
                  <c:v>-0.05</c:v>
                </c:pt>
              </c:numCache>
            </c:numRef>
          </c:xVal>
          <c:yVal>
            <c:numRef>
              <c:f>'One way Slab'!$NX$155:$NY$155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16"/>
          <c:order val="16"/>
          <c:tx>
            <c:strRef>
              <c:f>'One way Slab'!$NT$153</c:f>
              <c:strCache>
                <c:ptCount val="1"/>
                <c:pt idx="0">
                  <c:v>ระยะบนล่าง1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'One way Slab'!$OA$154:$OB$154</c:f>
              <c:numCache>
                <c:formatCode>General</c:formatCode>
                <c:ptCount val="2"/>
                <c:pt idx="0">
                  <c:v>0.4</c:v>
                </c:pt>
                <c:pt idx="1">
                  <c:v>0.4</c:v>
                </c:pt>
              </c:numCache>
            </c:numRef>
          </c:xVal>
          <c:yVal>
            <c:numRef>
              <c:f>'One way Slab'!$OA$155:$OB$155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17"/>
          <c:order val="17"/>
          <c:tx>
            <c:strRef>
              <c:f>'One way Slab'!$OD$83:$OF$83</c:f>
              <c:strCache>
                <c:ptCount val="1"/>
                <c:pt idx="0">
                  <c:v>0.5 (L/3)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Slab'!$NX$163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'One way Slab'!$NX$164</c:f>
              <c:numCache>
                <c:formatCode>General</c:formatCode>
                <c:ptCount val="1"/>
                <c:pt idx="0">
                  <c:v>1.375</c:v>
                </c:pt>
              </c:numCache>
            </c:numRef>
          </c:yVal>
          <c:smooth val="0"/>
        </c:ser>
        <c:ser>
          <c:idx val="18"/>
          <c:order val="18"/>
          <c:tx>
            <c:strRef>
              <c:f>'One way Slab'!$OD$86:$OF$86</c:f>
              <c:strCache>
                <c:ptCount val="1"/>
                <c:pt idx="0">
                  <c:v>0.5 (L/3)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Slab'!$NZ$163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'One way Slab'!$NZ$164</c:f>
              <c:numCache>
                <c:formatCode>General</c:formatCode>
                <c:ptCount val="1"/>
                <c:pt idx="0">
                  <c:v>0.125</c:v>
                </c:pt>
              </c:numCache>
            </c:numRef>
          </c:yVal>
          <c:smooth val="0"/>
        </c:ser>
        <c:ser>
          <c:idx val="19"/>
          <c:order val="19"/>
          <c:tx>
            <c:strRef>
              <c:f>'One way Slab'!$NZ$120:$OC$120</c:f>
              <c:strCache>
                <c:ptCount val="1"/>
                <c:pt idx="0">
                  <c:v>0.1 m. thk.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Slab'!$NU$163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Slab'!$NU$164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20"/>
          <c:order val="20"/>
          <c:tx>
            <c:strRef>
              <c:f>'One way Slab'!$OA$159</c:f>
              <c:strCache>
                <c:ptCount val="1"/>
                <c:pt idx="0">
                  <c:v>แถบบน</c:v>
                </c:pt>
              </c:strCache>
            </c:strRef>
          </c:tx>
          <c:spPr>
            <a:ln w="12700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'One way Slab'!$OA$160:$OB$160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'One way Slab'!$OA$161:$OB$161</c:f>
              <c:numCache>
                <c:formatCode>General</c:formatCode>
                <c:ptCount val="2"/>
                <c:pt idx="0">
                  <c:v>1.65</c:v>
                </c:pt>
                <c:pt idx="1">
                  <c:v>1.65</c:v>
                </c:pt>
              </c:numCache>
            </c:numRef>
          </c:yVal>
          <c:smooth val="0"/>
        </c:ser>
        <c:ser>
          <c:idx val="21"/>
          <c:order val="21"/>
          <c:tx>
            <c:strRef>
              <c:f>'One way Slab'!$OD$159</c:f>
              <c:strCache>
                <c:ptCount val="1"/>
                <c:pt idx="0">
                  <c:v>แถบล่าง</c:v>
                </c:pt>
              </c:strCache>
            </c:strRef>
          </c:tx>
          <c:spPr>
            <a:ln w="12700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'One way Slab'!$OD$160:$OE$160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'One way Slab'!$OD$161:$OE$161</c:f>
              <c:numCache>
                <c:formatCode>General</c:formatCode>
                <c:ptCount val="2"/>
                <c:pt idx="0">
                  <c:v>-0.15</c:v>
                </c:pt>
                <c:pt idx="1">
                  <c:v>-0.15</c:v>
                </c:pt>
              </c:numCache>
            </c:numRef>
          </c:yVal>
          <c:smooth val="0"/>
        </c:ser>
        <c:ser>
          <c:idx val="22"/>
          <c:order val="22"/>
          <c:tx>
            <c:strRef>
              <c:f>'One way Slab'!$NT$166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0"/>
                  <c:y val="8.511450293452056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Slab'!$NU$167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Slab'!$NU$168</c:f>
              <c:numCache>
                <c:formatCode>General</c:formatCode>
                <c:ptCount val="1"/>
                <c:pt idx="0">
                  <c:v>1.5</c:v>
                </c:pt>
              </c:numCache>
            </c:numRef>
          </c:yVal>
          <c:smooth val="0"/>
        </c:ser>
        <c:ser>
          <c:idx val="23"/>
          <c:order val="23"/>
          <c:tx>
            <c:strRef>
              <c:f>'One way Slab'!$OB$166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0"/>
                  <c:y val="-8.215875122394795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Slab'!$OB$167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Slab'!$OB$168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4"/>
          <c:order val="24"/>
          <c:tx>
            <c:strRef>
              <c:f>'One way Slab'!$NT$129</c:f>
              <c:strCache>
                <c:ptCount val="1"/>
                <c:pt idx="0">
                  <c:v>เหล็กบนซ้าย</c:v>
                </c:pt>
              </c:strCache>
            </c:strRef>
          </c:tx>
          <c:spPr>
            <a:ln w="22225" cap="flat">
              <a:solidFill>
                <a:srgbClr val="C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6.5695985647659147E-2"/>
                  <c:y val="-2.6910055460460528E-17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rgbClr val="FF0000"/>
                        </a:solidFill>
                      </a:defRPr>
                    </a:pPr>
                    <a:r>
                      <a:rPr lang="en-US">
                        <a:solidFill>
                          <a:srgbClr val="FF0000"/>
                        </a:solidFill>
                      </a:rPr>
                      <a:t>#4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9.7327386144682119E-3"/>
                  <c:y val="-2.6910055460460528E-17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'One way Slab'!$NU$130:$NV$130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'One way Slab'!$NU$131:$NV$131</c:f>
              <c:numCache>
                <c:formatCode>General</c:formatCode>
                <c:ptCount val="2"/>
                <c:pt idx="0">
                  <c:v>1.4</c:v>
                </c:pt>
                <c:pt idx="1">
                  <c:v>1.4</c:v>
                </c:pt>
              </c:numCache>
            </c:numRef>
          </c:yVal>
          <c:smooth val="0"/>
        </c:ser>
        <c:ser>
          <c:idx val="25"/>
          <c:order val="25"/>
          <c:tx>
            <c:strRef>
              <c:f>'One way Slab'!$NX$129</c:f>
              <c:strCache>
                <c:ptCount val="1"/>
                <c:pt idx="0">
                  <c:v>เหล็กบนขวา</c:v>
                </c:pt>
              </c:strCache>
            </c:strRef>
          </c:tx>
          <c:spPr>
            <a:ln w="222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6.5695985647659147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9.7327386144682119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'One way Slab'!$NX$130:$NY$130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'One way Slab'!$NX$131:$NY$131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0"/>
        </c:ser>
        <c:ser>
          <c:idx val="26"/>
          <c:order val="26"/>
          <c:tx>
            <c:strRef>
              <c:f>'One way Slab'!$NT$141</c:f>
              <c:strCache>
                <c:ptCount val="1"/>
                <c:pt idx="0">
                  <c:v>เส้นบนซ้าย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'One way Slab'!$NU$142:$NV$142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'One way Slab'!$NU$143:$NV$143</c:f>
              <c:numCache>
                <c:formatCode>General</c:formatCode>
                <c:ptCount val="2"/>
                <c:pt idx="0">
                  <c:v>1.2</c:v>
                </c:pt>
                <c:pt idx="1">
                  <c:v>1.5</c:v>
                </c:pt>
              </c:numCache>
            </c:numRef>
          </c:yVal>
          <c:smooth val="0"/>
        </c:ser>
        <c:ser>
          <c:idx val="27"/>
          <c:order val="27"/>
          <c:marker>
            <c:symbol val="circle"/>
            <c:size val="6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'One way Slab'!$NX$142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'One way Slab'!$NX$143</c:f>
              <c:numCache>
                <c:formatCode>General</c:formatCode>
                <c:ptCount val="1"/>
                <c:pt idx="0">
                  <c:v>1.4</c:v>
                </c:pt>
              </c:numCache>
            </c:numRef>
          </c:yVal>
          <c:smooth val="0"/>
        </c:ser>
        <c:ser>
          <c:idx val="28"/>
          <c:order val="28"/>
          <c:tx>
            <c:strRef>
              <c:f>'One way Slab'!$NT$144</c:f>
              <c:strCache>
                <c:ptCount val="1"/>
                <c:pt idx="0">
                  <c:v>เส้นบนขวา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'One way Slab'!$NU$145:$NV$145</c:f>
              <c:numCache>
                <c:formatCode>0.00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'One way Slab'!$NU$146:$NV$146</c:f>
              <c:numCache>
                <c:formatCode>0.00</c:formatCode>
                <c:ptCount val="2"/>
                <c:pt idx="0">
                  <c:v>0</c:v>
                </c:pt>
                <c:pt idx="1">
                  <c:v>0.3</c:v>
                </c:pt>
              </c:numCache>
            </c:numRef>
          </c:yVal>
          <c:smooth val="0"/>
        </c:ser>
        <c:ser>
          <c:idx val="29"/>
          <c:order val="29"/>
          <c:marker>
            <c:symbol val="circle"/>
            <c:size val="6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'One way Slab'!$NX$145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'One way Slab'!$NX$146</c:f>
              <c:numCache>
                <c:formatCode>0.00</c:formatCode>
                <c:ptCount val="1"/>
                <c:pt idx="0">
                  <c:v>0.1</c:v>
                </c:pt>
              </c:numCache>
            </c:numRef>
          </c:yVal>
          <c:smooth val="0"/>
        </c:ser>
        <c:ser>
          <c:idx val="30"/>
          <c:order val="30"/>
          <c:spPr>
            <a:ln w="635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'One way Slab'!$NZ$142:$OA$142</c:f>
              <c:numCache>
                <c:formatCode>General</c:formatCode>
                <c:ptCount val="2"/>
              </c:numCache>
            </c:numRef>
          </c:xVal>
          <c:yVal>
            <c:numRef>
              <c:f>'One way Slab'!$NZ$143:$OA$143</c:f>
              <c:numCache>
                <c:formatCode>General</c:formatCode>
                <c:ptCount val="2"/>
              </c:numCache>
            </c:numRef>
          </c:yVal>
          <c:smooth val="0"/>
        </c:ser>
        <c:ser>
          <c:idx val="31"/>
          <c:order val="31"/>
          <c:spPr>
            <a:ln w="635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'One way Slab'!$NZ$145:$OA$145</c:f>
              <c:numCache>
                <c:formatCode>0.00</c:formatCode>
                <c:ptCount val="2"/>
                <c:pt idx="0">
                  <c:v>0.45</c:v>
                </c:pt>
                <c:pt idx="1">
                  <c:v>0.55000000000000004</c:v>
                </c:pt>
              </c:numCache>
            </c:numRef>
          </c:xVal>
          <c:yVal>
            <c:numRef>
              <c:f>'One way Slab'!$NZ$146:$OA$146</c:f>
              <c:numCache>
                <c:formatCode>0.00</c:formatCode>
                <c:ptCount val="2"/>
                <c:pt idx="0">
                  <c:v>0.3</c:v>
                </c:pt>
                <c:pt idx="1">
                  <c:v>0.3</c:v>
                </c:pt>
              </c:numCache>
            </c:numRef>
          </c:yVal>
          <c:smooth val="0"/>
        </c:ser>
        <c:ser>
          <c:idx val="32"/>
          <c:order val="32"/>
          <c:tx>
            <c:strRef>
              <c:f>'One way Slab'!$NT$170</c:f>
              <c:strCache>
                <c:ptCount val="1"/>
                <c:pt idx="0">
                  <c:v>RB9@0.25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5.7976851026066333E-2"/>
                  <c:y val="3.738595359782181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/>
                </a:pPr>
                <a:endParaRPr lang="th-TH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Slab'!$NU$171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'One way Slab'!$NU$172</c:f>
              <c:numCache>
                <c:formatCode>General</c:formatCode>
                <c:ptCount val="1"/>
                <c:pt idx="0">
                  <c:v>1.2</c:v>
                </c:pt>
              </c:numCache>
            </c:numRef>
          </c:yVal>
          <c:smooth val="0"/>
        </c:ser>
        <c:ser>
          <c:idx val="33"/>
          <c:order val="33"/>
          <c:tx>
            <c:strRef>
              <c:f>'One way Slab'!$OB$170</c:f>
              <c:strCache>
                <c:ptCount val="1"/>
                <c:pt idx="0">
                  <c:v>RB9@0.25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5.7557078775981672E-2"/>
                  <c:y val="-3.816379224657832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/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Slab'!$OB$171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'One way Slab'!$OB$172</c:f>
              <c:numCache>
                <c:formatCode>General</c:formatCode>
                <c:ptCount val="1"/>
                <c:pt idx="0">
                  <c:v>0.3</c:v>
                </c:pt>
              </c:numCache>
            </c:numRef>
          </c:yVal>
          <c:smooth val="0"/>
        </c:ser>
        <c:ser>
          <c:idx val="34"/>
          <c:order val="34"/>
          <c:spPr>
            <a:ln w="635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'One way Slab'!$OD$145:$OE$145</c:f>
              <c:numCache>
                <c:formatCode>0.00</c:formatCode>
                <c:ptCount val="2"/>
                <c:pt idx="0">
                  <c:v>0.45</c:v>
                </c:pt>
                <c:pt idx="1">
                  <c:v>0.55000000000000004</c:v>
                </c:pt>
              </c:numCache>
            </c:numRef>
          </c:xVal>
          <c:yVal>
            <c:numRef>
              <c:f>'One way Slab'!$OD$146:$OE$146</c:f>
              <c:numCache>
                <c:formatCode>0.00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148864"/>
        <c:axId val="160146560"/>
      </c:scatterChart>
      <c:valAx>
        <c:axId val="160148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60146560"/>
        <c:crosses val="autoZero"/>
        <c:crossBetween val="midCat"/>
      </c:valAx>
      <c:valAx>
        <c:axId val="1601465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60148864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866" l="0.70000000000000062" r="0.70000000000000062" t="0.75000000000000866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'One way Slab'!$NT$126</c:f>
              <c:strCache>
                <c:ptCount val="1"/>
                <c:pt idx="0">
                  <c:v>ขอบพื้นใน</c:v>
                </c:pt>
              </c:strCache>
            </c:strRef>
          </c:tx>
          <c:spPr>
            <a:ln w="63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'One way Slab'!$NU$127:$NY$127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'One way Slab'!$NU$128:$NY$128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1.5</c:v>
                </c:pt>
                <c:pt idx="3">
                  <c:v>1.5</c:v>
                </c:pt>
                <c:pt idx="4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'One way Slab'!$OA$126</c:f>
              <c:strCache>
                <c:ptCount val="1"/>
                <c:pt idx="0">
                  <c:v>ขอบพื้นนอก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Slab'!$OA$127:$OE$127</c:f>
              <c:numCache>
                <c:formatCode>General</c:formatCode>
                <c:ptCount val="5"/>
                <c:pt idx="0">
                  <c:v>-0.1</c:v>
                </c:pt>
                <c:pt idx="1">
                  <c:v>2.1</c:v>
                </c:pt>
                <c:pt idx="2">
                  <c:v>2.1</c:v>
                </c:pt>
                <c:pt idx="3">
                  <c:v>-0.1</c:v>
                </c:pt>
                <c:pt idx="4">
                  <c:v>-0.1</c:v>
                </c:pt>
              </c:numCache>
            </c:numRef>
          </c:xVal>
          <c:yVal>
            <c:numRef>
              <c:f>'One way Slab'!$OA$128:$OE$128</c:f>
              <c:numCache>
                <c:formatCode>General</c:formatCode>
                <c:ptCount val="5"/>
                <c:pt idx="0">
                  <c:v>-0.1</c:v>
                </c:pt>
                <c:pt idx="1">
                  <c:v>-0.1</c:v>
                </c:pt>
                <c:pt idx="2">
                  <c:v>1.6</c:v>
                </c:pt>
                <c:pt idx="3">
                  <c:v>1.6</c:v>
                </c:pt>
                <c:pt idx="4">
                  <c:v>-0.1</c:v>
                </c:pt>
              </c:numCache>
            </c:numRef>
          </c:yVal>
          <c:smooth val="0"/>
        </c:ser>
        <c:ser>
          <c:idx val="14"/>
          <c:order val="2"/>
          <c:tx>
            <c:strRef>
              <c:f>'One way Slab'!$NT$153</c:f>
              <c:strCache>
                <c:ptCount val="1"/>
                <c:pt idx="0">
                  <c:v>ระยะบนล่าง1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'One way Slab'!$NU$154:$NV$154</c:f>
              <c:numCache>
                <c:formatCode>General</c:formatCode>
                <c:ptCount val="2"/>
                <c:pt idx="0">
                  <c:v>-0.05</c:v>
                </c:pt>
                <c:pt idx="1">
                  <c:v>0.4</c:v>
                </c:pt>
              </c:numCache>
            </c:numRef>
          </c:xVal>
          <c:yVal>
            <c:numRef>
              <c:f>'One way Slab'!$NU$155:$NV$155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yVal>
          <c:smooth val="0"/>
        </c:ser>
        <c:ser>
          <c:idx val="15"/>
          <c:order val="3"/>
          <c:tx>
            <c:strRef>
              <c:f>'One way Slab'!$NT$153</c:f>
              <c:strCache>
                <c:ptCount val="1"/>
                <c:pt idx="0">
                  <c:v>ระยะบนล่าง1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Slab'!$NX$154:$NY$154</c:f>
              <c:numCache>
                <c:formatCode>General</c:formatCode>
                <c:ptCount val="2"/>
                <c:pt idx="0">
                  <c:v>-0.05</c:v>
                </c:pt>
                <c:pt idx="1">
                  <c:v>-0.05</c:v>
                </c:pt>
              </c:numCache>
            </c:numRef>
          </c:xVal>
          <c:yVal>
            <c:numRef>
              <c:f>'One way Slab'!$NX$155:$NY$155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16"/>
          <c:order val="4"/>
          <c:tx>
            <c:strRef>
              <c:f>'One way Slab'!$NT$153</c:f>
              <c:strCache>
                <c:ptCount val="1"/>
                <c:pt idx="0">
                  <c:v>ระยะบนล่าง1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'One way Slab'!$OA$154:$OB$154</c:f>
              <c:numCache>
                <c:formatCode>General</c:formatCode>
                <c:ptCount val="2"/>
                <c:pt idx="0">
                  <c:v>0.4</c:v>
                </c:pt>
                <c:pt idx="1">
                  <c:v>0.4</c:v>
                </c:pt>
              </c:numCache>
            </c:numRef>
          </c:xVal>
          <c:yVal>
            <c:numRef>
              <c:f>'One way Slab'!$OA$155:$OB$155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18"/>
          <c:order val="5"/>
          <c:tx>
            <c:strRef>
              <c:f>'One way Slab'!$OD$86:$OF$86</c:f>
              <c:strCache>
                <c:ptCount val="1"/>
                <c:pt idx="0">
                  <c:v>0.5 (L/3)</c:v>
                </c:pt>
              </c:strCache>
            </c:strRef>
          </c:tx>
          <c:marker>
            <c:symbol val="none"/>
          </c:marker>
          <c:xVal>
            <c:numRef>
              <c:f>'One way Slab'!$NZ$163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'One way Slab'!$NZ$164</c:f>
              <c:numCache>
                <c:formatCode>General</c:formatCode>
                <c:ptCount val="1"/>
                <c:pt idx="0">
                  <c:v>0.125</c:v>
                </c:pt>
              </c:numCache>
            </c:numRef>
          </c:yVal>
          <c:smooth val="0"/>
        </c:ser>
        <c:ser>
          <c:idx val="19"/>
          <c:order val="6"/>
          <c:tx>
            <c:strRef>
              <c:f>'One way Slab'!$NZ$120:$OC$120</c:f>
              <c:strCache>
                <c:ptCount val="1"/>
                <c:pt idx="0">
                  <c:v>0.1 m. thk.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2.2004031805357592E-3"/>
                  <c:y val="-2.348564176889529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Slab'!$NU$163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Slab'!$NU$164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20"/>
          <c:order val="7"/>
          <c:tx>
            <c:strRef>
              <c:f>'One way Slab'!$OA$159</c:f>
              <c:strCache>
                <c:ptCount val="1"/>
                <c:pt idx="0">
                  <c:v>แถบบน</c:v>
                </c:pt>
              </c:strCache>
            </c:strRef>
          </c:tx>
          <c:spPr>
            <a:ln w="12700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'One way Slab'!$OA$160:$OB$160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'One way Slab'!$OA$161:$OB$161</c:f>
              <c:numCache>
                <c:formatCode>General</c:formatCode>
                <c:ptCount val="2"/>
                <c:pt idx="0">
                  <c:v>1.65</c:v>
                </c:pt>
                <c:pt idx="1">
                  <c:v>1.65</c:v>
                </c:pt>
              </c:numCache>
            </c:numRef>
          </c:yVal>
          <c:smooth val="0"/>
        </c:ser>
        <c:ser>
          <c:idx val="21"/>
          <c:order val="8"/>
          <c:tx>
            <c:strRef>
              <c:f>'One way Slab'!$OD$159</c:f>
              <c:strCache>
                <c:ptCount val="1"/>
                <c:pt idx="0">
                  <c:v>แถบล่าง</c:v>
                </c:pt>
              </c:strCache>
            </c:strRef>
          </c:tx>
          <c:spPr>
            <a:ln w="12700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'One way Slab'!$OD$160:$OE$160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'One way Slab'!$OD$161:$OE$161</c:f>
              <c:numCache>
                <c:formatCode>General</c:formatCode>
                <c:ptCount val="2"/>
                <c:pt idx="0">
                  <c:v>-0.15</c:v>
                </c:pt>
                <c:pt idx="1">
                  <c:v>-0.15</c:v>
                </c:pt>
              </c:numCache>
            </c:numRef>
          </c:yVal>
          <c:smooth val="0"/>
        </c:ser>
        <c:ser>
          <c:idx val="33"/>
          <c:order val="9"/>
          <c:tx>
            <c:strRef>
              <c:f>'One way Slab'!$OB$170</c:f>
              <c:strCache>
                <c:ptCount val="1"/>
                <c:pt idx="0">
                  <c:v>RB9@0.25</c:v>
                </c:pt>
              </c:strCache>
            </c:strRef>
          </c:tx>
          <c:marker>
            <c:symbol val="none"/>
          </c:marker>
          <c:xVal>
            <c:numRef>
              <c:f>'One way Slab'!$OB$171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'One way Slab'!$OB$172</c:f>
              <c:numCache>
                <c:formatCode>General</c:formatCode>
                <c:ptCount val="1"/>
                <c:pt idx="0">
                  <c:v>0.3</c:v>
                </c:pt>
              </c:numCache>
            </c:numRef>
          </c:yVal>
          <c:smooth val="0"/>
        </c:ser>
        <c:ser>
          <c:idx val="2"/>
          <c:order val="10"/>
          <c:tx>
            <c:strRef>
              <c:f>'One way Slab'!$NT$174</c:f>
              <c:strCache>
                <c:ptCount val="1"/>
                <c:pt idx="0">
                  <c:v>เหล็กล่างตั้ง</c:v>
                </c:pt>
              </c:strCache>
            </c:strRef>
          </c:tx>
          <c:spPr>
            <a:ln w="3810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6497769804255085E-2"/>
                  <c:y val="4.4035144899898113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4064585150637997E-2"/>
                  <c:y val="-4.6970821226557866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'One way Slab'!$NU$175:$NV$175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'One way Slab'!$NU$176:$NV$176</c:f>
              <c:numCache>
                <c:formatCode>General</c:formatCode>
                <c:ptCount val="2"/>
                <c:pt idx="0">
                  <c:v>-0.1</c:v>
                </c:pt>
                <c:pt idx="1">
                  <c:v>1.6</c:v>
                </c:pt>
              </c:numCache>
            </c:numRef>
          </c:yVal>
          <c:smooth val="0"/>
        </c:ser>
        <c:ser>
          <c:idx val="3"/>
          <c:order val="11"/>
          <c:tx>
            <c:strRef>
              <c:f>'One way Slab'!$NT$138</c:f>
              <c:strCache>
                <c:ptCount val="1"/>
                <c:pt idx="0">
                  <c:v>เส้นบนบน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'One way Slab'!$NU$139:$NV$139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'One way Slab'!$NU$140:$NV$140</c:f>
              <c:numCache>
                <c:formatCode>General</c:formatCode>
                <c:ptCount val="2"/>
                <c:pt idx="0">
                  <c:v>1.3</c:v>
                </c:pt>
                <c:pt idx="1">
                  <c:v>1.3</c:v>
                </c:pt>
              </c:numCache>
            </c:numRef>
          </c:yVal>
          <c:smooth val="0"/>
        </c:ser>
        <c:ser>
          <c:idx val="4"/>
          <c:order val="12"/>
          <c:spPr>
            <a:ln>
              <a:solidFill>
                <a:srgbClr val="008000"/>
              </a:solidFill>
            </a:ln>
          </c:spPr>
          <c:marker>
            <c:symbol val="circle"/>
            <c:size val="10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'One way Slab'!$NX$139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Slab'!$NX$140</c:f>
              <c:numCache>
                <c:formatCode>General</c:formatCode>
                <c:ptCount val="1"/>
                <c:pt idx="0">
                  <c:v>1.3</c:v>
                </c:pt>
              </c:numCache>
            </c:numRef>
          </c:yVal>
          <c:smooth val="0"/>
        </c:ser>
        <c:ser>
          <c:idx val="5"/>
          <c:order val="13"/>
          <c:tx>
            <c:strRef>
              <c:f>'One way Slab'!$NX$166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0"/>
                  <c:y val="4.109946857323821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Slab'!$NX$167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Slab'!$NX$168</c:f>
              <c:numCache>
                <c:formatCode>General</c:formatCode>
                <c:ptCount val="1"/>
                <c:pt idx="0">
                  <c:v>1.5</c:v>
                </c:pt>
              </c:numCache>
            </c:numRef>
          </c:yVal>
          <c:smooth val="0"/>
        </c:ser>
        <c:ser>
          <c:idx val="6"/>
          <c:order val="14"/>
          <c:tx>
            <c:strRef>
              <c:f>'One way Slab'!$OD$147</c:f>
              <c:strCache>
                <c:ptCount val="1"/>
                <c:pt idx="0">
                  <c:v>ระยะล่างซ้าย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'One way Slab'!$OD$148:$OE$148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xVal>
          <c:yVal>
            <c:numRef>
              <c:f>'One way Slab'!$OD$149:$OE$149</c:f>
              <c:numCache>
                <c:formatCode>General</c:formatCode>
                <c:ptCount val="2"/>
                <c:pt idx="0">
                  <c:v>-0.05</c:v>
                </c:pt>
                <c:pt idx="1">
                  <c:v>1.55</c:v>
                </c:pt>
              </c:numCache>
            </c:numRef>
          </c:yVal>
          <c:smooth val="0"/>
        </c:ser>
        <c:ser>
          <c:idx val="7"/>
          <c:order val="1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Slab'!$OG$148:$OH$148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'One way Slab'!$OG$149:$OH$149</c:f>
              <c:numCache>
                <c:formatCode>General</c:formatCode>
                <c:ptCount val="2"/>
                <c:pt idx="0">
                  <c:v>1.55</c:v>
                </c:pt>
                <c:pt idx="1">
                  <c:v>1.55</c:v>
                </c:pt>
              </c:numCache>
            </c:numRef>
          </c:yVal>
          <c:smooth val="0"/>
        </c:ser>
        <c:ser>
          <c:idx val="8"/>
          <c:order val="1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Slab'!$NX$148:$NY$148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'One way Slab'!$NX$149:$NY$149</c:f>
              <c:numCache>
                <c:formatCode>General</c:formatCode>
                <c:ptCount val="2"/>
                <c:pt idx="0">
                  <c:v>-0.05</c:v>
                </c:pt>
                <c:pt idx="1">
                  <c:v>-0.05</c:v>
                </c:pt>
              </c:numCache>
            </c:numRef>
          </c:yVal>
          <c:smooth val="0"/>
        </c:ser>
        <c:ser>
          <c:idx val="9"/>
          <c:order val="17"/>
          <c:tx>
            <c:strRef>
              <c:f>'One way Slab'!$H$24:$J$24</c:f>
              <c:strCache>
                <c:ptCount val="1"/>
                <c:pt idx="0">
                  <c:v>1.50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Slab'!$OJ$148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'One way Slab'!$OJ$149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10"/>
          <c:order val="18"/>
          <c:tx>
            <c:strRef>
              <c:f>'One way Slab'!$OD$153</c:f>
              <c:strCache>
                <c:ptCount val="1"/>
                <c:pt idx="0">
                  <c:v>ระยะล่างล่าง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'One way Slab'!$OD$154:$OE$154</c:f>
              <c:numCache>
                <c:formatCode>General</c:formatCode>
                <c:ptCount val="2"/>
                <c:pt idx="0">
                  <c:v>-0.05</c:v>
                </c:pt>
                <c:pt idx="1">
                  <c:v>2.0499999999999998</c:v>
                </c:pt>
              </c:numCache>
            </c:numRef>
          </c:xVal>
          <c:yVal>
            <c:numRef>
              <c:f>'One way Slab'!$OD$155:$OE$155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yVal>
          <c:smooth val="0"/>
        </c:ser>
        <c:ser>
          <c:idx val="11"/>
          <c:order val="1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Slab'!$OG$154:$OH$154</c:f>
              <c:numCache>
                <c:formatCode>General</c:formatCode>
                <c:ptCount val="2"/>
                <c:pt idx="0">
                  <c:v>2.0499999999999998</c:v>
                </c:pt>
                <c:pt idx="1">
                  <c:v>2.0499999999999998</c:v>
                </c:pt>
              </c:numCache>
            </c:numRef>
          </c:xVal>
          <c:yVal>
            <c:numRef>
              <c:f>'One way Slab'!$OG$155:$OH$155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12"/>
          <c:order val="20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Slab'!$NX$154:$NY$154</c:f>
              <c:numCache>
                <c:formatCode>General</c:formatCode>
                <c:ptCount val="2"/>
                <c:pt idx="0">
                  <c:v>-0.05</c:v>
                </c:pt>
                <c:pt idx="1">
                  <c:v>-0.05</c:v>
                </c:pt>
              </c:numCache>
            </c:numRef>
          </c:xVal>
          <c:yVal>
            <c:numRef>
              <c:f>'One way Slab'!$NX$155:$NY$155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13"/>
          <c:order val="21"/>
          <c:tx>
            <c:strRef>
              <c:f>'One way Slab'!$H$26:$J$26</c:f>
              <c:strCache>
                <c:ptCount val="1"/>
                <c:pt idx="0">
                  <c:v>4.00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Slab'!$OJ$154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Slab'!$OJ$155</c:f>
              <c:numCache>
                <c:formatCode>General</c:formatCode>
                <c:ptCount val="1"/>
                <c:pt idx="0">
                  <c:v>-0.43</c:v>
                </c:pt>
              </c:numCache>
            </c:numRef>
          </c:yVal>
          <c:smooth val="0"/>
        </c:ser>
        <c:ser>
          <c:idx val="17"/>
          <c:order val="22"/>
          <c:tx>
            <c:strRef>
              <c:f>'One way Slab'!$NX$174</c:f>
              <c:strCache>
                <c:ptCount val="1"/>
                <c:pt idx="0">
                  <c:v>เหล็กล่างนอน</c:v>
                </c:pt>
              </c:strCache>
            </c:strRef>
          </c:tx>
          <c:spPr>
            <a:ln w="22225" cap="sq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6.5150478796169628E-2"/>
                  <c:y val="5.4886402376090842E-17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9.6519227846177183E-3"/>
                  <c:y val="5.4886402376090842E-17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</a:t>
                    </a:r>
                    <a:r>
                      <a:rPr lang="en-US"/>
                      <a:t>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solidFill>
                      <a:srgbClr val="FF0000"/>
                    </a:solidFill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'One way Slab'!$NX$175:$NY$175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'One way Slab'!$NX$176:$NY$176</c:f>
              <c:numCache>
                <c:formatCode>General</c:formatCode>
                <c:ptCount val="2"/>
                <c:pt idx="0">
                  <c:v>0.75</c:v>
                </c:pt>
                <c:pt idx="1">
                  <c:v>0.75</c:v>
                </c:pt>
              </c:numCache>
            </c:numRef>
          </c:yVal>
          <c:smooth val="0"/>
        </c:ser>
        <c:ser>
          <c:idx val="22"/>
          <c:order val="23"/>
          <c:tx>
            <c:strRef>
              <c:f>'One way Slab'!$NT$141</c:f>
              <c:strCache>
                <c:ptCount val="1"/>
                <c:pt idx="0">
                  <c:v>เส้นบนซ้าย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'One way Slab'!$OB$175:$OC$175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xVal>
          <c:yVal>
            <c:numRef>
              <c:f>'One way Slab'!$OB$176:$OC$176</c:f>
              <c:numCache>
                <c:formatCode>General</c:formatCode>
                <c:ptCount val="2"/>
                <c:pt idx="0">
                  <c:v>0</c:v>
                </c:pt>
                <c:pt idx="1">
                  <c:v>1.5</c:v>
                </c:pt>
              </c:numCache>
            </c:numRef>
          </c:yVal>
          <c:smooth val="0"/>
        </c:ser>
        <c:ser>
          <c:idx val="23"/>
          <c:order val="24"/>
          <c:marker>
            <c:symbol val="circle"/>
            <c:size val="10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'One way Slab'!$OE$175</c:f>
              <c:numCache>
                <c:formatCode>General</c:formatCode>
                <c:ptCount val="1"/>
                <c:pt idx="0">
                  <c:v>0.2</c:v>
                </c:pt>
              </c:numCache>
            </c:numRef>
          </c:xVal>
          <c:yVal>
            <c:numRef>
              <c:f>'One way Slab'!$OE$176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24"/>
          <c:order val="25"/>
          <c:tx>
            <c:strRef>
              <c:f>'One way Slab'!$NX$170</c:f>
              <c:strCache>
                <c:ptCount val="1"/>
                <c:pt idx="0">
                  <c:v>RB9@0.25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7.7191331426893156E-3"/>
                  <c:y val="-7.261383836212380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/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Slab'!$NX$171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'One way Slab'!$NX$172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150016"/>
        <c:axId val="160151168"/>
      </c:scatterChart>
      <c:valAx>
        <c:axId val="1601500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60151168"/>
        <c:crosses val="autoZero"/>
        <c:crossBetween val="midCat"/>
      </c:valAx>
      <c:valAx>
        <c:axId val="1601511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60150016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877" l="0.70000000000000062" r="0.70000000000000062" t="0.75000000000000877" header="0.30000000000000032" footer="0.3000000000000003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4901960784314926E-2"/>
          <c:y val="5.9700854700854698E-2"/>
          <c:w val="0.95434640522875813"/>
          <c:h val="0.88059829059829065"/>
        </c:manualLayout>
      </c:layout>
      <c:scatterChart>
        <c:scatterStyle val="lineMarker"/>
        <c:varyColors val="0"/>
        <c:ser>
          <c:idx val="0"/>
          <c:order val="0"/>
          <c:tx>
            <c:strRef>
              <c:f>'One way Slab'!$NT$50</c:f>
              <c:strCache>
                <c:ptCount val="1"/>
                <c:pt idx="0">
                  <c:v>คาน1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Slab'!$NU$51:$NY$51</c:f>
              <c:numCache>
                <c:formatCode>General</c:formatCode>
                <c:ptCount val="5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'One way Slab'!$NU$52:$NY$52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-0.4</c:v>
                </c:pt>
                <c:pt idx="3">
                  <c:v>-0.4</c:v>
                </c:pt>
                <c:pt idx="4">
                  <c:v>-0.125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'One way Slab'!$NT$53</c:f>
              <c:strCache>
                <c:ptCount val="1"/>
                <c:pt idx="0">
                  <c:v>คาน2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Slab'!$NU$54:$NY$54</c:f>
              <c:numCache>
                <c:formatCode>General</c:formatCode>
                <c:ptCount val="5"/>
                <c:pt idx="0">
                  <c:v>2</c:v>
                </c:pt>
                <c:pt idx="1">
                  <c:v>2.2000000000000002</c:v>
                </c:pt>
                <c:pt idx="2">
                  <c:v>2.2000000000000002</c:v>
                </c:pt>
                <c:pt idx="3">
                  <c:v>2</c:v>
                </c:pt>
                <c:pt idx="4">
                  <c:v>2</c:v>
                </c:pt>
              </c:numCache>
            </c:numRef>
          </c:xVal>
          <c:yVal>
            <c:numRef>
              <c:f>'One way Slab'!$NU$55:$NY$55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-0.4</c:v>
                </c:pt>
                <c:pt idx="3">
                  <c:v>-0.4</c:v>
                </c:pt>
                <c:pt idx="4">
                  <c:v>-0.125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'One way Slab'!$NT$56</c:f>
              <c:strCache>
                <c:ptCount val="1"/>
                <c:pt idx="0">
                  <c:v>พื้นบน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Slab'!$NU$57:$NV$57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'One way Slab'!$NU$58:$NV$58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'One way Slab'!$NX$56</c:f>
              <c:strCache>
                <c:ptCount val="1"/>
                <c:pt idx="0">
                  <c:v>พื้นล่าง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Slab'!$NY$57:$NZ$57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'One way Slab'!$NY$58:$NZ$58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'One way Slab'!$NT$59</c:f>
              <c:strCache>
                <c:ptCount val="1"/>
                <c:pt idx="0">
                  <c:v>เหล็กล่าง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Slab'!$NU$60:$NV$60</c:f>
              <c:numCache>
                <c:formatCode>General</c:formatCode>
                <c:ptCount val="2"/>
                <c:pt idx="0">
                  <c:v>-0.14000000000000001</c:v>
                </c:pt>
                <c:pt idx="1">
                  <c:v>2.14</c:v>
                </c:pt>
              </c:numCache>
            </c:numRef>
          </c:xVal>
          <c:yVal>
            <c:numRef>
              <c:f>'One way Slab'!$NU$61:$NV$61</c:f>
              <c:numCache>
                <c:formatCode>General</c:formatCode>
                <c:ptCount val="2"/>
                <c:pt idx="0">
                  <c:v>-9.5000000000000001E-2</c:v>
                </c:pt>
                <c:pt idx="1">
                  <c:v>-9.5000000000000001E-2</c:v>
                </c:pt>
              </c:numCache>
            </c:numRef>
          </c:yVal>
          <c:smooth val="0"/>
        </c:ser>
        <c:ser>
          <c:idx val="5"/>
          <c:order val="5"/>
          <c:marker>
            <c:symbol val="none"/>
          </c:marker>
          <c:xVal>
            <c:numRef>
              <c:f>'One way Slab'!$NW$60</c:f>
              <c:numCache>
                <c:formatCode>General</c:formatCode>
                <c:ptCount val="1"/>
              </c:numCache>
            </c:numRef>
          </c:xVal>
          <c:yVal>
            <c:numRef>
              <c:f>'One way Slab'!$NW$61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6"/>
          <c:order val="6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Slab'!$NX$60:$NY$60</c:f>
              <c:numCache>
                <c:formatCode>General</c:formatCode>
                <c:ptCount val="2"/>
                <c:pt idx="0">
                  <c:v>-0.14000000000000001</c:v>
                </c:pt>
                <c:pt idx="1">
                  <c:v>-0.14000000000000001</c:v>
                </c:pt>
              </c:numCache>
            </c:numRef>
          </c:xVal>
          <c:yVal>
            <c:numRef>
              <c:f>'One way Slab'!$NX$61:$NY$61</c:f>
              <c:numCache>
                <c:formatCode>General</c:formatCode>
                <c:ptCount val="2"/>
                <c:pt idx="0">
                  <c:v>-9.5000000000000001E-2</c:v>
                </c:pt>
                <c:pt idx="1">
                  <c:v>-5.5E-2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Slab'!$OA$60:$OB$60</c:f>
              <c:numCache>
                <c:formatCode>General</c:formatCode>
                <c:ptCount val="2"/>
                <c:pt idx="0">
                  <c:v>2.14</c:v>
                </c:pt>
                <c:pt idx="1">
                  <c:v>2.14</c:v>
                </c:pt>
              </c:numCache>
            </c:numRef>
          </c:xVal>
          <c:yVal>
            <c:numRef>
              <c:f>'One way Slab'!$OA$61:$OB$61</c:f>
              <c:numCache>
                <c:formatCode>General</c:formatCode>
                <c:ptCount val="2"/>
                <c:pt idx="0">
                  <c:v>-9.5000000000000001E-2</c:v>
                </c:pt>
                <c:pt idx="1">
                  <c:v>-5.5E-2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'One way Slab'!$NT$62</c:f>
              <c:strCache>
                <c:ptCount val="1"/>
                <c:pt idx="0">
                  <c:v>เหล็กบนซ้าย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Slab'!$NU$63:$NV$63</c:f>
              <c:numCache>
                <c:formatCode>General</c:formatCode>
                <c:ptCount val="2"/>
                <c:pt idx="0">
                  <c:v>-0.17</c:v>
                </c:pt>
                <c:pt idx="1">
                  <c:v>0.5</c:v>
                </c:pt>
              </c:numCache>
            </c:numRef>
          </c:xVal>
          <c:yVal>
            <c:numRef>
              <c:f>'One way Slab'!$NU$64:$NV$64</c:f>
              <c:numCache>
                <c:formatCode>General</c:formatCode>
                <c:ptCount val="2"/>
                <c:pt idx="0">
                  <c:v>-0.03</c:v>
                </c:pt>
                <c:pt idx="1">
                  <c:v>-0.03</c:v>
                </c:pt>
              </c:numCache>
            </c:numRef>
          </c:yVal>
          <c:smooth val="0"/>
        </c:ser>
        <c:ser>
          <c:idx val="9"/>
          <c:order val="9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Slab'!$NX$63:$NY$63</c:f>
              <c:numCache>
                <c:formatCode>General</c:formatCode>
                <c:ptCount val="2"/>
                <c:pt idx="0">
                  <c:v>-0.17</c:v>
                </c:pt>
                <c:pt idx="1">
                  <c:v>-0.17</c:v>
                </c:pt>
              </c:numCache>
            </c:numRef>
          </c:xVal>
          <c:yVal>
            <c:numRef>
              <c:f>'One way Slab'!$NX$64:$NY$64</c:f>
              <c:numCache>
                <c:formatCode>General</c:formatCode>
                <c:ptCount val="2"/>
                <c:pt idx="0">
                  <c:v>-0.03</c:v>
                </c:pt>
                <c:pt idx="1">
                  <c:v>-0.28000000000000003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'One way Slab'!$NT$65</c:f>
              <c:strCache>
                <c:ptCount val="1"/>
                <c:pt idx="0">
                  <c:v>เหล็กบนขวา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Slab'!$NU$66:$NV$66</c:f>
              <c:numCache>
                <c:formatCode>General</c:formatCode>
                <c:ptCount val="2"/>
                <c:pt idx="0">
                  <c:v>1.5</c:v>
                </c:pt>
                <c:pt idx="1">
                  <c:v>2.17</c:v>
                </c:pt>
              </c:numCache>
            </c:numRef>
          </c:xVal>
          <c:yVal>
            <c:numRef>
              <c:f>'One way Slab'!$NU$67:$NV$67</c:f>
              <c:numCache>
                <c:formatCode>General</c:formatCode>
                <c:ptCount val="2"/>
                <c:pt idx="0">
                  <c:v>-0.03</c:v>
                </c:pt>
                <c:pt idx="1">
                  <c:v>-0.03</c:v>
                </c:pt>
              </c:numCache>
            </c:numRef>
          </c:yVal>
          <c:smooth val="0"/>
        </c:ser>
        <c:ser>
          <c:idx val="11"/>
          <c:order val="11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Slab'!$NX$66:$NY$66</c:f>
              <c:numCache>
                <c:formatCode>General</c:formatCode>
                <c:ptCount val="2"/>
                <c:pt idx="0">
                  <c:v>2.17</c:v>
                </c:pt>
                <c:pt idx="1">
                  <c:v>2.17</c:v>
                </c:pt>
              </c:numCache>
            </c:numRef>
          </c:xVal>
          <c:yVal>
            <c:numRef>
              <c:f>'One way Slab'!$NX$67:$NY$67</c:f>
              <c:numCache>
                <c:formatCode>General</c:formatCode>
                <c:ptCount val="2"/>
                <c:pt idx="0">
                  <c:v>-0.03</c:v>
                </c:pt>
                <c:pt idx="1">
                  <c:v>-0.28000000000000003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'One way Slab'!$NT$68</c:f>
              <c:strCache>
                <c:ptCount val="1"/>
                <c:pt idx="0">
                  <c:v>เม็ดล่าง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'One way Slab'!$NU$69:$OE$69</c:f>
              <c:numCache>
                <c:formatCode>General</c:formatCode>
                <c:ptCount val="1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</c:numCache>
            </c:numRef>
          </c:xVal>
          <c:yVal>
            <c:numRef>
              <c:f>'One way Slab'!$NU$70:$OE$70</c:f>
              <c:numCache>
                <c:formatCode>General</c:formatCode>
                <c:ptCount val="11"/>
                <c:pt idx="0">
                  <c:v>-0.08</c:v>
                </c:pt>
                <c:pt idx="1">
                  <c:v>-0.08</c:v>
                </c:pt>
                <c:pt idx="2">
                  <c:v>-0.08</c:v>
                </c:pt>
                <c:pt idx="3">
                  <c:v>-0.08</c:v>
                </c:pt>
                <c:pt idx="4">
                  <c:v>-0.08</c:v>
                </c:pt>
                <c:pt idx="5">
                  <c:v>-0.08</c:v>
                </c:pt>
                <c:pt idx="6">
                  <c:v>-0.08</c:v>
                </c:pt>
                <c:pt idx="7">
                  <c:v>-0.08</c:v>
                </c:pt>
                <c:pt idx="8">
                  <c:v>-0.08</c:v>
                </c:pt>
                <c:pt idx="9">
                  <c:v>-0.08</c:v>
                </c:pt>
                <c:pt idx="10">
                  <c:v>-0.08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'One way Slab'!$NT$71</c:f>
              <c:strCache>
                <c:ptCount val="1"/>
                <c:pt idx="0">
                  <c:v>เม็ดบน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ysClr val="windowText" lastClr="000000"/>
                </a:solidFill>
              </a:ln>
            </c:spPr>
          </c:marker>
          <c:xVal>
            <c:numRef>
              <c:f>'One way Slab'!$NU$72:$NZ$72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1.6</c:v>
                </c:pt>
                <c:pt idx="4">
                  <c:v>1.8</c:v>
                </c:pt>
                <c:pt idx="5">
                  <c:v>2</c:v>
                </c:pt>
              </c:numCache>
            </c:numRef>
          </c:xVal>
          <c:yVal>
            <c:numRef>
              <c:f>'One way Slab'!$NU$73:$NZ$73</c:f>
              <c:numCache>
                <c:formatCode>General</c:formatCode>
                <c:ptCount val="6"/>
                <c:pt idx="0">
                  <c:v>-4.4999999999999998E-2</c:v>
                </c:pt>
                <c:pt idx="1">
                  <c:v>-4.4999999999999998E-2</c:v>
                </c:pt>
                <c:pt idx="2">
                  <c:v>-4.4999999999999998E-2</c:v>
                </c:pt>
                <c:pt idx="3">
                  <c:v>-4.4999999999999998E-2</c:v>
                </c:pt>
                <c:pt idx="4">
                  <c:v>-4.4999999999999998E-2</c:v>
                </c:pt>
                <c:pt idx="5">
                  <c:v>-4.4999999999999998E-2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'One way Slab'!$NT$74</c:f>
              <c:strCache>
                <c:ptCount val="1"/>
                <c:pt idx="0">
                  <c:v>เส้นย่อ1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'One way Slab'!$NU$75:$NV$75</c:f>
              <c:numCache>
                <c:formatCode>General</c:formatCode>
                <c:ptCount val="2"/>
                <c:pt idx="0">
                  <c:v>0.98499999999999999</c:v>
                </c:pt>
                <c:pt idx="1">
                  <c:v>0.98499999999999999</c:v>
                </c:pt>
              </c:numCache>
            </c:numRef>
          </c:xVal>
          <c:yVal>
            <c:numRef>
              <c:f>'One way Slab'!$NU$76:$NV$76</c:f>
              <c:numCache>
                <c:formatCode>General</c:formatCode>
                <c:ptCount val="2"/>
                <c:pt idx="0">
                  <c:v>0.05</c:v>
                </c:pt>
                <c:pt idx="1">
                  <c:v>-0.17499999999999999</c:v>
                </c:pt>
              </c:numCache>
            </c:numRef>
          </c:yVal>
          <c:smooth val="0"/>
        </c:ser>
        <c:ser>
          <c:idx val="15"/>
          <c:order val="15"/>
          <c:tx>
            <c:strRef>
              <c:f>'One way Slab'!$NX$74</c:f>
              <c:strCache>
                <c:ptCount val="1"/>
                <c:pt idx="0">
                  <c:v>เส้นย่อ2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'One way Slab'!$NY$75:$NZ$75</c:f>
              <c:numCache>
                <c:formatCode>General</c:formatCode>
                <c:ptCount val="2"/>
                <c:pt idx="0">
                  <c:v>1.0149999999999999</c:v>
                </c:pt>
                <c:pt idx="1">
                  <c:v>1.0149999999999999</c:v>
                </c:pt>
              </c:numCache>
            </c:numRef>
          </c:xVal>
          <c:yVal>
            <c:numRef>
              <c:f>'One way Slab'!$NY$76:$NZ$76</c:f>
              <c:numCache>
                <c:formatCode>General</c:formatCode>
                <c:ptCount val="2"/>
                <c:pt idx="0">
                  <c:v>0.05</c:v>
                </c:pt>
                <c:pt idx="1">
                  <c:v>-0.17499999999999999</c:v>
                </c:pt>
              </c:numCache>
            </c:numRef>
          </c:yVal>
          <c:smooth val="0"/>
        </c:ser>
        <c:ser>
          <c:idx val="16"/>
          <c:order val="16"/>
          <c:tx>
            <c:strRef>
              <c:f>'One way Slab'!$NT$77</c:f>
              <c:strCache>
                <c:ptCount val="1"/>
                <c:pt idx="0">
                  <c:v>dim1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Slab'!$NU$78:$NV$78</c:f>
              <c:numCache>
                <c:formatCode>General</c:formatCode>
                <c:ptCount val="2"/>
                <c:pt idx="0">
                  <c:v>-0.28999999999999998</c:v>
                </c:pt>
                <c:pt idx="1">
                  <c:v>-0.37</c:v>
                </c:pt>
              </c:numCache>
            </c:numRef>
          </c:xVal>
          <c:yVal>
            <c:numRef>
              <c:f>'One way Slab'!$NU$79:$NV$79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7"/>
          <c:order val="17"/>
          <c:tx>
            <c:strRef>
              <c:f>'One way Slab'!$NX$77</c:f>
              <c:strCache>
                <c:ptCount val="1"/>
                <c:pt idx="0">
                  <c:v>dim2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Slab'!$NX$78:$NY$78</c:f>
              <c:numCache>
                <c:formatCode>General</c:formatCode>
                <c:ptCount val="2"/>
                <c:pt idx="0">
                  <c:v>-0.28999999999999998</c:v>
                </c:pt>
                <c:pt idx="1">
                  <c:v>-0.37</c:v>
                </c:pt>
              </c:numCache>
            </c:numRef>
          </c:xVal>
          <c:yVal>
            <c:numRef>
              <c:f>'One way Slab'!$NX$79:$NY$79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18"/>
          <c:order val="18"/>
          <c:tx>
            <c:strRef>
              <c:f>'One way Slab'!$OA$77</c:f>
              <c:strCache>
                <c:ptCount val="1"/>
                <c:pt idx="0">
                  <c:v>dim3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'One way Slab'!$OA$78:$OB$78</c:f>
              <c:numCache>
                <c:formatCode>General</c:formatCode>
                <c:ptCount val="2"/>
                <c:pt idx="0">
                  <c:v>-0.33</c:v>
                </c:pt>
                <c:pt idx="1">
                  <c:v>-0.33</c:v>
                </c:pt>
              </c:numCache>
            </c:numRef>
          </c:xVal>
          <c:yVal>
            <c:numRef>
              <c:f>'One way Slab'!$OA$79:$OB$79</c:f>
              <c:numCache>
                <c:formatCode>General</c:formatCode>
                <c:ptCount val="2"/>
                <c:pt idx="0">
                  <c:v>0</c:v>
                </c:pt>
                <c:pt idx="1">
                  <c:v>-0.125</c:v>
                </c:pt>
              </c:numCache>
            </c:numRef>
          </c:yVal>
          <c:smooth val="0"/>
        </c:ser>
        <c:ser>
          <c:idx val="19"/>
          <c:order val="19"/>
          <c:tx>
            <c:strRef>
              <c:f>'One way Slab'!$NT$80</c:f>
              <c:strCache>
                <c:ptCount val="1"/>
                <c:pt idx="0">
                  <c:v>dim4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Slab'!$NU$81:$NV$81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'One way Slab'!$NU$82:$NV$82</c:f>
              <c:numCache>
                <c:formatCode>General</c:formatCode>
                <c:ptCount val="2"/>
                <c:pt idx="0">
                  <c:v>-0.66</c:v>
                </c:pt>
                <c:pt idx="1">
                  <c:v>-0.74</c:v>
                </c:pt>
              </c:numCache>
            </c:numRef>
          </c:yVal>
          <c:smooth val="0"/>
        </c:ser>
        <c:ser>
          <c:idx val="20"/>
          <c:order val="20"/>
          <c:tx>
            <c:strRef>
              <c:f>'One way Slab'!$NX$80</c:f>
              <c:strCache>
                <c:ptCount val="1"/>
                <c:pt idx="0">
                  <c:v>dim5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Slab'!$NX$81:$NY$81</c:f>
              <c:numCache>
                <c:formatCode>General</c:formatCode>
                <c:ptCount val="2"/>
                <c:pt idx="0">
                  <c:v>2.1</c:v>
                </c:pt>
                <c:pt idx="1">
                  <c:v>2.1</c:v>
                </c:pt>
              </c:numCache>
            </c:numRef>
          </c:xVal>
          <c:yVal>
            <c:numRef>
              <c:f>'One way Slab'!$NX$82:$NY$82</c:f>
              <c:numCache>
                <c:formatCode>General</c:formatCode>
                <c:ptCount val="2"/>
                <c:pt idx="0">
                  <c:v>-0.66</c:v>
                </c:pt>
                <c:pt idx="1">
                  <c:v>-0.74</c:v>
                </c:pt>
              </c:numCache>
            </c:numRef>
          </c:yVal>
          <c:smooth val="0"/>
        </c:ser>
        <c:ser>
          <c:idx val="21"/>
          <c:order val="21"/>
          <c:tx>
            <c:strRef>
              <c:f>'One way Slab'!$OA$80</c:f>
              <c:strCache>
                <c:ptCount val="1"/>
                <c:pt idx="0">
                  <c:v>dim6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'One way Slab'!$OA$81:$OB$81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'One way Slab'!$OA$82:$OB$82</c:f>
              <c:numCache>
                <c:formatCode>General</c:formatCode>
                <c:ptCount val="2"/>
                <c:pt idx="0">
                  <c:v>-0.7</c:v>
                </c:pt>
                <c:pt idx="1">
                  <c:v>-0.7</c:v>
                </c:pt>
              </c:numCache>
            </c:numRef>
          </c:yVal>
          <c:smooth val="0"/>
        </c:ser>
        <c:ser>
          <c:idx val="22"/>
          <c:order val="22"/>
          <c:tx>
            <c:strRef>
              <c:f>'One way Slab'!$NT$83</c:f>
              <c:strCache>
                <c:ptCount val="1"/>
                <c:pt idx="0">
                  <c:v>dim7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Slab'!$NU$84:$NV$84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'One way Slab'!$NU$85:$NV$85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3"/>
          <c:order val="23"/>
          <c:tx>
            <c:strRef>
              <c:f>'One way Slab'!$NX$83</c:f>
              <c:strCache>
                <c:ptCount val="1"/>
                <c:pt idx="0">
                  <c:v>dim8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Slab'!$NX$84:$NY$84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'One way Slab'!$NX$85:$NY$85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4"/>
          <c:order val="24"/>
          <c:tx>
            <c:strRef>
              <c:f>'One way Slab'!$OA$83</c:f>
              <c:strCache>
                <c:ptCount val="1"/>
                <c:pt idx="0">
                  <c:v>dim9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'One way Slab'!$OA$84:$OB$84</c:f>
              <c:numCache>
                <c:formatCode>General</c:formatCode>
                <c:ptCount val="2"/>
                <c:pt idx="0">
                  <c:v>-0.1</c:v>
                </c:pt>
                <c:pt idx="1">
                  <c:v>0.5</c:v>
                </c:pt>
              </c:numCache>
            </c:numRef>
          </c:xVal>
          <c:yVal>
            <c:numRef>
              <c:f>'One way Slab'!$OA$85:$OB$85</c:f>
              <c:numCache>
                <c:formatCode>General</c:formatCode>
                <c:ptCount val="2"/>
                <c:pt idx="0">
                  <c:v>-0.55000000000000004</c:v>
                </c:pt>
                <c:pt idx="1">
                  <c:v>-0.55000000000000004</c:v>
                </c:pt>
              </c:numCache>
            </c:numRef>
          </c:yVal>
          <c:smooth val="0"/>
        </c:ser>
        <c:ser>
          <c:idx val="25"/>
          <c:order val="25"/>
          <c:tx>
            <c:strRef>
              <c:f>'One way Slab'!$NT$86</c:f>
              <c:strCache>
                <c:ptCount val="1"/>
                <c:pt idx="0">
                  <c:v>dim10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Slab'!$NU$87:$NV$87</c:f>
              <c:numCache>
                <c:formatCode>General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xVal>
          <c:yVal>
            <c:numRef>
              <c:f>'One way Slab'!$NU$88:$NV$88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6"/>
          <c:order val="26"/>
          <c:tx>
            <c:strRef>
              <c:f>'One way Slab'!$NX$86</c:f>
              <c:strCache>
                <c:ptCount val="1"/>
                <c:pt idx="0">
                  <c:v>dim11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Slab'!$NX$87:$NY$87</c:f>
              <c:numCache>
                <c:formatCode>General</c:formatCode>
                <c:ptCount val="2"/>
                <c:pt idx="0">
                  <c:v>2.1</c:v>
                </c:pt>
                <c:pt idx="1">
                  <c:v>2.1</c:v>
                </c:pt>
              </c:numCache>
            </c:numRef>
          </c:xVal>
          <c:yVal>
            <c:numRef>
              <c:f>'One way Slab'!$NX$88:$NY$88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7"/>
          <c:order val="27"/>
          <c:tx>
            <c:strRef>
              <c:f>'One way Slab'!$OA$86</c:f>
              <c:strCache>
                <c:ptCount val="1"/>
                <c:pt idx="0">
                  <c:v>dim12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'One way Slab'!$OA$87:$OB$87</c:f>
              <c:numCache>
                <c:formatCode>General</c:formatCode>
                <c:ptCount val="2"/>
                <c:pt idx="0">
                  <c:v>1.5</c:v>
                </c:pt>
                <c:pt idx="1">
                  <c:v>2.1</c:v>
                </c:pt>
              </c:numCache>
            </c:numRef>
          </c:xVal>
          <c:yVal>
            <c:numRef>
              <c:f>'One way Slab'!$OA$88:$OB$88</c:f>
              <c:numCache>
                <c:formatCode>General</c:formatCode>
                <c:ptCount val="2"/>
                <c:pt idx="0">
                  <c:v>-0.55000000000000004</c:v>
                </c:pt>
                <c:pt idx="1">
                  <c:v>-0.55000000000000004</c:v>
                </c:pt>
              </c:numCache>
            </c:numRef>
          </c:yVal>
          <c:smooth val="0"/>
        </c:ser>
        <c:ser>
          <c:idx val="28"/>
          <c:order val="28"/>
          <c:tx>
            <c:strRef>
              <c:f>'One way Slab'!$NT$89</c:f>
              <c:strCache>
                <c:ptCount val="1"/>
                <c:pt idx="0">
                  <c:v>ชี้เม็ดบนซ้าย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'One way Slab'!$NU$90:$NV$90</c:f>
              <c:numCache>
                <c:formatCode>General</c:formatCode>
                <c:ptCount val="2"/>
                <c:pt idx="0">
                  <c:v>0.4</c:v>
                </c:pt>
                <c:pt idx="1">
                  <c:v>0.4</c:v>
                </c:pt>
              </c:numCache>
            </c:numRef>
          </c:xVal>
          <c:yVal>
            <c:numRef>
              <c:f>'One way Slab'!$NU$91:$NV$91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0.105</c:v>
                </c:pt>
              </c:numCache>
            </c:numRef>
          </c:yVal>
          <c:smooth val="0"/>
        </c:ser>
        <c:ser>
          <c:idx val="29"/>
          <c:order val="29"/>
          <c:tx>
            <c:strRef>
              <c:f>'One way Slab'!$NT$89</c:f>
              <c:strCache>
                <c:ptCount val="1"/>
                <c:pt idx="0">
                  <c:v>ชี้เม็ดบนซ้าย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Slab'!$NX$90:$NY$90</c:f>
              <c:numCache>
                <c:formatCode>General</c:formatCode>
                <c:ptCount val="2"/>
                <c:pt idx="0">
                  <c:v>0.4</c:v>
                </c:pt>
                <c:pt idx="1">
                  <c:v>0.5</c:v>
                </c:pt>
              </c:numCache>
            </c:numRef>
          </c:xVal>
          <c:yVal>
            <c:numRef>
              <c:f>'One way Slab'!$NX$91:$NY$91</c:f>
              <c:numCache>
                <c:formatCode>General</c:formatCode>
                <c:ptCount val="2"/>
                <c:pt idx="0">
                  <c:v>0.105</c:v>
                </c:pt>
                <c:pt idx="1">
                  <c:v>0.105</c:v>
                </c:pt>
              </c:numCache>
            </c:numRef>
          </c:yVal>
          <c:smooth val="0"/>
        </c:ser>
        <c:ser>
          <c:idx val="30"/>
          <c:order val="30"/>
          <c:tx>
            <c:strRef>
              <c:f>'One way Slab'!$NT$92</c:f>
              <c:strCache>
                <c:ptCount val="1"/>
                <c:pt idx="0">
                  <c:v>ชี้เหล็กบนซ้าย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'One way Slab'!$NU$93:$NV$93</c:f>
              <c:numCache>
                <c:formatCode>General</c:formatCode>
                <c:ptCount val="2"/>
                <c:pt idx="0">
                  <c:v>0.3</c:v>
                </c:pt>
                <c:pt idx="1">
                  <c:v>0.3</c:v>
                </c:pt>
              </c:numCache>
            </c:numRef>
          </c:xVal>
          <c:yVal>
            <c:numRef>
              <c:f>'One way Slab'!$NU$94:$NV$94</c:f>
              <c:numCache>
                <c:formatCode>General</c:formatCode>
                <c:ptCount val="2"/>
                <c:pt idx="0">
                  <c:v>-0.03</c:v>
                </c:pt>
                <c:pt idx="1">
                  <c:v>0.2</c:v>
                </c:pt>
              </c:numCache>
            </c:numRef>
          </c:yVal>
          <c:smooth val="0"/>
        </c:ser>
        <c:ser>
          <c:idx val="31"/>
          <c:order val="31"/>
          <c:tx>
            <c:strRef>
              <c:f>'One way Slab'!$NT$92</c:f>
              <c:strCache>
                <c:ptCount val="1"/>
                <c:pt idx="0">
                  <c:v>ชี้เหล็กบนซ้าย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Slab'!$NX$93:$NY$93</c:f>
              <c:numCache>
                <c:formatCode>General</c:formatCode>
                <c:ptCount val="2"/>
                <c:pt idx="0">
                  <c:v>0.3</c:v>
                </c:pt>
                <c:pt idx="1">
                  <c:v>0.5</c:v>
                </c:pt>
              </c:numCache>
            </c:numRef>
          </c:xVal>
          <c:yVal>
            <c:numRef>
              <c:f>'One way Slab'!$NX$94:$NY$94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yVal>
          <c:smooth val="0"/>
        </c:ser>
        <c:ser>
          <c:idx val="32"/>
          <c:order val="32"/>
          <c:tx>
            <c:strRef>
              <c:f>'One way Slab'!$NT$95</c:f>
              <c:strCache>
                <c:ptCount val="1"/>
                <c:pt idx="0">
                  <c:v>ชี้เม็ดบนขวา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'One way Slab'!$NU$96:$NV$96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'One way Slab'!$NU$97:$NV$97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0.105</c:v>
                </c:pt>
              </c:numCache>
            </c:numRef>
          </c:yVal>
          <c:smooth val="0"/>
        </c:ser>
        <c:ser>
          <c:idx val="33"/>
          <c:order val="33"/>
          <c:tx>
            <c:strRef>
              <c:f>'One way Slab'!$NT$95</c:f>
              <c:strCache>
                <c:ptCount val="1"/>
                <c:pt idx="0">
                  <c:v>ชี้เม็ดบนขวา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Slab'!$NX$96:$NY$96</c:f>
              <c:numCache>
                <c:formatCode>General</c:formatCode>
                <c:ptCount val="2"/>
                <c:pt idx="0">
                  <c:v>1.8</c:v>
                </c:pt>
                <c:pt idx="1">
                  <c:v>1.9000000000000001</c:v>
                </c:pt>
              </c:numCache>
            </c:numRef>
          </c:xVal>
          <c:yVal>
            <c:numRef>
              <c:f>'One way Slab'!$NX$97:$NY$97</c:f>
              <c:numCache>
                <c:formatCode>General</c:formatCode>
                <c:ptCount val="2"/>
                <c:pt idx="0">
                  <c:v>0.105</c:v>
                </c:pt>
                <c:pt idx="1">
                  <c:v>0.105</c:v>
                </c:pt>
              </c:numCache>
            </c:numRef>
          </c:yVal>
          <c:smooth val="0"/>
        </c:ser>
        <c:ser>
          <c:idx val="34"/>
          <c:order val="34"/>
          <c:tx>
            <c:strRef>
              <c:f>'One way Slab'!$NT$98</c:f>
              <c:strCache>
                <c:ptCount val="1"/>
                <c:pt idx="0">
                  <c:v>ชี้เหล็กบนขวา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'One way Slab'!$NU$99:$NV$99</c:f>
              <c:numCache>
                <c:formatCode>General</c:formatCode>
                <c:ptCount val="2"/>
                <c:pt idx="0">
                  <c:v>1.7000000000000002</c:v>
                </c:pt>
                <c:pt idx="1">
                  <c:v>1.7000000000000002</c:v>
                </c:pt>
              </c:numCache>
            </c:numRef>
          </c:xVal>
          <c:yVal>
            <c:numRef>
              <c:f>'One way Slab'!$NU$100:$NV$100</c:f>
              <c:numCache>
                <c:formatCode>General</c:formatCode>
                <c:ptCount val="2"/>
                <c:pt idx="0">
                  <c:v>-0.03</c:v>
                </c:pt>
                <c:pt idx="1">
                  <c:v>0.2</c:v>
                </c:pt>
              </c:numCache>
            </c:numRef>
          </c:yVal>
          <c:smooth val="0"/>
        </c:ser>
        <c:ser>
          <c:idx val="35"/>
          <c:order val="35"/>
          <c:tx>
            <c:strRef>
              <c:f>'One way Slab'!$NT$98</c:f>
              <c:strCache>
                <c:ptCount val="1"/>
                <c:pt idx="0">
                  <c:v>ชี้เหล็กบนขวา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Slab'!$NX$99:$NY$99</c:f>
              <c:numCache>
                <c:formatCode>General</c:formatCode>
                <c:ptCount val="2"/>
                <c:pt idx="0">
                  <c:v>1.7000000000000002</c:v>
                </c:pt>
                <c:pt idx="1">
                  <c:v>1.9000000000000001</c:v>
                </c:pt>
              </c:numCache>
            </c:numRef>
          </c:xVal>
          <c:yVal>
            <c:numRef>
              <c:f>'One way Slab'!$NX$100:$NY$100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yVal>
          <c:smooth val="0"/>
        </c:ser>
        <c:ser>
          <c:idx val="36"/>
          <c:order val="36"/>
          <c:tx>
            <c:strRef>
              <c:f>'One way Slab'!$NT$101</c:f>
              <c:strCache>
                <c:ptCount val="1"/>
                <c:pt idx="0">
                  <c:v>ชี้เม็ดล่าง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'One way Slab'!$NU$102:$NV$102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xVal>
          <c:yVal>
            <c:numRef>
              <c:f>'One way Slab'!$NU$103:$NV$103</c:f>
              <c:numCache>
                <c:formatCode>General</c:formatCode>
                <c:ptCount val="2"/>
                <c:pt idx="0">
                  <c:v>-0.08</c:v>
                </c:pt>
                <c:pt idx="1">
                  <c:v>-0.22999999999999998</c:v>
                </c:pt>
              </c:numCache>
            </c:numRef>
          </c:yVal>
          <c:smooth val="0"/>
        </c:ser>
        <c:ser>
          <c:idx val="37"/>
          <c:order val="37"/>
          <c:tx>
            <c:strRef>
              <c:f>'One way Slab'!$NT$101</c:f>
              <c:strCache>
                <c:ptCount val="1"/>
                <c:pt idx="0">
                  <c:v>ชี้เม็ดล่าง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Slab'!$NX$102:$NY$102</c:f>
              <c:numCache>
                <c:formatCode>General</c:formatCode>
                <c:ptCount val="2"/>
                <c:pt idx="0">
                  <c:v>0.8</c:v>
                </c:pt>
                <c:pt idx="1">
                  <c:v>0.9</c:v>
                </c:pt>
              </c:numCache>
            </c:numRef>
          </c:xVal>
          <c:yVal>
            <c:numRef>
              <c:f>'One way Slab'!$NX$103:$NY$103</c:f>
              <c:numCache>
                <c:formatCode>General</c:formatCode>
                <c:ptCount val="2"/>
                <c:pt idx="0">
                  <c:v>-0.22999999999999998</c:v>
                </c:pt>
                <c:pt idx="1">
                  <c:v>-0.22999999999999998</c:v>
                </c:pt>
              </c:numCache>
            </c:numRef>
          </c:yVal>
          <c:smooth val="0"/>
        </c:ser>
        <c:ser>
          <c:idx val="38"/>
          <c:order val="38"/>
          <c:tx>
            <c:strRef>
              <c:f>'One way Slab'!$NT$104</c:f>
              <c:strCache>
                <c:ptCount val="1"/>
                <c:pt idx="0">
                  <c:v>ชี้เหล็กล่าง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'One way Slab'!$NU$105:$NV$105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xVal>
          <c:yVal>
            <c:numRef>
              <c:f>'One way Slab'!$NU$106:$NV$106</c:f>
              <c:numCache>
                <c:formatCode>General</c:formatCode>
                <c:ptCount val="2"/>
                <c:pt idx="0">
                  <c:v>-9.5000000000000001E-2</c:v>
                </c:pt>
                <c:pt idx="1">
                  <c:v>-0.32500000000000001</c:v>
                </c:pt>
              </c:numCache>
            </c:numRef>
          </c:yVal>
          <c:smooth val="0"/>
        </c:ser>
        <c:ser>
          <c:idx val="39"/>
          <c:order val="39"/>
          <c:tx>
            <c:strRef>
              <c:f>'One way Slab'!$NT$104</c:f>
              <c:strCache>
                <c:ptCount val="1"/>
                <c:pt idx="0">
                  <c:v>ชี้เหล็กล่าง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Slab'!$NX$105:$NY$105</c:f>
              <c:numCache>
                <c:formatCode>General</c:formatCode>
                <c:ptCount val="2"/>
                <c:pt idx="0">
                  <c:v>0.7</c:v>
                </c:pt>
                <c:pt idx="1">
                  <c:v>0.9</c:v>
                </c:pt>
              </c:numCache>
            </c:numRef>
          </c:xVal>
          <c:yVal>
            <c:numRef>
              <c:f>'One way Slab'!$NX$106:$NY$106</c:f>
              <c:numCache>
                <c:formatCode>General</c:formatCode>
                <c:ptCount val="2"/>
                <c:pt idx="0">
                  <c:v>-0.32500000000000001</c:v>
                </c:pt>
                <c:pt idx="1">
                  <c:v>-0.32500000000000001</c:v>
                </c:pt>
              </c:numCache>
            </c:numRef>
          </c:yVal>
          <c:smooth val="0"/>
        </c:ser>
        <c:ser>
          <c:idx val="41"/>
          <c:order val="40"/>
          <c:tx>
            <c:strRef>
              <c:f>'One way Slab'!$HP$134:$HS$134</c:f>
              <c:strCache>
                <c:ptCount val="1"/>
                <c:pt idx="0">
                  <c:v>DB12@0.3</c:v>
                </c:pt>
              </c:strCache>
            </c:strRef>
          </c:tx>
          <c:marker>
            <c:symbol val="none"/>
          </c:marker>
          <c:dLbls>
            <c:dLbl>
              <c:idx val="0"/>
              <c:layout/>
              <c:tx>
                <c:strRef>
                  <c:f>'One way Slab'!$NT$166</c:f>
                  <c:strCache>
                    <c:ptCount val="1"/>
                    <c:pt idx="0">
                      <c:v>DB12@0.25</c:v>
                    </c:pt>
                  </c:strCache>
                </c:strRef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Slab'!$OA$93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'One way Slab'!$OA$94</c:f>
              <c:numCache>
                <c:formatCode>General</c:formatCode>
                <c:ptCount val="1"/>
                <c:pt idx="0">
                  <c:v>0.2</c:v>
                </c:pt>
              </c:numCache>
            </c:numRef>
          </c:yVal>
          <c:smooth val="0"/>
        </c:ser>
        <c:ser>
          <c:idx val="40"/>
          <c:order val="41"/>
          <c:tx>
            <c:strRef>
              <c:f>'One way Slab'!$HX$134:$IA$134</c:f>
              <c:strCache>
                <c:ptCount val="1"/>
                <c:pt idx="0">
                  <c:v>DB12@0.3</c:v>
                </c:pt>
              </c:strCache>
            </c:strRef>
          </c:tx>
          <c:marker>
            <c:symbol val="none"/>
          </c:marker>
          <c:dLbls>
            <c:dLbl>
              <c:idx val="0"/>
              <c:layout/>
              <c:tx>
                <c:strRef>
                  <c:f>'One way Slab'!$OB$166</c:f>
                  <c:strCache>
                    <c:ptCount val="1"/>
                    <c:pt idx="0">
                      <c:v>DB12@0.25</c:v>
                    </c:pt>
                  </c:strCache>
                </c:strRef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Slab'!$OA$99</c:f>
              <c:numCache>
                <c:formatCode>General</c:formatCode>
                <c:ptCount val="1"/>
                <c:pt idx="0">
                  <c:v>1.9000000000000001</c:v>
                </c:pt>
              </c:numCache>
            </c:numRef>
          </c:xVal>
          <c:yVal>
            <c:numRef>
              <c:f>'One way Slab'!$OA$100</c:f>
              <c:numCache>
                <c:formatCode>General</c:formatCode>
                <c:ptCount val="1"/>
                <c:pt idx="0">
                  <c:v>0.2</c:v>
                </c:pt>
              </c:numCache>
            </c:numRef>
          </c:yVal>
          <c:smooth val="0"/>
        </c:ser>
        <c:ser>
          <c:idx val="42"/>
          <c:order val="42"/>
          <c:tx>
            <c:strRef>
              <c:f>'One way Slab'!$HT$134:$HW$134</c:f>
              <c:strCache>
                <c:ptCount val="1"/>
                <c:pt idx="0">
                  <c:v>DB12@0.3</c:v>
                </c:pt>
              </c:strCache>
            </c:strRef>
          </c:tx>
          <c:marker>
            <c:symbol val="none"/>
          </c:marker>
          <c:dLbls>
            <c:dLbl>
              <c:idx val="0"/>
              <c:layout/>
              <c:tx>
                <c:strRef>
                  <c:f>'One way Slab'!$NX$166</c:f>
                  <c:strCache>
                    <c:ptCount val="1"/>
                    <c:pt idx="0">
                      <c:v>DB12@0.25</c:v>
                    </c:pt>
                  </c:strCache>
                </c:strRef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Slab'!$OA$105</c:f>
              <c:numCache>
                <c:formatCode>General</c:formatCode>
                <c:ptCount val="1"/>
                <c:pt idx="0">
                  <c:v>0.9</c:v>
                </c:pt>
              </c:numCache>
            </c:numRef>
          </c:xVal>
          <c:yVal>
            <c:numRef>
              <c:f>'One way Slab'!$OA$106</c:f>
              <c:numCache>
                <c:formatCode>General</c:formatCode>
                <c:ptCount val="1"/>
                <c:pt idx="0">
                  <c:v>-0.32500000000000001</c:v>
                </c:pt>
              </c:numCache>
            </c:numRef>
          </c:yVal>
          <c:smooth val="0"/>
        </c:ser>
        <c:ser>
          <c:idx val="43"/>
          <c:order val="43"/>
          <c:tx>
            <c:strRef>
              <c:f>'One way Slab'!$IB$134:$IE$134</c:f>
              <c:strCache>
                <c:ptCount val="1"/>
                <c:pt idx="0">
                  <c:v>RB9@0.25</c:v>
                </c:pt>
              </c:strCache>
            </c:strRef>
          </c:tx>
          <c:marker>
            <c:symbol val="none"/>
          </c:marker>
          <c:dLbls>
            <c:dLbl>
              <c:idx val="0"/>
              <c:layout/>
              <c:tx>
                <c:strRef>
                  <c:f>'One way Slab'!$NX$170</c:f>
                  <c:strCache>
                    <c:ptCount val="1"/>
                    <c:pt idx="0">
                      <c:v>RB9@0.25</c:v>
                    </c:pt>
                  </c:strCache>
                </c:strRef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Slab'!$OA$102</c:f>
              <c:numCache>
                <c:formatCode>General</c:formatCode>
                <c:ptCount val="1"/>
                <c:pt idx="0">
                  <c:v>0.9</c:v>
                </c:pt>
              </c:numCache>
            </c:numRef>
          </c:xVal>
          <c:yVal>
            <c:numRef>
              <c:f>'One way Slab'!$OA$103</c:f>
              <c:numCache>
                <c:formatCode>General</c:formatCode>
                <c:ptCount val="1"/>
                <c:pt idx="0">
                  <c:v>-0.22999999999999998</c:v>
                </c:pt>
              </c:numCache>
            </c:numRef>
          </c:yVal>
          <c:smooth val="0"/>
        </c:ser>
        <c:ser>
          <c:idx val="44"/>
          <c:order val="44"/>
          <c:tx>
            <c:strRef>
              <c:f>'One way Slab'!$IB$134:$IE$134</c:f>
              <c:strCache>
                <c:ptCount val="1"/>
                <c:pt idx="0">
                  <c:v>RB9@0.25</c:v>
                </c:pt>
              </c:strCache>
            </c:strRef>
          </c:tx>
          <c:marker>
            <c:symbol val="none"/>
          </c:marker>
          <c:dLbls>
            <c:dLbl>
              <c:idx val="0"/>
              <c:layout/>
              <c:tx>
                <c:strRef>
                  <c:f>'One way Slab'!$OB$170</c:f>
                  <c:strCache>
                    <c:ptCount val="1"/>
                    <c:pt idx="0">
                      <c:v>RB9@0.25</c:v>
                    </c:pt>
                  </c:strCache>
                </c:strRef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Slab'!$OA$96</c:f>
              <c:numCache>
                <c:formatCode>General</c:formatCode>
                <c:ptCount val="1"/>
                <c:pt idx="0">
                  <c:v>1.9000000000000001</c:v>
                </c:pt>
              </c:numCache>
            </c:numRef>
          </c:xVal>
          <c:yVal>
            <c:numRef>
              <c:f>'One way Slab'!$OA$97</c:f>
              <c:numCache>
                <c:formatCode>General</c:formatCode>
                <c:ptCount val="1"/>
                <c:pt idx="0">
                  <c:v>0.105</c:v>
                </c:pt>
              </c:numCache>
            </c:numRef>
          </c:yVal>
          <c:smooth val="0"/>
        </c:ser>
        <c:ser>
          <c:idx val="45"/>
          <c:order val="45"/>
          <c:tx>
            <c:strRef>
              <c:f>'One way Slab'!$IB$134:$IE$134</c:f>
              <c:strCache>
                <c:ptCount val="1"/>
                <c:pt idx="0">
                  <c:v>RB9@0.25</c:v>
                </c:pt>
              </c:strCache>
            </c:strRef>
          </c:tx>
          <c:marker>
            <c:symbol val="none"/>
          </c:marker>
          <c:dLbls>
            <c:dLbl>
              <c:idx val="0"/>
              <c:layout/>
              <c:tx>
                <c:strRef>
                  <c:f>'One way Slab'!$NT$170</c:f>
                  <c:strCache>
                    <c:ptCount val="1"/>
                    <c:pt idx="0">
                      <c:v>RB9@0.25</c:v>
                    </c:pt>
                  </c:strCache>
                </c:strRef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Slab'!$OA$90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'One way Slab'!$OA$91</c:f>
              <c:numCache>
                <c:formatCode>General</c:formatCode>
                <c:ptCount val="1"/>
                <c:pt idx="0">
                  <c:v>0.105</c:v>
                </c:pt>
              </c:numCache>
            </c:numRef>
          </c:yVal>
          <c:smooth val="0"/>
        </c:ser>
        <c:ser>
          <c:idx val="46"/>
          <c:order val="46"/>
          <c:tx>
            <c:strRef>
              <c:f>'One way Slab'!$OD$77:$OE$77</c:f>
              <c:strCache>
                <c:ptCount val="1"/>
                <c:pt idx="0">
                  <c:v>0.1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Slab'!$OD$78</c:f>
              <c:numCache>
                <c:formatCode>General</c:formatCode>
                <c:ptCount val="1"/>
                <c:pt idx="0">
                  <c:v>-0.33</c:v>
                </c:pt>
              </c:numCache>
            </c:numRef>
          </c:xVal>
          <c:yVal>
            <c:numRef>
              <c:f>'One way Slab'!$OD$79</c:f>
              <c:numCache>
                <c:formatCode>General</c:formatCode>
                <c:ptCount val="1"/>
                <c:pt idx="0">
                  <c:v>-6.25E-2</c:v>
                </c:pt>
              </c:numCache>
            </c:numRef>
          </c:yVal>
          <c:smooth val="0"/>
        </c:ser>
        <c:ser>
          <c:idx val="47"/>
          <c:order val="47"/>
          <c:tx>
            <c:strRef>
              <c:f>'One way Slab'!$OD$80:$OE$80</c:f>
              <c:strCache>
                <c:ptCount val="1"/>
                <c:pt idx="0">
                  <c:v>1.50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Slab'!$OD$81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Slab'!$OD$82</c:f>
              <c:numCache>
                <c:formatCode>General</c:formatCode>
                <c:ptCount val="1"/>
                <c:pt idx="0">
                  <c:v>-0.64999999999999991</c:v>
                </c:pt>
              </c:numCache>
            </c:numRef>
          </c:yVal>
          <c:smooth val="0"/>
        </c:ser>
        <c:ser>
          <c:idx val="48"/>
          <c:order val="48"/>
          <c:tx>
            <c:strRef>
              <c:f>'One way Slab'!$OD$83:$OE$83</c:f>
              <c:strCache>
                <c:ptCount val="1"/>
                <c:pt idx="0">
                  <c:v>0.5 (L/3)</c:v>
                </c:pt>
              </c:strCache>
            </c:strRef>
          </c:tx>
          <c:marker>
            <c:symbol val="none"/>
          </c:marker>
          <c:dLbls>
            <c:spPr>
              <a:noFill/>
            </c:spPr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Slab'!$OD$84</c:f>
              <c:numCache>
                <c:formatCode>General</c:formatCode>
                <c:ptCount val="1"/>
                <c:pt idx="0">
                  <c:v>0.2</c:v>
                </c:pt>
              </c:numCache>
            </c:numRef>
          </c:xVal>
          <c:yVal>
            <c:numRef>
              <c:f>'One way Slab'!$OD$85</c:f>
              <c:numCache>
                <c:formatCode>General</c:formatCode>
                <c:ptCount val="1"/>
                <c:pt idx="0">
                  <c:v>-0.5</c:v>
                </c:pt>
              </c:numCache>
            </c:numRef>
          </c:yVal>
          <c:smooth val="0"/>
        </c:ser>
        <c:ser>
          <c:idx val="49"/>
          <c:order val="49"/>
          <c:tx>
            <c:strRef>
              <c:f>'One way Slab'!$OD$86:$OF$86</c:f>
              <c:strCache>
                <c:ptCount val="1"/>
                <c:pt idx="0">
                  <c:v>0.5 (L/3)</c:v>
                </c:pt>
              </c:strCache>
            </c:strRef>
          </c:tx>
          <c:marker>
            <c:symbol val="none"/>
          </c:marker>
          <c:dLbls>
            <c:spPr>
              <a:noFill/>
            </c:spPr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Slab'!$OD$87</c:f>
              <c:numCache>
                <c:formatCode>General</c:formatCode>
                <c:ptCount val="1"/>
                <c:pt idx="0">
                  <c:v>1.8</c:v>
                </c:pt>
              </c:numCache>
            </c:numRef>
          </c:xVal>
          <c:yVal>
            <c:numRef>
              <c:f>'One way Slab'!$OD$88</c:f>
              <c:numCache>
                <c:formatCode>General</c:formatCode>
                <c:ptCount val="1"/>
                <c:pt idx="0">
                  <c:v>-0.5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152320"/>
        <c:axId val="162004992"/>
      </c:scatterChart>
      <c:valAx>
        <c:axId val="160152320"/>
        <c:scaling>
          <c:orientation val="minMax"/>
          <c:max val="2.5"/>
          <c:min val="-0.5"/>
        </c:scaling>
        <c:delete val="1"/>
        <c:axPos val="b"/>
        <c:numFmt formatCode="General" sourceLinked="1"/>
        <c:majorTickMark val="out"/>
        <c:minorTickMark val="none"/>
        <c:tickLblPos val="none"/>
        <c:crossAx val="162004992"/>
        <c:crosses val="autoZero"/>
        <c:crossBetween val="midCat"/>
      </c:valAx>
      <c:valAx>
        <c:axId val="162004992"/>
        <c:scaling>
          <c:orientation val="minMax"/>
          <c:max val="0.30000000000000032"/>
          <c:min val="-0.75000000000001432"/>
        </c:scaling>
        <c:delete val="1"/>
        <c:axPos val="l"/>
        <c:numFmt formatCode="General" sourceLinked="1"/>
        <c:majorTickMark val="out"/>
        <c:minorTickMark val="none"/>
        <c:tickLblPos val="none"/>
        <c:crossAx val="160152320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39370078740157488" l="0.70866141732285282" r="0.39370078740157488" t="0.39370078740157488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'One way Slab'!$NT$126</c:f>
              <c:strCache>
                <c:ptCount val="1"/>
                <c:pt idx="0">
                  <c:v>ขอบพื้นใน</c:v>
                </c:pt>
              </c:strCache>
            </c:strRef>
          </c:tx>
          <c:spPr>
            <a:ln w="63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'One way Slab'!$NU$127:$NY$127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'One way Slab'!$NU$128:$NY$128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1.5</c:v>
                </c:pt>
                <c:pt idx="3">
                  <c:v>1.5</c:v>
                </c:pt>
                <c:pt idx="4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'One way Slab'!$OA$126</c:f>
              <c:strCache>
                <c:ptCount val="1"/>
                <c:pt idx="0">
                  <c:v>ขอบพื้นนอก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Slab'!$OA$127:$OE$127</c:f>
              <c:numCache>
                <c:formatCode>General</c:formatCode>
                <c:ptCount val="5"/>
                <c:pt idx="0">
                  <c:v>-0.1</c:v>
                </c:pt>
                <c:pt idx="1">
                  <c:v>2.1</c:v>
                </c:pt>
                <c:pt idx="2">
                  <c:v>2.1</c:v>
                </c:pt>
                <c:pt idx="3">
                  <c:v>-0.1</c:v>
                </c:pt>
                <c:pt idx="4">
                  <c:v>-0.1</c:v>
                </c:pt>
              </c:numCache>
            </c:numRef>
          </c:xVal>
          <c:yVal>
            <c:numRef>
              <c:f>'One way Slab'!$OA$128:$OE$128</c:f>
              <c:numCache>
                <c:formatCode>General</c:formatCode>
                <c:ptCount val="5"/>
                <c:pt idx="0">
                  <c:v>-0.1</c:v>
                </c:pt>
                <c:pt idx="1">
                  <c:v>-0.1</c:v>
                </c:pt>
                <c:pt idx="2">
                  <c:v>1.6</c:v>
                </c:pt>
                <c:pt idx="3">
                  <c:v>1.6</c:v>
                </c:pt>
                <c:pt idx="4">
                  <c:v>-0.1</c:v>
                </c:pt>
              </c:numCache>
            </c:numRef>
          </c:yVal>
          <c:smooth val="0"/>
        </c:ser>
        <c:ser>
          <c:idx val="4"/>
          <c:order val="2"/>
          <c:tx>
            <c:strRef>
              <c:f>'One way Slab'!$NT$132</c:f>
              <c:strCache>
                <c:ptCount val="1"/>
                <c:pt idx="0">
                  <c:v>เหล็กบนล่าง</c:v>
                </c:pt>
              </c:strCache>
            </c:strRef>
          </c:tx>
          <c:spPr>
            <a:ln w="38100" cap="flat">
              <a:solidFill>
                <a:prstClr val="black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243030929866036E-2"/>
                  <c:y val="4.4116346713205384E-2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solidFill>
                          <a:srgbClr val="FF0000"/>
                        </a:solidFill>
                      </a:rPr>
                      <a:t>#</a:t>
                    </a:r>
                    <a:r>
                      <a:rPr lang="en-US">
                        <a:solidFill>
                          <a:srgbClr val="FF0000"/>
                        </a:solidFill>
                      </a:rPr>
                      <a:t>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'One way Slab'!$NU$133:$NV$133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'One way Slab'!$NU$134:$NV$134</c:f>
              <c:numCache>
                <c:formatCode>General</c:formatCode>
                <c:ptCount val="2"/>
                <c:pt idx="0">
                  <c:v>-0.1</c:v>
                </c:pt>
                <c:pt idx="1">
                  <c:v>0.3</c:v>
                </c:pt>
              </c:numCache>
            </c:numRef>
          </c:yVal>
          <c:smooth val="0"/>
        </c:ser>
        <c:ser>
          <c:idx val="5"/>
          <c:order val="3"/>
          <c:tx>
            <c:strRef>
              <c:f>'One way Slab'!$NX$132</c:f>
              <c:strCache>
                <c:ptCount val="1"/>
                <c:pt idx="0">
                  <c:v>เหล็กบนบน</c:v>
                </c:pt>
              </c:strCache>
            </c:strRef>
          </c:tx>
          <c:spPr>
            <a:ln w="3810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layout>
                <c:manualLayout>
                  <c:x val="-3.6175324940315182E-2"/>
                  <c:y val="-4.7050440759982312E-2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solidFill>
                          <a:srgbClr val="FF0000"/>
                        </a:solidFill>
                      </a:rPr>
                      <a:t>#</a:t>
                    </a:r>
                    <a:r>
                      <a:rPr lang="en-US">
                        <a:solidFill>
                          <a:srgbClr val="FF0000"/>
                        </a:solidFill>
                      </a:rPr>
                      <a:t>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'One way Slab'!$NX$133:$NY$133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'One way Slab'!$NX$134:$NY$134</c:f>
              <c:numCache>
                <c:formatCode>General</c:formatCode>
                <c:ptCount val="2"/>
                <c:pt idx="0">
                  <c:v>1.2</c:v>
                </c:pt>
                <c:pt idx="1">
                  <c:v>1.6</c:v>
                </c:pt>
              </c:numCache>
            </c:numRef>
          </c:yVal>
          <c:smooth val="0"/>
        </c:ser>
        <c:ser>
          <c:idx val="2"/>
          <c:order val="4"/>
          <c:tx>
            <c:strRef>
              <c:f>'One way Slab'!$NT$135</c:f>
              <c:strCache>
                <c:ptCount val="1"/>
                <c:pt idx="0">
                  <c:v>เส้นบนล่าง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'One way Slab'!$NU$136:$NV$136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'One way Slab'!$NU$137:$NV$137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yVal>
          <c:smooth val="0"/>
        </c:ser>
        <c:ser>
          <c:idx val="3"/>
          <c:order val="5"/>
          <c:marker>
            <c:symbol val="circle"/>
            <c:size val="7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'One way Slab'!$NX$136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Slab'!$NX$137</c:f>
              <c:numCache>
                <c:formatCode>General</c:formatCode>
                <c:ptCount val="1"/>
                <c:pt idx="0">
                  <c:v>0.2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'One way Slab'!$NT$138</c:f>
              <c:strCache>
                <c:ptCount val="1"/>
                <c:pt idx="0">
                  <c:v>เส้นบนบน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'One way Slab'!$NU$139:$NV$139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'One way Slab'!$NU$140:$NV$140</c:f>
              <c:numCache>
                <c:formatCode>General</c:formatCode>
                <c:ptCount val="2"/>
                <c:pt idx="0">
                  <c:v>1.3</c:v>
                </c:pt>
                <c:pt idx="1">
                  <c:v>1.3</c:v>
                </c:pt>
              </c:numCache>
            </c:numRef>
          </c:yVal>
          <c:smooth val="0"/>
        </c:ser>
        <c:ser>
          <c:idx val="7"/>
          <c:order val="7"/>
          <c:marker>
            <c:symbol val="circle"/>
            <c:size val="7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'One way Slab'!$NX$139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Slab'!$NX$140</c:f>
              <c:numCache>
                <c:formatCode>General</c:formatCode>
                <c:ptCount val="1"/>
                <c:pt idx="0">
                  <c:v>1.3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'One way Slab'!$NT$147</c:f>
              <c:strCache>
                <c:ptCount val="1"/>
                <c:pt idx="0">
                  <c:v>ระยะบนซ้าย1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'One way Slab'!$NU$148:$NV$148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xVal>
          <c:yVal>
            <c:numRef>
              <c:f>'One way Slab'!$NU$149:$NV$149</c:f>
              <c:numCache>
                <c:formatCode>General</c:formatCode>
                <c:ptCount val="2"/>
                <c:pt idx="0">
                  <c:v>-0.05</c:v>
                </c:pt>
                <c:pt idx="1">
                  <c:v>0.3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'One way Slab'!$NT$147</c:f>
              <c:strCache>
                <c:ptCount val="1"/>
                <c:pt idx="0">
                  <c:v>ระยะบนซ้าย1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Slab'!$NX$148:$NY$148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'One way Slab'!$NX$149:$NY$149</c:f>
              <c:numCache>
                <c:formatCode>General</c:formatCode>
                <c:ptCount val="2"/>
                <c:pt idx="0">
                  <c:v>-0.05</c:v>
                </c:pt>
                <c:pt idx="1">
                  <c:v>-0.05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'One way Slab'!$NT$147</c:f>
              <c:strCache>
                <c:ptCount val="1"/>
                <c:pt idx="0">
                  <c:v>ระยะบนซ้าย1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Slab'!$OA$148:$OB$148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'One way Slab'!$OA$149:$OB$149</c:f>
              <c:numCache>
                <c:formatCode>General</c:formatCode>
                <c:ptCount val="2"/>
                <c:pt idx="0">
                  <c:v>0.3</c:v>
                </c:pt>
                <c:pt idx="1">
                  <c:v>0.3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'One way Slab'!$NT$150</c:f>
              <c:strCache>
                <c:ptCount val="1"/>
                <c:pt idx="0">
                  <c:v>ระยะบนซ้าย2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'One way Slab'!$NU$151:$NV$151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xVal>
          <c:yVal>
            <c:numRef>
              <c:f>'One way Slab'!$NU$152:$NV$152</c:f>
              <c:numCache>
                <c:formatCode>General</c:formatCode>
                <c:ptCount val="2"/>
                <c:pt idx="0">
                  <c:v>1.2</c:v>
                </c:pt>
                <c:pt idx="1">
                  <c:v>1.55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'One way Slab'!$NT$150</c:f>
              <c:strCache>
                <c:ptCount val="1"/>
                <c:pt idx="0">
                  <c:v>ระยะบนซ้าย2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Slab'!$NX$151:$NY$151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'One way Slab'!$NX$152:$NY$152</c:f>
              <c:numCache>
                <c:formatCode>General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'One way Slab'!$NT$150</c:f>
              <c:strCache>
                <c:ptCount val="1"/>
                <c:pt idx="0">
                  <c:v>ระยะบนซ้าย2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Slab'!$OA$151:$OB$151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'One way Slab'!$OA$152:$OB$152</c:f>
              <c:numCache>
                <c:formatCode>General</c:formatCode>
                <c:ptCount val="2"/>
                <c:pt idx="0">
                  <c:v>1.55</c:v>
                </c:pt>
                <c:pt idx="1">
                  <c:v>1.55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'One way Slab'!$NT$153</c:f>
              <c:strCache>
                <c:ptCount val="1"/>
                <c:pt idx="0">
                  <c:v>ระยะบนล่าง1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'One way Slab'!$NU$154:$NV$154</c:f>
              <c:numCache>
                <c:formatCode>General</c:formatCode>
                <c:ptCount val="2"/>
                <c:pt idx="0">
                  <c:v>-0.05</c:v>
                </c:pt>
                <c:pt idx="1">
                  <c:v>0.4</c:v>
                </c:pt>
              </c:numCache>
            </c:numRef>
          </c:xVal>
          <c:yVal>
            <c:numRef>
              <c:f>'One way Slab'!$NU$155:$NV$155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yVal>
          <c:smooth val="0"/>
        </c:ser>
        <c:ser>
          <c:idx val="15"/>
          <c:order val="15"/>
          <c:tx>
            <c:strRef>
              <c:f>'One way Slab'!$NT$153</c:f>
              <c:strCache>
                <c:ptCount val="1"/>
                <c:pt idx="0">
                  <c:v>ระยะบนล่าง1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'One way Slab'!$NX$154:$NY$154</c:f>
              <c:numCache>
                <c:formatCode>General</c:formatCode>
                <c:ptCount val="2"/>
                <c:pt idx="0">
                  <c:v>-0.05</c:v>
                </c:pt>
                <c:pt idx="1">
                  <c:v>-0.05</c:v>
                </c:pt>
              </c:numCache>
            </c:numRef>
          </c:xVal>
          <c:yVal>
            <c:numRef>
              <c:f>'One way Slab'!$NX$155:$NY$155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16"/>
          <c:order val="16"/>
          <c:tx>
            <c:strRef>
              <c:f>'One way Slab'!$NT$153</c:f>
              <c:strCache>
                <c:ptCount val="1"/>
                <c:pt idx="0">
                  <c:v>ระยะบนล่าง1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'One way Slab'!$OA$154:$OB$154</c:f>
              <c:numCache>
                <c:formatCode>General</c:formatCode>
                <c:ptCount val="2"/>
                <c:pt idx="0">
                  <c:v>0.4</c:v>
                </c:pt>
                <c:pt idx="1">
                  <c:v>0.4</c:v>
                </c:pt>
              </c:numCache>
            </c:numRef>
          </c:xVal>
          <c:yVal>
            <c:numRef>
              <c:f>'One way Slab'!$OA$155:$OB$155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17"/>
          <c:order val="17"/>
          <c:tx>
            <c:strRef>
              <c:f>'One way Slab'!$OD$83:$OF$83</c:f>
              <c:strCache>
                <c:ptCount val="1"/>
                <c:pt idx="0">
                  <c:v>0.5 (L/3)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Slab'!$NX$163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'One way Slab'!$NX$164</c:f>
              <c:numCache>
                <c:formatCode>General</c:formatCode>
                <c:ptCount val="1"/>
                <c:pt idx="0">
                  <c:v>1.375</c:v>
                </c:pt>
              </c:numCache>
            </c:numRef>
          </c:yVal>
          <c:smooth val="0"/>
        </c:ser>
        <c:ser>
          <c:idx val="18"/>
          <c:order val="18"/>
          <c:tx>
            <c:strRef>
              <c:f>'One way Slab'!$OD$86:$OF$86</c:f>
              <c:strCache>
                <c:ptCount val="1"/>
                <c:pt idx="0">
                  <c:v>0.5 (L/3)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Slab'!$NZ$163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'One way Slab'!$NZ$164</c:f>
              <c:numCache>
                <c:formatCode>General</c:formatCode>
                <c:ptCount val="1"/>
                <c:pt idx="0">
                  <c:v>0.125</c:v>
                </c:pt>
              </c:numCache>
            </c:numRef>
          </c:yVal>
          <c:smooth val="0"/>
        </c:ser>
        <c:ser>
          <c:idx val="19"/>
          <c:order val="19"/>
          <c:tx>
            <c:strRef>
              <c:f>'One way Slab'!$NZ$120:$OC$120</c:f>
              <c:strCache>
                <c:ptCount val="1"/>
                <c:pt idx="0">
                  <c:v>0.1 m. thk.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Slab'!$NU$163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Slab'!$NU$164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20"/>
          <c:order val="20"/>
          <c:tx>
            <c:strRef>
              <c:f>'One way Slab'!$OA$159</c:f>
              <c:strCache>
                <c:ptCount val="1"/>
                <c:pt idx="0">
                  <c:v>แถบบน</c:v>
                </c:pt>
              </c:strCache>
            </c:strRef>
          </c:tx>
          <c:spPr>
            <a:ln w="9525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'One way Slab'!$OA$160:$OB$160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'One way Slab'!$OA$161:$OB$161</c:f>
              <c:numCache>
                <c:formatCode>General</c:formatCode>
                <c:ptCount val="2"/>
                <c:pt idx="0">
                  <c:v>1.65</c:v>
                </c:pt>
                <c:pt idx="1">
                  <c:v>1.65</c:v>
                </c:pt>
              </c:numCache>
            </c:numRef>
          </c:yVal>
          <c:smooth val="0"/>
        </c:ser>
        <c:ser>
          <c:idx val="21"/>
          <c:order val="21"/>
          <c:tx>
            <c:strRef>
              <c:f>'One way Slab'!$OD$159</c:f>
              <c:strCache>
                <c:ptCount val="1"/>
                <c:pt idx="0">
                  <c:v>แถบล่าง</c:v>
                </c:pt>
              </c:strCache>
            </c:strRef>
          </c:tx>
          <c:spPr>
            <a:ln w="9525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'One way Slab'!$OD$160:$OE$160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'One way Slab'!$OD$161:$OE$161</c:f>
              <c:numCache>
                <c:formatCode>General</c:formatCode>
                <c:ptCount val="2"/>
                <c:pt idx="0">
                  <c:v>-0.15</c:v>
                </c:pt>
                <c:pt idx="1">
                  <c:v>-0.15</c:v>
                </c:pt>
              </c:numCache>
            </c:numRef>
          </c:yVal>
          <c:smooth val="0"/>
        </c:ser>
        <c:ser>
          <c:idx val="22"/>
          <c:order val="22"/>
          <c:tx>
            <c:strRef>
              <c:f>'One way Slab'!$NT$166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0"/>
                  <c:y val="8.511450293452056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Slab'!$NU$167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Slab'!$NU$168</c:f>
              <c:numCache>
                <c:formatCode>General</c:formatCode>
                <c:ptCount val="1"/>
                <c:pt idx="0">
                  <c:v>1.5</c:v>
                </c:pt>
              </c:numCache>
            </c:numRef>
          </c:yVal>
          <c:smooth val="0"/>
        </c:ser>
        <c:ser>
          <c:idx val="23"/>
          <c:order val="23"/>
          <c:tx>
            <c:strRef>
              <c:f>'One way Slab'!$OB$166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0"/>
                  <c:y val="-8.215875122394795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Slab'!$OB$167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Slab'!$OB$168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4"/>
          <c:order val="24"/>
          <c:tx>
            <c:strRef>
              <c:f>'One way Slab'!$NT$129</c:f>
              <c:strCache>
                <c:ptCount val="1"/>
                <c:pt idx="0">
                  <c:v>เหล็กบนซ้าย</c:v>
                </c:pt>
              </c:strCache>
            </c:strRef>
          </c:tx>
          <c:spPr>
            <a:ln w="22225" cap="flat">
              <a:solidFill>
                <a:srgbClr val="C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6.8823384554767511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solidFill>
                          <a:srgbClr val="FF0000"/>
                        </a:solidFill>
                      </a:defRPr>
                    </a:pPr>
                    <a:r>
                      <a:rPr lang="en-US" sz="800">
                        <a:solidFill>
                          <a:srgbClr val="FF0000"/>
                        </a:solidFill>
                      </a:rPr>
                      <a:t>#</a:t>
                    </a:r>
                    <a:r>
                      <a:rPr lang="en-US">
                        <a:solidFill>
                          <a:srgbClr val="FF0000"/>
                        </a:solidFill>
                      </a:rPr>
                      <a:t>4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2860273837667724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solidFill>
                          <a:srgbClr val="FF0000"/>
                        </a:solidFill>
                      </a:rPr>
                      <a:t>#</a:t>
                    </a:r>
                    <a:r>
                      <a:rPr lang="en-US">
                        <a:solidFill>
                          <a:srgbClr val="FF0000"/>
                        </a:solidFill>
                      </a:rPr>
                      <a:t>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'One way Slab'!$NU$130:$NV$130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'One way Slab'!$NU$131:$NV$131</c:f>
              <c:numCache>
                <c:formatCode>General</c:formatCode>
                <c:ptCount val="2"/>
                <c:pt idx="0">
                  <c:v>1.4</c:v>
                </c:pt>
                <c:pt idx="1">
                  <c:v>1.4</c:v>
                </c:pt>
              </c:numCache>
            </c:numRef>
          </c:yVal>
          <c:smooth val="0"/>
        </c:ser>
        <c:ser>
          <c:idx val="25"/>
          <c:order val="25"/>
          <c:tx>
            <c:strRef>
              <c:f>'One way Slab'!$NX$129</c:f>
              <c:strCache>
                <c:ptCount val="1"/>
                <c:pt idx="0">
                  <c:v>เหล็กบนขวา</c:v>
                </c:pt>
              </c:strCache>
            </c:strRef>
          </c:tx>
          <c:spPr>
            <a:ln w="222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6.8823384554767511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solidFill>
                          <a:srgbClr val="FF0000"/>
                        </a:solidFill>
                      </a:rPr>
                      <a:t>#</a:t>
                    </a:r>
                    <a:r>
                      <a:rPr lang="en-US">
                        <a:solidFill>
                          <a:srgbClr val="FF0000"/>
                        </a:solidFill>
                      </a:rPr>
                      <a:t>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2860273837667724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solidFill>
                          <a:srgbClr val="FF0000"/>
                        </a:solidFill>
                      </a:rPr>
                      <a:t>#</a:t>
                    </a:r>
                    <a:r>
                      <a:rPr lang="en-US">
                        <a:solidFill>
                          <a:srgbClr val="FF0000"/>
                        </a:solidFill>
                      </a:rPr>
                      <a:t>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'One way Slab'!$NX$130:$NY$130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'One way Slab'!$NX$131:$NY$131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0"/>
        </c:ser>
        <c:ser>
          <c:idx val="26"/>
          <c:order val="26"/>
          <c:tx>
            <c:strRef>
              <c:f>'One way Slab'!$NT$141</c:f>
              <c:strCache>
                <c:ptCount val="1"/>
                <c:pt idx="0">
                  <c:v>เส้นบนซ้าย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'One way Slab'!$NU$142:$NV$142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'One way Slab'!$NU$143:$NV$143</c:f>
              <c:numCache>
                <c:formatCode>General</c:formatCode>
                <c:ptCount val="2"/>
                <c:pt idx="0">
                  <c:v>1.2</c:v>
                </c:pt>
                <c:pt idx="1">
                  <c:v>1.5</c:v>
                </c:pt>
              </c:numCache>
            </c:numRef>
          </c:yVal>
          <c:smooth val="0"/>
        </c:ser>
        <c:ser>
          <c:idx val="27"/>
          <c:order val="27"/>
          <c:marker>
            <c:symbol val="circle"/>
            <c:size val="6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'One way Slab'!$NX$142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'One way Slab'!$NX$143</c:f>
              <c:numCache>
                <c:formatCode>General</c:formatCode>
                <c:ptCount val="1"/>
                <c:pt idx="0">
                  <c:v>1.4</c:v>
                </c:pt>
              </c:numCache>
            </c:numRef>
          </c:yVal>
          <c:smooth val="0"/>
        </c:ser>
        <c:ser>
          <c:idx val="28"/>
          <c:order val="28"/>
          <c:tx>
            <c:strRef>
              <c:f>'One way Slab'!$NT$144</c:f>
              <c:strCache>
                <c:ptCount val="1"/>
                <c:pt idx="0">
                  <c:v>เส้นบนขวา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'One way Slab'!$NU$145:$NV$145</c:f>
              <c:numCache>
                <c:formatCode>0.00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'One way Slab'!$NU$146:$NV$146</c:f>
              <c:numCache>
                <c:formatCode>0.00</c:formatCode>
                <c:ptCount val="2"/>
                <c:pt idx="0">
                  <c:v>0</c:v>
                </c:pt>
                <c:pt idx="1">
                  <c:v>0.3</c:v>
                </c:pt>
              </c:numCache>
            </c:numRef>
          </c:yVal>
          <c:smooth val="0"/>
        </c:ser>
        <c:ser>
          <c:idx val="29"/>
          <c:order val="29"/>
          <c:marker>
            <c:symbol val="circle"/>
            <c:size val="6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'One way Slab'!$NX$145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'One way Slab'!$NX$146</c:f>
              <c:numCache>
                <c:formatCode>0.00</c:formatCode>
                <c:ptCount val="1"/>
                <c:pt idx="0">
                  <c:v>0.1</c:v>
                </c:pt>
              </c:numCache>
            </c:numRef>
          </c:yVal>
          <c:smooth val="0"/>
        </c:ser>
        <c:ser>
          <c:idx val="30"/>
          <c:order val="30"/>
          <c:spPr>
            <a:ln w="635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'One way Slab'!$NZ$142:$OA$142</c:f>
              <c:numCache>
                <c:formatCode>General</c:formatCode>
                <c:ptCount val="2"/>
              </c:numCache>
            </c:numRef>
          </c:xVal>
          <c:yVal>
            <c:numRef>
              <c:f>'One way Slab'!$NZ$143:$OA$143</c:f>
              <c:numCache>
                <c:formatCode>General</c:formatCode>
                <c:ptCount val="2"/>
              </c:numCache>
            </c:numRef>
          </c:yVal>
          <c:smooth val="0"/>
        </c:ser>
        <c:ser>
          <c:idx val="31"/>
          <c:order val="31"/>
          <c:spPr>
            <a:ln w="635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'One way Slab'!$NZ$145:$OA$145</c:f>
              <c:numCache>
                <c:formatCode>0.00</c:formatCode>
                <c:ptCount val="2"/>
                <c:pt idx="0">
                  <c:v>0.45</c:v>
                </c:pt>
                <c:pt idx="1">
                  <c:v>0.55000000000000004</c:v>
                </c:pt>
              </c:numCache>
            </c:numRef>
          </c:xVal>
          <c:yVal>
            <c:numRef>
              <c:f>'One way Slab'!$NZ$146:$OA$146</c:f>
              <c:numCache>
                <c:formatCode>0.00</c:formatCode>
                <c:ptCount val="2"/>
                <c:pt idx="0">
                  <c:v>0.3</c:v>
                </c:pt>
                <c:pt idx="1">
                  <c:v>0.3</c:v>
                </c:pt>
              </c:numCache>
            </c:numRef>
          </c:yVal>
          <c:smooth val="0"/>
        </c:ser>
        <c:ser>
          <c:idx val="32"/>
          <c:order val="32"/>
          <c:tx>
            <c:strRef>
              <c:f>'One way Slab'!$NT$170</c:f>
              <c:strCache>
                <c:ptCount val="1"/>
                <c:pt idx="0">
                  <c:v>RB9@0.25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5.7976753349093822E-2"/>
                  <c:y val="4.107998836532867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/>
                </a:pPr>
                <a:endParaRPr lang="th-TH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Slab'!$NU$171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'One way Slab'!$NU$172</c:f>
              <c:numCache>
                <c:formatCode>General</c:formatCode>
                <c:ptCount val="1"/>
                <c:pt idx="0">
                  <c:v>1.2</c:v>
                </c:pt>
              </c:numCache>
            </c:numRef>
          </c:yVal>
          <c:smooth val="0"/>
        </c:ser>
        <c:ser>
          <c:idx val="33"/>
          <c:order val="33"/>
          <c:tx>
            <c:strRef>
              <c:f>'One way Slab'!$OB$170</c:f>
              <c:strCache>
                <c:ptCount val="1"/>
                <c:pt idx="0">
                  <c:v>RB9@0.25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5.7557131599684792E-2"/>
                  <c:y val="-4.185776614310650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/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Slab'!$OB$171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'One way Slab'!$OB$172</c:f>
              <c:numCache>
                <c:formatCode>General</c:formatCode>
                <c:ptCount val="1"/>
                <c:pt idx="0">
                  <c:v>0.3</c:v>
                </c:pt>
              </c:numCache>
            </c:numRef>
          </c:yVal>
          <c:smooth val="0"/>
        </c:ser>
        <c:ser>
          <c:idx val="34"/>
          <c:order val="34"/>
          <c:spPr>
            <a:ln w="635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'One way Slab'!$OD$145:$OE$145</c:f>
              <c:numCache>
                <c:formatCode>0.00</c:formatCode>
                <c:ptCount val="2"/>
                <c:pt idx="0">
                  <c:v>0.45</c:v>
                </c:pt>
                <c:pt idx="1">
                  <c:v>0.55000000000000004</c:v>
                </c:pt>
              </c:numCache>
            </c:numRef>
          </c:xVal>
          <c:yVal>
            <c:numRef>
              <c:f>'One way Slab'!$OD$146:$OE$146</c:f>
              <c:numCache>
                <c:formatCode>0.00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011328"/>
        <c:axId val="162011904"/>
      </c:scatterChart>
      <c:valAx>
        <c:axId val="162011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62011904"/>
        <c:crosses val="autoZero"/>
        <c:crossBetween val="midCat"/>
      </c:valAx>
      <c:valAx>
        <c:axId val="1620119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62011328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888" l="0.70000000000000062" r="0.70000000000000062" t="0.75000000000000888" header="0.30000000000000032" footer="0.30000000000000032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'One way Slab'!$NT$126</c:f>
              <c:strCache>
                <c:ptCount val="1"/>
                <c:pt idx="0">
                  <c:v>ขอบพื้นใน</c:v>
                </c:pt>
              </c:strCache>
            </c:strRef>
          </c:tx>
          <c:spPr>
            <a:ln w="63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'One way Slab'!$NU$127:$NY$127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'One way Slab'!$NU$128:$NY$128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1.5</c:v>
                </c:pt>
                <c:pt idx="3">
                  <c:v>1.5</c:v>
                </c:pt>
                <c:pt idx="4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'One way Slab'!$OA$126</c:f>
              <c:strCache>
                <c:ptCount val="1"/>
                <c:pt idx="0">
                  <c:v>ขอบพื้นนอก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Slab'!$OA$127:$OE$127</c:f>
              <c:numCache>
                <c:formatCode>General</c:formatCode>
                <c:ptCount val="5"/>
                <c:pt idx="0">
                  <c:v>-0.1</c:v>
                </c:pt>
                <c:pt idx="1">
                  <c:v>2.1</c:v>
                </c:pt>
                <c:pt idx="2">
                  <c:v>2.1</c:v>
                </c:pt>
                <c:pt idx="3">
                  <c:v>-0.1</c:v>
                </c:pt>
                <c:pt idx="4">
                  <c:v>-0.1</c:v>
                </c:pt>
              </c:numCache>
            </c:numRef>
          </c:xVal>
          <c:yVal>
            <c:numRef>
              <c:f>'One way Slab'!$OA$128:$OE$128</c:f>
              <c:numCache>
                <c:formatCode>General</c:formatCode>
                <c:ptCount val="5"/>
                <c:pt idx="0">
                  <c:v>-0.1</c:v>
                </c:pt>
                <c:pt idx="1">
                  <c:v>-0.1</c:v>
                </c:pt>
                <c:pt idx="2">
                  <c:v>1.6</c:v>
                </c:pt>
                <c:pt idx="3">
                  <c:v>1.6</c:v>
                </c:pt>
                <c:pt idx="4">
                  <c:v>-0.1</c:v>
                </c:pt>
              </c:numCache>
            </c:numRef>
          </c:yVal>
          <c:smooth val="0"/>
        </c:ser>
        <c:ser>
          <c:idx val="14"/>
          <c:order val="2"/>
          <c:tx>
            <c:strRef>
              <c:f>'One way Slab'!$NT$153</c:f>
              <c:strCache>
                <c:ptCount val="1"/>
                <c:pt idx="0">
                  <c:v>ระยะบนล่าง1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'One way Slab'!$NU$154:$NV$154</c:f>
              <c:numCache>
                <c:formatCode>General</c:formatCode>
                <c:ptCount val="2"/>
                <c:pt idx="0">
                  <c:v>-0.05</c:v>
                </c:pt>
                <c:pt idx="1">
                  <c:v>0.4</c:v>
                </c:pt>
              </c:numCache>
            </c:numRef>
          </c:xVal>
          <c:yVal>
            <c:numRef>
              <c:f>'One way Slab'!$NU$155:$NV$155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yVal>
          <c:smooth val="0"/>
        </c:ser>
        <c:ser>
          <c:idx val="15"/>
          <c:order val="3"/>
          <c:tx>
            <c:strRef>
              <c:f>'One way Slab'!$NT$153</c:f>
              <c:strCache>
                <c:ptCount val="1"/>
                <c:pt idx="0">
                  <c:v>ระยะบนล่าง1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Slab'!$NX$154:$NY$154</c:f>
              <c:numCache>
                <c:formatCode>General</c:formatCode>
                <c:ptCount val="2"/>
                <c:pt idx="0">
                  <c:v>-0.05</c:v>
                </c:pt>
                <c:pt idx="1">
                  <c:v>-0.05</c:v>
                </c:pt>
              </c:numCache>
            </c:numRef>
          </c:xVal>
          <c:yVal>
            <c:numRef>
              <c:f>'One way Slab'!$NX$155:$NY$155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16"/>
          <c:order val="4"/>
          <c:tx>
            <c:strRef>
              <c:f>'One way Slab'!$NT$153</c:f>
              <c:strCache>
                <c:ptCount val="1"/>
                <c:pt idx="0">
                  <c:v>ระยะบนล่าง1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'One way Slab'!$OA$154:$OB$154</c:f>
              <c:numCache>
                <c:formatCode>General</c:formatCode>
                <c:ptCount val="2"/>
                <c:pt idx="0">
                  <c:v>0.4</c:v>
                </c:pt>
                <c:pt idx="1">
                  <c:v>0.4</c:v>
                </c:pt>
              </c:numCache>
            </c:numRef>
          </c:xVal>
          <c:yVal>
            <c:numRef>
              <c:f>'One way Slab'!$OA$155:$OB$155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18"/>
          <c:order val="5"/>
          <c:tx>
            <c:strRef>
              <c:f>'One way Slab'!$OD$86:$OF$86</c:f>
              <c:strCache>
                <c:ptCount val="1"/>
                <c:pt idx="0">
                  <c:v>0.5 (L/3)</c:v>
                </c:pt>
              </c:strCache>
            </c:strRef>
          </c:tx>
          <c:marker>
            <c:symbol val="none"/>
          </c:marker>
          <c:xVal>
            <c:numRef>
              <c:f>'One way Slab'!$NZ$163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'One way Slab'!$NZ$164</c:f>
              <c:numCache>
                <c:formatCode>General</c:formatCode>
                <c:ptCount val="1"/>
                <c:pt idx="0">
                  <c:v>0.125</c:v>
                </c:pt>
              </c:numCache>
            </c:numRef>
          </c:yVal>
          <c:smooth val="0"/>
        </c:ser>
        <c:ser>
          <c:idx val="19"/>
          <c:order val="6"/>
          <c:tx>
            <c:strRef>
              <c:f>'One way Slab'!$NZ$120:$OC$120</c:f>
              <c:strCache>
                <c:ptCount val="1"/>
                <c:pt idx="0">
                  <c:v>0.1 m. thk.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2.2004031805357592E-3"/>
                  <c:y val="-2.348564176889529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Slab'!$NU$163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Slab'!$NU$164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20"/>
          <c:order val="7"/>
          <c:tx>
            <c:strRef>
              <c:f>'One way Slab'!$OA$159</c:f>
              <c:strCache>
                <c:ptCount val="1"/>
                <c:pt idx="0">
                  <c:v>แถบบน</c:v>
                </c:pt>
              </c:strCache>
            </c:strRef>
          </c:tx>
          <c:spPr>
            <a:ln w="9525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'One way Slab'!$OA$160:$OB$160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'One way Slab'!$OA$161:$OB$161</c:f>
              <c:numCache>
                <c:formatCode>General</c:formatCode>
                <c:ptCount val="2"/>
                <c:pt idx="0">
                  <c:v>1.65</c:v>
                </c:pt>
                <c:pt idx="1">
                  <c:v>1.65</c:v>
                </c:pt>
              </c:numCache>
            </c:numRef>
          </c:yVal>
          <c:smooth val="0"/>
        </c:ser>
        <c:ser>
          <c:idx val="21"/>
          <c:order val="8"/>
          <c:tx>
            <c:strRef>
              <c:f>'One way Slab'!$OD$159</c:f>
              <c:strCache>
                <c:ptCount val="1"/>
                <c:pt idx="0">
                  <c:v>แถบล่าง</c:v>
                </c:pt>
              </c:strCache>
            </c:strRef>
          </c:tx>
          <c:spPr>
            <a:ln w="9525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'One way Slab'!$OD$160:$OE$160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'One way Slab'!$OD$161:$OE$161</c:f>
              <c:numCache>
                <c:formatCode>General</c:formatCode>
                <c:ptCount val="2"/>
                <c:pt idx="0">
                  <c:v>-0.15</c:v>
                </c:pt>
                <c:pt idx="1">
                  <c:v>-0.15</c:v>
                </c:pt>
              </c:numCache>
            </c:numRef>
          </c:yVal>
          <c:smooth val="0"/>
        </c:ser>
        <c:ser>
          <c:idx val="33"/>
          <c:order val="9"/>
          <c:tx>
            <c:strRef>
              <c:f>'One way Slab'!$OB$170</c:f>
              <c:strCache>
                <c:ptCount val="1"/>
                <c:pt idx="0">
                  <c:v>RB9@0.25</c:v>
                </c:pt>
              </c:strCache>
            </c:strRef>
          </c:tx>
          <c:marker>
            <c:symbol val="none"/>
          </c:marker>
          <c:xVal>
            <c:numRef>
              <c:f>'One way Slab'!$OB$171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'One way Slab'!$OB$172</c:f>
              <c:numCache>
                <c:formatCode>General</c:formatCode>
                <c:ptCount val="1"/>
                <c:pt idx="0">
                  <c:v>0.3</c:v>
                </c:pt>
              </c:numCache>
            </c:numRef>
          </c:yVal>
          <c:smooth val="0"/>
        </c:ser>
        <c:ser>
          <c:idx val="2"/>
          <c:order val="10"/>
          <c:tx>
            <c:strRef>
              <c:f>'One way Slab'!$NT$174</c:f>
              <c:strCache>
                <c:ptCount val="1"/>
                <c:pt idx="0">
                  <c:v>เหล็กล่างตั้ง</c:v>
                </c:pt>
              </c:strCache>
            </c:strRef>
          </c:tx>
          <c:spPr>
            <a:ln w="3810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2752659574468103E-2"/>
                  <c:y val="4.4035194880744914E-2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solidFill>
                          <a:srgbClr val="FF0000"/>
                        </a:solidFill>
                      </a:rPr>
                      <a:t>#</a:t>
                    </a:r>
                    <a:r>
                      <a:rPr lang="en-US">
                        <a:solidFill>
                          <a:srgbClr val="FF0000"/>
                        </a:solidFill>
                      </a:rPr>
                      <a:t>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0319395193065405E-2"/>
                  <c:y val="-4.6970913321698664E-2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solidFill>
                          <a:srgbClr val="FF0000"/>
                        </a:solidFill>
                      </a:rPr>
                      <a:t>#</a:t>
                    </a:r>
                    <a:r>
                      <a:rPr lang="en-US">
                        <a:solidFill>
                          <a:srgbClr val="FF0000"/>
                        </a:solidFill>
                      </a:rPr>
                      <a:t>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'One way Slab'!$NU$175:$NV$175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'One way Slab'!$NU$176:$NV$176</c:f>
              <c:numCache>
                <c:formatCode>General</c:formatCode>
                <c:ptCount val="2"/>
                <c:pt idx="0">
                  <c:v>-0.1</c:v>
                </c:pt>
                <c:pt idx="1">
                  <c:v>1.6</c:v>
                </c:pt>
              </c:numCache>
            </c:numRef>
          </c:yVal>
          <c:smooth val="0"/>
        </c:ser>
        <c:ser>
          <c:idx val="3"/>
          <c:order val="11"/>
          <c:tx>
            <c:strRef>
              <c:f>'One way Slab'!$NT$138</c:f>
              <c:strCache>
                <c:ptCount val="1"/>
                <c:pt idx="0">
                  <c:v>เส้นบนบน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'One way Slab'!$NU$139:$NV$139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'One way Slab'!$NU$140:$NV$140</c:f>
              <c:numCache>
                <c:formatCode>General</c:formatCode>
                <c:ptCount val="2"/>
                <c:pt idx="0">
                  <c:v>1.3</c:v>
                </c:pt>
                <c:pt idx="1">
                  <c:v>1.3</c:v>
                </c:pt>
              </c:numCache>
            </c:numRef>
          </c:yVal>
          <c:smooth val="0"/>
        </c:ser>
        <c:ser>
          <c:idx val="4"/>
          <c:order val="12"/>
          <c:spPr>
            <a:ln>
              <a:solidFill>
                <a:srgbClr val="008000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'One way Slab'!$NX$139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Slab'!$NX$140</c:f>
              <c:numCache>
                <c:formatCode>General</c:formatCode>
                <c:ptCount val="1"/>
                <c:pt idx="0">
                  <c:v>1.3</c:v>
                </c:pt>
              </c:numCache>
            </c:numRef>
          </c:yVal>
          <c:smooth val="0"/>
        </c:ser>
        <c:ser>
          <c:idx val="5"/>
          <c:order val="13"/>
          <c:tx>
            <c:strRef>
              <c:f>'One way Slab'!$NX$166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0"/>
                  <c:y val="3.7405468295520682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Slab'!$NX$167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Slab'!$NX$168</c:f>
              <c:numCache>
                <c:formatCode>General</c:formatCode>
                <c:ptCount val="1"/>
                <c:pt idx="0">
                  <c:v>1.5</c:v>
                </c:pt>
              </c:numCache>
            </c:numRef>
          </c:yVal>
          <c:smooth val="0"/>
        </c:ser>
        <c:ser>
          <c:idx val="6"/>
          <c:order val="14"/>
          <c:tx>
            <c:strRef>
              <c:f>'One way Slab'!$OD$147</c:f>
              <c:strCache>
                <c:ptCount val="1"/>
                <c:pt idx="0">
                  <c:v>ระยะล่างซ้าย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'One way Slab'!$OD$148:$OE$148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xVal>
          <c:yVal>
            <c:numRef>
              <c:f>'One way Slab'!$OD$149:$OE$149</c:f>
              <c:numCache>
                <c:formatCode>General</c:formatCode>
                <c:ptCount val="2"/>
                <c:pt idx="0">
                  <c:v>-0.05</c:v>
                </c:pt>
                <c:pt idx="1">
                  <c:v>1.55</c:v>
                </c:pt>
              </c:numCache>
            </c:numRef>
          </c:yVal>
          <c:smooth val="0"/>
        </c:ser>
        <c:ser>
          <c:idx val="7"/>
          <c:order val="1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Slab'!$OG$148:$OH$148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'One way Slab'!$OG$149:$OH$149</c:f>
              <c:numCache>
                <c:formatCode>General</c:formatCode>
                <c:ptCount val="2"/>
                <c:pt idx="0">
                  <c:v>1.55</c:v>
                </c:pt>
                <c:pt idx="1">
                  <c:v>1.55</c:v>
                </c:pt>
              </c:numCache>
            </c:numRef>
          </c:yVal>
          <c:smooth val="0"/>
        </c:ser>
        <c:ser>
          <c:idx val="8"/>
          <c:order val="1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Slab'!$NX$148:$NY$148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'One way Slab'!$NX$149:$NY$149</c:f>
              <c:numCache>
                <c:formatCode>General</c:formatCode>
                <c:ptCount val="2"/>
                <c:pt idx="0">
                  <c:v>-0.05</c:v>
                </c:pt>
                <c:pt idx="1">
                  <c:v>-0.05</c:v>
                </c:pt>
              </c:numCache>
            </c:numRef>
          </c:yVal>
          <c:smooth val="0"/>
        </c:ser>
        <c:ser>
          <c:idx val="9"/>
          <c:order val="17"/>
          <c:tx>
            <c:strRef>
              <c:f>'One way Slab'!$H$24:$J$24</c:f>
              <c:strCache>
                <c:ptCount val="1"/>
                <c:pt idx="0">
                  <c:v>1.50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Slab'!$OJ$148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'One way Slab'!$OJ$149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10"/>
          <c:order val="18"/>
          <c:tx>
            <c:strRef>
              <c:f>'One way Slab'!$OD$153</c:f>
              <c:strCache>
                <c:ptCount val="1"/>
                <c:pt idx="0">
                  <c:v>ระยะล่างล่าง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'One way Slab'!$OD$154:$OE$154</c:f>
              <c:numCache>
                <c:formatCode>General</c:formatCode>
                <c:ptCount val="2"/>
                <c:pt idx="0">
                  <c:v>-0.05</c:v>
                </c:pt>
                <c:pt idx="1">
                  <c:v>2.0499999999999998</c:v>
                </c:pt>
              </c:numCache>
            </c:numRef>
          </c:xVal>
          <c:yVal>
            <c:numRef>
              <c:f>'One way Slab'!$OD$155:$OE$155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yVal>
          <c:smooth val="0"/>
        </c:ser>
        <c:ser>
          <c:idx val="11"/>
          <c:order val="1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Slab'!$OG$154:$OH$154</c:f>
              <c:numCache>
                <c:formatCode>General</c:formatCode>
                <c:ptCount val="2"/>
                <c:pt idx="0">
                  <c:v>2.0499999999999998</c:v>
                </c:pt>
                <c:pt idx="1">
                  <c:v>2.0499999999999998</c:v>
                </c:pt>
              </c:numCache>
            </c:numRef>
          </c:xVal>
          <c:yVal>
            <c:numRef>
              <c:f>'One way Slab'!$OG$155:$OH$155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12"/>
          <c:order val="20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Slab'!$NX$154:$NY$154</c:f>
              <c:numCache>
                <c:formatCode>General</c:formatCode>
                <c:ptCount val="2"/>
                <c:pt idx="0">
                  <c:v>-0.05</c:v>
                </c:pt>
                <c:pt idx="1">
                  <c:v>-0.05</c:v>
                </c:pt>
              </c:numCache>
            </c:numRef>
          </c:xVal>
          <c:yVal>
            <c:numRef>
              <c:f>'One way Slab'!$NX$155:$NY$155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13"/>
          <c:order val="21"/>
          <c:tx>
            <c:strRef>
              <c:f>'One way Slab'!$H$26:$J$26</c:f>
              <c:strCache>
                <c:ptCount val="1"/>
                <c:pt idx="0">
                  <c:v>4.00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3.3542159180457054E-2"/>
                  <c:y val="-3.175916230366499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Slab'!$OJ$154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Slab'!$OJ$155</c:f>
              <c:numCache>
                <c:formatCode>General</c:formatCode>
                <c:ptCount val="1"/>
                <c:pt idx="0">
                  <c:v>-0.43</c:v>
                </c:pt>
              </c:numCache>
            </c:numRef>
          </c:yVal>
          <c:smooth val="0"/>
        </c:ser>
        <c:ser>
          <c:idx val="17"/>
          <c:order val="22"/>
          <c:tx>
            <c:strRef>
              <c:f>'One way Slab'!$NX$174</c:f>
              <c:strCache>
                <c:ptCount val="1"/>
                <c:pt idx="0">
                  <c:v>เหล็กล่างนอน</c:v>
                </c:pt>
              </c:strCache>
            </c:strRef>
          </c:tx>
          <c:spPr>
            <a:ln w="22225" cap="sq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6.827792553191489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solidFill>
                          <a:srgbClr val="FF0000"/>
                        </a:solidFill>
                      </a:defRPr>
                    </a:pPr>
                    <a:r>
                      <a:rPr lang="en-US" sz="800">
                        <a:solidFill>
                          <a:srgbClr val="FF0000"/>
                        </a:solidFill>
                      </a:rPr>
                      <a:t>#4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5906964144996059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solidFill>
                          <a:srgbClr val="FF0000"/>
                        </a:solidFill>
                      </a:defRPr>
                    </a:pPr>
                    <a:r>
                      <a:rPr lang="en-US" sz="800">
                        <a:solidFill>
                          <a:srgbClr val="FF0000"/>
                        </a:solidFill>
                      </a:rPr>
                      <a:t>#</a:t>
                    </a:r>
                    <a:r>
                      <a:rPr lang="en-US" sz="800"/>
                      <a:t>4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solidFill>
                      <a:srgbClr val="FF0000"/>
                    </a:solidFill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'One way Slab'!$NX$175:$NY$175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'One way Slab'!$NX$176:$NY$176</c:f>
              <c:numCache>
                <c:formatCode>General</c:formatCode>
                <c:ptCount val="2"/>
                <c:pt idx="0">
                  <c:v>0.75</c:v>
                </c:pt>
                <c:pt idx="1">
                  <c:v>0.75</c:v>
                </c:pt>
              </c:numCache>
            </c:numRef>
          </c:yVal>
          <c:smooth val="0"/>
        </c:ser>
        <c:ser>
          <c:idx val="22"/>
          <c:order val="23"/>
          <c:tx>
            <c:strRef>
              <c:f>'One way Slab'!$NT$141</c:f>
              <c:strCache>
                <c:ptCount val="1"/>
                <c:pt idx="0">
                  <c:v>เส้นบนซ้าย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'One way Slab'!$OB$175:$OC$175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xVal>
          <c:yVal>
            <c:numRef>
              <c:f>'One way Slab'!$OB$176:$OC$176</c:f>
              <c:numCache>
                <c:formatCode>General</c:formatCode>
                <c:ptCount val="2"/>
                <c:pt idx="0">
                  <c:v>0</c:v>
                </c:pt>
                <c:pt idx="1">
                  <c:v>1.5</c:v>
                </c:pt>
              </c:numCache>
            </c:numRef>
          </c:yVal>
          <c:smooth val="0"/>
        </c:ser>
        <c:ser>
          <c:idx val="23"/>
          <c:order val="24"/>
          <c:marker>
            <c:symbol val="circle"/>
            <c:size val="7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'One way Slab'!$OE$175</c:f>
              <c:numCache>
                <c:formatCode>General</c:formatCode>
                <c:ptCount val="1"/>
                <c:pt idx="0">
                  <c:v>0.2</c:v>
                </c:pt>
              </c:numCache>
            </c:numRef>
          </c:xVal>
          <c:yVal>
            <c:numRef>
              <c:f>'One way Slab'!$OE$176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24"/>
          <c:order val="25"/>
          <c:tx>
            <c:strRef>
              <c:f>'One way Slab'!$NX$170</c:f>
              <c:strCache>
                <c:ptCount val="1"/>
                <c:pt idx="0">
                  <c:v>RB9@0.25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1.6632190701339681E-3"/>
                  <c:y val="-7.261372891215850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/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Slab'!$NX$171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'One way Slab'!$NX$172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27488"/>
        <c:axId val="171328640"/>
      </c:scatterChart>
      <c:valAx>
        <c:axId val="171327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1328640"/>
        <c:crosses val="autoZero"/>
        <c:crossBetween val="midCat"/>
      </c:valAx>
      <c:valAx>
        <c:axId val="1713286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1327488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899" l="0.70000000000000062" r="0.70000000000000062" t="0.75000000000000899" header="0.30000000000000032" footer="0.30000000000000032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4901960784314951E-2"/>
          <c:y val="5.9700854700854698E-2"/>
          <c:w val="0.95434640522875813"/>
          <c:h val="0.88059829059829065"/>
        </c:manualLayout>
      </c:layout>
      <c:scatterChart>
        <c:scatterStyle val="lineMarker"/>
        <c:varyColors val="0"/>
        <c:ser>
          <c:idx val="0"/>
          <c:order val="0"/>
          <c:tx>
            <c:strRef>
              <c:f>'One way Slab'!$NT$50</c:f>
              <c:strCache>
                <c:ptCount val="1"/>
                <c:pt idx="0">
                  <c:v>คาน1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Slab'!$NU$51:$NY$51</c:f>
              <c:numCache>
                <c:formatCode>General</c:formatCode>
                <c:ptCount val="5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'One way Slab'!$NU$52:$NY$52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-0.4</c:v>
                </c:pt>
                <c:pt idx="3">
                  <c:v>-0.4</c:v>
                </c:pt>
                <c:pt idx="4">
                  <c:v>-0.125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'One way Slab'!$NT$53</c:f>
              <c:strCache>
                <c:ptCount val="1"/>
                <c:pt idx="0">
                  <c:v>คาน2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Slab'!$NU$54:$NY$54</c:f>
              <c:numCache>
                <c:formatCode>General</c:formatCode>
                <c:ptCount val="5"/>
                <c:pt idx="0">
                  <c:v>2</c:v>
                </c:pt>
                <c:pt idx="1">
                  <c:v>2.2000000000000002</c:v>
                </c:pt>
                <c:pt idx="2">
                  <c:v>2.2000000000000002</c:v>
                </c:pt>
                <c:pt idx="3">
                  <c:v>2</c:v>
                </c:pt>
                <c:pt idx="4">
                  <c:v>2</c:v>
                </c:pt>
              </c:numCache>
            </c:numRef>
          </c:xVal>
          <c:yVal>
            <c:numRef>
              <c:f>'One way Slab'!$NU$55:$NY$55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-0.4</c:v>
                </c:pt>
                <c:pt idx="3">
                  <c:v>-0.4</c:v>
                </c:pt>
                <c:pt idx="4">
                  <c:v>-0.125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'One way Slab'!$NT$56</c:f>
              <c:strCache>
                <c:ptCount val="1"/>
                <c:pt idx="0">
                  <c:v>พื้นบน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Slab'!$NU$57:$NV$57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'One way Slab'!$NU$58:$NV$58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'One way Slab'!$NX$56</c:f>
              <c:strCache>
                <c:ptCount val="1"/>
                <c:pt idx="0">
                  <c:v>พื้นล่าง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Slab'!$NY$57:$NZ$57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'One way Slab'!$NY$58:$NZ$58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'One way Slab'!$NT$59</c:f>
              <c:strCache>
                <c:ptCount val="1"/>
                <c:pt idx="0">
                  <c:v>เหล็กล่าง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Slab'!$NU$60:$NV$60</c:f>
              <c:numCache>
                <c:formatCode>General</c:formatCode>
                <c:ptCount val="2"/>
                <c:pt idx="0">
                  <c:v>-0.14000000000000001</c:v>
                </c:pt>
                <c:pt idx="1">
                  <c:v>2.14</c:v>
                </c:pt>
              </c:numCache>
            </c:numRef>
          </c:xVal>
          <c:yVal>
            <c:numRef>
              <c:f>'One way Slab'!$NU$61:$NV$61</c:f>
              <c:numCache>
                <c:formatCode>General</c:formatCode>
                <c:ptCount val="2"/>
                <c:pt idx="0">
                  <c:v>-9.5000000000000001E-2</c:v>
                </c:pt>
                <c:pt idx="1">
                  <c:v>-9.5000000000000001E-2</c:v>
                </c:pt>
              </c:numCache>
            </c:numRef>
          </c:yVal>
          <c:smooth val="0"/>
        </c:ser>
        <c:ser>
          <c:idx val="5"/>
          <c:order val="5"/>
          <c:marker>
            <c:symbol val="none"/>
          </c:marker>
          <c:xVal>
            <c:numRef>
              <c:f>'One way Slab'!$NW$60</c:f>
              <c:numCache>
                <c:formatCode>General</c:formatCode>
                <c:ptCount val="1"/>
              </c:numCache>
            </c:numRef>
          </c:xVal>
          <c:yVal>
            <c:numRef>
              <c:f>'One way Slab'!$NW$61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6"/>
          <c:order val="6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Slab'!$NX$60:$NY$60</c:f>
              <c:numCache>
                <c:formatCode>General</c:formatCode>
                <c:ptCount val="2"/>
                <c:pt idx="0">
                  <c:v>-0.14000000000000001</c:v>
                </c:pt>
                <c:pt idx="1">
                  <c:v>-0.14000000000000001</c:v>
                </c:pt>
              </c:numCache>
            </c:numRef>
          </c:xVal>
          <c:yVal>
            <c:numRef>
              <c:f>'One way Slab'!$NX$61:$NY$61</c:f>
              <c:numCache>
                <c:formatCode>General</c:formatCode>
                <c:ptCount val="2"/>
                <c:pt idx="0">
                  <c:v>-9.5000000000000001E-2</c:v>
                </c:pt>
                <c:pt idx="1">
                  <c:v>-5.5E-2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Slab'!$OA$60:$OB$60</c:f>
              <c:numCache>
                <c:formatCode>General</c:formatCode>
                <c:ptCount val="2"/>
                <c:pt idx="0">
                  <c:v>2.14</c:v>
                </c:pt>
                <c:pt idx="1">
                  <c:v>2.14</c:v>
                </c:pt>
              </c:numCache>
            </c:numRef>
          </c:xVal>
          <c:yVal>
            <c:numRef>
              <c:f>'One way Slab'!$OA$61:$OB$61</c:f>
              <c:numCache>
                <c:formatCode>General</c:formatCode>
                <c:ptCount val="2"/>
                <c:pt idx="0">
                  <c:v>-9.5000000000000001E-2</c:v>
                </c:pt>
                <c:pt idx="1">
                  <c:v>-5.5E-2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'One way Slab'!$NT$62</c:f>
              <c:strCache>
                <c:ptCount val="1"/>
                <c:pt idx="0">
                  <c:v>เหล็กบนซ้าย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Slab'!$NU$63:$NV$63</c:f>
              <c:numCache>
                <c:formatCode>General</c:formatCode>
                <c:ptCount val="2"/>
                <c:pt idx="0">
                  <c:v>-0.17</c:v>
                </c:pt>
                <c:pt idx="1">
                  <c:v>0.5</c:v>
                </c:pt>
              </c:numCache>
            </c:numRef>
          </c:xVal>
          <c:yVal>
            <c:numRef>
              <c:f>'One way Slab'!$NU$64:$NV$64</c:f>
              <c:numCache>
                <c:formatCode>General</c:formatCode>
                <c:ptCount val="2"/>
                <c:pt idx="0">
                  <c:v>-0.03</c:v>
                </c:pt>
                <c:pt idx="1">
                  <c:v>-0.03</c:v>
                </c:pt>
              </c:numCache>
            </c:numRef>
          </c:yVal>
          <c:smooth val="0"/>
        </c:ser>
        <c:ser>
          <c:idx val="9"/>
          <c:order val="9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Slab'!$NX$63:$NY$63</c:f>
              <c:numCache>
                <c:formatCode>General</c:formatCode>
                <c:ptCount val="2"/>
                <c:pt idx="0">
                  <c:v>-0.17</c:v>
                </c:pt>
                <c:pt idx="1">
                  <c:v>-0.17</c:v>
                </c:pt>
              </c:numCache>
            </c:numRef>
          </c:xVal>
          <c:yVal>
            <c:numRef>
              <c:f>'One way Slab'!$NX$64:$NY$64</c:f>
              <c:numCache>
                <c:formatCode>General</c:formatCode>
                <c:ptCount val="2"/>
                <c:pt idx="0">
                  <c:v>-0.03</c:v>
                </c:pt>
                <c:pt idx="1">
                  <c:v>-0.28000000000000003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'One way Slab'!$NT$65</c:f>
              <c:strCache>
                <c:ptCount val="1"/>
                <c:pt idx="0">
                  <c:v>เหล็กบนขวา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Slab'!$NU$66:$NV$66</c:f>
              <c:numCache>
                <c:formatCode>General</c:formatCode>
                <c:ptCount val="2"/>
                <c:pt idx="0">
                  <c:v>1.5</c:v>
                </c:pt>
                <c:pt idx="1">
                  <c:v>2.17</c:v>
                </c:pt>
              </c:numCache>
            </c:numRef>
          </c:xVal>
          <c:yVal>
            <c:numRef>
              <c:f>'One way Slab'!$NU$67:$NV$67</c:f>
              <c:numCache>
                <c:formatCode>General</c:formatCode>
                <c:ptCount val="2"/>
                <c:pt idx="0">
                  <c:v>-0.03</c:v>
                </c:pt>
                <c:pt idx="1">
                  <c:v>-0.03</c:v>
                </c:pt>
              </c:numCache>
            </c:numRef>
          </c:yVal>
          <c:smooth val="0"/>
        </c:ser>
        <c:ser>
          <c:idx val="11"/>
          <c:order val="11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'One way Slab'!$NX$66:$NY$66</c:f>
              <c:numCache>
                <c:formatCode>General</c:formatCode>
                <c:ptCount val="2"/>
                <c:pt idx="0">
                  <c:v>2.17</c:v>
                </c:pt>
                <c:pt idx="1">
                  <c:v>2.17</c:v>
                </c:pt>
              </c:numCache>
            </c:numRef>
          </c:xVal>
          <c:yVal>
            <c:numRef>
              <c:f>'One way Slab'!$NX$67:$NY$67</c:f>
              <c:numCache>
                <c:formatCode>General</c:formatCode>
                <c:ptCount val="2"/>
                <c:pt idx="0">
                  <c:v>-0.03</c:v>
                </c:pt>
                <c:pt idx="1">
                  <c:v>-0.28000000000000003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'One way Slab'!$NT$68</c:f>
              <c:strCache>
                <c:ptCount val="1"/>
                <c:pt idx="0">
                  <c:v>เม็ดล่าง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'One way Slab'!$NU$69:$OE$69</c:f>
              <c:numCache>
                <c:formatCode>General</c:formatCode>
                <c:ptCount val="1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</c:numCache>
            </c:numRef>
          </c:xVal>
          <c:yVal>
            <c:numRef>
              <c:f>'One way Slab'!$NU$70:$OE$70</c:f>
              <c:numCache>
                <c:formatCode>General</c:formatCode>
                <c:ptCount val="11"/>
                <c:pt idx="0">
                  <c:v>-0.08</c:v>
                </c:pt>
                <c:pt idx="1">
                  <c:v>-0.08</c:v>
                </c:pt>
                <c:pt idx="2">
                  <c:v>-0.08</c:v>
                </c:pt>
                <c:pt idx="3">
                  <c:v>-0.08</c:v>
                </c:pt>
                <c:pt idx="4">
                  <c:v>-0.08</c:v>
                </c:pt>
                <c:pt idx="5">
                  <c:v>-0.08</c:v>
                </c:pt>
                <c:pt idx="6">
                  <c:v>-0.08</c:v>
                </c:pt>
                <c:pt idx="7">
                  <c:v>-0.08</c:v>
                </c:pt>
                <c:pt idx="8">
                  <c:v>-0.08</c:v>
                </c:pt>
                <c:pt idx="9">
                  <c:v>-0.08</c:v>
                </c:pt>
                <c:pt idx="10">
                  <c:v>-0.08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'One way Slab'!$NT$71</c:f>
              <c:strCache>
                <c:ptCount val="1"/>
                <c:pt idx="0">
                  <c:v>เม็ดบน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ysClr val="windowText" lastClr="000000"/>
                </a:solidFill>
              </a:ln>
            </c:spPr>
          </c:marker>
          <c:xVal>
            <c:numRef>
              <c:f>'One way Slab'!$NU$72:$NZ$72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1.6</c:v>
                </c:pt>
                <c:pt idx="4">
                  <c:v>1.8</c:v>
                </c:pt>
                <c:pt idx="5">
                  <c:v>2</c:v>
                </c:pt>
              </c:numCache>
            </c:numRef>
          </c:xVal>
          <c:yVal>
            <c:numRef>
              <c:f>'One way Slab'!$NU$73:$NZ$73</c:f>
              <c:numCache>
                <c:formatCode>General</c:formatCode>
                <c:ptCount val="6"/>
                <c:pt idx="0">
                  <c:v>-4.4999999999999998E-2</c:v>
                </c:pt>
                <c:pt idx="1">
                  <c:v>-4.4999999999999998E-2</c:v>
                </c:pt>
                <c:pt idx="2">
                  <c:v>-4.4999999999999998E-2</c:v>
                </c:pt>
                <c:pt idx="3">
                  <c:v>-4.4999999999999998E-2</c:v>
                </c:pt>
                <c:pt idx="4">
                  <c:v>-4.4999999999999998E-2</c:v>
                </c:pt>
                <c:pt idx="5">
                  <c:v>-4.4999999999999998E-2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'One way Slab'!$NT$74</c:f>
              <c:strCache>
                <c:ptCount val="1"/>
                <c:pt idx="0">
                  <c:v>เส้นย่อ1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'One way Slab'!$NU$75:$NV$75</c:f>
              <c:numCache>
                <c:formatCode>General</c:formatCode>
                <c:ptCount val="2"/>
                <c:pt idx="0">
                  <c:v>0.98499999999999999</c:v>
                </c:pt>
                <c:pt idx="1">
                  <c:v>0.98499999999999999</c:v>
                </c:pt>
              </c:numCache>
            </c:numRef>
          </c:xVal>
          <c:yVal>
            <c:numRef>
              <c:f>'One way Slab'!$NU$76:$NV$76</c:f>
              <c:numCache>
                <c:formatCode>General</c:formatCode>
                <c:ptCount val="2"/>
                <c:pt idx="0">
                  <c:v>0.05</c:v>
                </c:pt>
                <c:pt idx="1">
                  <c:v>-0.17499999999999999</c:v>
                </c:pt>
              </c:numCache>
            </c:numRef>
          </c:yVal>
          <c:smooth val="0"/>
        </c:ser>
        <c:ser>
          <c:idx val="15"/>
          <c:order val="15"/>
          <c:tx>
            <c:strRef>
              <c:f>'One way Slab'!$NX$74</c:f>
              <c:strCache>
                <c:ptCount val="1"/>
                <c:pt idx="0">
                  <c:v>เส้นย่อ2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'One way Slab'!$NY$75:$NZ$75</c:f>
              <c:numCache>
                <c:formatCode>General</c:formatCode>
                <c:ptCount val="2"/>
                <c:pt idx="0">
                  <c:v>1.0149999999999999</c:v>
                </c:pt>
                <c:pt idx="1">
                  <c:v>1.0149999999999999</c:v>
                </c:pt>
              </c:numCache>
            </c:numRef>
          </c:xVal>
          <c:yVal>
            <c:numRef>
              <c:f>'One way Slab'!$NY$76:$NZ$76</c:f>
              <c:numCache>
                <c:formatCode>General</c:formatCode>
                <c:ptCount val="2"/>
                <c:pt idx="0">
                  <c:v>0.05</c:v>
                </c:pt>
                <c:pt idx="1">
                  <c:v>-0.17499999999999999</c:v>
                </c:pt>
              </c:numCache>
            </c:numRef>
          </c:yVal>
          <c:smooth val="0"/>
        </c:ser>
        <c:ser>
          <c:idx val="16"/>
          <c:order val="16"/>
          <c:tx>
            <c:strRef>
              <c:f>'One way Slab'!$NT$77</c:f>
              <c:strCache>
                <c:ptCount val="1"/>
                <c:pt idx="0">
                  <c:v>dim1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Slab'!$NU$78:$NV$78</c:f>
              <c:numCache>
                <c:formatCode>General</c:formatCode>
                <c:ptCount val="2"/>
                <c:pt idx="0">
                  <c:v>-0.28999999999999998</c:v>
                </c:pt>
                <c:pt idx="1">
                  <c:v>-0.37</c:v>
                </c:pt>
              </c:numCache>
            </c:numRef>
          </c:xVal>
          <c:yVal>
            <c:numRef>
              <c:f>'One way Slab'!$NU$79:$NV$79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7"/>
          <c:order val="17"/>
          <c:tx>
            <c:strRef>
              <c:f>'One way Slab'!$NX$77</c:f>
              <c:strCache>
                <c:ptCount val="1"/>
                <c:pt idx="0">
                  <c:v>dim2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Slab'!$NX$78:$NY$78</c:f>
              <c:numCache>
                <c:formatCode>General</c:formatCode>
                <c:ptCount val="2"/>
                <c:pt idx="0">
                  <c:v>-0.28999999999999998</c:v>
                </c:pt>
                <c:pt idx="1">
                  <c:v>-0.37</c:v>
                </c:pt>
              </c:numCache>
            </c:numRef>
          </c:xVal>
          <c:yVal>
            <c:numRef>
              <c:f>'One way Slab'!$NX$79:$NY$79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18"/>
          <c:order val="18"/>
          <c:tx>
            <c:strRef>
              <c:f>'One way Slab'!$OA$77</c:f>
              <c:strCache>
                <c:ptCount val="1"/>
                <c:pt idx="0">
                  <c:v>dim3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'One way Slab'!$OA$78:$OB$78</c:f>
              <c:numCache>
                <c:formatCode>General</c:formatCode>
                <c:ptCount val="2"/>
                <c:pt idx="0">
                  <c:v>-0.33</c:v>
                </c:pt>
                <c:pt idx="1">
                  <c:v>-0.33</c:v>
                </c:pt>
              </c:numCache>
            </c:numRef>
          </c:xVal>
          <c:yVal>
            <c:numRef>
              <c:f>'One way Slab'!$OA$79:$OB$79</c:f>
              <c:numCache>
                <c:formatCode>General</c:formatCode>
                <c:ptCount val="2"/>
                <c:pt idx="0">
                  <c:v>0</c:v>
                </c:pt>
                <c:pt idx="1">
                  <c:v>-0.125</c:v>
                </c:pt>
              </c:numCache>
            </c:numRef>
          </c:yVal>
          <c:smooth val="0"/>
        </c:ser>
        <c:ser>
          <c:idx val="19"/>
          <c:order val="19"/>
          <c:tx>
            <c:strRef>
              <c:f>'One way Slab'!$NT$80</c:f>
              <c:strCache>
                <c:ptCount val="1"/>
                <c:pt idx="0">
                  <c:v>dim4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Slab'!$NU$81:$NV$81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'One way Slab'!$NU$82:$NV$82</c:f>
              <c:numCache>
                <c:formatCode>General</c:formatCode>
                <c:ptCount val="2"/>
                <c:pt idx="0">
                  <c:v>-0.66</c:v>
                </c:pt>
                <c:pt idx="1">
                  <c:v>-0.74</c:v>
                </c:pt>
              </c:numCache>
            </c:numRef>
          </c:yVal>
          <c:smooth val="0"/>
        </c:ser>
        <c:ser>
          <c:idx val="20"/>
          <c:order val="20"/>
          <c:tx>
            <c:strRef>
              <c:f>'One way Slab'!$NX$80</c:f>
              <c:strCache>
                <c:ptCount val="1"/>
                <c:pt idx="0">
                  <c:v>dim5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Slab'!$NX$81:$NY$81</c:f>
              <c:numCache>
                <c:formatCode>General</c:formatCode>
                <c:ptCount val="2"/>
                <c:pt idx="0">
                  <c:v>2.1</c:v>
                </c:pt>
                <c:pt idx="1">
                  <c:v>2.1</c:v>
                </c:pt>
              </c:numCache>
            </c:numRef>
          </c:xVal>
          <c:yVal>
            <c:numRef>
              <c:f>'One way Slab'!$NX$82:$NY$82</c:f>
              <c:numCache>
                <c:formatCode>General</c:formatCode>
                <c:ptCount val="2"/>
                <c:pt idx="0">
                  <c:v>-0.66</c:v>
                </c:pt>
                <c:pt idx="1">
                  <c:v>-0.74</c:v>
                </c:pt>
              </c:numCache>
            </c:numRef>
          </c:yVal>
          <c:smooth val="0"/>
        </c:ser>
        <c:ser>
          <c:idx val="21"/>
          <c:order val="21"/>
          <c:tx>
            <c:strRef>
              <c:f>'One way Slab'!$OA$80</c:f>
              <c:strCache>
                <c:ptCount val="1"/>
                <c:pt idx="0">
                  <c:v>dim6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'One way Slab'!$OA$81:$OB$81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'One way Slab'!$OA$82:$OB$82</c:f>
              <c:numCache>
                <c:formatCode>General</c:formatCode>
                <c:ptCount val="2"/>
                <c:pt idx="0">
                  <c:v>-0.7</c:v>
                </c:pt>
                <c:pt idx="1">
                  <c:v>-0.7</c:v>
                </c:pt>
              </c:numCache>
            </c:numRef>
          </c:yVal>
          <c:smooth val="0"/>
        </c:ser>
        <c:ser>
          <c:idx val="22"/>
          <c:order val="22"/>
          <c:tx>
            <c:strRef>
              <c:f>'One way Slab'!$NT$83</c:f>
              <c:strCache>
                <c:ptCount val="1"/>
                <c:pt idx="0">
                  <c:v>dim7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Slab'!$NU$84:$NV$84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'One way Slab'!$NU$85:$NV$85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3"/>
          <c:order val="23"/>
          <c:tx>
            <c:strRef>
              <c:f>'One way Slab'!$NX$83</c:f>
              <c:strCache>
                <c:ptCount val="1"/>
                <c:pt idx="0">
                  <c:v>dim8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Slab'!$NX$84:$NY$84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'One way Slab'!$NX$85:$NY$85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4"/>
          <c:order val="24"/>
          <c:tx>
            <c:strRef>
              <c:f>'One way Slab'!$OA$83</c:f>
              <c:strCache>
                <c:ptCount val="1"/>
                <c:pt idx="0">
                  <c:v>dim9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'One way Slab'!$OA$84:$OB$84</c:f>
              <c:numCache>
                <c:formatCode>General</c:formatCode>
                <c:ptCount val="2"/>
                <c:pt idx="0">
                  <c:v>-0.1</c:v>
                </c:pt>
                <c:pt idx="1">
                  <c:v>0.5</c:v>
                </c:pt>
              </c:numCache>
            </c:numRef>
          </c:xVal>
          <c:yVal>
            <c:numRef>
              <c:f>'One way Slab'!$OA$85:$OB$85</c:f>
              <c:numCache>
                <c:formatCode>General</c:formatCode>
                <c:ptCount val="2"/>
                <c:pt idx="0">
                  <c:v>-0.55000000000000004</c:v>
                </c:pt>
                <c:pt idx="1">
                  <c:v>-0.55000000000000004</c:v>
                </c:pt>
              </c:numCache>
            </c:numRef>
          </c:yVal>
          <c:smooth val="0"/>
        </c:ser>
        <c:ser>
          <c:idx val="25"/>
          <c:order val="25"/>
          <c:tx>
            <c:strRef>
              <c:f>'One way Slab'!$NT$86</c:f>
              <c:strCache>
                <c:ptCount val="1"/>
                <c:pt idx="0">
                  <c:v>dim10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Slab'!$NU$87:$NV$87</c:f>
              <c:numCache>
                <c:formatCode>General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xVal>
          <c:yVal>
            <c:numRef>
              <c:f>'One way Slab'!$NU$88:$NV$88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6"/>
          <c:order val="26"/>
          <c:tx>
            <c:strRef>
              <c:f>'One way Slab'!$NX$86</c:f>
              <c:strCache>
                <c:ptCount val="1"/>
                <c:pt idx="0">
                  <c:v>dim11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Slab'!$NX$87:$NY$87</c:f>
              <c:numCache>
                <c:formatCode>General</c:formatCode>
                <c:ptCount val="2"/>
                <c:pt idx="0">
                  <c:v>2.1</c:v>
                </c:pt>
                <c:pt idx="1">
                  <c:v>2.1</c:v>
                </c:pt>
              </c:numCache>
            </c:numRef>
          </c:xVal>
          <c:yVal>
            <c:numRef>
              <c:f>'One way Slab'!$NX$88:$NY$88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7"/>
          <c:order val="27"/>
          <c:tx>
            <c:strRef>
              <c:f>'One way Slab'!$OA$86</c:f>
              <c:strCache>
                <c:ptCount val="1"/>
                <c:pt idx="0">
                  <c:v>dim12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'One way Slab'!$OA$87:$OB$87</c:f>
              <c:numCache>
                <c:formatCode>General</c:formatCode>
                <c:ptCount val="2"/>
                <c:pt idx="0">
                  <c:v>1.5</c:v>
                </c:pt>
                <c:pt idx="1">
                  <c:v>2.1</c:v>
                </c:pt>
              </c:numCache>
            </c:numRef>
          </c:xVal>
          <c:yVal>
            <c:numRef>
              <c:f>'One way Slab'!$OA$88:$OB$88</c:f>
              <c:numCache>
                <c:formatCode>General</c:formatCode>
                <c:ptCount val="2"/>
                <c:pt idx="0">
                  <c:v>-0.55000000000000004</c:v>
                </c:pt>
                <c:pt idx="1">
                  <c:v>-0.55000000000000004</c:v>
                </c:pt>
              </c:numCache>
            </c:numRef>
          </c:yVal>
          <c:smooth val="0"/>
        </c:ser>
        <c:ser>
          <c:idx val="28"/>
          <c:order val="28"/>
          <c:tx>
            <c:strRef>
              <c:f>'One way Slab'!$NT$89</c:f>
              <c:strCache>
                <c:ptCount val="1"/>
                <c:pt idx="0">
                  <c:v>ชี้เม็ดบนซ้าย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'One way Slab'!$NU$90:$NV$90</c:f>
              <c:numCache>
                <c:formatCode>General</c:formatCode>
                <c:ptCount val="2"/>
                <c:pt idx="0">
                  <c:v>0.4</c:v>
                </c:pt>
                <c:pt idx="1">
                  <c:v>0.4</c:v>
                </c:pt>
              </c:numCache>
            </c:numRef>
          </c:xVal>
          <c:yVal>
            <c:numRef>
              <c:f>'One way Slab'!$NU$91:$NV$91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0.105</c:v>
                </c:pt>
              </c:numCache>
            </c:numRef>
          </c:yVal>
          <c:smooth val="0"/>
        </c:ser>
        <c:ser>
          <c:idx val="29"/>
          <c:order val="29"/>
          <c:tx>
            <c:strRef>
              <c:f>'One way Slab'!$NT$89</c:f>
              <c:strCache>
                <c:ptCount val="1"/>
                <c:pt idx="0">
                  <c:v>ชี้เม็ดบนซ้าย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Slab'!$NX$90:$NY$90</c:f>
              <c:numCache>
                <c:formatCode>General</c:formatCode>
                <c:ptCount val="2"/>
                <c:pt idx="0">
                  <c:v>0.4</c:v>
                </c:pt>
                <c:pt idx="1">
                  <c:v>0.5</c:v>
                </c:pt>
              </c:numCache>
            </c:numRef>
          </c:xVal>
          <c:yVal>
            <c:numRef>
              <c:f>'One way Slab'!$NX$91:$NY$91</c:f>
              <c:numCache>
                <c:formatCode>General</c:formatCode>
                <c:ptCount val="2"/>
                <c:pt idx="0">
                  <c:v>0.105</c:v>
                </c:pt>
                <c:pt idx="1">
                  <c:v>0.105</c:v>
                </c:pt>
              </c:numCache>
            </c:numRef>
          </c:yVal>
          <c:smooth val="0"/>
        </c:ser>
        <c:ser>
          <c:idx val="30"/>
          <c:order val="30"/>
          <c:tx>
            <c:strRef>
              <c:f>'One way Slab'!$NT$92</c:f>
              <c:strCache>
                <c:ptCount val="1"/>
                <c:pt idx="0">
                  <c:v>ชี้เหล็กบนซ้าย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'One way Slab'!$NU$93:$NV$93</c:f>
              <c:numCache>
                <c:formatCode>General</c:formatCode>
                <c:ptCount val="2"/>
                <c:pt idx="0">
                  <c:v>0.3</c:v>
                </c:pt>
                <c:pt idx="1">
                  <c:v>0.3</c:v>
                </c:pt>
              </c:numCache>
            </c:numRef>
          </c:xVal>
          <c:yVal>
            <c:numRef>
              <c:f>'One way Slab'!$NU$94:$NV$94</c:f>
              <c:numCache>
                <c:formatCode>General</c:formatCode>
                <c:ptCount val="2"/>
                <c:pt idx="0">
                  <c:v>-0.03</c:v>
                </c:pt>
                <c:pt idx="1">
                  <c:v>0.2</c:v>
                </c:pt>
              </c:numCache>
            </c:numRef>
          </c:yVal>
          <c:smooth val="0"/>
        </c:ser>
        <c:ser>
          <c:idx val="31"/>
          <c:order val="31"/>
          <c:tx>
            <c:strRef>
              <c:f>'One way Slab'!$NT$92</c:f>
              <c:strCache>
                <c:ptCount val="1"/>
                <c:pt idx="0">
                  <c:v>ชี้เหล็กบนซ้าย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Slab'!$NX$93:$NY$93</c:f>
              <c:numCache>
                <c:formatCode>General</c:formatCode>
                <c:ptCount val="2"/>
                <c:pt idx="0">
                  <c:v>0.3</c:v>
                </c:pt>
                <c:pt idx="1">
                  <c:v>0.5</c:v>
                </c:pt>
              </c:numCache>
            </c:numRef>
          </c:xVal>
          <c:yVal>
            <c:numRef>
              <c:f>'One way Slab'!$NX$94:$NY$94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yVal>
          <c:smooth val="0"/>
        </c:ser>
        <c:ser>
          <c:idx val="32"/>
          <c:order val="32"/>
          <c:tx>
            <c:strRef>
              <c:f>'One way Slab'!$NT$95</c:f>
              <c:strCache>
                <c:ptCount val="1"/>
                <c:pt idx="0">
                  <c:v>ชี้เม็ดบนขวา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'One way Slab'!$NU$96:$NV$96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'One way Slab'!$NU$97:$NV$97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0.105</c:v>
                </c:pt>
              </c:numCache>
            </c:numRef>
          </c:yVal>
          <c:smooth val="0"/>
        </c:ser>
        <c:ser>
          <c:idx val="33"/>
          <c:order val="33"/>
          <c:tx>
            <c:strRef>
              <c:f>'One way Slab'!$NT$95</c:f>
              <c:strCache>
                <c:ptCount val="1"/>
                <c:pt idx="0">
                  <c:v>ชี้เม็ดบนขวา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Slab'!$NX$96:$NY$96</c:f>
              <c:numCache>
                <c:formatCode>General</c:formatCode>
                <c:ptCount val="2"/>
                <c:pt idx="0">
                  <c:v>1.8</c:v>
                </c:pt>
                <c:pt idx="1">
                  <c:v>1.9000000000000001</c:v>
                </c:pt>
              </c:numCache>
            </c:numRef>
          </c:xVal>
          <c:yVal>
            <c:numRef>
              <c:f>'One way Slab'!$NX$97:$NY$97</c:f>
              <c:numCache>
                <c:formatCode>General</c:formatCode>
                <c:ptCount val="2"/>
                <c:pt idx="0">
                  <c:v>0.105</c:v>
                </c:pt>
                <c:pt idx="1">
                  <c:v>0.105</c:v>
                </c:pt>
              </c:numCache>
            </c:numRef>
          </c:yVal>
          <c:smooth val="0"/>
        </c:ser>
        <c:ser>
          <c:idx val="34"/>
          <c:order val="34"/>
          <c:tx>
            <c:strRef>
              <c:f>'One way Slab'!$NT$98</c:f>
              <c:strCache>
                <c:ptCount val="1"/>
                <c:pt idx="0">
                  <c:v>ชี้เหล็กบนขวา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'One way Slab'!$NU$99:$NV$99</c:f>
              <c:numCache>
                <c:formatCode>General</c:formatCode>
                <c:ptCount val="2"/>
                <c:pt idx="0">
                  <c:v>1.7000000000000002</c:v>
                </c:pt>
                <c:pt idx="1">
                  <c:v>1.7000000000000002</c:v>
                </c:pt>
              </c:numCache>
            </c:numRef>
          </c:xVal>
          <c:yVal>
            <c:numRef>
              <c:f>'One way Slab'!$NU$100:$NV$100</c:f>
              <c:numCache>
                <c:formatCode>General</c:formatCode>
                <c:ptCount val="2"/>
                <c:pt idx="0">
                  <c:v>-0.03</c:v>
                </c:pt>
                <c:pt idx="1">
                  <c:v>0.2</c:v>
                </c:pt>
              </c:numCache>
            </c:numRef>
          </c:yVal>
          <c:smooth val="0"/>
        </c:ser>
        <c:ser>
          <c:idx val="35"/>
          <c:order val="35"/>
          <c:tx>
            <c:strRef>
              <c:f>'One way Slab'!$NT$98</c:f>
              <c:strCache>
                <c:ptCount val="1"/>
                <c:pt idx="0">
                  <c:v>ชี้เหล็กบนขวา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Slab'!$NX$99:$NY$99</c:f>
              <c:numCache>
                <c:formatCode>General</c:formatCode>
                <c:ptCount val="2"/>
                <c:pt idx="0">
                  <c:v>1.7000000000000002</c:v>
                </c:pt>
                <c:pt idx="1">
                  <c:v>1.9000000000000001</c:v>
                </c:pt>
              </c:numCache>
            </c:numRef>
          </c:xVal>
          <c:yVal>
            <c:numRef>
              <c:f>'One way Slab'!$NX$100:$NY$100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yVal>
          <c:smooth val="0"/>
        </c:ser>
        <c:ser>
          <c:idx val="36"/>
          <c:order val="36"/>
          <c:tx>
            <c:strRef>
              <c:f>'One way Slab'!$NT$101</c:f>
              <c:strCache>
                <c:ptCount val="1"/>
                <c:pt idx="0">
                  <c:v>ชี้เม็ดล่าง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'One way Slab'!$NU$102:$NV$102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xVal>
          <c:yVal>
            <c:numRef>
              <c:f>'One way Slab'!$NU$103:$NV$103</c:f>
              <c:numCache>
                <c:formatCode>General</c:formatCode>
                <c:ptCount val="2"/>
                <c:pt idx="0">
                  <c:v>-0.08</c:v>
                </c:pt>
                <c:pt idx="1">
                  <c:v>-0.22999999999999998</c:v>
                </c:pt>
              </c:numCache>
            </c:numRef>
          </c:yVal>
          <c:smooth val="0"/>
        </c:ser>
        <c:ser>
          <c:idx val="37"/>
          <c:order val="37"/>
          <c:tx>
            <c:strRef>
              <c:f>'One way Slab'!$NT$101</c:f>
              <c:strCache>
                <c:ptCount val="1"/>
                <c:pt idx="0">
                  <c:v>ชี้เม็ดล่าง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Slab'!$NX$102:$NY$102</c:f>
              <c:numCache>
                <c:formatCode>General</c:formatCode>
                <c:ptCount val="2"/>
                <c:pt idx="0">
                  <c:v>0.8</c:v>
                </c:pt>
                <c:pt idx="1">
                  <c:v>0.9</c:v>
                </c:pt>
              </c:numCache>
            </c:numRef>
          </c:xVal>
          <c:yVal>
            <c:numRef>
              <c:f>'One way Slab'!$NX$103:$NY$103</c:f>
              <c:numCache>
                <c:formatCode>General</c:formatCode>
                <c:ptCount val="2"/>
                <c:pt idx="0">
                  <c:v>-0.22999999999999998</c:v>
                </c:pt>
                <c:pt idx="1">
                  <c:v>-0.22999999999999998</c:v>
                </c:pt>
              </c:numCache>
            </c:numRef>
          </c:yVal>
          <c:smooth val="0"/>
        </c:ser>
        <c:ser>
          <c:idx val="38"/>
          <c:order val="38"/>
          <c:tx>
            <c:strRef>
              <c:f>'One way Slab'!$NT$104</c:f>
              <c:strCache>
                <c:ptCount val="1"/>
                <c:pt idx="0">
                  <c:v>ชี้เหล็กล่าง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'One way Slab'!$NU$105:$NV$105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xVal>
          <c:yVal>
            <c:numRef>
              <c:f>'One way Slab'!$NU$106:$NV$106</c:f>
              <c:numCache>
                <c:formatCode>General</c:formatCode>
                <c:ptCount val="2"/>
                <c:pt idx="0">
                  <c:v>-9.5000000000000001E-2</c:v>
                </c:pt>
                <c:pt idx="1">
                  <c:v>-0.32500000000000001</c:v>
                </c:pt>
              </c:numCache>
            </c:numRef>
          </c:yVal>
          <c:smooth val="0"/>
        </c:ser>
        <c:ser>
          <c:idx val="39"/>
          <c:order val="39"/>
          <c:tx>
            <c:strRef>
              <c:f>'One way Slab'!$NT$104</c:f>
              <c:strCache>
                <c:ptCount val="1"/>
                <c:pt idx="0">
                  <c:v>ชี้เหล็กล่าง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'One way Slab'!$NX$105:$NY$105</c:f>
              <c:numCache>
                <c:formatCode>General</c:formatCode>
                <c:ptCount val="2"/>
                <c:pt idx="0">
                  <c:v>0.7</c:v>
                </c:pt>
                <c:pt idx="1">
                  <c:v>0.9</c:v>
                </c:pt>
              </c:numCache>
            </c:numRef>
          </c:xVal>
          <c:yVal>
            <c:numRef>
              <c:f>'One way Slab'!$NX$106:$NY$106</c:f>
              <c:numCache>
                <c:formatCode>General</c:formatCode>
                <c:ptCount val="2"/>
                <c:pt idx="0">
                  <c:v>-0.32500000000000001</c:v>
                </c:pt>
                <c:pt idx="1">
                  <c:v>-0.32500000000000001</c:v>
                </c:pt>
              </c:numCache>
            </c:numRef>
          </c:yVal>
          <c:smooth val="0"/>
        </c:ser>
        <c:ser>
          <c:idx val="41"/>
          <c:order val="40"/>
          <c:tx>
            <c:strRef>
              <c:f>'One way Slab'!$HP$134:$HS$134</c:f>
              <c:strCache>
                <c:ptCount val="1"/>
                <c:pt idx="0">
                  <c:v>DB12@0.3</c:v>
                </c:pt>
              </c:strCache>
            </c:strRef>
          </c:tx>
          <c:marker>
            <c:symbol val="none"/>
          </c:marker>
          <c:dLbls>
            <c:dLbl>
              <c:idx val="0"/>
              <c:layout/>
              <c:tx>
                <c:strRef>
                  <c:f>'One way Slab'!$NT$166</c:f>
                  <c:strCache>
                    <c:ptCount val="1"/>
                    <c:pt idx="0">
                      <c:v>DB12@0.25</c:v>
                    </c:pt>
                  </c:strCache>
                </c:strRef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Slab'!$OA$93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'One way Slab'!$OA$94</c:f>
              <c:numCache>
                <c:formatCode>General</c:formatCode>
                <c:ptCount val="1"/>
                <c:pt idx="0">
                  <c:v>0.2</c:v>
                </c:pt>
              </c:numCache>
            </c:numRef>
          </c:yVal>
          <c:smooth val="0"/>
        </c:ser>
        <c:ser>
          <c:idx val="40"/>
          <c:order val="41"/>
          <c:tx>
            <c:strRef>
              <c:f>'One way Slab'!$HX$134:$IA$134</c:f>
              <c:strCache>
                <c:ptCount val="1"/>
                <c:pt idx="0">
                  <c:v>DB12@0.3</c:v>
                </c:pt>
              </c:strCache>
            </c:strRef>
          </c:tx>
          <c:marker>
            <c:symbol val="none"/>
          </c:marker>
          <c:dLbls>
            <c:dLbl>
              <c:idx val="0"/>
              <c:layout/>
              <c:tx>
                <c:strRef>
                  <c:f>'One way Slab'!$OB$166</c:f>
                  <c:strCache>
                    <c:ptCount val="1"/>
                    <c:pt idx="0">
                      <c:v>DB12@0.25</c:v>
                    </c:pt>
                  </c:strCache>
                </c:strRef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Slab'!$OA$99</c:f>
              <c:numCache>
                <c:formatCode>General</c:formatCode>
                <c:ptCount val="1"/>
                <c:pt idx="0">
                  <c:v>1.9000000000000001</c:v>
                </c:pt>
              </c:numCache>
            </c:numRef>
          </c:xVal>
          <c:yVal>
            <c:numRef>
              <c:f>'One way Slab'!$OA$100</c:f>
              <c:numCache>
                <c:formatCode>General</c:formatCode>
                <c:ptCount val="1"/>
                <c:pt idx="0">
                  <c:v>0.2</c:v>
                </c:pt>
              </c:numCache>
            </c:numRef>
          </c:yVal>
          <c:smooth val="0"/>
        </c:ser>
        <c:ser>
          <c:idx val="42"/>
          <c:order val="42"/>
          <c:tx>
            <c:strRef>
              <c:f>'One way Slab'!$HT$134:$HW$134</c:f>
              <c:strCache>
                <c:ptCount val="1"/>
                <c:pt idx="0">
                  <c:v>DB12@0.3</c:v>
                </c:pt>
              </c:strCache>
            </c:strRef>
          </c:tx>
          <c:marker>
            <c:symbol val="none"/>
          </c:marker>
          <c:dLbls>
            <c:dLbl>
              <c:idx val="0"/>
              <c:layout/>
              <c:tx>
                <c:strRef>
                  <c:f>'One way Slab'!$NX$166</c:f>
                  <c:strCache>
                    <c:ptCount val="1"/>
                    <c:pt idx="0">
                      <c:v>DB12@0.25</c:v>
                    </c:pt>
                  </c:strCache>
                </c:strRef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Slab'!$OA$105</c:f>
              <c:numCache>
                <c:formatCode>General</c:formatCode>
                <c:ptCount val="1"/>
                <c:pt idx="0">
                  <c:v>0.9</c:v>
                </c:pt>
              </c:numCache>
            </c:numRef>
          </c:xVal>
          <c:yVal>
            <c:numRef>
              <c:f>'One way Slab'!$OA$106</c:f>
              <c:numCache>
                <c:formatCode>General</c:formatCode>
                <c:ptCount val="1"/>
                <c:pt idx="0">
                  <c:v>-0.32500000000000001</c:v>
                </c:pt>
              </c:numCache>
            </c:numRef>
          </c:yVal>
          <c:smooth val="0"/>
        </c:ser>
        <c:ser>
          <c:idx val="43"/>
          <c:order val="43"/>
          <c:tx>
            <c:strRef>
              <c:f>'One way Slab'!$IB$134:$IE$134</c:f>
              <c:strCache>
                <c:ptCount val="1"/>
                <c:pt idx="0">
                  <c:v>RB9@0.25</c:v>
                </c:pt>
              </c:strCache>
            </c:strRef>
          </c:tx>
          <c:marker>
            <c:symbol val="none"/>
          </c:marker>
          <c:dLbls>
            <c:dLbl>
              <c:idx val="0"/>
              <c:layout/>
              <c:tx>
                <c:strRef>
                  <c:f>'One way Slab'!$NX$170</c:f>
                  <c:strCache>
                    <c:ptCount val="1"/>
                    <c:pt idx="0">
                      <c:v>RB9@0.25</c:v>
                    </c:pt>
                  </c:strCache>
                </c:strRef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Slab'!$OA$102</c:f>
              <c:numCache>
                <c:formatCode>General</c:formatCode>
                <c:ptCount val="1"/>
                <c:pt idx="0">
                  <c:v>0.9</c:v>
                </c:pt>
              </c:numCache>
            </c:numRef>
          </c:xVal>
          <c:yVal>
            <c:numRef>
              <c:f>'One way Slab'!$OA$103</c:f>
              <c:numCache>
                <c:formatCode>General</c:formatCode>
                <c:ptCount val="1"/>
                <c:pt idx="0">
                  <c:v>-0.22999999999999998</c:v>
                </c:pt>
              </c:numCache>
            </c:numRef>
          </c:yVal>
          <c:smooth val="0"/>
        </c:ser>
        <c:ser>
          <c:idx val="44"/>
          <c:order val="44"/>
          <c:tx>
            <c:strRef>
              <c:f>'One way Slab'!$IB$134:$IE$134</c:f>
              <c:strCache>
                <c:ptCount val="1"/>
                <c:pt idx="0">
                  <c:v>RB9@0.25</c:v>
                </c:pt>
              </c:strCache>
            </c:strRef>
          </c:tx>
          <c:marker>
            <c:symbol val="none"/>
          </c:marker>
          <c:dLbls>
            <c:dLbl>
              <c:idx val="0"/>
              <c:layout/>
              <c:tx>
                <c:strRef>
                  <c:f>'One way Slab'!$OB$170</c:f>
                  <c:strCache>
                    <c:ptCount val="1"/>
                    <c:pt idx="0">
                      <c:v>RB9@0.25</c:v>
                    </c:pt>
                  </c:strCache>
                </c:strRef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Slab'!$OA$96</c:f>
              <c:numCache>
                <c:formatCode>General</c:formatCode>
                <c:ptCount val="1"/>
                <c:pt idx="0">
                  <c:v>1.9000000000000001</c:v>
                </c:pt>
              </c:numCache>
            </c:numRef>
          </c:xVal>
          <c:yVal>
            <c:numRef>
              <c:f>'One way Slab'!$OA$97</c:f>
              <c:numCache>
                <c:formatCode>General</c:formatCode>
                <c:ptCount val="1"/>
                <c:pt idx="0">
                  <c:v>0.105</c:v>
                </c:pt>
              </c:numCache>
            </c:numRef>
          </c:yVal>
          <c:smooth val="0"/>
        </c:ser>
        <c:ser>
          <c:idx val="45"/>
          <c:order val="45"/>
          <c:tx>
            <c:strRef>
              <c:f>'One way Slab'!$IB$134:$IE$134</c:f>
              <c:strCache>
                <c:ptCount val="1"/>
                <c:pt idx="0">
                  <c:v>RB9@0.25</c:v>
                </c:pt>
              </c:strCache>
            </c:strRef>
          </c:tx>
          <c:marker>
            <c:symbol val="none"/>
          </c:marker>
          <c:dLbls>
            <c:dLbl>
              <c:idx val="0"/>
              <c:layout/>
              <c:tx>
                <c:strRef>
                  <c:f>'One way Slab'!$NT$170</c:f>
                  <c:strCache>
                    <c:ptCount val="1"/>
                    <c:pt idx="0">
                      <c:v>RB9@0.25</c:v>
                    </c:pt>
                  </c:strCache>
                </c:strRef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Slab'!$OA$90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'One way Slab'!$OA$91</c:f>
              <c:numCache>
                <c:formatCode>General</c:formatCode>
                <c:ptCount val="1"/>
                <c:pt idx="0">
                  <c:v>0.105</c:v>
                </c:pt>
              </c:numCache>
            </c:numRef>
          </c:yVal>
          <c:smooth val="0"/>
        </c:ser>
        <c:ser>
          <c:idx val="46"/>
          <c:order val="46"/>
          <c:tx>
            <c:strRef>
              <c:f>'One way Slab'!$OD$77:$OE$77</c:f>
              <c:strCache>
                <c:ptCount val="1"/>
                <c:pt idx="0">
                  <c:v>0.1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Slab'!$OD$78</c:f>
              <c:numCache>
                <c:formatCode>General</c:formatCode>
                <c:ptCount val="1"/>
                <c:pt idx="0">
                  <c:v>-0.33</c:v>
                </c:pt>
              </c:numCache>
            </c:numRef>
          </c:xVal>
          <c:yVal>
            <c:numRef>
              <c:f>'One way Slab'!$OD$79</c:f>
              <c:numCache>
                <c:formatCode>General</c:formatCode>
                <c:ptCount val="1"/>
                <c:pt idx="0">
                  <c:v>-6.25E-2</c:v>
                </c:pt>
              </c:numCache>
            </c:numRef>
          </c:yVal>
          <c:smooth val="0"/>
        </c:ser>
        <c:ser>
          <c:idx val="47"/>
          <c:order val="47"/>
          <c:tx>
            <c:strRef>
              <c:f>'One way Slab'!$OD$80:$OE$80</c:f>
              <c:strCache>
                <c:ptCount val="1"/>
                <c:pt idx="0">
                  <c:v>1.50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Slab'!$OD$81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'One way Slab'!$OD$82</c:f>
              <c:numCache>
                <c:formatCode>General</c:formatCode>
                <c:ptCount val="1"/>
                <c:pt idx="0">
                  <c:v>-0.64999999999999991</c:v>
                </c:pt>
              </c:numCache>
            </c:numRef>
          </c:yVal>
          <c:smooth val="0"/>
        </c:ser>
        <c:ser>
          <c:idx val="48"/>
          <c:order val="48"/>
          <c:tx>
            <c:strRef>
              <c:f>'One way Slab'!$OD$83:$OE$83</c:f>
              <c:strCache>
                <c:ptCount val="1"/>
                <c:pt idx="0">
                  <c:v>0.5 (L/3)</c:v>
                </c:pt>
              </c:strCache>
            </c:strRef>
          </c:tx>
          <c:marker>
            <c:symbol val="none"/>
          </c:marker>
          <c:dLbls>
            <c:spPr>
              <a:noFill/>
            </c:spPr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Slab'!$OD$84</c:f>
              <c:numCache>
                <c:formatCode>General</c:formatCode>
                <c:ptCount val="1"/>
                <c:pt idx="0">
                  <c:v>0.2</c:v>
                </c:pt>
              </c:numCache>
            </c:numRef>
          </c:xVal>
          <c:yVal>
            <c:numRef>
              <c:f>'One way Slab'!$OD$85</c:f>
              <c:numCache>
                <c:formatCode>General</c:formatCode>
                <c:ptCount val="1"/>
                <c:pt idx="0">
                  <c:v>-0.5</c:v>
                </c:pt>
              </c:numCache>
            </c:numRef>
          </c:yVal>
          <c:smooth val="0"/>
        </c:ser>
        <c:ser>
          <c:idx val="49"/>
          <c:order val="49"/>
          <c:tx>
            <c:strRef>
              <c:f>'One way Slab'!$OD$86:$OF$86</c:f>
              <c:strCache>
                <c:ptCount val="1"/>
                <c:pt idx="0">
                  <c:v>0.5 (L/3)</c:v>
                </c:pt>
              </c:strCache>
            </c:strRef>
          </c:tx>
          <c:marker>
            <c:symbol val="none"/>
          </c:marker>
          <c:dLbls>
            <c:spPr>
              <a:noFill/>
            </c:spPr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'One way Slab'!$OD$87</c:f>
              <c:numCache>
                <c:formatCode>General</c:formatCode>
                <c:ptCount val="1"/>
                <c:pt idx="0">
                  <c:v>1.8</c:v>
                </c:pt>
              </c:numCache>
            </c:numRef>
          </c:xVal>
          <c:yVal>
            <c:numRef>
              <c:f>'One way Slab'!$OD$88</c:f>
              <c:numCache>
                <c:formatCode>General</c:formatCode>
                <c:ptCount val="1"/>
                <c:pt idx="0">
                  <c:v>-0.5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29792"/>
        <c:axId val="171330944"/>
      </c:scatterChart>
      <c:valAx>
        <c:axId val="171329792"/>
        <c:scaling>
          <c:orientation val="minMax"/>
          <c:max val="2.5"/>
          <c:min val="-0.5"/>
        </c:scaling>
        <c:delete val="1"/>
        <c:axPos val="b"/>
        <c:numFmt formatCode="General" sourceLinked="1"/>
        <c:majorTickMark val="out"/>
        <c:minorTickMark val="none"/>
        <c:tickLblPos val="none"/>
        <c:crossAx val="171330944"/>
        <c:crosses val="autoZero"/>
        <c:crossBetween val="midCat"/>
      </c:valAx>
      <c:valAx>
        <c:axId val="171330944"/>
        <c:scaling>
          <c:orientation val="minMax"/>
          <c:max val="0.30000000000000032"/>
          <c:min val="-0.75000000000001454"/>
        </c:scaling>
        <c:delete val="1"/>
        <c:axPos val="l"/>
        <c:numFmt formatCode="General" sourceLinked="1"/>
        <c:majorTickMark val="out"/>
        <c:minorTickMark val="none"/>
        <c:tickLblPos val="none"/>
        <c:crossAx val="171329792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39370078740157488" l="0.70866141732285304" r="0.39370078740157488" t="0.3937007874015748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223</xdr:col>
      <xdr:colOff>0</xdr:colOff>
      <xdr:row>120</xdr:row>
      <xdr:rowOff>20225</xdr:rowOff>
    </xdr:from>
    <xdr:ext cx="213199" cy="210250"/>
    <xdr:sp macro="" textlink="$OK$136">
      <xdr:nvSpPr>
        <xdr:cNvPr id="11" name="TextBox 10"/>
        <xdr:cNvSpPr txBox="1"/>
      </xdr:nvSpPr>
      <xdr:spPr>
        <a:xfrm>
          <a:off x="27203400" y="19394075"/>
          <a:ext cx="213199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ctr"/>
          <a:fld id="{FE4C45A1-000D-45DE-8DCD-6E602CDEB1DB}" type="TxLink">
            <a:rPr lang="en-US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pPr algn="ctr"/>
            <a:t> </a:t>
          </a:fld>
          <a:endParaRPr lang="th-TH" sz="1100">
            <a:solidFill>
              <a:sysClr val="windowText" lastClr="000000"/>
            </a:solidFill>
            <a:latin typeface="Arial" pitchFamily="34" charset="0"/>
          </a:endParaRPr>
        </a:p>
      </xdr:txBody>
    </xdr:sp>
    <xdr:clientData/>
  </xdr:oneCellAnchor>
  <xdr:oneCellAnchor>
    <xdr:from>
      <xdr:col>223</xdr:col>
      <xdr:colOff>0</xdr:colOff>
      <xdr:row>110</xdr:row>
      <xdr:rowOff>133730</xdr:rowOff>
    </xdr:from>
    <xdr:ext cx="213199" cy="210250"/>
    <xdr:sp macro="" textlink="#REF!">
      <xdr:nvSpPr>
        <xdr:cNvPr id="14" name="TextBox 13"/>
        <xdr:cNvSpPr txBox="1"/>
      </xdr:nvSpPr>
      <xdr:spPr>
        <a:xfrm>
          <a:off x="27203400" y="17793080"/>
          <a:ext cx="213199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ctr"/>
          <a:fld id="{CD8780F2-14B4-49B9-83A4-F5DD26B1390E}" type="TxLink">
            <a:rPr lang="en-US" sz="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 algn="ctr"/>
            <a:t> </a:t>
          </a:fld>
          <a:endParaRPr lang="th-TH" sz="800">
            <a:latin typeface="Arial" pitchFamily="34" charset="0"/>
          </a:endParaRPr>
        </a:p>
      </xdr:txBody>
    </xdr:sp>
    <xdr:clientData/>
  </xdr:oneCellAnchor>
  <xdr:oneCellAnchor>
    <xdr:from>
      <xdr:col>223</xdr:col>
      <xdr:colOff>0</xdr:colOff>
      <xdr:row>117</xdr:row>
      <xdr:rowOff>17852</xdr:rowOff>
    </xdr:from>
    <xdr:ext cx="213200" cy="210250"/>
    <xdr:sp macro="" textlink="$OH$126">
      <xdr:nvSpPr>
        <xdr:cNvPr id="15" name="TextBox 14"/>
        <xdr:cNvSpPr txBox="1"/>
      </xdr:nvSpPr>
      <xdr:spPr>
        <a:xfrm>
          <a:off x="27203400" y="18877352"/>
          <a:ext cx="213200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l"/>
          <a:fld id="{8BB41B8D-7B73-4F0B-AF71-E3EBB368DC31}" type="TxLink">
            <a:rPr lang="en-US" sz="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 algn="l"/>
            <a:t> </a:t>
          </a:fld>
          <a:endParaRPr lang="th-TH" sz="800">
            <a:latin typeface="Arial" pitchFamily="34" charset="0"/>
          </a:endParaRPr>
        </a:p>
      </xdr:txBody>
    </xdr:sp>
    <xdr:clientData/>
  </xdr:oneCellAnchor>
  <xdr:oneCellAnchor>
    <xdr:from>
      <xdr:col>223</xdr:col>
      <xdr:colOff>0</xdr:colOff>
      <xdr:row>112</xdr:row>
      <xdr:rowOff>134526</xdr:rowOff>
    </xdr:from>
    <xdr:ext cx="213200" cy="210250"/>
    <xdr:sp macro="" textlink="$OH$126">
      <xdr:nvSpPr>
        <xdr:cNvPr id="16" name="TextBox 15"/>
        <xdr:cNvSpPr txBox="1"/>
      </xdr:nvSpPr>
      <xdr:spPr>
        <a:xfrm>
          <a:off x="27203400" y="18136776"/>
          <a:ext cx="213200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l"/>
          <a:fld id="{8BB41B8D-7B73-4F0B-AF71-E3EBB368DC31}" type="TxLink">
            <a:rPr lang="en-US" sz="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 algn="l"/>
            <a:t> </a:t>
          </a:fld>
          <a:endParaRPr lang="th-TH" sz="800">
            <a:latin typeface="Arial" pitchFamily="34" charset="0"/>
          </a:endParaRPr>
        </a:p>
      </xdr:txBody>
    </xdr:sp>
    <xdr:clientData/>
  </xdr:oneCellAnchor>
  <xdr:oneCellAnchor>
    <xdr:from>
      <xdr:col>223</xdr:col>
      <xdr:colOff>0</xdr:colOff>
      <xdr:row>118</xdr:row>
      <xdr:rowOff>27366</xdr:rowOff>
    </xdr:from>
    <xdr:ext cx="213200" cy="210250"/>
    <xdr:sp macro="" textlink="$AU$42">
      <xdr:nvSpPr>
        <xdr:cNvPr id="19" name="TextBox 18"/>
        <xdr:cNvSpPr txBox="1"/>
      </xdr:nvSpPr>
      <xdr:spPr>
        <a:xfrm>
          <a:off x="27203400" y="19058316"/>
          <a:ext cx="213200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l"/>
          <a:fld id="{F1DB228C-F28F-4F4F-8955-E6E471BF268B}" type="TxLink">
            <a:rPr lang="en-US" sz="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 algn="l"/>
            <a:t> </a:t>
          </a:fld>
          <a:endParaRPr lang="th-TH" sz="800">
            <a:latin typeface="Arial" pitchFamily="34" charset="0"/>
          </a:endParaRPr>
        </a:p>
      </xdr:txBody>
    </xdr:sp>
    <xdr:clientData/>
  </xdr:oneCellAnchor>
  <xdr:oneCellAnchor>
    <xdr:from>
      <xdr:col>223</xdr:col>
      <xdr:colOff>0</xdr:colOff>
      <xdr:row>113</xdr:row>
      <xdr:rowOff>115472</xdr:rowOff>
    </xdr:from>
    <xdr:ext cx="213200" cy="210250"/>
    <xdr:sp macro="" textlink="$AU$43">
      <xdr:nvSpPr>
        <xdr:cNvPr id="20" name="TextBox 19"/>
        <xdr:cNvSpPr txBox="1"/>
      </xdr:nvSpPr>
      <xdr:spPr>
        <a:xfrm>
          <a:off x="27203400" y="18289172"/>
          <a:ext cx="213200" cy="21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l"/>
          <a:fld id="{C1A60489-BA9C-4F8A-B935-D3DB8CB64B89}" type="TxLink">
            <a:rPr lang="en-US" sz="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 algn="l"/>
            <a:t> </a:t>
          </a:fld>
          <a:endParaRPr lang="th-TH" sz="800">
            <a:latin typeface="Arial" pitchFamily="34" charset="0"/>
          </a:endParaRPr>
        </a:p>
      </xdr:txBody>
    </xdr:sp>
    <xdr:clientData/>
  </xdr:oneCellAnchor>
  <xdr:oneCellAnchor>
    <xdr:from>
      <xdr:col>269</xdr:col>
      <xdr:colOff>30393</xdr:colOff>
      <xdr:row>85</xdr:row>
      <xdr:rowOff>136290</xdr:rowOff>
    </xdr:from>
    <xdr:ext cx="230319" cy="213200"/>
    <xdr:sp macro="" textlink="$BA$3">
      <xdr:nvSpPr>
        <xdr:cNvPr id="81" name="TextBox 80"/>
        <xdr:cNvSpPr txBox="1"/>
      </xdr:nvSpPr>
      <xdr:spPr>
        <a:xfrm rot="16200000">
          <a:off x="43291112" y="14848185"/>
          <a:ext cx="213200" cy="2303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l"/>
          <a:fld id="{5F92F854-84D9-4971-9FE8-1BDF5275B37A}" type="TxLink">
            <a:rPr lang="en-US" sz="800" b="0" i="0" u="none" strike="noStrike">
              <a:solidFill>
                <a:srgbClr val="000000"/>
              </a:solidFill>
              <a:latin typeface="ArialnaUPC"/>
              <a:cs typeface="Arial" pitchFamily="34" charset="0"/>
            </a:rPr>
            <a:pPr algn="l"/>
            <a:t> </a:t>
          </a:fld>
          <a:endParaRPr lang="th-TH" sz="800">
            <a:latin typeface="Arial" pitchFamily="34" charset="0"/>
          </a:endParaRPr>
        </a:p>
      </xdr:txBody>
    </xdr:sp>
    <xdr:clientData/>
  </xdr:oneCellAnchor>
  <xdr:oneCellAnchor>
    <xdr:from>
      <xdr:col>222</xdr:col>
      <xdr:colOff>477</xdr:colOff>
      <xdr:row>91</xdr:row>
      <xdr:rowOff>137038</xdr:rowOff>
    </xdr:from>
    <xdr:ext cx="213199" cy="230319"/>
    <xdr:sp macro="" textlink="$AF$10">
      <xdr:nvSpPr>
        <xdr:cNvPr id="82" name="TextBox 81"/>
        <xdr:cNvSpPr txBox="1"/>
      </xdr:nvSpPr>
      <xdr:spPr>
        <a:xfrm>
          <a:off x="43252636" y="15896583"/>
          <a:ext cx="213199" cy="2303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>
          <a:spAutoFit/>
        </a:bodyPr>
        <a:lstStyle/>
        <a:p>
          <a:pPr algn="ctr"/>
          <a:fld id="{A215989C-FA03-40F0-B2ED-5ABBBA1E06D9}" type="TxLink">
            <a:rPr lang="en-US" sz="800" b="0" i="0" u="none" strike="noStrike">
              <a:solidFill>
                <a:srgbClr val="000000"/>
              </a:solidFill>
              <a:latin typeface="ArialnaUPC"/>
              <a:cs typeface="Arial" pitchFamily="34" charset="0"/>
            </a:rPr>
            <a:pPr algn="ctr"/>
            <a:t> </a:t>
          </a:fld>
          <a:endParaRPr lang="th-TH" sz="800">
            <a:latin typeface="Arial" pitchFamily="34" charset="0"/>
          </a:endParaRPr>
        </a:p>
      </xdr:txBody>
    </xdr:sp>
    <xdr:clientData/>
  </xdr:oneCellAnchor>
  <xdr:twoCellAnchor>
    <xdr:from>
      <xdr:col>31</xdr:col>
      <xdr:colOff>89674</xdr:colOff>
      <xdr:row>2</xdr:row>
      <xdr:rowOff>7500</xdr:rowOff>
    </xdr:from>
    <xdr:to>
      <xdr:col>57</xdr:col>
      <xdr:colOff>108521</xdr:colOff>
      <xdr:row>27</xdr:row>
      <xdr:rowOff>47340</xdr:rowOff>
    </xdr:to>
    <xdr:grpSp>
      <xdr:nvGrpSpPr>
        <xdr:cNvPr id="18" name="กลุ่ม 17"/>
        <xdr:cNvGrpSpPr/>
      </xdr:nvGrpSpPr>
      <xdr:grpSpPr>
        <a:xfrm>
          <a:off x="6129390" y="353864"/>
          <a:ext cx="5084415" cy="4369385"/>
          <a:chOff x="10456333" y="10463805"/>
          <a:chExt cx="5247014" cy="4273173"/>
        </a:xfrm>
      </xdr:grpSpPr>
      <xdr:graphicFrame macro="">
        <xdr:nvGraphicFramePr>
          <xdr:cNvPr id="13" name="แผนภูมิ 12"/>
          <xdr:cNvGraphicFramePr/>
        </xdr:nvGraphicFramePr>
        <xdr:xfrm>
          <a:off x="10456333" y="10463805"/>
          <a:ext cx="5247014" cy="427317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7" name="TextBox 5"/>
          <xdr:cNvSpPr txBox="1"/>
        </xdr:nvSpPr>
        <xdr:spPr>
          <a:xfrm>
            <a:off x="12849225" y="13848289"/>
            <a:ext cx="1170944" cy="29143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000" b="1" i="0" baseline="0">
                <a:solidFill>
                  <a:srgbClr val="006600"/>
                </a:solidFill>
              </a:rPr>
              <a:t>Top Bars</a:t>
            </a:r>
            <a:endParaRPr lang="th-TH" sz="1000" b="1" i="0">
              <a:solidFill>
                <a:srgbClr val="006600"/>
              </a:solidFill>
            </a:endParaRPr>
          </a:p>
        </xdr:txBody>
      </xdr:sp>
    </xdr:grpSp>
    <xdr:clientData/>
  </xdr:twoCellAnchor>
  <xdr:twoCellAnchor>
    <xdr:from>
      <xdr:col>55</xdr:col>
      <xdr:colOff>175400</xdr:colOff>
      <xdr:row>2</xdr:row>
      <xdr:rowOff>7500</xdr:rowOff>
    </xdr:from>
    <xdr:to>
      <xdr:col>81</xdr:col>
      <xdr:colOff>194248</xdr:colOff>
      <xdr:row>27</xdr:row>
      <xdr:rowOff>47340</xdr:rowOff>
    </xdr:to>
    <xdr:grpSp>
      <xdr:nvGrpSpPr>
        <xdr:cNvPr id="24" name="กลุ่ม 23"/>
        <xdr:cNvGrpSpPr/>
      </xdr:nvGrpSpPr>
      <xdr:grpSpPr>
        <a:xfrm>
          <a:off x="10891025" y="353864"/>
          <a:ext cx="5084416" cy="4369385"/>
          <a:chOff x="10456333" y="10463805"/>
          <a:chExt cx="5247014" cy="4273173"/>
        </a:xfrm>
      </xdr:grpSpPr>
      <xdr:graphicFrame macro="">
        <xdr:nvGraphicFramePr>
          <xdr:cNvPr id="25" name="แผนภูมิ 24"/>
          <xdr:cNvGraphicFramePr/>
        </xdr:nvGraphicFramePr>
        <xdr:xfrm>
          <a:off x="10456333" y="10463805"/>
          <a:ext cx="5247014" cy="427317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26" name="TextBox 5"/>
          <xdr:cNvSpPr txBox="1"/>
        </xdr:nvSpPr>
        <xdr:spPr>
          <a:xfrm>
            <a:off x="12849225" y="13848289"/>
            <a:ext cx="1170944" cy="29143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000" b="1" i="0" baseline="0">
                <a:solidFill>
                  <a:srgbClr val="006600"/>
                </a:solidFill>
              </a:rPr>
              <a:t>Bottom Bars</a:t>
            </a:r>
            <a:endParaRPr lang="th-TH" sz="1000" b="1" i="0">
              <a:solidFill>
                <a:srgbClr val="006600"/>
              </a:solidFill>
            </a:endParaRPr>
          </a:p>
        </xdr:txBody>
      </xdr:sp>
    </xdr:grpSp>
    <xdr:clientData/>
  </xdr:twoCellAnchor>
  <xdr:twoCellAnchor>
    <xdr:from>
      <xdr:col>32</xdr:col>
      <xdr:colOff>90017</xdr:colOff>
      <xdr:row>25</xdr:row>
      <xdr:rowOff>26457</xdr:rowOff>
    </xdr:from>
    <xdr:to>
      <xdr:col>60</xdr:col>
      <xdr:colOff>2140</xdr:colOff>
      <xdr:row>38</xdr:row>
      <xdr:rowOff>81657</xdr:rowOff>
    </xdr:to>
    <xdr:grpSp>
      <xdr:nvGrpSpPr>
        <xdr:cNvPr id="22" name="กลุ่ม 21"/>
        <xdr:cNvGrpSpPr/>
      </xdr:nvGrpSpPr>
      <xdr:grpSpPr>
        <a:xfrm>
          <a:off x="6324562" y="4356002"/>
          <a:ext cx="5367351" cy="2306564"/>
          <a:chOff x="8980768" y="4296897"/>
          <a:chExt cx="5512823" cy="2285401"/>
        </a:xfrm>
      </xdr:grpSpPr>
      <xdr:graphicFrame macro="">
        <xdr:nvGraphicFramePr>
          <xdr:cNvPr id="10" name="Chart 1"/>
          <xdr:cNvGraphicFramePr/>
        </xdr:nvGraphicFramePr>
        <xdr:xfrm>
          <a:off x="8980768" y="4296897"/>
          <a:ext cx="5512823" cy="212603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21" name="TextBox 5"/>
          <xdr:cNvSpPr txBox="1"/>
        </xdr:nvSpPr>
        <xdr:spPr>
          <a:xfrm>
            <a:off x="11182350" y="6288408"/>
            <a:ext cx="1162913" cy="293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000" b="1" i="0" baseline="0">
                <a:solidFill>
                  <a:srgbClr val="006600"/>
                </a:solidFill>
              </a:rPr>
              <a:t>Short Span</a:t>
            </a:r>
            <a:endParaRPr lang="th-TH" sz="1000" b="1" i="0">
              <a:solidFill>
                <a:srgbClr val="006600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48</xdr:row>
      <xdr:rowOff>128571</xdr:rowOff>
    </xdr:from>
    <xdr:to>
      <xdr:col>40</xdr:col>
      <xdr:colOff>110167</xdr:colOff>
      <xdr:row>68</xdr:row>
      <xdr:rowOff>137591</xdr:rowOff>
    </xdr:to>
    <xdr:grpSp>
      <xdr:nvGrpSpPr>
        <xdr:cNvPr id="8" name="กลุ่ม 7"/>
        <xdr:cNvGrpSpPr/>
      </xdr:nvGrpSpPr>
      <xdr:grpSpPr>
        <a:xfrm>
          <a:off x="419099" y="8358171"/>
          <a:ext cx="7692068" cy="3438020"/>
          <a:chOff x="419099" y="8358171"/>
          <a:chExt cx="7692068" cy="3438020"/>
        </a:xfrm>
      </xdr:grpSpPr>
      <xdr:grpSp>
        <xdr:nvGrpSpPr>
          <xdr:cNvPr id="2" name="กลุ่ม 1"/>
          <xdr:cNvGrpSpPr/>
        </xdr:nvGrpSpPr>
        <xdr:grpSpPr>
          <a:xfrm>
            <a:off x="419099" y="8358188"/>
            <a:ext cx="4060800" cy="3438003"/>
            <a:chOff x="10456333" y="10463804"/>
            <a:chExt cx="4048312" cy="3463227"/>
          </a:xfrm>
        </xdr:grpSpPr>
        <xdr:graphicFrame macro="">
          <xdr:nvGraphicFramePr>
            <xdr:cNvPr id="3" name="แผนภูมิ 2"/>
            <xdr:cNvGraphicFramePr/>
          </xdr:nvGraphicFramePr>
          <xdr:xfrm>
            <a:off x="10456333" y="10463804"/>
            <a:ext cx="4048312" cy="3463227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4" name="TextBox 5"/>
            <xdr:cNvSpPr txBox="1"/>
          </xdr:nvSpPr>
          <xdr:spPr>
            <a:xfrm>
              <a:off x="12165534" y="13205428"/>
              <a:ext cx="1170944" cy="29143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ctr"/>
            <a:lstStyle/>
            <a:p>
              <a:pPr algn="ctr"/>
              <a:r>
                <a:rPr lang="en-US" sz="1000" b="1" i="0" baseline="0">
                  <a:solidFill>
                    <a:srgbClr val="006600"/>
                  </a:solidFill>
                </a:rPr>
                <a:t>Top Bars</a:t>
              </a:r>
              <a:endParaRPr lang="th-TH" sz="1000" b="1" i="0">
                <a:solidFill>
                  <a:srgbClr val="006600"/>
                </a:solidFill>
              </a:endParaRPr>
            </a:p>
          </xdr:txBody>
        </xdr:sp>
      </xdr:grpSp>
      <xdr:grpSp>
        <xdr:nvGrpSpPr>
          <xdr:cNvPr id="5" name="กลุ่ม 4"/>
          <xdr:cNvGrpSpPr/>
        </xdr:nvGrpSpPr>
        <xdr:grpSpPr>
          <a:xfrm>
            <a:off x="4050367" y="8358171"/>
            <a:ext cx="4060800" cy="3438003"/>
            <a:chOff x="10456333" y="10463804"/>
            <a:chExt cx="4048312" cy="3463227"/>
          </a:xfrm>
        </xdr:grpSpPr>
        <xdr:graphicFrame macro="">
          <xdr:nvGraphicFramePr>
            <xdr:cNvPr id="6" name="แผนภูมิ 5"/>
            <xdr:cNvGraphicFramePr/>
          </xdr:nvGraphicFramePr>
          <xdr:xfrm>
            <a:off x="10456333" y="10463804"/>
            <a:ext cx="4048312" cy="3463227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  <xdr:sp macro="" textlink="">
          <xdr:nvSpPr>
            <xdr:cNvPr id="7" name="TextBox 5"/>
            <xdr:cNvSpPr txBox="1"/>
          </xdr:nvSpPr>
          <xdr:spPr>
            <a:xfrm>
              <a:off x="12165534" y="13205428"/>
              <a:ext cx="1170944" cy="29143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ctr"/>
            <a:lstStyle/>
            <a:p>
              <a:pPr algn="ctr"/>
              <a:r>
                <a:rPr lang="en-US" sz="1000" b="1" i="0" baseline="0">
                  <a:solidFill>
                    <a:srgbClr val="006600"/>
                  </a:solidFill>
                </a:rPr>
                <a:t>Bottom Bars</a:t>
              </a:r>
              <a:endParaRPr lang="th-TH" sz="1000" b="1" i="0">
                <a:solidFill>
                  <a:srgbClr val="006600"/>
                </a:solidFill>
              </a:endParaRPr>
            </a:p>
          </xdr:txBody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10</xdr:row>
      <xdr:rowOff>19050</xdr:rowOff>
    </xdr:from>
    <xdr:to>
      <xdr:col>34</xdr:col>
      <xdr:colOff>105580</xdr:colOff>
      <xdr:row>23</xdr:row>
      <xdr:rowOff>122642</xdr:rowOff>
    </xdr:to>
    <xdr:grpSp>
      <xdr:nvGrpSpPr>
        <xdr:cNvPr id="9" name="กลุ่ม 8"/>
        <xdr:cNvGrpSpPr/>
      </xdr:nvGrpSpPr>
      <xdr:grpSpPr>
        <a:xfrm>
          <a:off x="1476375" y="1733550"/>
          <a:ext cx="5430055" cy="2332442"/>
          <a:chOff x="8980768" y="4296897"/>
          <a:chExt cx="5512823" cy="2285401"/>
        </a:xfrm>
      </xdr:grpSpPr>
      <xdr:graphicFrame macro="">
        <xdr:nvGraphicFramePr>
          <xdr:cNvPr id="10" name="Chart 1"/>
          <xdr:cNvGraphicFramePr/>
        </xdr:nvGraphicFramePr>
        <xdr:xfrm>
          <a:off x="8980768" y="4296897"/>
          <a:ext cx="5512823" cy="212603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1" name="TextBox 5"/>
          <xdr:cNvSpPr txBox="1"/>
        </xdr:nvSpPr>
        <xdr:spPr>
          <a:xfrm>
            <a:off x="11182350" y="6288408"/>
            <a:ext cx="1162913" cy="293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000" b="1" i="0" baseline="0">
                <a:solidFill>
                  <a:srgbClr val="006600"/>
                </a:solidFill>
              </a:rPr>
              <a:t>Short Span</a:t>
            </a:r>
            <a:endParaRPr lang="th-TH" sz="1000" b="1" i="0">
              <a:solidFill>
                <a:srgbClr val="0066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AHOMA">
      <a:majorFont>
        <a:latin typeface="Tahoma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CC"/>
        </a:solidFill>
        <a:ln w="12700"/>
      </a:spPr>
      <a:bodyPr vertOverflow="clip" rtlCol="0" anchor="ctr"/>
      <a:lstStyle>
        <a:defPPr algn="ctr">
          <a:defRPr sz="1100"/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Q614"/>
  <sheetViews>
    <sheetView showGridLines="0" showRowColHeaders="0" tabSelected="1" zoomScale="88" zoomScaleNormal="88" workbookViewId="0">
      <selection activeCell="AM45" sqref="AM45"/>
    </sheetView>
  </sheetViews>
  <sheetFormatPr defaultColWidth="8.375" defaultRowHeight="14.1" customHeight="1" x14ac:dyDescent="0.2"/>
  <cols>
    <col min="1" max="222" width="2.625" style="149" customWidth="1"/>
    <col min="223" max="269" width="2.625" style="149" hidden="1" customWidth="1"/>
    <col min="270" max="460" width="2.625" style="149" customWidth="1"/>
    <col min="461" max="489" width="1.75" style="149" customWidth="1"/>
    <col min="490" max="16384" width="8.375" style="149"/>
  </cols>
  <sheetData>
    <row r="1" spans="1:220" ht="14.1" customHeight="1" x14ac:dyDescent="0.2">
      <c r="A1" s="156"/>
      <c r="B1" s="234" t="s">
        <v>118</v>
      </c>
      <c r="C1" s="241"/>
      <c r="D1" s="241"/>
      <c r="E1" s="241"/>
      <c r="F1" s="241"/>
      <c r="G1" s="241"/>
      <c r="H1" s="241"/>
      <c r="I1" s="241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6"/>
      <c r="BP1" s="156"/>
      <c r="BQ1" s="156"/>
      <c r="BR1" s="156"/>
      <c r="BS1" s="156"/>
      <c r="BT1" s="156"/>
      <c r="BU1" s="156"/>
      <c r="BV1" s="156"/>
      <c r="BW1" s="156"/>
      <c r="BX1" s="156"/>
      <c r="BY1" s="156"/>
      <c r="BZ1" s="156"/>
      <c r="CA1" s="156"/>
      <c r="CB1" s="156"/>
      <c r="CC1" s="156"/>
      <c r="CD1" s="156"/>
      <c r="CE1" s="156"/>
      <c r="CF1" s="156"/>
      <c r="CG1" s="156"/>
      <c r="CH1" s="156"/>
      <c r="CI1" s="156"/>
      <c r="CJ1" s="156"/>
      <c r="CK1" s="156"/>
      <c r="CL1" s="156"/>
      <c r="CM1" s="156"/>
      <c r="CN1" s="156"/>
      <c r="CO1" s="156"/>
      <c r="CP1" s="156"/>
      <c r="CQ1" s="156"/>
      <c r="CR1" s="156"/>
      <c r="CS1" s="156"/>
      <c r="CT1" s="156"/>
      <c r="CU1" s="156"/>
      <c r="CV1" s="156"/>
      <c r="CW1" s="156"/>
      <c r="CX1" s="156"/>
      <c r="CY1" s="156"/>
      <c r="CZ1" s="156"/>
      <c r="DA1" s="156"/>
      <c r="DB1" s="156"/>
      <c r="DC1" s="156"/>
      <c r="DD1" s="156"/>
      <c r="DE1" s="156"/>
      <c r="DF1" s="156"/>
      <c r="DG1" s="156"/>
      <c r="DH1" s="156"/>
      <c r="DI1" s="156"/>
      <c r="DJ1" s="156"/>
      <c r="DK1" s="156"/>
      <c r="DL1" s="156"/>
      <c r="DM1" s="156"/>
      <c r="DN1" s="156"/>
      <c r="DO1" s="156"/>
      <c r="DP1" s="156"/>
      <c r="DQ1" s="156"/>
      <c r="DR1" s="156"/>
      <c r="DS1" s="156"/>
      <c r="DT1" s="156"/>
      <c r="DU1" s="156"/>
      <c r="DV1" s="156"/>
      <c r="DW1" s="156"/>
      <c r="DX1" s="156"/>
      <c r="DY1" s="156"/>
      <c r="DZ1" s="156"/>
      <c r="EA1" s="156"/>
      <c r="EB1" s="156"/>
      <c r="EC1" s="156"/>
      <c r="ED1" s="156"/>
      <c r="EE1" s="156"/>
      <c r="EF1" s="156"/>
      <c r="EG1" s="156"/>
      <c r="EH1" s="156"/>
      <c r="EI1" s="156"/>
      <c r="EJ1" s="156"/>
      <c r="EK1" s="156"/>
      <c r="EL1" s="156"/>
      <c r="EM1" s="156"/>
      <c r="EN1" s="156"/>
      <c r="EO1" s="156"/>
      <c r="EP1" s="156"/>
      <c r="EQ1" s="156"/>
      <c r="ER1" s="156"/>
      <c r="ES1" s="156"/>
      <c r="ET1" s="156"/>
      <c r="EU1" s="156"/>
      <c r="EV1" s="156"/>
      <c r="EW1" s="156"/>
      <c r="EX1" s="156"/>
      <c r="EY1" s="156"/>
      <c r="EZ1" s="156"/>
      <c r="FA1" s="156"/>
      <c r="FB1" s="156"/>
      <c r="FC1" s="156"/>
      <c r="FD1" s="156"/>
      <c r="FE1" s="156"/>
      <c r="FF1" s="156"/>
      <c r="FG1" s="156"/>
      <c r="FH1" s="156"/>
      <c r="FI1" s="156"/>
      <c r="FJ1" s="156"/>
      <c r="FK1" s="156"/>
      <c r="FL1" s="156"/>
      <c r="FM1" s="156"/>
      <c r="FN1" s="156"/>
      <c r="FO1" s="156"/>
      <c r="FP1" s="156"/>
      <c r="FQ1" s="156"/>
      <c r="FR1" s="156"/>
      <c r="FS1" s="156"/>
      <c r="FT1" s="156"/>
      <c r="FU1" s="156"/>
      <c r="FV1" s="156"/>
      <c r="FW1" s="156"/>
      <c r="FX1" s="156"/>
      <c r="FY1" s="156"/>
      <c r="FZ1" s="156"/>
      <c r="GA1" s="156"/>
      <c r="GB1" s="156"/>
      <c r="GC1" s="156"/>
      <c r="GD1" s="156"/>
      <c r="GE1" s="156"/>
      <c r="GF1" s="156"/>
      <c r="GG1" s="156"/>
      <c r="GH1" s="156"/>
      <c r="GI1" s="156"/>
      <c r="GJ1" s="156"/>
      <c r="GK1" s="156"/>
      <c r="GL1" s="156"/>
      <c r="GM1" s="156"/>
      <c r="GN1" s="156"/>
      <c r="GO1" s="156"/>
      <c r="GP1" s="156"/>
      <c r="GQ1" s="156"/>
      <c r="GR1" s="156"/>
      <c r="GS1" s="156"/>
      <c r="GT1" s="156"/>
      <c r="GU1" s="156"/>
      <c r="GV1" s="156"/>
      <c r="GW1" s="156"/>
      <c r="GX1" s="156"/>
      <c r="GY1" s="156"/>
      <c r="GZ1" s="156"/>
      <c r="HA1" s="156"/>
      <c r="HB1" s="156"/>
      <c r="HC1" s="156"/>
      <c r="HD1" s="156"/>
      <c r="HE1" s="156"/>
      <c r="HF1" s="156"/>
      <c r="HG1" s="156"/>
      <c r="HH1" s="156"/>
      <c r="HI1" s="156"/>
      <c r="HJ1" s="156"/>
      <c r="HK1" s="156"/>
      <c r="HL1" s="156"/>
    </row>
    <row r="2" spans="1:220" ht="14.1" customHeight="1" thickBot="1" x14ac:dyDescent="0.25">
      <c r="A2" s="156"/>
      <c r="B2" s="88"/>
      <c r="C2" s="89"/>
      <c r="D2" s="475" t="s">
        <v>49</v>
      </c>
      <c r="E2" s="475"/>
      <c r="F2" s="475"/>
      <c r="G2" s="96"/>
      <c r="H2" s="89"/>
      <c r="I2" s="89"/>
      <c r="J2" s="89"/>
      <c r="K2" s="89"/>
      <c r="L2" s="89"/>
      <c r="M2" s="89"/>
      <c r="N2" s="89"/>
      <c r="O2" s="89"/>
      <c r="P2" s="89"/>
      <c r="Q2" s="89"/>
      <c r="R2" s="475" t="s">
        <v>113</v>
      </c>
      <c r="S2" s="483"/>
      <c r="T2" s="483"/>
      <c r="U2" s="483"/>
      <c r="V2" s="483"/>
      <c r="W2" s="483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150"/>
      <c r="CH2" s="156"/>
      <c r="CI2" s="156"/>
      <c r="CJ2" s="156"/>
      <c r="CK2" s="156"/>
      <c r="CL2" s="156"/>
      <c r="CM2" s="156"/>
      <c r="CN2" s="156"/>
      <c r="CO2" s="156"/>
      <c r="CP2" s="156"/>
      <c r="CQ2" s="156"/>
      <c r="CR2" s="156"/>
      <c r="CS2" s="156"/>
      <c r="CT2" s="156"/>
      <c r="CU2" s="156"/>
      <c r="CV2" s="156"/>
      <c r="CW2" s="156"/>
      <c r="CX2" s="156"/>
      <c r="CY2" s="156"/>
      <c r="CZ2" s="156"/>
      <c r="DA2" s="156"/>
      <c r="DB2" s="156"/>
      <c r="DC2" s="156"/>
      <c r="DD2" s="156"/>
      <c r="DE2" s="156"/>
      <c r="DF2" s="156"/>
      <c r="DG2" s="156"/>
      <c r="DH2" s="156"/>
      <c r="DI2" s="156"/>
      <c r="DJ2" s="156"/>
      <c r="DK2" s="156"/>
      <c r="DL2" s="156"/>
      <c r="DM2" s="156"/>
      <c r="DN2" s="156"/>
      <c r="DO2" s="156"/>
      <c r="DP2" s="156"/>
      <c r="DQ2" s="156"/>
      <c r="DR2" s="156"/>
      <c r="DS2" s="156"/>
      <c r="DT2" s="156"/>
      <c r="DU2" s="156"/>
      <c r="DV2" s="156"/>
      <c r="DW2" s="156"/>
      <c r="DX2" s="156"/>
      <c r="DY2" s="156"/>
      <c r="DZ2" s="156"/>
      <c r="EA2" s="156"/>
      <c r="EB2" s="156"/>
      <c r="EC2" s="156"/>
      <c r="ED2" s="156"/>
      <c r="EE2" s="156"/>
      <c r="EF2" s="156"/>
      <c r="EG2" s="156"/>
      <c r="EH2" s="156"/>
      <c r="EI2" s="156"/>
      <c r="EJ2" s="156"/>
      <c r="EK2" s="156"/>
      <c r="EL2" s="156"/>
      <c r="EM2" s="156"/>
      <c r="EN2" s="156"/>
      <c r="EO2" s="156"/>
      <c r="EP2" s="156"/>
      <c r="EQ2" s="156"/>
      <c r="ER2" s="156"/>
      <c r="ES2" s="156"/>
      <c r="ET2" s="156"/>
      <c r="EU2" s="156"/>
      <c r="EV2" s="156"/>
      <c r="EW2" s="156"/>
      <c r="EX2" s="156"/>
      <c r="EY2" s="156"/>
      <c r="EZ2" s="156"/>
      <c r="FA2" s="156"/>
      <c r="FB2" s="156"/>
      <c r="FC2" s="156"/>
      <c r="FD2" s="156"/>
      <c r="FE2" s="156"/>
      <c r="FF2" s="156"/>
      <c r="FG2" s="156"/>
      <c r="FH2" s="156"/>
      <c r="FI2" s="156"/>
      <c r="FJ2" s="156"/>
      <c r="FK2" s="156"/>
      <c r="FL2" s="156"/>
      <c r="FM2" s="156"/>
      <c r="FN2" s="156"/>
      <c r="FO2" s="156"/>
      <c r="FP2" s="156"/>
      <c r="FQ2" s="156"/>
      <c r="FR2" s="156"/>
      <c r="FS2" s="156"/>
      <c r="FT2" s="156"/>
      <c r="FU2" s="156"/>
      <c r="FV2" s="156"/>
      <c r="FW2" s="156"/>
      <c r="FX2" s="156"/>
      <c r="FY2" s="156"/>
      <c r="FZ2" s="156"/>
      <c r="GA2" s="156"/>
      <c r="GB2" s="156"/>
      <c r="GC2" s="156"/>
      <c r="GD2" s="156"/>
      <c r="GE2" s="156"/>
      <c r="GF2" s="156"/>
      <c r="GG2" s="156"/>
      <c r="GH2" s="156"/>
      <c r="GI2" s="156"/>
      <c r="GJ2" s="156"/>
      <c r="GK2" s="156"/>
      <c r="GL2" s="156"/>
      <c r="GM2" s="156"/>
      <c r="GN2" s="156"/>
      <c r="GO2" s="156"/>
      <c r="GP2" s="156"/>
      <c r="GQ2" s="156"/>
      <c r="GR2" s="156"/>
      <c r="GS2" s="156"/>
      <c r="GT2" s="156"/>
      <c r="GU2" s="156"/>
      <c r="GV2" s="156"/>
      <c r="GW2" s="156"/>
      <c r="GX2" s="156"/>
      <c r="GY2" s="156"/>
      <c r="GZ2" s="156"/>
      <c r="HA2" s="156"/>
      <c r="HB2" s="156"/>
      <c r="HC2" s="156"/>
      <c r="HD2" s="156"/>
      <c r="HE2" s="156"/>
      <c r="HF2" s="156"/>
      <c r="HG2" s="156"/>
      <c r="HH2" s="156"/>
      <c r="HI2" s="156"/>
      <c r="HJ2" s="156"/>
      <c r="HK2" s="156"/>
      <c r="HL2" s="156"/>
    </row>
    <row r="3" spans="1:220" ht="14.1" customHeight="1" thickBot="1" x14ac:dyDescent="0.25">
      <c r="A3" s="156"/>
      <c r="B3" s="90"/>
      <c r="C3" s="88"/>
      <c r="D3" s="476"/>
      <c r="E3" s="476"/>
      <c r="F3" s="476"/>
      <c r="G3" s="96"/>
      <c r="H3" s="89"/>
      <c r="I3" s="89"/>
      <c r="J3" s="89"/>
      <c r="K3" s="89"/>
      <c r="L3" s="89"/>
      <c r="M3" s="89"/>
      <c r="N3" s="89"/>
      <c r="O3" s="150"/>
      <c r="P3" s="50"/>
      <c r="Q3" s="88"/>
      <c r="R3" s="484"/>
      <c r="S3" s="484"/>
      <c r="T3" s="484"/>
      <c r="U3" s="484"/>
      <c r="V3" s="484"/>
      <c r="W3" s="484"/>
      <c r="X3" s="89"/>
      <c r="Y3" s="89"/>
      <c r="Z3" s="89"/>
      <c r="AA3" s="89"/>
      <c r="AB3" s="89"/>
      <c r="AC3" s="89"/>
      <c r="AD3" s="89"/>
      <c r="AE3" s="150"/>
      <c r="AF3" s="50"/>
      <c r="AG3" s="395" t="str">
        <f>HT69</f>
        <v>Both ends continuous.</v>
      </c>
      <c r="AH3" s="385"/>
      <c r="AI3" s="385"/>
      <c r="AJ3" s="385"/>
      <c r="AK3" s="385"/>
      <c r="AL3" s="385"/>
      <c r="AM3" s="385"/>
      <c r="AN3" s="385"/>
      <c r="AO3" s="385"/>
      <c r="AP3" s="385"/>
      <c r="AQ3" s="385"/>
      <c r="AR3" s="385"/>
      <c r="AS3" s="385"/>
      <c r="AT3" s="385"/>
      <c r="AU3" s="385"/>
      <c r="AV3" s="385"/>
      <c r="AW3" s="385"/>
      <c r="AX3" s="385"/>
      <c r="AY3" s="385"/>
      <c r="AZ3" s="385"/>
      <c r="BA3" s="385"/>
      <c r="BB3" s="385"/>
      <c r="BC3" s="385"/>
      <c r="BD3" s="385"/>
      <c r="BE3" s="385"/>
      <c r="BF3" s="385"/>
      <c r="BG3" s="385"/>
      <c r="BH3" s="385"/>
      <c r="BI3" s="385"/>
      <c r="BJ3" s="385"/>
      <c r="BK3" s="385"/>
      <c r="BL3" s="385"/>
      <c r="BM3" s="385"/>
      <c r="BN3" s="385"/>
      <c r="BO3" s="385"/>
      <c r="BP3" s="385"/>
      <c r="BQ3" s="385"/>
      <c r="BR3" s="385"/>
      <c r="BS3" s="385"/>
      <c r="BT3" s="385"/>
      <c r="BU3" s="385"/>
      <c r="BV3" s="385"/>
      <c r="BW3" s="385"/>
      <c r="BX3" s="385"/>
      <c r="BY3" s="385"/>
      <c r="BZ3" s="385"/>
      <c r="CA3" s="385"/>
      <c r="CB3" s="385"/>
      <c r="CC3" s="385"/>
      <c r="CD3" s="385"/>
      <c r="CE3" s="385"/>
      <c r="CF3" s="386"/>
      <c r="CG3" s="151"/>
      <c r="CH3" s="156"/>
      <c r="CI3" s="156"/>
      <c r="CJ3" s="156"/>
      <c r="CK3" s="156"/>
      <c r="CL3" s="156"/>
      <c r="CM3" s="156"/>
      <c r="CN3" s="156"/>
      <c r="CO3" s="156"/>
      <c r="CP3" s="156"/>
      <c r="CQ3" s="156"/>
      <c r="CR3" s="156"/>
      <c r="CS3" s="156"/>
      <c r="CT3" s="156"/>
      <c r="CU3" s="156"/>
      <c r="CV3" s="156"/>
      <c r="CW3" s="156"/>
      <c r="CX3" s="156"/>
      <c r="CY3" s="156"/>
      <c r="CZ3" s="156"/>
      <c r="DA3" s="156"/>
      <c r="DB3" s="156"/>
      <c r="DC3" s="156"/>
      <c r="DD3" s="156"/>
      <c r="DE3" s="156"/>
      <c r="DF3" s="156"/>
      <c r="DG3" s="156"/>
      <c r="DH3" s="156"/>
      <c r="DI3" s="156"/>
      <c r="DJ3" s="156"/>
      <c r="DK3" s="156"/>
      <c r="DL3" s="156"/>
      <c r="DM3" s="156"/>
      <c r="DN3" s="156"/>
      <c r="DO3" s="156"/>
      <c r="DP3" s="156"/>
      <c r="DQ3" s="156"/>
      <c r="DR3" s="156"/>
      <c r="DS3" s="156"/>
      <c r="DT3" s="156"/>
      <c r="DU3" s="156"/>
      <c r="DV3" s="156"/>
      <c r="DW3" s="156"/>
      <c r="DX3" s="156"/>
      <c r="DY3" s="156"/>
      <c r="DZ3" s="156"/>
      <c r="EA3" s="156"/>
      <c r="EB3" s="156"/>
      <c r="EC3" s="156"/>
      <c r="ED3" s="156"/>
      <c r="EE3" s="156"/>
      <c r="EF3" s="156"/>
      <c r="EG3" s="156"/>
      <c r="EH3" s="156"/>
      <c r="EI3" s="156"/>
      <c r="EJ3" s="156"/>
      <c r="EK3" s="156"/>
      <c r="EL3" s="156"/>
      <c r="EM3" s="156"/>
      <c r="EN3" s="156"/>
      <c r="EO3" s="156"/>
      <c r="EP3" s="156"/>
      <c r="EQ3" s="156"/>
      <c r="ER3" s="156"/>
      <c r="ES3" s="156"/>
      <c r="ET3" s="156"/>
      <c r="EU3" s="156"/>
      <c r="EV3" s="156"/>
      <c r="EW3" s="156"/>
      <c r="EX3" s="156"/>
      <c r="EY3" s="156"/>
      <c r="EZ3" s="156"/>
      <c r="FA3" s="156"/>
      <c r="FB3" s="156"/>
      <c r="FC3" s="156"/>
      <c r="FD3" s="156"/>
      <c r="FE3" s="156"/>
      <c r="FF3" s="156"/>
      <c r="FG3" s="156"/>
      <c r="FH3" s="156"/>
      <c r="FI3" s="156"/>
      <c r="FJ3" s="156"/>
      <c r="FK3" s="156"/>
      <c r="FL3" s="156"/>
      <c r="FM3" s="156"/>
      <c r="FN3" s="156"/>
      <c r="FO3" s="156"/>
      <c r="FP3" s="156"/>
      <c r="FQ3" s="156"/>
      <c r="FR3" s="156"/>
      <c r="FS3" s="156"/>
      <c r="FT3" s="156"/>
      <c r="FU3" s="156"/>
      <c r="FV3" s="156"/>
      <c r="FW3" s="156"/>
      <c r="FX3" s="156"/>
      <c r="FY3" s="156"/>
      <c r="FZ3" s="156"/>
      <c r="GA3" s="156"/>
      <c r="GB3" s="156"/>
      <c r="GC3" s="156"/>
      <c r="GD3" s="156"/>
      <c r="GE3" s="156"/>
      <c r="GF3" s="156"/>
      <c r="GG3" s="156"/>
      <c r="GH3" s="156"/>
      <c r="GI3" s="156"/>
      <c r="GJ3" s="156"/>
      <c r="GK3" s="156"/>
      <c r="GL3" s="156"/>
      <c r="GM3" s="156"/>
      <c r="GN3" s="156"/>
      <c r="GO3" s="156"/>
      <c r="GP3" s="156"/>
      <c r="GQ3" s="156"/>
      <c r="GR3" s="156"/>
      <c r="GS3" s="156"/>
      <c r="GT3" s="156"/>
      <c r="GU3" s="156"/>
      <c r="GV3" s="156"/>
      <c r="GW3" s="156"/>
      <c r="GX3" s="156"/>
      <c r="GY3" s="156"/>
      <c r="GZ3" s="156"/>
      <c r="HA3" s="156"/>
      <c r="HB3" s="156"/>
      <c r="HC3" s="156"/>
      <c r="HD3" s="156"/>
      <c r="HE3" s="156"/>
      <c r="HF3" s="156"/>
      <c r="HG3" s="156"/>
      <c r="HH3" s="156"/>
      <c r="HI3" s="156"/>
      <c r="HJ3" s="156"/>
      <c r="HK3" s="156"/>
      <c r="HL3" s="156"/>
    </row>
    <row r="4" spans="1:220" ht="14.1" customHeight="1" x14ac:dyDescent="0.2">
      <c r="A4" s="156"/>
      <c r="B4" s="90"/>
      <c r="C4" s="90"/>
      <c r="D4" s="50"/>
      <c r="E4" s="50"/>
      <c r="F4" s="215" t="s">
        <v>212</v>
      </c>
      <c r="G4" s="50"/>
      <c r="H4" s="491">
        <v>3000</v>
      </c>
      <c r="I4" s="492"/>
      <c r="J4" s="493"/>
      <c r="K4" s="50"/>
      <c r="L4" s="447" t="s">
        <v>2</v>
      </c>
      <c r="M4" s="50"/>
      <c r="N4" s="50"/>
      <c r="O4" s="151"/>
      <c r="P4" s="50"/>
      <c r="Q4" s="90"/>
      <c r="R4" s="50"/>
      <c r="S4" s="53" t="s">
        <v>107</v>
      </c>
      <c r="T4" s="50"/>
      <c r="U4" s="472" t="s">
        <v>24</v>
      </c>
      <c r="V4" s="473"/>
      <c r="W4" s="473"/>
      <c r="X4" s="473"/>
      <c r="Y4" s="473"/>
      <c r="Z4" s="473"/>
      <c r="AA4" s="473"/>
      <c r="AB4" s="473"/>
      <c r="AC4" s="473"/>
      <c r="AD4" s="474"/>
      <c r="AE4" s="307"/>
      <c r="AF4" s="144"/>
      <c r="AG4" s="387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  <c r="CA4" s="69"/>
      <c r="CB4" s="69"/>
      <c r="CC4" s="69"/>
      <c r="CD4" s="69"/>
      <c r="CE4" s="69"/>
      <c r="CF4" s="365"/>
      <c r="CG4" s="151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6"/>
      <c r="DF4" s="156"/>
      <c r="DG4" s="156"/>
      <c r="DH4" s="156"/>
      <c r="DI4" s="156"/>
      <c r="DJ4" s="156"/>
      <c r="DK4" s="156"/>
      <c r="DL4" s="156"/>
      <c r="DM4" s="156"/>
      <c r="DN4" s="156"/>
      <c r="DO4" s="156"/>
      <c r="DP4" s="156"/>
      <c r="DQ4" s="156"/>
      <c r="DR4" s="156"/>
      <c r="DS4" s="156"/>
      <c r="DT4" s="156"/>
      <c r="DU4" s="156"/>
      <c r="DV4" s="156"/>
      <c r="DW4" s="156"/>
      <c r="DX4" s="156"/>
      <c r="DY4" s="156"/>
      <c r="DZ4" s="156"/>
      <c r="EA4" s="156"/>
      <c r="EB4" s="156"/>
      <c r="EC4" s="156"/>
      <c r="ED4" s="156"/>
      <c r="EE4" s="156"/>
      <c r="EF4" s="156"/>
      <c r="EG4" s="156"/>
      <c r="EH4" s="156"/>
      <c r="EI4" s="156"/>
      <c r="EJ4" s="156"/>
      <c r="EK4" s="156"/>
      <c r="EL4" s="156"/>
      <c r="EM4" s="156"/>
      <c r="EN4" s="156"/>
      <c r="EO4" s="156"/>
      <c r="EP4" s="156"/>
      <c r="EQ4" s="156"/>
      <c r="ER4" s="156"/>
      <c r="ES4" s="156"/>
      <c r="ET4" s="156"/>
      <c r="EU4" s="156"/>
      <c r="EV4" s="156"/>
      <c r="EW4" s="156"/>
      <c r="EX4" s="156"/>
      <c r="EY4" s="156"/>
      <c r="EZ4" s="156"/>
      <c r="FA4" s="156"/>
      <c r="FB4" s="156"/>
      <c r="FC4" s="156"/>
      <c r="FD4" s="156"/>
      <c r="FE4" s="156"/>
      <c r="FF4" s="156"/>
      <c r="FG4" s="156"/>
      <c r="FH4" s="156"/>
      <c r="FI4" s="156"/>
      <c r="FJ4" s="156"/>
      <c r="FK4" s="156"/>
      <c r="FL4" s="156"/>
      <c r="FM4" s="156"/>
      <c r="FN4" s="156"/>
      <c r="FO4" s="156"/>
      <c r="FP4" s="156"/>
      <c r="FQ4" s="156"/>
      <c r="FR4" s="156"/>
      <c r="FS4" s="156"/>
      <c r="FT4" s="156"/>
      <c r="FU4" s="156"/>
      <c r="FV4" s="156"/>
      <c r="FW4" s="156"/>
      <c r="FX4" s="156"/>
      <c r="FY4" s="156"/>
      <c r="FZ4" s="156"/>
      <c r="GA4" s="156"/>
      <c r="GB4" s="156"/>
      <c r="GC4" s="156"/>
      <c r="GD4" s="156"/>
      <c r="GE4" s="156"/>
      <c r="GF4" s="156"/>
      <c r="GG4" s="156"/>
      <c r="GH4" s="156"/>
      <c r="GI4" s="156"/>
      <c r="GJ4" s="156"/>
      <c r="GK4" s="156"/>
      <c r="GL4" s="156"/>
      <c r="GM4" s="156"/>
      <c r="GN4" s="156"/>
      <c r="GO4" s="156"/>
      <c r="GP4" s="156"/>
      <c r="GQ4" s="156"/>
      <c r="GR4" s="156"/>
      <c r="GS4" s="156"/>
      <c r="GT4" s="156"/>
      <c r="GU4" s="156"/>
      <c r="GV4" s="156"/>
      <c r="GW4" s="156"/>
      <c r="GX4" s="156"/>
      <c r="GY4" s="156"/>
      <c r="GZ4" s="156"/>
      <c r="HA4" s="156"/>
      <c r="HB4" s="156"/>
      <c r="HC4" s="156"/>
      <c r="HD4" s="156"/>
      <c r="HE4" s="156"/>
      <c r="HF4" s="156"/>
      <c r="HG4" s="156"/>
      <c r="HH4" s="156"/>
      <c r="HI4" s="156"/>
      <c r="HJ4" s="156"/>
      <c r="HK4" s="156"/>
      <c r="HL4" s="156"/>
    </row>
    <row r="5" spans="1:220" ht="14.1" customHeight="1" thickBot="1" x14ac:dyDescent="0.25">
      <c r="A5" s="156"/>
      <c r="B5" s="90"/>
      <c r="C5" s="90"/>
      <c r="D5" s="50"/>
      <c r="E5" s="50"/>
      <c r="F5" s="50"/>
      <c r="G5" s="50"/>
      <c r="H5" s="447"/>
      <c r="I5" s="447"/>
      <c r="J5" s="447"/>
      <c r="K5" s="50"/>
      <c r="L5" s="50"/>
      <c r="M5" s="50"/>
      <c r="N5" s="50"/>
      <c r="O5" s="151"/>
      <c r="P5" s="50"/>
      <c r="Q5" s="90"/>
      <c r="R5" s="50"/>
      <c r="S5" s="50"/>
      <c r="T5" s="50"/>
      <c r="U5" s="447"/>
      <c r="V5" s="447"/>
      <c r="W5" s="447"/>
      <c r="X5" s="447"/>
      <c r="Y5" s="447"/>
      <c r="Z5" s="447"/>
      <c r="AA5" s="447"/>
      <c r="AB5" s="447"/>
      <c r="AC5" s="447"/>
      <c r="AD5" s="447"/>
      <c r="AE5" s="358"/>
      <c r="AF5" s="447"/>
      <c r="AG5" s="387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365"/>
      <c r="CG5" s="151"/>
      <c r="CH5" s="156"/>
      <c r="CI5" s="156"/>
      <c r="CJ5" s="156"/>
      <c r="CK5" s="156"/>
      <c r="CL5" s="156"/>
      <c r="CM5" s="156"/>
      <c r="CN5" s="156"/>
      <c r="CO5" s="156"/>
      <c r="CP5" s="156"/>
      <c r="CQ5" s="156"/>
      <c r="CR5" s="156"/>
      <c r="CS5" s="156"/>
      <c r="CT5" s="156"/>
      <c r="CU5" s="156"/>
      <c r="CV5" s="156"/>
      <c r="CW5" s="156"/>
      <c r="CX5" s="156"/>
      <c r="CY5" s="156"/>
      <c r="CZ5" s="156"/>
      <c r="DA5" s="156"/>
      <c r="DB5" s="156"/>
      <c r="DC5" s="156"/>
      <c r="DD5" s="156"/>
      <c r="DE5" s="156"/>
      <c r="DF5" s="156"/>
      <c r="DG5" s="156"/>
      <c r="DH5" s="156"/>
      <c r="DI5" s="156"/>
      <c r="DJ5" s="156"/>
      <c r="DK5" s="156"/>
      <c r="DL5" s="156"/>
      <c r="DM5" s="156"/>
      <c r="DN5" s="156"/>
      <c r="DO5" s="156"/>
      <c r="DP5" s="156"/>
      <c r="DQ5" s="156"/>
      <c r="DR5" s="156"/>
      <c r="DS5" s="156"/>
      <c r="DT5" s="156"/>
      <c r="DU5" s="156"/>
      <c r="DV5" s="156"/>
      <c r="DW5" s="156"/>
      <c r="DX5" s="156"/>
      <c r="DY5" s="156"/>
      <c r="DZ5" s="156"/>
      <c r="EA5" s="156"/>
      <c r="EB5" s="156"/>
      <c r="EC5" s="156"/>
      <c r="ED5" s="156"/>
      <c r="EE5" s="156"/>
      <c r="EF5" s="156"/>
      <c r="EG5" s="156"/>
      <c r="EH5" s="156"/>
      <c r="EI5" s="156"/>
      <c r="EJ5" s="156"/>
      <c r="EK5" s="156"/>
      <c r="EL5" s="156"/>
      <c r="EM5" s="156"/>
      <c r="EN5" s="156"/>
      <c r="EO5" s="156"/>
      <c r="EP5" s="156"/>
      <c r="EQ5" s="156"/>
      <c r="ER5" s="156"/>
      <c r="ES5" s="156"/>
      <c r="ET5" s="156"/>
      <c r="EU5" s="156"/>
      <c r="EV5" s="156"/>
      <c r="EW5" s="156"/>
      <c r="EX5" s="156"/>
      <c r="EY5" s="156"/>
      <c r="EZ5" s="156"/>
      <c r="FA5" s="156"/>
      <c r="FB5" s="156"/>
      <c r="FC5" s="156"/>
      <c r="FD5" s="156"/>
      <c r="FE5" s="156"/>
      <c r="FF5" s="156"/>
      <c r="FG5" s="156"/>
      <c r="FH5" s="156"/>
      <c r="FI5" s="156"/>
      <c r="FJ5" s="156"/>
      <c r="FK5" s="156"/>
      <c r="FL5" s="156"/>
      <c r="FM5" s="156"/>
      <c r="FN5" s="156"/>
      <c r="FO5" s="156"/>
      <c r="FP5" s="156"/>
      <c r="FQ5" s="156"/>
      <c r="FR5" s="156"/>
      <c r="FS5" s="156"/>
      <c r="FT5" s="156"/>
      <c r="FU5" s="156"/>
      <c r="FV5" s="156"/>
      <c r="FW5" s="156"/>
      <c r="FX5" s="156"/>
      <c r="FY5" s="156"/>
      <c r="FZ5" s="156"/>
      <c r="GA5" s="156"/>
      <c r="GB5" s="156"/>
      <c r="GC5" s="156"/>
      <c r="GD5" s="156"/>
      <c r="GE5" s="156"/>
      <c r="GF5" s="156"/>
      <c r="GG5" s="156"/>
      <c r="GH5" s="156"/>
      <c r="GI5" s="156"/>
      <c r="GJ5" s="156"/>
      <c r="GK5" s="156"/>
      <c r="GL5" s="156"/>
      <c r="GM5" s="156"/>
      <c r="GN5" s="156"/>
      <c r="GO5" s="156"/>
      <c r="GP5" s="156"/>
      <c r="GQ5" s="156"/>
      <c r="GR5" s="156"/>
      <c r="GS5" s="156"/>
      <c r="GT5" s="156"/>
      <c r="GU5" s="156"/>
      <c r="GV5" s="156"/>
      <c r="GW5" s="156"/>
      <c r="GX5" s="156"/>
      <c r="GY5" s="156"/>
      <c r="GZ5" s="156"/>
      <c r="HA5" s="156"/>
      <c r="HB5" s="156"/>
      <c r="HC5" s="156"/>
      <c r="HD5" s="156"/>
      <c r="HE5" s="156"/>
      <c r="HF5" s="156"/>
      <c r="HG5" s="156"/>
      <c r="HH5" s="156"/>
      <c r="HI5" s="156"/>
      <c r="HJ5" s="156"/>
      <c r="HK5" s="156"/>
      <c r="HL5" s="156"/>
    </row>
    <row r="6" spans="1:220" ht="14.1" customHeight="1" x14ac:dyDescent="0.2">
      <c r="A6" s="156"/>
      <c r="B6" s="90"/>
      <c r="C6" s="90"/>
      <c r="D6" s="50"/>
      <c r="E6" s="50"/>
      <c r="F6" s="215" t="s">
        <v>213</v>
      </c>
      <c r="G6" s="50"/>
      <c r="H6" s="491">
        <v>2400</v>
      </c>
      <c r="I6" s="492"/>
      <c r="J6" s="493"/>
      <c r="K6" s="50"/>
      <c r="L6" s="447" t="s">
        <v>2</v>
      </c>
      <c r="M6" s="50"/>
      <c r="N6" s="50"/>
      <c r="O6" s="151"/>
      <c r="P6" s="50"/>
      <c r="Q6" s="90"/>
      <c r="R6" s="50"/>
      <c r="S6" s="53" t="s">
        <v>109</v>
      </c>
      <c r="T6" s="50"/>
      <c r="U6" s="472" t="s">
        <v>25</v>
      </c>
      <c r="V6" s="473"/>
      <c r="W6" s="473"/>
      <c r="X6" s="473"/>
      <c r="Y6" s="473"/>
      <c r="Z6" s="473"/>
      <c r="AA6" s="473"/>
      <c r="AB6" s="473"/>
      <c r="AC6" s="473"/>
      <c r="AD6" s="474"/>
      <c r="AE6" s="307"/>
      <c r="AF6" s="144"/>
      <c r="AG6" s="387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18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365"/>
      <c r="CG6" s="151"/>
      <c r="CH6" s="156"/>
      <c r="CI6" s="156"/>
      <c r="CJ6" s="156"/>
      <c r="CK6" s="156"/>
      <c r="CL6" s="156"/>
      <c r="CM6" s="156"/>
      <c r="CN6" s="156"/>
      <c r="CO6" s="156"/>
      <c r="CP6" s="156"/>
      <c r="CQ6" s="156"/>
      <c r="CR6" s="156"/>
      <c r="CS6" s="156"/>
      <c r="CT6" s="156"/>
      <c r="CU6" s="156"/>
      <c r="CV6" s="156"/>
      <c r="CW6" s="156"/>
      <c r="CX6" s="156"/>
      <c r="CY6" s="156"/>
      <c r="CZ6" s="156"/>
      <c r="DA6" s="156"/>
      <c r="DB6" s="156"/>
      <c r="DC6" s="156"/>
      <c r="DD6" s="156"/>
      <c r="DE6" s="156"/>
      <c r="DF6" s="156"/>
      <c r="DG6" s="156"/>
      <c r="DH6" s="156"/>
      <c r="DI6" s="156"/>
      <c r="DJ6" s="156"/>
      <c r="DK6" s="156"/>
      <c r="DL6" s="156"/>
      <c r="DM6" s="156"/>
      <c r="DN6" s="156"/>
      <c r="DO6" s="156"/>
      <c r="DP6" s="156"/>
      <c r="DQ6" s="156"/>
      <c r="DR6" s="156"/>
      <c r="DS6" s="156"/>
      <c r="DT6" s="156"/>
      <c r="DU6" s="156"/>
      <c r="DV6" s="156"/>
      <c r="DW6" s="156"/>
      <c r="DX6" s="156"/>
      <c r="DY6" s="156"/>
      <c r="DZ6" s="156"/>
      <c r="EA6" s="156"/>
      <c r="EB6" s="156"/>
      <c r="EC6" s="156"/>
      <c r="ED6" s="156"/>
      <c r="EE6" s="156"/>
      <c r="EF6" s="156"/>
      <c r="EG6" s="156"/>
      <c r="EH6" s="156"/>
      <c r="EI6" s="156"/>
      <c r="EJ6" s="156"/>
      <c r="EK6" s="156"/>
      <c r="EL6" s="156"/>
      <c r="EM6" s="156"/>
      <c r="EN6" s="156"/>
      <c r="EO6" s="156"/>
      <c r="EP6" s="156"/>
      <c r="EQ6" s="156"/>
      <c r="ER6" s="156"/>
      <c r="ES6" s="156"/>
      <c r="ET6" s="156"/>
      <c r="EU6" s="156"/>
      <c r="EV6" s="156"/>
      <c r="EW6" s="156"/>
      <c r="EX6" s="156"/>
      <c r="EY6" s="156"/>
      <c r="EZ6" s="156"/>
      <c r="FA6" s="156"/>
      <c r="FB6" s="156"/>
      <c r="FC6" s="156"/>
      <c r="FD6" s="156"/>
      <c r="FE6" s="156"/>
      <c r="FF6" s="156"/>
      <c r="FG6" s="156"/>
      <c r="FH6" s="156"/>
      <c r="FI6" s="156"/>
      <c r="FJ6" s="156"/>
      <c r="FK6" s="156"/>
      <c r="FL6" s="156"/>
      <c r="FM6" s="156"/>
      <c r="FN6" s="156"/>
      <c r="FO6" s="156"/>
      <c r="FP6" s="156"/>
      <c r="FQ6" s="156"/>
      <c r="FR6" s="156"/>
      <c r="FS6" s="156"/>
      <c r="FT6" s="156"/>
      <c r="FU6" s="156"/>
      <c r="FV6" s="156"/>
      <c r="FW6" s="156"/>
      <c r="FX6" s="156"/>
      <c r="FY6" s="156"/>
      <c r="FZ6" s="156"/>
      <c r="GA6" s="156"/>
      <c r="GB6" s="156"/>
      <c r="GC6" s="156"/>
      <c r="GD6" s="156"/>
      <c r="GE6" s="156"/>
      <c r="GF6" s="156"/>
      <c r="GG6" s="156"/>
      <c r="GH6" s="156"/>
      <c r="GI6" s="156"/>
      <c r="GJ6" s="156"/>
      <c r="GK6" s="156"/>
      <c r="GL6" s="156"/>
      <c r="GM6" s="156"/>
      <c r="GN6" s="156"/>
      <c r="GO6" s="156"/>
      <c r="GP6" s="156"/>
      <c r="GQ6" s="156"/>
      <c r="GR6" s="156"/>
      <c r="GS6" s="156"/>
      <c r="GT6" s="156"/>
      <c r="GU6" s="156"/>
      <c r="GV6" s="156"/>
      <c r="GW6" s="156"/>
      <c r="GX6" s="156"/>
      <c r="GY6" s="156"/>
      <c r="GZ6" s="156"/>
      <c r="HA6" s="156"/>
      <c r="HB6" s="156"/>
      <c r="HC6" s="156"/>
      <c r="HD6" s="156"/>
      <c r="HE6" s="156"/>
      <c r="HF6" s="156"/>
      <c r="HG6" s="156"/>
      <c r="HH6" s="156"/>
      <c r="HI6" s="156"/>
      <c r="HJ6" s="156"/>
      <c r="HK6" s="156"/>
      <c r="HL6" s="156"/>
    </row>
    <row r="7" spans="1:220" ht="14.1" customHeight="1" thickBot="1" x14ac:dyDescent="0.25">
      <c r="A7" s="156"/>
      <c r="B7" s="90"/>
      <c r="C7" s="9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151"/>
      <c r="P7" s="144"/>
      <c r="Q7" s="91"/>
      <c r="R7" s="50"/>
      <c r="S7" s="50"/>
      <c r="T7" s="50"/>
      <c r="U7" s="447"/>
      <c r="V7" s="447"/>
      <c r="W7" s="447"/>
      <c r="X7" s="447"/>
      <c r="Y7" s="447"/>
      <c r="Z7" s="447"/>
      <c r="AA7" s="447"/>
      <c r="AB7" s="447"/>
      <c r="AC7" s="447"/>
      <c r="AD7" s="447"/>
      <c r="AE7" s="358"/>
      <c r="AF7" s="447"/>
      <c r="AG7" s="387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18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365"/>
      <c r="CG7" s="151"/>
      <c r="CH7" s="156"/>
      <c r="CI7" s="156"/>
      <c r="CJ7" s="156"/>
      <c r="CK7" s="156"/>
      <c r="CL7" s="156"/>
      <c r="CM7" s="156"/>
      <c r="CN7" s="156"/>
      <c r="CO7" s="156"/>
      <c r="CP7" s="156"/>
      <c r="CQ7" s="156"/>
      <c r="CR7" s="156"/>
      <c r="CS7" s="156"/>
      <c r="CT7" s="156"/>
      <c r="CU7" s="156"/>
      <c r="CV7" s="156"/>
      <c r="CW7" s="156"/>
      <c r="CX7" s="156"/>
      <c r="CY7" s="156"/>
      <c r="CZ7" s="156"/>
      <c r="DA7" s="156"/>
      <c r="DB7" s="156"/>
      <c r="DC7" s="156"/>
      <c r="DD7" s="156"/>
      <c r="DE7" s="156"/>
      <c r="DF7" s="156"/>
      <c r="DG7" s="156"/>
      <c r="DH7" s="156"/>
      <c r="DI7" s="156"/>
      <c r="DJ7" s="156"/>
      <c r="DK7" s="156"/>
      <c r="DL7" s="156"/>
      <c r="DM7" s="156"/>
      <c r="DN7" s="156"/>
      <c r="DO7" s="156"/>
      <c r="DP7" s="156"/>
      <c r="DQ7" s="156"/>
      <c r="DR7" s="156"/>
      <c r="DS7" s="156"/>
      <c r="DT7" s="156"/>
      <c r="DU7" s="156"/>
      <c r="DV7" s="156"/>
      <c r="DW7" s="156"/>
      <c r="DX7" s="156"/>
      <c r="DY7" s="156"/>
      <c r="DZ7" s="156"/>
      <c r="EA7" s="156"/>
      <c r="EB7" s="156"/>
      <c r="EC7" s="156"/>
      <c r="ED7" s="156"/>
      <c r="EE7" s="156"/>
      <c r="EF7" s="156"/>
      <c r="EG7" s="156"/>
      <c r="EH7" s="156"/>
      <c r="EI7" s="156"/>
      <c r="EJ7" s="156"/>
      <c r="EK7" s="156"/>
      <c r="EL7" s="156"/>
      <c r="EM7" s="156"/>
      <c r="EN7" s="156"/>
      <c r="EO7" s="156"/>
      <c r="EP7" s="156"/>
      <c r="EQ7" s="156"/>
      <c r="ER7" s="156"/>
      <c r="ES7" s="156"/>
      <c r="ET7" s="156"/>
      <c r="EU7" s="156"/>
      <c r="EV7" s="156"/>
      <c r="EW7" s="156"/>
      <c r="EX7" s="156"/>
      <c r="EY7" s="156"/>
      <c r="EZ7" s="156"/>
      <c r="FA7" s="156"/>
      <c r="FB7" s="156"/>
      <c r="FC7" s="156"/>
      <c r="FD7" s="156"/>
      <c r="FE7" s="156"/>
      <c r="FF7" s="156"/>
      <c r="FG7" s="156"/>
      <c r="FH7" s="156"/>
      <c r="FI7" s="156"/>
      <c r="FJ7" s="156"/>
      <c r="FK7" s="156"/>
      <c r="FL7" s="156"/>
      <c r="FM7" s="156"/>
      <c r="FN7" s="156"/>
      <c r="FO7" s="156"/>
      <c r="FP7" s="156"/>
      <c r="FQ7" s="156"/>
      <c r="FR7" s="156"/>
      <c r="FS7" s="156"/>
      <c r="FT7" s="156"/>
      <c r="FU7" s="156"/>
      <c r="FV7" s="156"/>
      <c r="FW7" s="156"/>
      <c r="FX7" s="156"/>
      <c r="FY7" s="156"/>
      <c r="FZ7" s="156"/>
      <c r="GA7" s="156"/>
      <c r="GB7" s="156"/>
      <c r="GC7" s="156"/>
      <c r="GD7" s="156"/>
      <c r="GE7" s="156"/>
      <c r="GF7" s="156"/>
      <c r="GG7" s="156"/>
      <c r="GH7" s="156"/>
      <c r="GI7" s="156"/>
      <c r="GJ7" s="156"/>
      <c r="GK7" s="156"/>
      <c r="GL7" s="156"/>
      <c r="GM7" s="156"/>
      <c r="GN7" s="156"/>
      <c r="GO7" s="156"/>
      <c r="GP7" s="156"/>
      <c r="GQ7" s="156"/>
      <c r="GR7" s="156"/>
      <c r="GS7" s="156"/>
      <c r="GT7" s="156"/>
      <c r="GU7" s="156"/>
      <c r="GV7" s="156"/>
      <c r="GW7" s="156"/>
      <c r="GX7" s="156"/>
      <c r="GY7" s="156"/>
      <c r="GZ7" s="156"/>
      <c r="HA7" s="156"/>
      <c r="HB7" s="156"/>
      <c r="HC7" s="156"/>
      <c r="HD7" s="156"/>
      <c r="HE7" s="156"/>
      <c r="HF7" s="156"/>
      <c r="HG7" s="156"/>
      <c r="HH7" s="156"/>
      <c r="HI7" s="156"/>
      <c r="HJ7" s="156"/>
      <c r="HK7" s="156"/>
      <c r="HL7" s="156"/>
    </row>
    <row r="8" spans="1:220" ht="14.1" customHeight="1" x14ac:dyDescent="0.2">
      <c r="A8" s="156"/>
      <c r="B8" s="90"/>
      <c r="C8" s="90"/>
      <c r="D8" s="50"/>
      <c r="E8" s="50"/>
      <c r="F8" s="53" t="s">
        <v>48</v>
      </c>
      <c r="G8" s="50"/>
      <c r="H8" s="491">
        <v>150</v>
      </c>
      <c r="I8" s="492"/>
      <c r="J8" s="493"/>
      <c r="K8" s="50"/>
      <c r="L8" s="447" t="s">
        <v>2</v>
      </c>
      <c r="M8" s="50"/>
      <c r="N8" s="50"/>
      <c r="O8" s="151"/>
      <c r="P8" s="144"/>
      <c r="Q8" s="91"/>
      <c r="R8" s="50"/>
      <c r="S8" s="53" t="s">
        <v>110</v>
      </c>
      <c r="T8" s="50"/>
      <c r="U8" s="472" t="s">
        <v>26</v>
      </c>
      <c r="V8" s="473"/>
      <c r="W8" s="473"/>
      <c r="X8" s="473"/>
      <c r="Y8" s="473"/>
      <c r="Z8" s="473"/>
      <c r="AA8" s="473"/>
      <c r="AB8" s="473"/>
      <c r="AC8" s="473"/>
      <c r="AD8" s="474"/>
      <c r="AE8" s="307"/>
      <c r="AF8" s="144"/>
      <c r="AG8" s="387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18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365"/>
      <c r="CG8" s="151"/>
      <c r="CH8" s="156"/>
      <c r="CI8" s="156"/>
      <c r="CJ8" s="156"/>
      <c r="CK8" s="156"/>
      <c r="CL8" s="156"/>
      <c r="CM8" s="156"/>
      <c r="CN8" s="156"/>
      <c r="CO8" s="156"/>
      <c r="CP8" s="156"/>
      <c r="CQ8" s="156"/>
      <c r="CR8" s="156"/>
      <c r="CS8" s="156"/>
      <c r="CT8" s="156"/>
      <c r="CU8" s="156"/>
      <c r="CV8" s="156"/>
      <c r="CW8" s="156"/>
      <c r="CX8" s="156"/>
      <c r="CY8" s="156"/>
      <c r="CZ8" s="156"/>
      <c r="DA8" s="156"/>
      <c r="DB8" s="156"/>
      <c r="DC8" s="156"/>
      <c r="DD8" s="156"/>
      <c r="DE8" s="156"/>
      <c r="DF8" s="156"/>
      <c r="DG8" s="156"/>
      <c r="DH8" s="156"/>
      <c r="DI8" s="156"/>
      <c r="DJ8" s="156"/>
      <c r="DK8" s="156"/>
      <c r="DL8" s="156"/>
      <c r="DM8" s="156"/>
      <c r="DN8" s="156"/>
      <c r="DO8" s="156"/>
      <c r="DP8" s="156"/>
      <c r="DQ8" s="156"/>
      <c r="DR8" s="156"/>
      <c r="DS8" s="156"/>
      <c r="DT8" s="156"/>
      <c r="DU8" s="156"/>
      <c r="DV8" s="156"/>
      <c r="DW8" s="156"/>
      <c r="DX8" s="156"/>
      <c r="DY8" s="156"/>
      <c r="DZ8" s="156"/>
      <c r="EA8" s="156"/>
      <c r="EB8" s="156"/>
      <c r="EC8" s="156"/>
      <c r="ED8" s="156"/>
      <c r="EE8" s="156"/>
      <c r="EF8" s="156"/>
      <c r="EG8" s="156"/>
      <c r="EH8" s="156"/>
      <c r="EI8" s="156"/>
      <c r="EJ8" s="156"/>
      <c r="EK8" s="156"/>
      <c r="EL8" s="156"/>
      <c r="EM8" s="156"/>
      <c r="EN8" s="156"/>
      <c r="EO8" s="156"/>
      <c r="EP8" s="156"/>
      <c r="EQ8" s="156"/>
      <c r="ER8" s="156"/>
      <c r="ES8" s="156"/>
      <c r="ET8" s="156"/>
      <c r="EU8" s="156"/>
      <c r="EV8" s="156"/>
      <c r="EW8" s="156"/>
      <c r="EX8" s="156"/>
      <c r="EY8" s="156"/>
      <c r="EZ8" s="156"/>
      <c r="FA8" s="156"/>
      <c r="FB8" s="156"/>
      <c r="FC8" s="156"/>
      <c r="FD8" s="156"/>
      <c r="FE8" s="156"/>
      <c r="FF8" s="156"/>
      <c r="FG8" s="156"/>
      <c r="FH8" s="156"/>
      <c r="FI8" s="156"/>
      <c r="FJ8" s="156"/>
      <c r="FK8" s="156"/>
      <c r="FL8" s="156"/>
      <c r="FM8" s="156"/>
      <c r="FN8" s="156"/>
      <c r="FO8" s="156"/>
      <c r="FP8" s="156"/>
      <c r="FQ8" s="156"/>
      <c r="FR8" s="156"/>
      <c r="FS8" s="156"/>
      <c r="FT8" s="156"/>
      <c r="FU8" s="156"/>
      <c r="FV8" s="156"/>
      <c r="FW8" s="156"/>
      <c r="FX8" s="156"/>
      <c r="FY8" s="156"/>
      <c r="FZ8" s="156"/>
      <c r="GA8" s="156"/>
      <c r="GB8" s="156"/>
      <c r="GC8" s="156"/>
      <c r="GD8" s="156"/>
      <c r="GE8" s="156"/>
      <c r="GF8" s="156"/>
      <c r="GG8" s="156"/>
      <c r="GH8" s="156"/>
      <c r="GI8" s="156"/>
      <c r="GJ8" s="156"/>
      <c r="GK8" s="156"/>
      <c r="GL8" s="156"/>
      <c r="GM8" s="156"/>
      <c r="GN8" s="156"/>
      <c r="GO8" s="156"/>
      <c r="GP8" s="156"/>
      <c r="GQ8" s="156"/>
      <c r="GR8" s="156"/>
      <c r="GS8" s="156"/>
      <c r="GT8" s="156"/>
      <c r="GU8" s="156"/>
      <c r="GV8" s="156"/>
      <c r="GW8" s="156"/>
      <c r="GX8" s="156"/>
      <c r="GY8" s="156"/>
      <c r="GZ8" s="156"/>
      <c r="HA8" s="156"/>
      <c r="HB8" s="156"/>
      <c r="HC8" s="156"/>
      <c r="HD8" s="156"/>
      <c r="HE8" s="156"/>
      <c r="HF8" s="156"/>
      <c r="HG8" s="156"/>
      <c r="HH8" s="156"/>
      <c r="HI8" s="156"/>
      <c r="HJ8" s="156"/>
      <c r="HK8" s="156"/>
      <c r="HL8" s="156"/>
    </row>
    <row r="9" spans="1:220" ht="14.1" customHeight="1" thickBot="1" x14ac:dyDescent="0.25">
      <c r="A9" s="156"/>
      <c r="B9" s="90"/>
      <c r="C9" s="92"/>
      <c r="D9" s="93"/>
      <c r="E9" s="93"/>
      <c r="F9" s="93"/>
      <c r="G9" s="93"/>
      <c r="H9" s="357"/>
      <c r="I9" s="357"/>
      <c r="J9" s="357"/>
      <c r="K9" s="93"/>
      <c r="L9" s="93"/>
      <c r="M9" s="93"/>
      <c r="N9" s="93"/>
      <c r="O9" s="152"/>
      <c r="P9" s="151"/>
      <c r="Q9" s="90"/>
      <c r="R9" s="50"/>
      <c r="S9" s="50"/>
      <c r="T9" s="50"/>
      <c r="U9" s="357"/>
      <c r="V9" s="357"/>
      <c r="W9" s="357"/>
      <c r="X9" s="357"/>
      <c r="Y9" s="357"/>
      <c r="Z9" s="357"/>
      <c r="AA9" s="357"/>
      <c r="AB9" s="357"/>
      <c r="AC9" s="357"/>
      <c r="AD9" s="357"/>
      <c r="AE9" s="151"/>
      <c r="AF9" s="50"/>
      <c r="AG9" s="387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365"/>
      <c r="CG9" s="151"/>
      <c r="CH9" s="156"/>
      <c r="CI9" s="156"/>
      <c r="CJ9" s="156"/>
      <c r="CK9" s="156"/>
      <c r="CL9" s="156"/>
      <c r="CM9" s="156"/>
      <c r="CN9" s="156"/>
      <c r="CO9" s="156"/>
      <c r="CP9" s="156"/>
      <c r="CQ9" s="156"/>
      <c r="CR9" s="156"/>
      <c r="CS9" s="156"/>
      <c r="CT9" s="156"/>
      <c r="CU9" s="156"/>
      <c r="CV9" s="156"/>
      <c r="CW9" s="156"/>
      <c r="CX9" s="156"/>
      <c r="CY9" s="156"/>
      <c r="CZ9" s="156"/>
      <c r="DA9" s="156"/>
      <c r="DB9" s="156"/>
      <c r="DC9" s="156"/>
      <c r="DD9" s="156"/>
      <c r="DE9" s="156"/>
      <c r="DF9" s="156"/>
      <c r="DG9" s="156"/>
      <c r="DH9" s="156"/>
      <c r="DI9" s="156"/>
      <c r="DJ9" s="156"/>
      <c r="DK9" s="156"/>
      <c r="DL9" s="156"/>
      <c r="DM9" s="156"/>
      <c r="DN9" s="156"/>
      <c r="DO9" s="156"/>
      <c r="DP9" s="156"/>
      <c r="DQ9" s="156"/>
      <c r="DR9" s="156"/>
      <c r="DS9" s="156"/>
      <c r="DT9" s="156"/>
      <c r="DU9" s="156"/>
      <c r="DV9" s="156"/>
      <c r="DW9" s="156"/>
      <c r="DX9" s="156"/>
      <c r="DY9" s="156"/>
      <c r="DZ9" s="156"/>
      <c r="EA9" s="156"/>
      <c r="EB9" s="156"/>
      <c r="EC9" s="156"/>
      <c r="ED9" s="156"/>
      <c r="EE9" s="156"/>
      <c r="EF9" s="156"/>
      <c r="EG9" s="156"/>
      <c r="EH9" s="156"/>
      <c r="EI9" s="156"/>
      <c r="EJ9" s="156"/>
      <c r="EK9" s="156"/>
      <c r="EL9" s="156"/>
      <c r="EM9" s="156"/>
      <c r="EN9" s="156"/>
      <c r="EO9" s="156"/>
      <c r="EP9" s="156"/>
      <c r="EQ9" s="156"/>
      <c r="ER9" s="156"/>
      <c r="ES9" s="156"/>
      <c r="ET9" s="156"/>
      <c r="EU9" s="156"/>
      <c r="EV9" s="156"/>
      <c r="EW9" s="156"/>
      <c r="EX9" s="156"/>
      <c r="EY9" s="156"/>
      <c r="EZ9" s="156"/>
      <c r="FA9" s="156"/>
      <c r="FB9" s="156"/>
      <c r="FC9" s="156"/>
      <c r="FD9" s="156"/>
      <c r="FE9" s="156"/>
      <c r="FF9" s="156"/>
      <c r="FG9" s="156"/>
      <c r="FH9" s="156"/>
      <c r="FI9" s="156"/>
      <c r="FJ9" s="156"/>
      <c r="FK9" s="156"/>
      <c r="FL9" s="156"/>
      <c r="FM9" s="156"/>
      <c r="FN9" s="156"/>
      <c r="FO9" s="156"/>
      <c r="FP9" s="156"/>
      <c r="FQ9" s="156"/>
      <c r="FR9" s="156"/>
      <c r="FS9" s="156"/>
      <c r="FT9" s="156"/>
      <c r="FU9" s="156"/>
      <c r="FV9" s="156"/>
      <c r="FW9" s="156"/>
      <c r="FX9" s="156"/>
      <c r="FY9" s="156"/>
      <c r="FZ9" s="156"/>
      <c r="GA9" s="156"/>
      <c r="GB9" s="156"/>
      <c r="GC9" s="156"/>
      <c r="GD9" s="156"/>
      <c r="GE9" s="156"/>
      <c r="GF9" s="156"/>
      <c r="GG9" s="156"/>
      <c r="GH9" s="156"/>
      <c r="GI9" s="156"/>
      <c r="GJ9" s="156"/>
      <c r="GK9" s="156"/>
      <c r="GL9" s="156"/>
      <c r="GM9" s="156"/>
      <c r="GN9" s="156"/>
      <c r="GO9" s="156"/>
      <c r="GP9" s="156"/>
      <c r="GQ9" s="156"/>
      <c r="GR9" s="156"/>
      <c r="GS9" s="156"/>
      <c r="GT9" s="156"/>
      <c r="GU9" s="156"/>
      <c r="GV9" s="156"/>
      <c r="GW9" s="156"/>
      <c r="GX9" s="156"/>
      <c r="GY9" s="156"/>
      <c r="GZ9" s="156"/>
      <c r="HA9" s="156"/>
      <c r="HB9" s="156"/>
      <c r="HC9" s="156"/>
      <c r="HD9" s="156"/>
      <c r="HE9" s="156"/>
      <c r="HF9" s="156"/>
      <c r="HG9" s="156"/>
      <c r="HH9" s="156"/>
      <c r="HI9" s="156"/>
      <c r="HJ9" s="156"/>
      <c r="HK9" s="156"/>
      <c r="HL9" s="156"/>
    </row>
    <row r="10" spans="1:220" ht="14.1" customHeight="1" x14ac:dyDescent="0.2">
      <c r="A10" s="156"/>
      <c r="B10" s="90"/>
      <c r="C10" s="50"/>
      <c r="D10" s="476" t="s">
        <v>105</v>
      </c>
      <c r="E10" s="476"/>
      <c r="F10" s="476"/>
      <c r="G10" s="476"/>
      <c r="H10" s="476"/>
      <c r="I10" s="476"/>
      <c r="J10" s="476"/>
      <c r="K10" s="476"/>
      <c r="L10" s="50"/>
      <c r="M10" s="50"/>
      <c r="N10" s="50"/>
      <c r="O10" s="50"/>
      <c r="P10" s="50"/>
      <c r="Q10" s="90"/>
      <c r="R10" s="50"/>
      <c r="S10" s="53" t="s">
        <v>112</v>
      </c>
      <c r="T10" s="356"/>
      <c r="U10" s="472" t="s">
        <v>116</v>
      </c>
      <c r="V10" s="473"/>
      <c r="W10" s="473"/>
      <c r="X10" s="473"/>
      <c r="Y10" s="473"/>
      <c r="Z10" s="473"/>
      <c r="AA10" s="473"/>
      <c r="AB10" s="473"/>
      <c r="AC10" s="473"/>
      <c r="AD10" s="474"/>
      <c r="AE10" s="307"/>
      <c r="AF10" s="144"/>
      <c r="AG10" s="387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  <c r="BM10" s="69"/>
      <c r="BN10" s="69"/>
      <c r="BO10" s="69"/>
      <c r="BP10" s="69"/>
      <c r="BQ10" s="69"/>
      <c r="BR10" s="69"/>
      <c r="BS10" s="69"/>
      <c r="BT10" s="69"/>
      <c r="BU10" s="69"/>
      <c r="BV10" s="69"/>
      <c r="BW10" s="69"/>
      <c r="BX10" s="69"/>
      <c r="BY10" s="69"/>
      <c r="BZ10" s="69"/>
      <c r="CA10" s="69"/>
      <c r="CB10" s="69"/>
      <c r="CC10" s="69"/>
      <c r="CD10" s="69"/>
      <c r="CE10" s="69"/>
      <c r="CF10" s="365"/>
      <c r="CG10" s="151"/>
      <c r="CH10" s="156"/>
      <c r="CI10" s="156"/>
      <c r="CJ10" s="156"/>
      <c r="CK10" s="156"/>
      <c r="CL10" s="156"/>
      <c r="CM10" s="156"/>
      <c r="CN10" s="156"/>
      <c r="CO10" s="156"/>
      <c r="CP10" s="156"/>
      <c r="CQ10" s="156"/>
      <c r="CR10" s="156"/>
      <c r="CS10" s="156"/>
      <c r="CT10" s="156"/>
      <c r="CU10" s="156"/>
      <c r="CV10" s="156"/>
      <c r="CW10" s="156"/>
      <c r="CX10" s="156"/>
      <c r="CY10" s="156"/>
      <c r="CZ10" s="156"/>
      <c r="DA10" s="156"/>
      <c r="DB10" s="156"/>
      <c r="DC10" s="156"/>
      <c r="DD10" s="156"/>
      <c r="DE10" s="156"/>
      <c r="DF10" s="156"/>
      <c r="DG10" s="156"/>
      <c r="DH10" s="156"/>
      <c r="DI10" s="156"/>
      <c r="DJ10" s="156"/>
      <c r="DK10" s="156"/>
      <c r="DL10" s="156"/>
      <c r="DM10" s="156"/>
      <c r="DN10" s="156"/>
      <c r="DO10" s="156"/>
      <c r="DP10" s="156"/>
      <c r="DQ10" s="156"/>
      <c r="DR10" s="156"/>
      <c r="DS10" s="156"/>
      <c r="DT10" s="156"/>
      <c r="DU10" s="156"/>
      <c r="DV10" s="156"/>
      <c r="DW10" s="156"/>
      <c r="DX10" s="156"/>
      <c r="DY10" s="156"/>
      <c r="DZ10" s="156"/>
      <c r="EA10" s="156"/>
      <c r="EB10" s="156"/>
      <c r="EC10" s="156"/>
      <c r="ED10" s="156"/>
      <c r="EE10" s="156"/>
      <c r="EF10" s="156"/>
      <c r="EG10" s="156"/>
      <c r="EH10" s="156"/>
      <c r="EI10" s="156"/>
      <c r="EJ10" s="156"/>
      <c r="EK10" s="156"/>
      <c r="EL10" s="156"/>
      <c r="EM10" s="156"/>
      <c r="EN10" s="156"/>
      <c r="EO10" s="156"/>
      <c r="EP10" s="156"/>
      <c r="EQ10" s="156"/>
      <c r="ER10" s="156"/>
      <c r="ES10" s="156"/>
      <c r="ET10" s="156"/>
      <c r="EU10" s="156"/>
      <c r="EV10" s="156"/>
      <c r="EW10" s="156"/>
      <c r="EX10" s="156"/>
      <c r="EY10" s="156"/>
      <c r="EZ10" s="156"/>
      <c r="FA10" s="156"/>
      <c r="FB10" s="156"/>
      <c r="FC10" s="156"/>
      <c r="FD10" s="156"/>
      <c r="FE10" s="156"/>
      <c r="FF10" s="156"/>
      <c r="FG10" s="156"/>
      <c r="FH10" s="156"/>
      <c r="FI10" s="156"/>
      <c r="FJ10" s="156"/>
      <c r="FK10" s="156"/>
      <c r="FL10" s="156"/>
      <c r="FM10" s="156"/>
      <c r="FN10" s="156"/>
      <c r="FO10" s="156"/>
      <c r="FP10" s="156"/>
      <c r="FQ10" s="156"/>
      <c r="FR10" s="156"/>
      <c r="FS10" s="156"/>
      <c r="FT10" s="156"/>
      <c r="FU10" s="156"/>
      <c r="FV10" s="156"/>
      <c r="FW10" s="156"/>
      <c r="FX10" s="156"/>
      <c r="FY10" s="156"/>
      <c r="FZ10" s="156"/>
      <c r="GA10" s="156"/>
      <c r="GB10" s="156"/>
      <c r="GC10" s="156"/>
      <c r="GD10" s="156"/>
      <c r="GE10" s="156"/>
      <c r="GF10" s="156"/>
      <c r="GG10" s="156"/>
      <c r="GH10" s="156"/>
      <c r="GI10" s="156"/>
      <c r="GJ10" s="156"/>
      <c r="GK10" s="156"/>
      <c r="GL10" s="156"/>
      <c r="GM10" s="156"/>
      <c r="GN10" s="156"/>
      <c r="GO10" s="156"/>
      <c r="GP10" s="156"/>
      <c r="GQ10" s="156"/>
      <c r="GR10" s="156"/>
      <c r="GS10" s="156"/>
      <c r="GT10" s="156"/>
      <c r="GU10" s="156"/>
      <c r="GV10" s="156"/>
      <c r="GW10" s="156"/>
      <c r="GX10" s="156"/>
      <c r="GY10" s="156"/>
      <c r="GZ10" s="156"/>
      <c r="HA10" s="156"/>
      <c r="HB10" s="156"/>
      <c r="HC10" s="156"/>
      <c r="HD10" s="156"/>
      <c r="HE10" s="156"/>
      <c r="HF10" s="156"/>
      <c r="HG10" s="156"/>
      <c r="HH10" s="156"/>
      <c r="HI10" s="156"/>
      <c r="HJ10" s="156"/>
      <c r="HK10" s="156"/>
      <c r="HL10" s="156"/>
    </row>
    <row r="11" spans="1:220" ht="14.1" customHeight="1" thickBot="1" x14ac:dyDescent="0.25">
      <c r="A11" s="156"/>
      <c r="B11" s="90"/>
      <c r="C11" s="88"/>
      <c r="D11" s="476"/>
      <c r="E11" s="476"/>
      <c r="F11" s="476"/>
      <c r="G11" s="476"/>
      <c r="H11" s="476"/>
      <c r="I11" s="476"/>
      <c r="J11" s="476"/>
      <c r="K11" s="476"/>
      <c r="L11" s="89"/>
      <c r="M11" s="89"/>
      <c r="N11" s="89"/>
      <c r="O11" s="150"/>
      <c r="P11" s="50"/>
      <c r="Q11" s="90"/>
      <c r="R11" s="50"/>
      <c r="S11" s="50"/>
      <c r="T11" s="50"/>
      <c r="U11" s="447"/>
      <c r="V11" s="447"/>
      <c r="W11" s="447"/>
      <c r="X11" s="447"/>
      <c r="Y11" s="447"/>
      <c r="Z11" s="447"/>
      <c r="AA11" s="447"/>
      <c r="AB11" s="447"/>
      <c r="AC11" s="447"/>
      <c r="AD11" s="447"/>
      <c r="AE11" s="358"/>
      <c r="AF11" s="447"/>
      <c r="AG11" s="387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8"/>
      <c r="BH11" s="8"/>
      <c r="BI11" s="8"/>
      <c r="BJ11" s="8"/>
      <c r="BK11" s="70"/>
      <c r="BL11" s="70"/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70"/>
      <c r="BY11" s="70"/>
      <c r="BZ11" s="70"/>
      <c r="CA11" s="70"/>
      <c r="CB11" s="70"/>
      <c r="CC11" s="70"/>
      <c r="CD11" s="70"/>
      <c r="CE11" s="70"/>
      <c r="CF11" s="388"/>
      <c r="CG11" s="358"/>
      <c r="CH11" s="447"/>
      <c r="CI11" s="447"/>
      <c r="CJ11" s="447"/>
      <c r="CK11" s="447"/>
      <c r="CL11" s="447"/>
      <c r="CM11" s="447"/>
      <c r="CN11" s="447"/>
      <c r="CO11" s="447"/>
      <c r="CP11" s="447"/>
      <c r="CQ11" s="50"/>
      <c r="CR11" s="156"/>
      <c r="CS11" s="156"/>
      <c r="CT11" s="156"/>
      <c r="CU11" s="156"/>
      <c r="CV11" s="156"/>
      <c r="CW11" s="156"/>
      <c r="CX11" s="156"/>
      <c r="CY11" s="156"/>
      <c r="CZ11" s="156"/>
      <c r="DA11" s="156"/>
      <c r="DB11" s="156"/>
      <c r="DC11" s="156"/>
      <c r="DD11" s="156"/>
      <c r="DE11" s="156"/>
      <c r="DF11" s="156"/>
      <c r="DG11" s="156"/>
      <c r="DH11" s="156"/>
      <c r="DI11" s="156"/>
      <c r="DJ11" s="156"/>
      <c r="DK11" s="156"/>
      <c r="DL11" s="156"/>
      <c r="DM11" s="156"/>
      <c r="DN11" s="156"/>
      <c r="DO11" s="156"/>
      <c r="DP11" s="156"/>
      <c r="DQ11" s="156"/>
      <c r="DR11" s="156"/>
      <c r="DS11" s="156"/>
      <c r="DT11" s="156"/>
      <c r="DU11" s="156"/>
      <c r="DV11" s="156"/>
      <c r="DW11" s="156"/>
      <c r="DX11" s="156"/>
      <c r="DY11" s="156"/>
      <c r="DZ11" s="156"/>
      <c r="EA11" s="156"/>
      <c r="EB11" s="156"/>
      <c r="EC11" s="156"/>
      <c r="ED11" s="156"/>
      <c r="EE11" s="156"/>
      <c r="EF11" s="156"/>
      <c r="EG11" s="156"/>
      <c r="EH11" s="156"/>
      <c r="EI11" s="156"/>
      <c r="EJ11" s="156"/>
      <c r="EK11" s="156"/>
      <c r="EL11" s="156"/>
      <c r="EM11" s="156"/>
      <c r="EN11" s="156"/>
      <c r="EO11" s="156"/>
      <c r="EP11" s="156"/>
      <c r="EQ11" s="156"/>
      <c r="ER11" s="156"/>
      <c r="ES11" s="156"/>
      <c r="ET11" s="156"/>
      <c r="EU11" s="156"/>
      <c r="EV11" s="156"/>
      <c r="EW11" s="156"/>
      <c r="EX11" s="156"/>
      <c r="EY11" s="156"/>
      <c r="EZ11" s="156"/>
      <c r="FA11" s="156"/>
      <c r="FB11" s="156"/>
      <c r="FC11" s="156"/>
      <c r="FD11" s="156"/>
      <c r="FE11" s="156"/>
      <c r="FF11" s="156"/>
      <c r="FG11" s="156"/>
      <c r="FH11" s="156"/>
      <c r="FI11" s="156"/>
      <c r="FJ11" s="156"/>
      <c r="FK11" s="156"/>
      <c r="FL11" s="156"/>
      <c r="FM11" s="156"/>
      <c r="FN11" s="156"/>
      <c r="FO11" s="156"/>
      <c r="FP11" s="156"/>
      <c r="FQ11" s="156"/>
      <c r="FR11" s="156"/>
      <c r="FS11" s="156"/>
      <c r="FT11" s="156"/>
      <c r="FU11" s="156"/>
      <c r="FV11" s="156"/>
      <c r="FW11" s="156"/>
      <c r="FX11" s="156"/>
      <c r="FY11" s="156"/>
      <c r="FZ11" s="156"/>
      <c r="GA11" s="156"/>
      <c r="GB11" s="156"/>
      <c r="GC11" s="156"/>
      <c r="GD11" s="156"/>
      <c r="GE11" s="156"/>
      <c r="GF11" s="156"/>
      <c r="GG11" s="156"/>
      <c r="GH11" s="156"/>
      <c r="GI11" s="156"/>
      <c r="GJ11" s="156"/>
      <c r="GK11" s="156"/>
      <c r="GL11" s="156"/>
      <c r="GM11" s="156"/>
      <c r="GN11" s="156"/>
      <c r="GO11" s="156"/>
      <c r="GP11" s="156"/>
      <c r="GQ11" s="156"/>
      <c r="GR11" s="156"/>
      <c r="GS11" s="156"/>
      <c r="GT11" s="156"/>
      <c r="GU11" s="156"/>
      <c r="GV11" s="156"/>
      <c r="GW11" s="156"/>
      <c r="GX11" s="156"/>
      <c r="GY11" s="156"/>
      <c r="GZ11" s="156"/>
      <c r="HA11" s="156"/>
      <c r="HB11" s="156"/>
      <c r="HC11" s="156"/>
      <c r="HD11" s="156"/>
      <c r="HE11" s="156"/>
      <c r="HF11" s="156"/>
      <c r="HG11" s="156"/>
      <c r="HH11" s="156"/>
      <c r="HI11" s="156"/>
      <c r="HJ11" s="156"/>
      <c r="HK11" s="156"/>
      <c r="HL11" s="156"/>
    </row>
    <row r="12" spans="1:220" ht="14.1" customHeight="1" x14ac:dyDescent="0.2">
      <c r="A12" s="156"/>
      <c r="B12" s="90"/>
      <c r="C12" s="90"/>
      <c r="D12" s="50"/>
      <c r="E12" s="50"/>
      <c r="F12" s="30" t="s">
        <v>28</v>
      </c>
      <c r="G12" s="50"/>
      <c r="H12" s="503">
        <v>0.9</v>
      </c>
      <c r="I12" s="504"/>
      <c r="J12" s="505"/>
      <c r="K12" s="50"/>
      <c r="L12" s="50"/>
      <c r="M12" s="50"/>
      <c r="N12" s="50"/>
      <c r="O12" s="151"/>
      <c r="P12" s="50"/>
      <c r="Q12" s="90"/>
      <c r="R12" s="50"/>
      <c r="S12" s="53" t="s">
        <v>108</v>
      </c>
      <c r="T12" s="50"/>
      <c r="U12" s="472" t="s">
        <v>115</v>
      </c>
      <c r="V12" s="473"/>
      <c r="W12" s="473"/>
      <c r="X12" s="473"/>
      <c r="Y12" s="473"/>
      <c r="Z12" s="473"/>
      <c r="AA12" s="473"/>
      <c r="AB12" s="473"/>
      <c r="AC12" s="473"/>
      <c r="AD12" s="474"/>
      <c r="AE12" s="307"/>
      <c r="AF12" s="144"/>
      <c r="AG12" s="387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365"/>
      <c r="CG12" s="151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156"/>
      <c r="CS12" s="156"/>
      <c r="CT12" s="156"/>
      <c r="CU12" s="156"/>
      <c r="CV12" s="156"/>
      <c r="CW12" s="156"/>
      <c r="CX12" s="156"/>
      <c r="CY12" s="156"/>
      <c r="CZ12" s="156"/>
      <c r="DA12" s="156"/>
      <c r="DB12" s="156"/>
      <c r="DC12" s="156"/>
      <c r="DD12" s="156"/>
      <c r="DE12" s="156"/>
      <c r="DF12" s="156"/>
      <c r="DG12" s="156"/>
      <c r="DH12" s="156"/>
      <c r="DI12" s="156"/>
      <c r="DJ12" s="156"/>
      <c r="DK12" s="156"/>
      <c r="DL12" s="156"/>
      <c r="DM12" s="156"/>
      <c r="DN12" s="156"/>
      <c r="DO12" s="156"/>
      <c r="DP12" s="156"/>
      <c r="DQ12" s="156"/>
      <c r="DR12" s="156"/>
      <c r="DS12" s="156"/>
      <c r="DT12" s="156"/>
      <c r="DU12" s="156"/>
      <c r="DV12" s="156"/>
      <c r="DW12" s="156"/>
      <c r="DX12" s="156"/>
      <c r="DY12" s="156"/>
      <c r="DZ12" s="156"/>
      <c r="EA12" s="156"/>
      <c r="EB12" s="156"/>
      <c r="EC12" s="156"/>
      <c r="ED12" s="156"/>
      <c r="EE12" s="156"/>
      <c r="EF12" s="156"/>
      <c r="EG12" s="156"/>
      <c r="EH12" s="156"/>
      <c r="EI12" s="156"/>
      <c r="EJ12" s="156"/>
      <c r="EK12" s="156"/>
      <c r="EL12" s="156"/>
      <c r="EM12" s="156"/>
      <c r="EN12" s="156"/>
      <c r="EO12" s="156"/>
      <c r="EP12" s="156"/>
      <c r="EQ12" s="156"/>
      <c r="ER12" s="156"/>
      <c r="ES12" s="156"/>
      <c r="ET12" s="156"/>
      <c r="EU12" s="156"/>
      <c r="EV12" s="156"/>
      <c r="EW12" s="156"/>
      <c r="EX12" s="156"/>
      <c r="EY12" s="156"/>
      <c r="EZ12" s="156"/>
      <c r="FA12" s="156"/>
      <c r="FB12" s="156"/>
      <c r="FC12" s="156"/>
      <c r="FD12" s="156"/>
      <c r="FE12" s="156"/>
      <c r="FF12" s="156"/>
      <c r="FG12" s="156"/>
      <c r="FH12" s="156"/>
      <c r="FI12" s="156"/>
      <c r="FJ12" s="156"/>
      <c r="FK12" s="156"/>
      <c r="FL12" s="156"/>
      <c r="FM12" s="156"/>
      <c r="FN12" s="156"/>
      <c r="FO12" s="156"/>
      <c r="FP12" s="156"/>
      <c r="FQ12" s="156"/>
      <c r="FR12" s="156"/>
      <c r="FS12" s="156"/>
      <c r="FT12" s="156"/>
      <c r="FU12" s="156"/>
      <c r="FV12" s="156"/>
      <c r="FW12" s="156"/>
      <c r="FX12" s="156"/>
      <c r="FY12" s="156"/>
      <c r="FZ12" s="156"/>
      <c r="GA12" s="156"/>
      <c r="GB12" s="156"/>
      <c r="GC12" s="156"/>
      <c r="GD12" s="156"/>
      <c r="GE12" s="156"/>
      <c r="GF12" s="156"/>
      <c r="GG12" s="156"/>
      <c r="GH12" s="156"/>
      <c r="GI12" s="156"/>
      <c r="GJ12" s="156"/>
      <c r="GK12" s="156"/>
      <c r="GL12" s="156"/>
      <c r="GM12" s="156"/>
      <c r="GN12" s="156"/>
      <c r="GO12" s="156"/>
      <c r="GP12" s="156"/>
      <c r="GQ12" s="156"/>
      <c r="GR12" s="156"/>
      <c r="GS12" s="156"/>
      <c r="GT12" s="156"/>
      <c r="GU12" s="156"/>
      <c r="GV12" s="156"/>
      <c r="GW12" s="156"/>
      <c r="GX12" s="156"/>
      <c r="GY12" s="156"/>
      <c r="GZ12" s="156"/>
      <c r="HA12" s="156"/>
      <c r="HB12" s="156"/>
      <c r="HC12" s="156"/>
      <c r="HD12" s="156"/>
      <c r="HE12" s="156"/>
      <c r="HF12" s="156"/>
      <c r="HG12" s="156"/>
      <c r="HH12" s="156"/>
      <c r="HI12" s="156"/>
      <c r="HJ12" s="156"/>
      <c r="HK12" s="156"/>
      <c r="HL12" s="156"/>
    </row>
    <row r="13" spans="1:220" ht="14.1" customHeight="1" thickBot="1" x14ac:dyDescent="0.25">
      <c r="A13" s="156"/>
      <c r="B13" s="90"/>
      <c r="C13" s="90"/>
      <c r="D13" s="50"/>
      <c r="E13" s="50"/>
      <c r="F13" s="53"/>
      <c r="G13" s="50"/>
      <c r="H13" s="50"/>
      <c r="I13" s="50"/>
      <c r="J13" s="50"/>
      <c r="K13" s="50"/>
      <c r="L13" s="50"/>
      <c r="M13" s="50"/>
      <c r="N13" s="50"/>
      <c r="O13" s="151"/>
      <c r="P13" s="50"/>
      <c r="Q13" s="90"/>
      <c r="R13" s="50"/>
      <c r="S13" s="50"/>
      <c r="T13" s="50"/>
      <c r="U13" s="447"/>
      <c r="V13" s="447"/>
      <c r="W13" s="447"/>
      <c r="X13" s="447"/>
      <c r="Y13" s="447"/>
      <c r="Z13" s="447"/>
      <c r="AA13" s="447"/>
      <c r="AB13" s="447"/>
      <c r="AC13" s="447"/>
      <c r="AD13" s="447"/>
      <c r="AE13" s="358"/>
      <c r="AF13" s="447"/>
      <c r="AG13" s="387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17"/>
      <c r="BY13" s="17"/>
      <c r="BZ13" s="17"/>
      <c r="CA13" s="69"/>
      <c r="CB13" s="69"/>
      <c r="CC13" s="69"/>
      <c r="CD13" s="69"/>
      <c r="CE13" s="69"/>
      <c r="CF13" s="365"/>
      <c r="CG13" s="151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156"/>
      <c r="CS13" s="156"/>
      <c r="CT13" s="156"/>
      <c r="CU13" s="156"/>
      <c r="CV13" s="156"/>
      <c r="CW13" s="156"/>
      <c r="CX13" s="156"/>
      <c r="CY13" s="156"/>
      <c r="CZ13" s="156"/>
      <c r="DA13" s="156"/>
      <c r="DB13" s="156"/>
      <c r="DC13" s="156"/>
      <c r="DD13" s="156"/>
      <c r="DE13" s="156"/>
      <c r="DF13" s="156"/>
      <c r="DG13" s="156"/>
      <c r="DH13" s="156"/>
      <c r="DI13" s="156"/>
      <c r="DJ13" s="156"/>
      <c r="DK13" s="156"/>
      <c r="DL13" s="156"/>
      <c r="DM13" s="156"/>
      <c r="DN13" s="156"/>
      <c r="DO13" s="156"/>
      <c r="DP13" s="156"/>
      <c r="DQ13" s="156"/>
      <c r="DR13" s="156"/>
      <c r="DS13" s="156"/>
      <c r="DT13" s="156"/>
      <c r="DU13" s="156"/>
      <c r="DV13" s="156"/>
      <c r="DW13" s="156"/>
      <c r="DX13" s="156"/>
      <c r="DY13" s="156"/>
      <c r="DZ13" s="156"/>
      <c r="EA13" s="156"/>
      <c r="EB13" s="156"/>
      <c r="EC13" s="156"/>
      <c r="ED13" s="156"/>
      <c r="EE13" s="156"/>
      <c r="EF13" s="156"/>
      <c r="EG13" s="156"/>
      <c r="EH13" s="156"/>
      <c r="EI13" s="156"/>
      <c r="EJ13" s="156"/>
      <c r="EK13" s="156"/>
      <c r="EL13" s="156"/>
      <c r="EM13" s="156"/>
      <c r="EN13" s="156"/>
      <c r="EO13" s="156"/>
      <c r="EP13" s="156"/>
      <c r="EQ13" s="156"/>
      <c r="ER13" s="156"/>
      <c r="ES13" s="156"/>
      <c r="ET13" s="156"/>
      <c r="EU13" s="156"/>
      <c r="EV13" s="156"/>
      <c r="EW13" s="156"/>
      <c r="EX13" s="156"/>
      <c r="EY13" s="156"/>
      <c r="EZ13" s="156"/>
      <c r="FA13" s="156"/>
      <c r="FB13" s="156"/>
      <c r="FC13" s="156"/>
      <c r="FD13" s="156"/>
      <c r="FE13" s="156"/>
      <c r="FF13" s="156"/>
      <c r="FG13" s="156"/>
      <c r="FH13" s="156"/>
      <c r="FI13" s="156"/>
      <c r="FJ13" s="156"/>
      <c r="FK13" s="156"/>
      <c r="FL13" s="156"/>
      <c r="FM13" s="156"/>
      <c r="FN13" s="156"/>
      <c r="FO13" s="156"/>
      <c r="FP13" s="156"/>
      <c r="FQ13" s="156"/>
      <c r="FR13" s="156"/>
      <c r="FS13" s="156"/>
      <c r="FT13" s="156"/>
      <c r="FU13" s="156"/>
      <c r="FV13" s="156"/>
      <c r="FW13" s="156"/>
      <c r="FX13" s="156"/>
      <c r="FY13" s="156"/>
      <c r="FZ13" s="156"/>
      <c r="GA13" s="156"/>
      <c r="GB13" s="156"/>
      <c r="GC13" s="156"/>
      <c r="GD13" s="156"/>
      <c r="GE13" s="156"/>
      <c r="GF13" s="156"/>
      <c r="GG13" s="156"/>
      <c r="GH13" s="156"/>
      <c r="GI13" s="156"/>
      <c r="GJ13" s="156"/>
      <c r="GK13" s="156"/>
      <c r="GL13" s="156"/>
      <c r="GM13" s="156"/>
      <c r="GN13" s="156"/>
      <c r="GO13" s="156"/>
      <c r="GP13" s="156"/>
      <c r="GQ13" s="156"/>
      <c r="GR13" s="156"/>
      <c r="GS13" s="156"/>
      <c r="GT13" s="156"/>
      <c r="GU13" s="156"/>
      <c r="GV13" s="156"/>
      <c r="GW13" s="156"/>
      <c r="GX13" s="156"/>
      <c r="GY13" s="156"/>
      <c r="GZ13" s="156"/>
      <c r="HA13" s="156"/>
      <c r="HB13" s="156"/>
      <c r="HC13" s="156"/>
      <c r="HD13" s="156"/>
      <c r="HE13" s="156"/>
      <c r="HF13" s="156"/>
      <c r="HG13" s="156"/>
      <c r="HH13" s="156"/>
      <c r="HI13" s="156"/>
      <c r="HJ13" s="156"/>
      <c r="HK13" s="156"/>
      <c r="HL13" s="156"/>
    </row>
    <row r="14" spans="1:220" ht="14.1" customHeight="1" x14ac:dyDescent="0.2">
      <c r="A14" s="156"/>
      <c r="B14" s="90"/>
      <c r="C14" s="90"/>
      <c r="D14" s="50"/>
      <c r="E14" s="50"/>
      <c r="F14" s="30" t="s">
        <v>29</v>
      </c>
      <c r="G14" s="50"/>
      <c r="H14" s="503">
        <v>0.85</v>
      </c>
      <c r="I14" s="504"/>
      <c r="J14" s="505"/>
      <c r="K14" s="50"/>
      <c r="L14" s="50"/>
      <c r="M14" s="50"/>
      <c r="N14" s="50"/>
      <c r="O14" s="151"/>
      <c r="P14" s="50"/>
      <c r="Q14" s="90"/>
      <c r="R14" s="50"/>
      <c r="S14" s="53" t="s">
        <v>111</v>
      </c>
      <c r="T14" s="50"/>
      <c r="U14" s="472" t="s">
        <v>114</v>
      </c>
      <c r="V14" s="473"/>
      <c r="W14" s="473"/>
      <c r="X14" s="473"/>
      <c r="Y14" s="473"/>
      <c r="Z14" s="473"/>
      <c r="AA14" s="473"/>
      <c r="AB14" s="473"/>
      <c r="AC14" s="473"/>
      <c r="AD14" s="474"/>
      <c r="AE14" s="307"/>
      <c r="AF14" s="144"/>
      <c r="AG14" s="387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87"/>
      <c r="BM14" s="87"/>
      <c r="BN14" s="87"/>
      <c r="BO14" s="69"/>
      <c r="BP14" s="470"/>
      <c r="BQ14" s="470"/>
      <c r="BR14" s="470"/>
      <c r="BS14" s="69"/>
      <c r="BT14" s="470"/>
      <c r="BU14" s="470"/>
      <c r="BV14" s="470"/>
      <c r="BW14" s="69"/>
      <c r="BX14" s="31"/>
      <c r="BY14" s="31"/>
      <c r="BZ14" s="31"/>
      <c r="CA14" s="69"/>
      <c r="CB14" s="333"/>
      <c r="CC14" s="333"/>
      <c r="CD14" s="333"/>
      <c r="CE14" s="69"/>
      <c r="CF14" s="389"/>
      <c r="CG14" s="381"/>
      <c r="CH14" s="224"/>
      <c r="CI14" s="50"/>
      <c r="CJ14" s="464"/>
      <c r="CK14" s="464"/>
      <c r="CL14" s="464"/>
      <c r="CM14" s="50"/>
      <c r="CN14" s="464"/>
      <c r="CO14" s="464"/>
      <c r="CP14" s="464"/>
      <c r="CQ14" s="50"/>
      <c r="CR14" s="50"/>
      <c r="CS14" s="50"/>
      <c r="CT14" s="156"/>
      <c r="CU14" s="156"/>
      <c r="CV14" s="156"/>
      <c r="CW14" s="156"/>
      <c r="CX14" s="156"/>
      <c r="CY14" s="156"/>
      <c r="CZ14" s="156"/>
      <c r="DA14" s="156"/>
      <c r="DB14" s="156"/>
      <c r="DC14" s="156"/>
      <c r="DD14" s="156"/>
      <c r="DE14" s="156"/>
      <c r="DF14" s="156"/>
      <c r="DG14" s="156"/>
      <c r="DH14" s="156"/>
      <c r="DI14" s="156"/>
      <c r="DJ14" s="156"/>
      <c r="DK14" s="156"/>
      <c r="DL14" s="156"/>
      <c r="DM14" s="156"/>
      <c r="DN14" s="156"/>
      <c r="DO14" s="156"/>
      <c r="DP14" s="156"/>
      <c r="DQ14" s="156"/>
      <c r="DR14" s="156"/>
      <c r="DS14" s="156"/>
      <c r="DT14" s="156"/>
      <c r="DU14" s="156"/>
      <c r="DV14" s="156"/>
      <c r="DW14" s="156"/>
      <c r="DX14" s="156"/>
      <c r="DY14" s="156"/>
      <c r="DZ14" s="156"/>
      <c r="EA14" s="156"/>
      <c r="EB14" s="156"/>
      <c r="EC14" s="156"/>
      <c r="ED14" s="156"/>
      <c r="EE14" s="156"/>
      <c r="EF14" s="156"/>
      <c r="EG14" s="156"/>
      <c r="EH14" s="156"/>
      <c r="EI14" s="156"/>
      <c r="EJ14" s="156"/>
      <c r="EK14" s="156"/>
      <c r="EL14" s="156"/>
      <c r="EM14" s="156"/>
      <c r="EN14" s="156"/>
      <c r="EO14" s="156"/>
      <c r="EP14" s="156"/>
      <c r="EQ14" s="156"/>
      <c r="ER14" s="156"/>
      <c r="ES14" s="156"/>
      <c r="ET14" s="156"/>
      <c r="EU14" s="156"/>
      <c r="EV14" s="156"/>
      <c r="EW14" s="156"/>
      <c r="EX14" s="156"/>
      <c r="EY14" s="156"/>
      <c r="EZ14" s="156"/>
      <c r="FA14" s="156"/>
      <c r="FB14" s="156"/>
      <c r="FC14" s="156"/>
      <c r="FD14" s="156"/>
      <c r="FE14" s="156"/>
      <c r="FF14" s="156"/>
      <c r="FG14" s="156"/>
      <c r="FH14" s="156"/>
      <c r="FI14" s="156"/>
      <c r="FJ14" s="156"/>
      <c r="FK14" s="156"/>
      <c r="FL14" s="156"/>
      <c r="FM14" s="156"/>
      <c r="FN14" s="156"/>
      <c r="FO14" s="156"/>
      <c r="FP14" s="156"/>
      <c r="FQ14" s="156"/>
      <c r="FR14" s="156"/>
      <c r="FS14" s="156"/>
      <c r="FT14" s="156"/>
      <c r="FU14" s="156"/>
      <c r="FV14" s="156"/>
      <c r="FW14" s="156"/>
      <c r="FX14" s="156"/>
      <c r="FY14" s="156"/>
      <c r="FZ14" s="156"/>
      <c r="GA14" s="156"/>
      <c r="GB14" s="156"/>
      <c r="GC14" s="156"/>
      <c r="GD14" s="156"/>
      <c r="GE14" s="156"/>
      <c r="GF14" s="156"/>
      <c r="GG14" s="156"/>
      <c r="GH14" s="156"/>
      <c r="GI14" s="156"/>
      <c r="GJ14" s="156"/>
      <c r="GK14" s="156"/>
      <c r="GL14" s="156"/>
      <c r="GM14" s="156"/>
      <c r="GN14" s="156"/>
      <c r="GO14" s="156"/>
      <c r="GP14" s="156"/>
      <c r="GQ14" s="156"/>
      <c r="GR14" s="156"/>
      <c r="GS14" s="156"/>
      <c r="GT14" s="156"/>
      <c r="GU14" s="156"/>
      <c r="GV14" s="156"/>
      <c r="GW14" s="156"/>
      <c r="GX14" s="156"/>
      <c r="GY14" s="156"/>
      <c r="GZ14" s="156"/>
      <c r="HA14" s="156"/>
      <c r="HB14" s="156"/>
      <c r="HC14" s="156"/>
      <c r="HD14" s="156"/>
      <c r="HE14" s="156"/>
      <c r="HF14" s="156"/>
      <c r="HG14" s="156"/>
      <c r="HH14" s="156"/>
      <c r="HI14" s="156"/>
      <c r="HJ14" s="156"/>
      <c r="HK14" s="156"/>
      <c r="HL14" s="156"/>
    </row>
    <row r="15" spans="1:220" ht="14.1" customHeight="1" thickBot="1" x14ac:dyDescent="0.25">
      <c r="A15" s="156"/>
      <c r="B15" s="90"/>
      <c r="C15" s="90"/>
      <c r="D15" s="50"/>
      <c r="E15" s="50"/>
      <c r="F15" s="53"/>
      <c r="G15" s="50"/>
      <c r="H15" s="50"/>
      <c r="I15" s="50"/>
      <c r="J15" s="50"/>
      <c r="K15" s="50"/>
      <c r="L15" s="50"/>
      <c r="M15" s="50"/>
      <c r="N15" s="50"/>
      <c r="O15" s="151"/>
      <c r="P15" s="50"/>
      <c r="Q15" s="92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152"/>
      <c r="AF15" s="50"/>
      <c r="AG15" s="387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20"/>
      <c r="BE15" s="20"/>
      <c r="BF15" s="20"/>
      <c r="BG15" s="69"/>
      <c r="BH15" s="69"/>
      <c r="BI15" s="69"/>
      <c r="BJ15" s="69"/>
      <c r="BK15" s="87"/>
      <c r="BL15" s="87"/>
      <c r="BM15" s="87"/>
      <c r="BN15" s="87"/>
      <c r="BO15" s="470"/>
      <c r="BP15" s="470"/>
      <c r="BQ15" s="470"/>
      <c r="BR15" s="470"/>
      <c r="BS15" s="470"/>
      <c r="BT15" s="470"/>
      <c r="BU15" s="470"/>
      <c r="BV15" s="470"/>
      <c r="BW15" s="31"/>
      <c r="BX15" s="31"/>
      <c r="BY15" s="31"/>
      <c r="BZ15" s="31"/>
      <c r="CA15" s="333"/>
      <c r="CB15" s="333"/>
      <c r="CC15" s="333"/>
      <c r="CD15" s="333"/>
      <c r="CE15" s="179"/>
      <c r="CF15" s="389"/>
      <c r="CG15" s="381"/>
      <c r="CH15" s="224"/>
      <c r="CI15" s="464"/>
      <c r="CJ15" s="464"/>
      <c r="CK15" s="464"/>
      <c r="CL15" s="464"/>
      <c r="CM15" s="464"/>
      <c r="CN15" s="464"/>
      <c r="CO15" s="464"/>
      <c r="CP15" s="464"/>
      <c r="CQ15" s="50"/>
      <c r="CR15" s="50"/>
      <c r="CS15" s="50"/>
      <c r="CT15" s="156"/>
      <c r="CU15" s="156"/>
      <c r="CV15" s="156"/>
      <c r="CW15" s="156"/>
      <c r="CX15" s="156"/>
      <c r="CY15" s="156"/>
      <c r="CZ15" s="156"/>
      <c r="DA15" s="156"/>
      <c r="DB15" s="156"/>
      <c r="DC15" s="156"/>
      <c r="DD15" s="156"/>
      <c r="DE15" s="156"/>
      <c r="DF15" s="156"/>
      <c r="DG15" s="156"/>
      <c r="DH15" s="156"/>
      <c r="DI15" s="156"/>
      <c r="DJ15" s="156"/>
      <c r="DK15" s="156"/>
      <c r="DL15" s="156"/>
      <c r="DM15" s="156"/>
      <c r="DN15" s="156"/>
      <c r="DO15" s="156"/>
      <c r="DP15" s="156"/>
      <c r="DQ15" s="156"/>
      <c r="DR15" s="156"/>
      <c r="DS15" s="156"/>
      <c r="DT15" s="156"/>
      <c r="DU15" s="156"/>
      <c r="DV15" s="156"/>
      <c r="DW15" s="156"/>
      <c r="DX15" s="156"/>
      <c r="DY15" s="156"/>
      <c r="DZ15" s="156"/>
      <c r="EA15" s="156"/>
      <c r="EB15" s="156"/>
      <c r="EC15" s="156"/>
      <c r="ED15" s="156"/>
      <c r="EE15" s="156"/>
      <c r="EF15" s="156"/>
      <c r="EG15" s="156"/>
      <c r="EH15" s="156"/>
      <c r="EI15" s="156"/>
      <c r="EJ15" s="156"/>
      <c r="EK15" s="156"/>
      <c r="EL15" s="156"/>
      <c r="EM15" s="156"/>
      <c r="EN15" s="156"/>
      <c r="EO15" s="156"/>
      <c r="EP15" s="156"/>
      <c r="EQ15" s="156"/>
      <c r="ER15" s="156"/>
      <c r="ES15" s="156"/>
      <c r="ET15" s="156"/>
      <c r="EU15" s="156"/>
      <c r="EV15" s="156"/>
      <c r="EW15" s="156"/>
      <c r="EX15" s="156"/>
      <c r="EY15" s="156"/>
      <c r="EZ15" s="156"/>
      <c r="FA15" s="156"/>
      <c r="FB15" s="156"/>
      <c r="FC15" s="156"/>
      <c r="FD15" s="156"/>
      <c r="FE15" s="156"/>
      <c r="FF15" s="156"/>
      <c r="FG15" s="156"/>
      <c r="FH15" s="156"/>
      <c r="FI15" s="156"/>
      <c r="FJ15" s="156"/>
      <c r="FK15" s="156"/>
      <c r="FL15" s="156"/>
      <c r="FM15" s="156"/>
      <c r="FN15" s="156"/>
      <c r="FO15" s="156"/>
      <c r="FP15" s="156"/>
      <c r="FQ15" s="156"/>
      <c r="FR15" s="156"/>
      <c r="FS15" s="156"/>
      <c r="FT15" s="156"/>
      <c r="FU15" s="156"/>
      <c r="FV15" s="156"/>
      <c r="FW15" s="156"/>
      <c r="FX15" s="156"/>
      <c r="FY15" s="156"/>
      <c r="FZ15" s="156"/>
      <c r="GA15" s="156"/>
      <c r="GB15" s="156"/>
      <c r="GC15" s="156"/>
      <c r="GD15" s="156"/>
      <c r="GE15" s="156"/>
      <c r="GF15" s="156"/>
      <c r="GG15" s="156"/>
      <c r="GH15" s="156"/>
      <c r="GI15" s="156"/>
      <c r="GJ15" s="156"/>
      <c r="GK15" s="156"/>
      <c r="GL15" s="156"/>
      <c r="GM15" s="156"/>
      <c r="GN15" s="156"/>
      <c r="GO15" s="156"/>
      <c r="GP15" s="156"/>
      <c r="GQ15" s="156"/>
      <c r="GR15" s="156"/>
      <c r="GS15" s="156"/>
      <c r="GT15" s="156"/>
      <c r="GU15" s="156"/>
      <c r="GV15" s="156"/>
      <c r="GW15" s="156"/>
      <c r="GX15" s="156"/>
      <c r="GY15" s="156"/>
      <c r="GZ15" s="156"/>
      <c r="HA15" s="156"/>
      <c r="HB15" s="156"/>
      <c r="HC15" s="156"/>
      <c r="HD15" s="156"/>
      <c r="HE15" s="156"/>
      <c r="HF15" s="156"/>
      <c r="HG15" s="156"/>
      <c r="HH15" s="156"/>
      <c r="HI15" s="156"/>
      <c r="HJ15" s="156"/>
      <c r="HK15" s="156"/>
      <c r="HL15" s="156"/>
    </row>
    <row r="16" spans="1:220" ht="14.1" customHeight="1" thickBot="1" x14ac:dyDescent="0.25">
      <c r="A16" s="156"/>
      <c r="B16" s="90"/>
      <c r="C16" s="90"/>
      <c r="D16" s="50"/>
      <c r="E16" s="50"/>
      <c r="F16" s="30" t="s">
        <v>27</v>
      </c>
      <c r="G16" s="50"/>
      <c r="H16" s="506">
        <f>HP47</f>
        <v>0.85</v>
      </c>
      <c r="I16" s="507"/>
      <c r="J16" s="508"/>
      <c r="K16" s="50"/>
      <c r="L16" s="50"/>
      <c r="M16" s="50"/>
      <c r="N16" s="50"/>
      <c r="O16" s="151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387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373"/>
      <c r="BE16" s="373"/>
      <c r="BF16" s="373"/>
      <c r="BG16" s="8"/>
      <c r="BH16" s="8"/>
      <c r="BI16" s="8"/>
      <c r="BJ16" s="8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365"/>
      <c r="CG16" s="151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156"/>
      <c r="CU16" s="50"/>
      <c r="CV16" s="50"/>
      <c r="CW16" s="50"/>
      <c r="CX16" s="156"/>
      <c r="CY16" s="156"/>
      <c r="CZ16" s="156"/>
      <c r="DA16" s="156"/>
      <c r="DB16" s="156"/>
      <c r="DC16" s="156"/>
      <c r="DD16" s="156"/>
      <c r="DE16" s="156"/>
      <c r="DF16" s="156"/>
      <c r="DG16" s="156"/>
      <c r="DH16" s="156"/>
      <c r="DI16" s="156"/>
      <c r="DJ16" s="156"/>
      <c r="DK16" s="156"/>
      <c r="DL16" s="156"/>
      <c r="DM16" s="156"/>
      <c r="DN16" s="156"/>
      <c r="DO16" s="156"/>
      <c r="DP16" s="156"/>
      <c r="DQ16" s="156"/>
      <c r="DR16" s="156"/>
      <c r="DS16" s="156"/>
      <c r="DT16" s="156"/>
      <c r="DU16" s="156"/>
      <c r="DV16" s="156"/>
      <c r="DW16" s="156"/>
      <c r="DX16" s="156"/>
      <c r="DY16" s="156"/>
      <c r="DZ16" s="156"/>
      <c r="EA16" s="156"/>
      <c r="EB16" s="156"/>
      <c r="EC16" s="156"/>
      <c r="ED16" s="156"/>
      <c r="EE16" s="156"/>
      <c r="EF16" s="156"/>
      <c r="EG16" s="156"/>
      <c r="EH16" s="156"/>
      <c r="EI16" s="156"/>
      <c r="EJ16" s="156"/>
      <c r="EK16" s="156"/>
      <c r="EL16" s="156"/>
      <c r="EM16" s="156"/>
      <c r="EN16" s="156"/>
      <c r="EO16" s="156"/>
      <c r="EP16" s="156"/>
      <c r="EQ16" s="156"/>
      <c r="ER16" s="156"/>
      <c r="ES16" s="156"/>
      <c r="ET16" s="156"/>
      <c r="EU16" s="156"/>
      <c r="EV16" s="156"/>
      <c r="EW16" s="156"/>
      <c r="EX16" s="156"/>
      <c r="EY16" s="156"/>
      <c r="EZ16" s="156"/>
      <c r="FA16" s="156"/>
      <c r="FB16" s="156"/>
      <c r="FC16" s="156"/>
      <c r="FD16" s="156"/>
      <c r="FE16" s="156"/>
      <c r="FF16" s="156"/>
      <c r="FG16" s="156"/>
      <c r="FH16" s="156"/>
      <c r="FI16" s="156"/>
      <c r="FJ16" s="156"/>
      <c r="FK16" s="156"/>
      <c r="FL16" s="156"/>
      <c r="FM16" s="156"/>
      <c r="FN16" s="156"/>
      <c r="FO16" s="156"/>
      <c r="FP16" s="156"/>
      <c r="FQ16" s="156"/>
      <c r="FR16" s="156"/>
      <c r="FS16" s="156"/>
      <c r="FT16" s="156"/>
      <c r="FU16" s="156"/>
      <c r="FV16" s="156"/>
      <c r="FW16" s="156"/>
      <c r="FX16" s="156"/>
      <c r="FY16" s="156"/>
      <c r="FZ16" s="156"/>
      <c r="GA16" s="156"/>
      <c r="GB16" s="156"/>
      <c r="GC16" s="156"/>
      <c r="GD16" s="156"/>
      <c r="GE16" s="156"/>
      <c r="GF16" s="156"/>
      <c r="GG16" s="156"/>
      <c r="GH16" s="156"/>
      <c r="GI16" s="156"/>
      <c r="GJ16" s="156"/>
      <c r="GK16" s="156"/>
      <c r="GL16" s="156"/>
      <c r="GM16" s="156"/>
      <c r="GN16" s="156"/>
      <c r="GO16" s="156"/>
      <c r="GP16" s="156"/>
      <c r="GQ16" s="156"/>
      <c r="GR16" s="156"/>
      <c r="GS16" s="156"/>
      <c r="GT16" s="156"/>
      <c r="GU16" s="156"/>
      <c r="GV16" s="156"/>
      <c r="GW16" s="156"/>
      <c r="GX16" s="156"/>
      <c r="GY16" s="156"/>
      <c r="GZ16" s="156"/>
      <c r="HA16" s="156"/>
      <c r="HB16" s="156"/>
      <c r="HC16" s="156"/>
      <c r="HD16" s="156"/>
      <c r="HE16" s="156"/>
      <c r="HF16" s="156"/>
      <c r="HG16" s="156"/>
      <c r="HH16" s="156"/>
      <c r="HI16" s="156"/>
      <c r="HJ16" s="156"/>
      <c r="HK16" s="156"/>
      <c r="HL16" s="156"/>
    </row>
    <row r="17" spans="1:367" ht="14.1" customHeight="1" x14ac:dyDescent="0.2">
      <c r="A17" s="156"/>
      <c r="B17" s="90"/>
      <c r="C17" s="92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152"/>
      <c r="P17" s="50"/>
      <c r="Q17" s="578" t="s">
        <v>45</v>
      </c>
      <c r="R17" s="579"/>
      <c r="S17" s="580"/>
      <c r="T17" s="581" t="s">
        <v>44</v>
      </c>
      <c r="U17" s="582"/>
      <c r="V17" s="583"/>
      <c r="W17" s="587">
        <f>IF(HP49&lt;H28,H28,HP49)</f>
        <v>10</v>
      </c>
      <c r="X17" s="588"/>
      <c r="Y17" s="588"/>
      <c r="Z17" s="588"/>
      <c r="AA17" s="588"/>
      <c r="AB17" s="589"/>
      <c r="AC17" s="584" t="s">
        <v>18</v>
      </c>
      <c r="AD17" s="585"/>
      <c r="AE17" s="586"/>
      <c r="AF17" s="50"/>
      <c r="AG17" s="387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373"/>
      <c r="BE17" s="373"/>
      <c r="BF17" s="373"/>
      <c r="BG17" s="69"/>
      <c r="BH17" s="69"/>
      <c r="BI17" s="69"/>
      <c r="BJ17" s="69"/>
      <c r="BK17" s="374"/>
      <c r="BL17" s="374"/>
      <c r="BM17" s="374"/>
      <c r="BN17" s="374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69"/>
      <c r="CA17" s="69"/>
      <c r="CB17" s="69"/>
      <c r="CC17" s="69"/>
      <c r="CD17" s="69"/>
      <c r="CE17" s="69"/>
      <c r="CF17" s="365"/>
      <c r="CG17" s="151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156"/>
      <c r="CS17" s="156"/>
      <c r="CT17" s="156"/>
      <c r="CU17" s="156"/>
      <c r="CV17" s="156"/>
      <c r="CW17" s="156"/>
      <c r="CX17" s="156"/>
      <c r="CY17" s="156"/>
      <c r="CZ17" s="156"/>
      <c r="DA17" s="156"/>
      <c r="DB17" s="156"/>
      <c r="DC17" s="156"/>
      <c r="DD17" s="156"/>
      <c r="DE17" s="156"/>
      <c r="DF17" s="156"/>
      <c r="DG17" s="156"/>
      <c r="DH17" s="156"/>
      <c r="DI17" s="156"/>
      <c r="DJ17" s="156"/>
      <c r="DK17" s="156"/>
      <c r="DL17" s="156"/>
      <c r="DM17" s="156"/>
      <c r="DN17" s="156"/>
      <c r="DO17" s="156"/>
      <c r="DP17" s="156"/>
      <c r="DQ17" s="156"/>
      <c r="DR17" s="156"/>
      <c r="DS17" s="156"/>
      <c r="DT17" s="156"/>
      <c r="DU17" s="156"/>
      <c r="DV17" s="156"/>
      <c r="DW17" s="156"/>
      <c r="DX17" s="156"/>
      <c r="DY17" s="156"/>
      <c r="DZ17" s="156"/>
      <c r="EA17" s="156"/>
      <c r="EB17" s="156"/>
      <c r="EC17" s="156"/>
      <c r="ED17" s="156"/>
      <c r="EE17" s="156"/>
      <c r="EF17" s="156"/>
      <c r="EG17" s="156"/>
      <c r="EH17" s="156"/>
      <c r="EI17" s="156"/>
      <c r="EJ17" s="156"/>
      <c r="EK17" s="156"/>
      <c r="EL17" s="156"/>
      <c r="EM17" s="156"/>
      <c r="EN17" s="156"/>
      <c r="EO17" s="156"/>
      <c r="EP17" s="156"/>
      <c r="EQ17" s="156"/>
      <c r="ER17" s="156"/>
      <c r="ES17" s="156"/>
      <c r="ET17" s="156"/>
      <c r="EU17" s="156"/>
      <c r="EV17" s="156"/>
      <c r="EW17" s="156"/>
      <c r="EX17" s="156"/>
      <c r="EY17" s="156"/>
      <c r="EZ17" s="156"/>
      <c r="FA17" s="156"/>
      <c r="FB17" s="156"/>
      <c r="FC17" s="156"/>
      <c r="FD17" s="156"/>
      <c r="FE17" s="156"/>
      <c r="FF17" s="156"/>
      <c r="FG17" s="156"/>
      <c r="FH17" s="156"/>
      <c r="FI17" s="156"/>
      <c r="FJ17" s="156"/>
      <c r="FK17" s="156"/>
      <c r="FL17" s="156"/>
      <c r="FM17" s="156"/>
      <c r="FN17" s="156"/>
      <c r="FO17" s="156"/>
      <c r="FP17" s="156"/>
      <c r="FQ17" s="156"/>
      <c r="FR17" s="156"/>
      <c r="FS17" s="156"/>
      <c r="FT17" s="156"/>
      <c r="FU17" s="156"/>
      <c r="FV17" s="156"/>
      <c r="FW17" s="156"/>
      <c r="FX17" s="156"/>
      <c r="FY17" s="156"/>
      <c r="FZ17" s="156"/>
      <c r="GA17" s="156"/>
      <c r="GB17" s="156"/>
      <c r="GC17" s="156"/>
      <c r="GD17" s="156"/>
      <c r="GE17" s="156"/>
      <c r="GF17" s="156"/>
      <c r="GG17" s="156"/>
      <c r="GH17" s="156"/>
      <c r="GI17" s="156"/>
      <c r="GJ17" s="156"/>
      <c r="GK17" s="156"/>
      <c r="GL17" s="156"/>
      <c r="GM17" s="156"/>
      <c r="GN17" s="156"/>
      <c r="GO17" s="156"/>
      <c r="GP17" s="156"/>
      <c r="GQ17" s="156"/>
      <c r="GR17" s="156"/>
      <c r="GS17" s="156"/>
      <c r="GT17" s="156"/>
      <c r="GU17" s="156"/>
      <c r="GV17" s="156"/>
      <c r="GW17" s="156"/>
      <c r="GX17" s="156"/>
      <c r="GY17" s="156"/>
      <c r="GZ17" s="156"/>
      <c r="HA17" s="156"/>
      <c r="HB17" s="156"/>
      <c r="HC17" s="156"/>
      <c r="HD17" s="156"/>
      <c r="HE17" s="156"/>
      <c r="HF17" s="156"/>
      <c r="HG17" s="156"/>
      <c r="HH17" s="156"/>
      <c r="HI17" s="156"/>
      <c r="HJ17" s="156"/>
      <c r="HK17" s="156"/>
      <c r="HL17" s="156"/>
    </row>
    <row r="18" spans="1:367" ht="14.1" customHeight="1" x14ac:dyDescent="0.2">
      <c r="A18" s="156"/>
      <c r="B18" s="90"/>
      <c r="C18" s="51"/>
      <c r="D18" s="617" t="s">
        <v>106</v>
      </c>
      <c r="E18" s="617"/>
      <c r="F18" s="617"/>
      <c r="G18" s="617"/>
      <c r="H18" s="617"/>
      <c r="I18" s="52"/>
      <c r="J18" s="51"/>
      <c r="K18" s="51"/>
      <c r="L18" s="51"/>
      <c r="M18" s="51"/>
      <c r="N18" s="51"/>
      <c r="O18" s="51"/>
      <c r="P18" s="50"/>
      <c r="Q18" s="566"/>
      <c r="R18" s="567"/>
      <c r="S18" s="568"/>
      <c r="T18" s="601" t="s">
        <v>132</v>
      </c>
      <c r="U18" s="602"/>
      <c r="V18" s="603"/>
      <c r="W18" s="611">
        <f>ROUND(H24/H26,2)</f>
        <v>0.38</v>
      </c>
      <c r="X18" s="612"/>
      <c r="Y18" s="612"/>
      <c r="Z18" s="612"/>
      <c r="AA18" s="612"/>
      <c r="AB18" s="613"/>
      <c r="AC18" s="622" t="s">
        <v>0</v>
      </c>
      <c r="AD18" s="623"/>
      <c r="AE18" s="624"/>
      <c r="AF18" s="50"/>
      <c r="AG18" s="387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69"/>
      <c r="CE18" s="69"/>
      <c r="CF18" s="365"/>
      <c r="CG18" s="151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156"/>
      <c r="CS18" s="156"/>
      <c r="CT18" s="156"/>
      <c r="CU18" s="156"/>
      <c r="CV18" s="156"/>
      <c r="CW18" s="156"/>
      <c r="CX18" s="156"/>
      <c r="CY18" s="156"/>
      <c r="CZ18" s="156"/>
      <c r="DA18" s="156"/>
      <c r="DB18" s="156"/>
      <c r="DC18" s="156"/>
      <c r="DD18" s="156"/>
      <c r="DE18" s="156"/>
      <c r="DF18" s="156"/>
      <c r="DG18" s="156"/>
      <c r="DH18" s="156"/>
      <c r="DI18" s="156"/>
      <c r="DJ18" s="156"/>
      <c r="DK18" s="156"/>
      <c r="DL18" s="156"/>
      <c r="DM18" s="156"/>
      <c r="DN18" s="156"/>
      <c r="DO18" s="156"/>
      <c r="DP18" s="156"/>
      <c r="DQ18" s="156"/>
      <c r="DR18" s="156"/>
      <c r="DS18" s="156"/>
      <c r="DT18" s="156"/>
      <c r="DU18" s="156"/>
      <c r="DV18" s="156"/>
      <c r="DW18" s="156"/>
      <c r="DX18" s="156"/>
      <c r="DY18" s="156"/>
      <c r="DZ18" s="156"/>
      <c r="EA18" s="156"/>
      <c r="EB18" s="156"/>
      <c r="EC18" s="156"/>
      <c r="ED18" s="156"/>
      <c r="EE18" s="156"/>
      <c r="EF18" s="156"/>
      <c r="EG18" s="156"/>
      <c r="EH18" s="156"/>
      <c r="EI18" s="156"/>
      <c r="EJ18" s="156"/>
      <c r="EK18" s="156"/>
      <c r="EL18" s="156"/>
      <c r="EM18" s="156"/>
      <c r="EN18" s="156"/>
      <c r="EO18" s="156"/>
      <c r="EP18" s="156"/>
      <c r="EQ18" s="156"/>
      <c r="ER18" s="156"/>
      <c r="ES18" s="156"/>
      <c r="ET18" s="156"/>
      <c r="EU18" s="156"/>
      <c r="EV18" s="156"/>
      <c r="EW18" s="156"/>
      <c r="EX18" s="156"/>
      <c r="EY18" s="156"/>
      <c r="EZ18" s="156"/>
      <c r="FA18" s="156"/>
      <c r="FB18" s="156"/>
      <c r="FC18" s="156"/>
      <c r="FD18" s="156"/>
      <c r="FE18" s="156"/>
      <c r="FF18" s="156"/>
      <c r="FG18" s="156"/>
      <c r="FH18" s="156"/>
      <c r="FI18" s="156"/>
      <c r="FJ18" s="156"/>
      <c r="FK18" s="156"/>
      <c r="FL18" s="156"/>
      <c r="FM18" s="156"/>
      <c r="FN18" s="156"/>
      <c r="FO18" s="156"/>
      <c r="FP18" s="156"/>
      <c r="FQ18" s="156"/>
      <c r="FR18" s="156"/>
      <c r="FS18" s="156"/>
      <c r="FT18" s="156"/>
      <c r="FU18" s="156"/>
      <c r="FV18" s="156"/>
      <c r="FW18" s="156"/>
      <c r="FX18" s="156"/>
      <c r="FY18" s="156"/>
      <c r="FZ18" s="156"/>
      <c r="GA18" s="156"/>
      <c r="GB18" s="156"/>
      <c r="GC18" s="156"/>
      <c r="GD18" s="156"/>
      <c r="GE18" s="156"/>
      <c r="GF18" s="156"/>
      <c r="GG18" s="156"/>
      <c r="GH18" s="156"/>
      <c r="GI18" s="156"/>
      <c r="GJ18" s="156"/>
      <c r="GK18" s="156"/>
      <c r="GL18" s="156"/>
      <c r="GM18" s="156"/>
      <c r="GN18" s="156"/>
      <c r="GO18" s="156"/>
      <c r="GP18" s="156"/>
      <c r="GQ18" s="156"/>
      <c r="GR18" s="156"/>
      <c r="GS18" s="156"/>
      <c r="GT18" s="156"/>
      <c r="GU18" s="156"/>
      <c r="GV18" s="156"/>
      <c r="GW18" s="156"/>
      <c r="GX18" s="156"/>
      <c r="GY18" s="156"/>
      <c r="GZ18" s="156"/>
      <c r="HA18" s="156"/>
      <c r="HB18" s="156"/>
      <c r="HC18" s="156"/>
      <c r="HD18" s="156"/>
      <c r="HE18" s="156"/>
      <c r="HF18" s="156"/>
      <c r="HG18" s="156"/>
      <c r="HH18" s="156"/>
      <c r="HI18" s="156"/>
      <c r="HJ18" s="156"/>
      <c r="HK18" s="156"/>
      <c r="HL18" s="156"/>
    </row>
    <row r="19" spans="1:367" ht="14.1" customHeight="1" thickBot="1" x14ac:dyDescent="0.25">
      <c r="A19" s="156"/>
      <c r="B19" s="90"/>
      <c r="C19" s="45"/>
      <c r="D19" s="618"/>
      <c r="E19" s="618"/>
      <c r="F19" s="618"/>
      <c r="G19" s="618"/>
      <c r="H19" s="618"/>
      <c r="I19" s="48"/>
      <c r="J19" s="236"/>
      <c r="K19" s="236"/>
      <c r="L19" s="236"/>
      <c r="M19" s="236"/>
      <c r="N19" s="236"/>
      <c r="O19" s="44"/>
      <c r="P19" s="50"/>
      <c r="Q19" s="566"/>
      <c r="R19" s="567"/>
      <c r="S19" s="568"/>
      <c r="T19" s="601" t="s">
        <v>133</v>
      </c>
      <c r="U19" s="602"/>
      <c r="V19" s="603"/>
      <c r="W19" s="597" t="str">
        <f>IF(W18&lt;0.5,"One Way","Not Ok")</f>
        <v>One Way</v>
      </c>
      <c r="X19" s="598"/>
      <c r="Y19" s="598"/>
      <c r="Z19" s="598"/>
      <c r="AA19" s="598"/>
      <c r="AB19" s="599"/>
      <c r="AC19" s="625" t="s">
        <v>0</v>
      </c>
      <c r="AD19" s="626"/>
      <c r="AE19" s="627"/>
      <c r="AF19" s="50"/>
      <c r="AG19" s="387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31"/>
      <c r="BU19" s="31"/>
      <c r="BV19" s="31"/>
      <c r="BW19" s="69"/>
      <c r="BX19" s="31"/>
      <c r="BY19" s="31"/>
      <c r="BZ19" s="31"/>
      <c r="CA19" s="69"/>
      <c r="CB19" s="31"/>
      <c r="CC19" s="31"/>
      <c r="CD19" s="31"/>
      <c r="CE19" s="31"/>
      <c r="CF19" s="390"/>
      <c r="CG19" s="382"/>
      <c r="CH19" s="222"/>
      <c r="CI19" s="222"/>
      <c r="CJ19" s="222"/>
      <c r="CK19" s="222"/>
      <c r="CL19" s="222"/>
      <c r="CM19" s="222"/>
      <c r="CN19" s="222"/>
      <c r="CO19" s="222"/>
      <c r="CP19" s="222"/>
      <c r="CQ19" s="50"/>
      <c r="CR19" s="156"/>
      <c r="CS19" s="156"/>
      <c r="CT19" s="156"/>
      <c r="CU19" s="156"/>
      <c r="CV19" s="156"/>
      <c r="CW19" s="156"/>
      <c r="CX19" s="156"/>
      <c r="CY19" s="156"/>
      <c r="CZ19" s="156"/>
      <c r="DA19" s="156"/>
      <c r="DB19" s="156"/>
      <c r="DC19" s="156"/>
      <c r="DD19" s="156"/>
      <c r="DE19" s="156"/>
      <c r="DF19" s="156"/>
      <c r="DG19" s="156"/>
      <c r="DH19" s="156"/>
      <c r="DI19" s="156"/>
      <c r="DJ19" s="156"/>
      <c r="DK19" s="156"/>
      <c r="DL19" s="156"/>
      <c r="DM19" s="156"/>
      <c r="DN19" s="156"/>
      <c r="DO19" s="156"/>
      <c r="DP19" s="156"/>
      <c r="DQ19" s="156"/>
      <c r="DR19" s="156"/>
      <c r="DS19" s="156"/>
      <c r="DT19" s="156"/>
      <c r="DU19" s="156"/>
      <c r="DV19" s="156"/>
      <c r="DW19" s="156"/>
      <c r="DX19" s="156"/>
      <c r="DY19" s="156"/>
      <c r="DZ19" s="156"/>
      <c r="EA19" s="156"/>
      <c r="EB19" s="156"/>
      <c r="EC19" s="156"/>
      <c r="ED19" s="156"/>
      <c r="EE19" s="156"/>
      <c r="EF19" s="156"/>
      <c r="EG19" s="156"/>
      <c r="EH19" s="156"/>
      <c r="EI19" s="156"/>
      <c r="EJ19" s="156"/>
      <c r="EK19" s="156"/>
      <c r="EL19" s="156"/>
      <c r="EM19" s="156"/>
      <c r="EN19" s="156"/>
      <c r="EO19" s="156"/>
      <c r="EP19" s="156"/>
      <c r="EQ19" s="156"/>
      <c r="ER19" s="156"/>
      <c r="ES19" s="156"/>
      <c r="ET19" s="156"/>
      <c r="EU19" s="156"/>
      <c r="EV19" s="156"/>
      <c r="EW19" s="156"/>
      <c r="EX19" s="156"/>
      <c r="EY19" s="156"/>
      <c r="EZ19" s="156"/>
      <c r="FA19" s="156"/>
      <c r="FB19" s="156"/>
      <c r="FC19" s="156"/>
      <c r="FD19" s="156"/>
      <c r="FE19" s="156"/>
      <c r="FF19" s="156"/>
      <c r="FG19" s="156"/>
      <c r="FH19" s="156"/>
      <c r="FI19" s="156"/>
      <c r="FJ19" s="156"/>
      <c r="FK19" s="156"/>
      <c r="FL19" s="156"/>
      <c r="FM19" s="156"/>
      <c r="FN19" s="156"/>
      <c r="FO19" s="156"/>
      <c r="FP19" s="156"/>
      <c r="FQ19" s="156"/>
      <c r="FR19" s="156"/>
      <c r="FS19" s="156"/>
      <c r="FT19" s="156"/>
      <c r="FU19" s="156"/>
      <c r="FV19" s="156"/>
      <c r="FW19" s="156"/>
      <c r="FX19" s="156"/>
      <c r="FY19" s="156"/>
      <c r="FZ19" s="156"/>
      <c r="GA19" s="156"/>
      <c r="GB19" s="156"/>
      <c r="GC19" s="156"/>
      <c r="GD19" s="156"/>
      <c r="GE19" s="156"/>
      <c r="GF19" s="156"/>
      <c r="GG19" s="156"/>
      <c r="GH19" s="156"/>
      <c r="GI19" s="156"/>
      <c r="GJ19" s="156"/>
      <c r="GK19" s="156"/>
      <c r="GL19" s="156"/>
      <c r="GM19" s="156"/>
      <c r="GN19" s="156"/>
      <c r="GO19" s="156"/>
      <c r="GP19" s="156"/>
      <c r="GQ19" s="156"/>
      <c r="GR19" s="156"/>
      <c r="GS19" s="156"/>
      <c r="GT19" s="156"/>
      <c r="GU19" s="156"/>
      <c r="GV19" s="156"/>
      <c r="GW19" s="156"/>
      <c r="GX19" s="156"/>
      <c r="GY19" s="156"/>
      <c r="GZ19" s="156"/>
      <c r="HA19" s="156"/>
      <c r="HB19" s="156"/>
      <c r="HC19" s="156"/>
      <c r="HD19" s="156"/>
      <c r="HE19" s="156"/>
      <c r="HF19" s="156"/>
      <c r="HG19" s="156"/>
      <c r="HH19" s="156"/>
      <c r="HI19" s="156"/>
      <c r="HJ19" s="156"/>
      <c r="HK19" s="156"/>
      <c r="HL19" s="156"/>
    </row>
    <row r="20" spans="1:367" ht="14.1" customHeight="1" x14ac:dyDescent="0.2">
      <c r="A20" s="156"/>
      <c r="B20" s="90"/>
      <c r="C20" s="45"/>
      <c r="D20" s="236"/>
      <c r="E20" s="50"/>
      <c r="F20" s="53" t="s">
        <v>117</v>
      </c>
      <c r="G20" s="50"/>
      <c r="H20" s="472" t="s">
        <v>6</v>
      </c>
      <c r="I20" s="473"/>
      <c r="J20" s="473"/>
      <c r="K20" s="474"/>
      <c r="L20" s="236"/>
      <c r="M20" s="236"/>
      <c r="N20" s="236"/>
      <c r="O20" s="114"/>
      <c r="P20" s="50"/>
      <c r="Q20" s="566"/>
      <c r="R20" s="567"/>
      <c r="S20" s="568"/>
      <c r="T20" s="446" t="s">
        <v>280</v>
      </c>
      <c r="U20" s="362"/>
      <c r="V20" s="361" t="str">
        <f>IF(H4&lt;3000,"RB","DB")</f>
        <v>DB</v>
      </c>
      <c r="W20" s="614">
        <v>12</v>
      </c>
      <c r="X20" s="615"/>
      <c r="Y20" s="615"/>
      <c r="Z20" s="615"/>
      <c r="AA20" s="615"/>
      <c r="AB20" s="616"/>
      <c r="AC20" s="306" t="s">
        <v>94</v>
      </c>
      <c r="AD20" s="366"/>
      <c r="AE20" s="367"/>
      <c r="AF20" s="50"/>
      <c r="AG20" s="387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375"/>
      <c r="BQ20" s="375"/>
      <c r="BR20" s="375"/>
      <c r="BS20" s="69"/>
      <c r="BT20" s="376"/>
      <c r="BU20" s="376"/>
      <c r="BV20" s="376"/>
      <c r="BW20" s="69"/>
      <c r="BX20" s="376"/>
      <c r="BY20" s="376"/>
      <c r="BZ20" s="376"/>
      <c r="CA20" s="69"/>
      <c r="CB20" s="376"/>
      <c r="CC20" s="376"/>
      <c r="CD20" s="376"/>
      <c r="CE20" s="376"/>
      <c r="CF20" s="365"/>
      <c r="CG20" s="151"/>
      <c r="CH20" s="50"/>
      <c r="CI20" s="225"/>
      <c r="CJ20" s="50"/>
      <c r="CK20" s="50"/>
      <c r="CL20" s="50"/>
      <c r="CM20" s="225"/>
      <c r="CN20" s="50"/>
      <c r="CO20" s="50"/>
      <c r="CP20" s="50"/>
      <c r="CQ20" s="50"/>
      <c r="CR20" s="156"/>
      <c r="CS20" s="156"/>
      <c r="CT20" s="156"/>
      <c r="CU20" s="156"/>
      <c r="CV20" s="156"/>
      <c r="CW20" s="156"/>
      <c r="CX20" s="156"/>
      <c r="CY20" s="156"/>
      <c r="CZ20" s="156"/>
      <c r="DA20" s="156"/>
      <c r="DB20" s="156"/>
      <c r="DC20" s="156"/>
      <c r="DD20" s="156"/>
      <c r="DE20" s="156"/>
      <c r="DF20" s="156"/>
      <c r="DG20" s="156"/>
      <c r="DH20" s="156"/>
      <c r="DI20" s="156"/>
      <c r="DJ20" s="156"/>
      <c r="DK20" s="156"/>
      <c r="DL20" s="156"/>
      <c r="DM20" s="156"/>
      <c r="DN20" s="156"/>
      <c r="DO20" s="156"/>
      <c r="DP20" s="156"/>
      <c r="DQ20" s="156"/>
      <c r="DR20" s="156"/>
      <c r="DS20" s="156"/>
      <c r="DT20" s="156"/>
      <c r="DU20" s="156"/>
      <c r="DV20" s="156"/>
      <c r="DW20" s="156"/>
      <c r="DX20" s="156"/>
      <c r="DY20" s="156"/>
      <c r="DZ20" s="156"/>
      <c r="EA20" s="156"/>
      <c r="EB20" s="156"/>
      <c r="EC20" s="156"/>
      <c r="ED20" s="156"/>
      <c r="EE20" s="156"/>
      <c r="EF20" s="156"/>
      <c r="EG20" s="156"/>
      <c r="EH20" s="156"/>
      <c r="EI20" s="156"/>
      <c r="EJ20" s="156"/>
      <c r="EK20" s="156"/>
      <c r="EL20" s="156"/>
      <c r="EM20" s="156"/>
      <c r="EN20" s="156"/>
      <c r="EO20" s="156"/>
      <c r="EP20" s="156"/>
      <c r="EQ20" s="156"/>
      <c r="ER20" s="156"/>
      <c r="ES20" s="156"/>
      <c r="ET20" s="156"/>
      <c r="EU20" s="156"/>
      <c r="EV20" s="156"/>
      <c r="EW20" s="156"/>
      <c r="EX20" s="156"/>
      <c r="EY20" s="156"/>
      <c r="EZ20" s="156"/>
      <c r="FA20" s="156"/>
      <c r="FB20" s="156"/>
      <c r="FC20" s="156"/>
      <c r="FD20" s="156"/>
      <c r="FE20" s="156"/>
      <c r="FF20" s="156"/>
      <c r="FG20" s="156"/>
      <c r="FH20" s="156"/>
      <c r="FI20" s="156"/>
      <c r="FJ20" s="156"/>
      <c r="FK20" s="156"/>
      <c r="FL20" s="156"/>
      <c r="FM20" s="156"/>
      <c r="FN20" s="156"/>
      <c r="FO20" s="156"/>
      <c r="FP20" s="156"/>
      <c r="FQ20" s="156"/>
      <c r="FR20" s="156"/>
      <c r="FS20" s="156"/>
      <c r="FT20" s="156"/>
      <c r="FU20" s="156"/>
      <c r="FV20" s="156"/>
      <c r="FW20" s="156"/>
      <c r="FX20" s="156"/>
      <c r="FY20" s="156"/>
      <c r="FZ20" s="156"/>
      <c r="GA20" s="156"/>
      <c r="GB20" s="156"/>
      <c r="GC20" s="156"/>
      <c r="GD20" s="156"/>
      <c r="GE20" s="156"/>
      <c r="GF20" s="156"/>
      <c r="GG20" s="156"/>
      <c r="GH20" s="156"/>
      <c r="GI20" s="156"/>
      <c r="GJ20" s="156"/>
      <c r="GK20" s="156"/>
      <c r="GL20" s="156"/>
      <c r="GM20" s="156"/>
      <c r="GN20" s="156"/>
      <c r="GO20" s="156"/>
      <c r="GP20" s="156"/>
      <c r="GQ20" s="156"/>
      <c r="GR20" s="156"/>
      <c r="GS20" s="156"/>
      <c r="GT20" s="156"/>
      <c r="GU20" s="156"/>
      <c r="GV20" s="156"/>
      <c r="GW20" s="156"/>
      <c r="GX20" s="156"/>
      <c r="GY20" s="156"/>
      <c r="GZ20" s="156"/>
      <c r="HA20" s="156"/>
      <c r="HB20" s="156"/>
      <c r="HC20" s="156"/>
      <c r="HD20" s="156"/>
      <c r="HE20" s="156"/>
      <c r="HF20" s="156"/>
      <c r="HG20" s="156"/>
      <c r="HH20" s="156"/>
      <c r="HI20" s="156"/>
      <c r="HJ20" s="156"/>
      <c r="HK20" s="156"/>
      <c r="HL20" s="156"/>
    </row>
    <row r="21" spans="1:367" ht="14.1" customHeight="1" x14ac:dyDescent="0.2">
      <c r="A21" s="156"/>
      <c r="B21" s="90"/>
      <c r="C21" s="41"/>
      <c r="D21" s="47"/>
      <c r="E21" s="47"/>
      <c r="F21" s="47"/>
      <c r="G21" s="47"/>
      <c r="H21" s="62" t="s">
        <v>120</v>
      </c>
      <c r="I21" s="51"/>
      <c r="J21" s="54"/>
      <c r="K21" s="54"/>
      <c r="L21" s="54"/>
      <c r="M21" s="54"/>
      <c r="N21" s="54"/>
      <c r="O21" s="55"/>
      <c r="P21" s="50"/>
      <c r="Q21" s="608"/>
      <c r="R21" s="609"/>
      <c r="S21" s="610"/>
      <c r="T21" s="448" t="s">
        <v>281</v>
      </c>
      <c r="U21" s="360"/>
      <c r="V21" s="363" t="str">
        <f>IF(H6&lt;3000,"RB","DB")</f>
        <v>RB</v>
      </c>
      <c r="W21" s="614">
        <v>9</v>
      </c>
      <c r="X21" s="615"/>
      <c r="Y21" s="615"/>
      <c r="Z21" s="615"/>
      <c r="AA21" s="615"/>
      <c r="AB21" s="616"/>
      <c r="AC21" s="368" t="s">
        <v>94</v>
      </c>
      <c r="AD21" s="61"/>
      <c r="AE21" s="369"/>
      <c r="AF21" s="50"/>
      <c r="AG21" s="387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375"/>
      <c r="BP21" s="375"/>
      <c r="BQ21" s="375"/>
      <c r="BR21" s="375"/>
      <c r="BS21" s="376"/>
      <c r="BT21" s="376"/>
      <c r="BU21" s="376"/>
      <c r="BV21" s="376"/>
      <c r="BW21" s="376"/>
      <c r="BX21" s="376"/>
      <c r="BY21" s="376"/>
      <c r="BZ21" s="376"/>
      <c r="CA21" s="376"/>
      <c r="CB21" s="376"/>
      <c r="CC21" s="376"/>
      <c r="CD21" s="376"/>
      <c r="CE21" s="69"/>
      <c r="CF21" s="365"/>
      <c r="CG21" s="151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156"/>
      <c r="CS21" s="156"/>
      <c r="CT21" s="156"/>
      <c r="CU21" s="156"/>
      <c r="CV21" s="156"/>
      <c r="CW21" s="156"/>
      <c r="CX21" s="156"/>
      <c r="CY21" s="156"/>
      <c r="CZ21" s="156"/>
      <c r="DA21" s="156"/>
      <c r="DB21" s="156"/>
      <c r="DC21" s="156"/>
      <c r="DD21" s="156"/>
      <c r="DE21" s="156"/>
      <c r="DF21" s="156"/>
      <c r="DG21" s="156"/>
      <c r="DH21" s="156"/>
      <c r="DI21" s="156"/>
      <c r="DJ21" s="156"/>
      <c r="DK21" s="156"/>
      <c r="DL21" s="156"/>
      <c r="DM21" s="156"/>
      <c r="DN21" s="156"/>
      <c r="DO21" s="156"/>
      <c r="DP21" s="156"/>
      <c r="DQ21" s="156"/>
      <c r="DR21" s="156"/>
      <c r="DS21" s="156"/>
      <c r="DT21" s="156"/>
      <c r="DU21" s="156"/>
      <c r="DV21" s="156"/>
      <c r="DW21" s="156"/>
      <c r="DX21" s="156"/>
      <c r="DY21" s="156"/>
      <c r="DZ21" s="156"/>
      <c r="EA21" s="156"/>
      <c r="EB21" s="156"/>
      <c r="EC21" s="156"/>
      <c r="ED21" s="156"/>
      <c r="EE21" s="156"/>
      <c r="EF21" s="156"/>
      <c r="EG21" s="156"/>
      <c r="EH21" s="156"/>
      <c r="EI21" s="156"/>
      <c r="EJ21" s="156"/>
      <c r="EK21" s="156"/>
      <c r="EL21" s="156"/>
      <c r="EM21" s="156"/>
      <c r="EN21" s="156"/>
      <c r="EO21" s="156"/>
      <c r="EP21" s="156"/>
      <c r="EQ21" s="156"/>
      <c r="ER21" s="156"/>
      <c r="ES21" s="156"/>
      <c r="ET21" s="156"/>
      <c r="EU21" s="156"/>
      <c r="EV21" s="156"/>
      <c r="EW21" s="156"/>
      <c r="EX21" s="156"/>
      <c r="EY21" s="156"/>
      <c r="EZ21" s="156"/>
      <c r="FA21" s="156"/>
      <c r="FB21" s="156"/>
      <c r="FC21" s="156"/>
      <c r="FD21" s="156"/>
      <c r="FE21" s="156"/>
      <c r="FF21" s="156"/>
      <c r="FG21" s="156"/>
      <c r="FH21" s="156"/>
      <c r="FI21" s="156"/>
      <c r="FJ21" s="156"/>
      <c r="FK21" s="156"/>
      <c r="FL21" s="156"/>
      <c r="FM21" s="156"/>
      <c r="FN21" s="156"/>
      <c r="FO21" s="156"/>
      <c r="FP21" s="156"/>
      <c r="FQ21" s="156"/>
      <c r="FR21" s="156"/>
      <c r="FS21" s="156"/>
      <c r="FT21" s="156"/>
      <c r="FU21" s="156"/>
      <c r="FV21" s="156"/>
      <c r="FW21" s="156"/>
      <c r="FX21" s="156"/>
      <c r="FY21" s="156"/>
      <c r="FZ21" s="156"/>
      <c r="GA21" s="156"/>
      <c r="GB21" s="156"/>
      <c r="GC21" s="156"/>
      <c r="GD21" s="156"/>
      <c r="GE21" s="156"/>
      <c r="GF21" s="156"/>
      <c r="GG21" s="156"/>
      <c r="GH21" s="156"/>
      <c r="GI21" s="156"/>
      <c r="GJ21" s="156"/>
      <c r="GK21" s="156"/>
      <c r="GL21" s="156"/>
      <c r="GM21" s="156"/>
      <c r="GN21" s="156"/>
      <c r="GO21" s="156"/>
      <c r="GP21" s="156"/>
      <c r="GQ21" s="156"/>
      <c r="GR21" s="156"/>
      <c r="GS21" s="156"/>
      <c r="GT21" s="156"/>
      <c r="GU21" s="156"/>
      <c r="GV21" s="156"/>
      <c r="GW21" s="156"/>
      <c r="GX21" s="156"/>
      <c r="GY21" s="156"/>
      <c r="GZ21" s="156"/>
      <c r="HA21" s="156"/>
      <c r="HB21" s="156"/>
      <c r="HC21" s="156"/>
      <c r="HD21" s="156"/>
      <c r="HE21" s="156"/>
      <c r="HF21" s="156"/>
      <c r="HG21" s="156"/>
      <c r="HH21" s="156"/>
      <c r="HI21" s="156"/>
      <c r="HJ21" s="156"/>
      <c r="HK21" s="156"/>
      <c r="HL21" s="156"/>
    </row>
    <row r="22" spans="1:367" ht="14.1" customHeight="1" x14ac:dyDescent="0.2">
      <c r="A22" s="156"/>
      <c r="B22" s="90"/>
      <c r="C22" s="50"/>
      <c r="D22" s="481" t="s">
        <v>224</v>
      </c>
      <c r="E22" s="481"/>
      <c r="F22" s="481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63" t="s">
        <v>46</v>
      </c>
      <c r="R22" s="564"/>
      <c r="S22" s="565"/>
      <c r="T22" s="600" t="s">
        <v>145</v>
      </c>
      <c r="U22" s="600"/>
      <c r="V22" s="600"/>
      <c r="W22" s="637">
        <v>120</v>
      </c>
      <c r="X22" s="638"/>
      <c r="Y22" s="638"/>
      <c r="Z22" s="638"/>
      <c r="AA22" s="638"/>
      <c r="AB22" s="639"/>
      <c r="AC22" s="640" t="s">
        <v>47</v>
      </c>
      <c r="AD22" s="641"/>
      <c r="AE22" s="642"/>
      <c r="AF22" s="50"/>
      <c r="AG22" s="387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9"/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69"/>
      <c r="BE22" s="69"/>
      <c r="BF22" s="69"/>
      <c r="BG22" s="8"/>
      <c r="BH22" s="8"/>
      <c r="BI22" s="8"/>
      <c r="BJ22" s="8"/>
      <c r="BK22" s="70"/>
      <c r="BL22" s="70"/>
      <c r="BM22" s="70"/>
      <c r="BN22" s="70"/>
      <c r="BO22" s="70"/>
      <c r="BP22" s="70"/>
      <c r="BQ22" s="70"/>
      <c r="BR22" s="70"/>
      <c r="BS22" s="70"/>
      <c r="BT22" s="70"/>
      <c r="BU22" s="70"/>
      <c r="BV22" s="70"/>
      <c r="BW22" s="70"/>
      <c r="BX22" s="70"/>
      <c r="BY22" s="70"/>
      <c r="BZ22" s="70"/>
      <c r="CA22" s="70"/>
      <c r="CB22" s="70"/>
      <c r="CC22" s="70"/>
      <c r="CD22" s="70"/>
      <c r="CE22" s="70"/>
      <c r="CF22" s="388"/>
      <c r="CG22" s="358"/>
      <c r="CH22" s="447"/>
      <c r="CI22" s="50"/>
      <c r="CJ22" s="50"/>
      <c r="CK22" s="50"/>
      <c r="CL22" s="50"/>
      <c r="CM22" s="50"/>
      <c r="CN22" s="50"/>
      <c r="CO22" s="50"/>
      <c r="CP22" s="50"/>
      <c r="CQ22" s="50"/>
      <c r="CR22" s="156"/>
      <c r="CS22" s="156"/>
      <c r="CT22" s="156"/>
      <c r="CU22" s="156"/>
      <c r="CV22" s="156"/>
      <c r="CW22" s="156"/>
      <c r="CX22" s="156"/>
      <c r="CY22" s="156"/>
      <c r="CZ22" s="156"/>
      <c r="DA22" s="156"/>
      <c r="DB22" s="156"/>
      <c r="DC22" s="156"/>
      <c r="DD22" s="156"/>
      <c r="DE22" s="156"/>
      <c r="DF22" s="156"/>
      <c r="DG22" s="156"/>
      <c r="DH22" s="156"/>
      <c r="DI22" s="156"/>
      <c r="DJ22" s="156"/>
      <c r="DK22" s="156"/>
      <c r="DL22" s="156"/>
      <c r="DM22" s="156"/>
      <c r="DN22" s="156"/>
      <c r="DO22" s="156"/>
      <c r="DP22" s="156"/>
      <c r="DQ22" s="156"/>
      <c r="DR22" s="156"/>
      <c r="DS22" s="156"/>
      <c r="DT22" s="156"/>
      <c r="DU22" s="156"/>
      <c r="DV22" s="156"/>
      <c r="DW22" s="156"/>
      <c r="DX22" s="156"/>
      <c r="DY22" s="156"/>
      <c r="DZ22" s="156"/>
      <c r="EA22" s="156"/>
      <c r="EB22" s="156"/>
      <c r="EC22" s="156"/>
      <c r="ED22" s="156"/>
      <c r="EE22" s="156"/>
      <c r="EF22" s="156"/>
      <c r="EG22" s="156"/>
      <c r="EH22" s="156"/>
      <c r="EI22" s="156"/>
      <c r="EJ22" s="156"/>
      <c r="EK22" s="156"/>
      <c r="EL22" s="156"/>
      <c r="EM22" s="156"/>
      <c r="EN22" s="156"/>
      <c r="EO22" s="156"/>
      <c r="EP22" s="156"/>
      <c r="EQ22" s="156"/>
      <c r="ER22" s="156"/>
      <c r="ES22" s="156"/>
      <c r="ET22" s="156"/>
      <c r="EU22" s="156"/>
      <c r="EV22" s="156"/>
      <c r="EW22" s="156"/>
      <c r="EX22" s="156"/>
      <c r="EY22" s="156"/>
      <c r="EZ22" s="156"/>
      <c r="FA22" s="156"/>
      <c r="FB22" s="156"/>
      <c r="FC22" s="156"/>
      <c r="FD22" s="156"/>
      <c r="FE22" s="156"/>
      <c r="FF22" s="156"/>
      <c r="FG22" s="156"/>
      <c r="FH22" s="156"/>
      <c r="FI22" s="156"/>
      <c r="FJ22" s="156"/>
      <c r="FK22" s="156"/>
      <c r="FL22" s="156"/>
      <c r="FM22" s="156"/>
      <c r="FN22" s="156"/>
      <c r="FO22" s="156"/>
      <c r="FP22" s="156"/>
      <c r="FQ22" s="156"/>
      <c r="FR22" s="156"/>
      <c r="FS22" s="156"/>
      <c r="FT22" s="156"/>
      <c r="FU22" s="156"/>
      <c r="FV22" s="156"/>
      <c r="FW22" s="156"/>
      <c r="FX22" s="156"/>
      <c r="FY22" s="156"/>
      <c r="FZ22" s="156"/>
      <c r="GA22" s="156"/>
      <c r="GB22" s="156"/>
      <c r="GC22" s="156"/>
      <c r="GD22" s="156"/>
      <c r="GE22" s="156"/>
      <c r="GF22" s="156"/>
      <c r="GG22" s="156"/>
      <c r="GH22" s="156"/>
      <c r="GI22" s="156"/>
      <c r="GJ22" s="156"/>
      <c r="GK22" s="156"/>
      <c r="GL22" s="156"/>
      <c r="GM22" s="156"/>
      <c r="GN22" s="156"/>
      <c r="GO22" s="156"/>
      <c r="GP22" s="156"/>
      <c r="GQ22" s="156"/>
      <c r="GR22" s="156"/>
      <c r="GS22" s="156"/>
      <c r="GT22" s="156"/>
      <c r="GU22" s="156"/>
      <c r="GV22" s="156"/>
      <c r="GW22" s="156"/>
      <c r="GX22" s="156"/>
      <c r="GY22" s="156"/>
      <c r="GZ22" s="156"/>
      <c r="HA22" s="156"/>
      <c r="HB22" s="156"/>
      <c r="HC22" s="156"/>
      <c r="HD22" s="156"/>
      <c r="HE22" s="156"/>
      <c r="HF22" s="156"/>
      <c r="HG22" s="156"/>
      <c r="HH22" s="156"/>
      <c r="HI22" s="156"/>
      <c r="HJ22" s="156"/>
      <c r="HK22" s="156"/>
      <c r="HL22" s="156"/>
    </row>
    <row r="23" spans="1:367" ht="14.1" customHeight="1" thickBot="1" x14ac:dyDescent="0.25">
      <c r="A23" s="156"/>
      <c r="B23" s="90"/>
      <c r="C23" s="88"/>
      <c r="D23" s="482"/>
      <c r="E23" s="482"/>
      <c r="F23" s="482"/>
      <c r="G23" s="89"/>
      <c r="H23" s="89"/>
      <c r="I23" s="89"/>
      <c r="J23" s="89"/>
      <c r="K23" s="89"/>
      <c r="L23" s="89"/>
      <c r="M23" s="89"/>
      <c r="N23" s="89"/>
      <c r="O23" s="150"/>
      <c r="P23" s="50"/>
      <c r="Q23" s="566"/>
      <c r="R23" s="567"/>
      <c r="S23" s="568"/>
      <c r="T23" s="600" t="s">
        <v>11</v>
      </c>
      <c r="U23" s="600"/>
      <c r="V23" s="600"/>
      <c r="W23" s="643">
        <v>200</v>
      </c>
      <c r="X23" s="644"/>
      <c r="Y23" s="644"/>
      <c r="Z23" s="644"/>
      <c r="AA23" s="644"/>
      <c r="AB23" s="645"/>
      <c r="AC23" s="628" t="s">
        <v>47</v>
      </c>
      <c r="AD23" s="629"/>
      <c r="AE23" s="630"/>
      <c r="AF23" s="50"/>
      <c r="AG23" s="387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377"/>
      <c r="BL23" s="378"/>
      <c r="BM23" s="378"/>
      <c r="BN23" s="378"/>
      <c r="BO23" s="70"/>
      <c r="BP23" s="70"/>
      <c r="BQ23" s="70"/>
      <c r="BR23" s="70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365"/>
      <c r="CG23" s="151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156"/>
      <c r="CS23" s="156"/>
      <c r="CT23" s="156"/>
      <c r="CU23" s="156"/>
      <c r="CV23" s="156"/>
      <c r="CW23" s="156"/>
      <c r="CX23" s="156"/>
      <c r="CY23" s="156"/>
      <c r="CZ23" s="156"/>
      <c r="DA23" s="156"/>
      <c r="DB23" s="156"/>
      <c r="DC23" s="156"/>
      <c r="DD23" s="156"/>
      <c r="DE23" s="156"/>
      <c r="DF23" s="156"/>
      <c r="DG23" s="156"/>
      <c r="DH23" s="156"/>
      <c r="DI23" s="156"/>
      <c r="DJ23" s="156"/>
      <c r="DK23" s="156"/>
      <c r="DL23" s="156"/>
      <c r="DM23" s="156"/>
      <c r="DN23" s="156"/>
      <c r="DO23" s="156"/>
      <c r="DP23" s="156"/>
      <c r="DQ23" s="156"/>
      <c r="DR23" s="156"/>
      <c r="DS23" s="156"/>
      <c r="DT23" s="156"/>
      <c r="DU23" s="156"/>
      <c r="DV23" s="156"/>
      <c r="DW23" s="156"/>
      <c r="DX23" s="156"/>
      <c r="DY23" s="156"/>
      <c r="DZ23" s="156"/>
      <c r="EA23" s="156"/>
      <c r="EB23" s="156"/>
      <c r="EC23" s="156"/>
      <c r="ED23" s="156"/>
      <c r="EE23" s="156"/>
      <c r="EF23" s="156"/>
      <c r="EG23" s="156"/>
      <c r="EH23" s="156"/>
      <c r="EI23" s="156"/>
      <c r="EJ23" s="156"/>
      <c r="EK23" s="156"/>
      <c r="EL23" s="156"/>
      <c r="EM23" s="156"/>
      <c r="EN23" s="156"/>
      <c r="EO23" s="156"/>
      <c r="EP23" s="156"/>
      <c r="EQ23" s="156"/>
      <c r="ER23" s="156"/>
      <c r="ES23" s="156"/>
      <c r="ET23" s="156"/>
      <c r="EU23" s="156"/>
      <c r="EV23" s="156"/>
      <c r="EW23" s="156"/>
      <c r="EX23" s="156"/>
      <c r="EY23" s="156"/>
      <c r="EZ23" s="156"/>
      <c r="FA23" s="156"/>
      <c r="FB23" s="156"/>
      <c r="FC23" s="156"/>
      <c r="FD23" s="156"/>
      <c r="FE23" s="156"/>
      <c r="FF23" s="156"/>
      <c r="FG23" s="156"/>
      <c r="FH23" s="156"/>
      <c r="FI23" s="156"/>
      <c r="FJ23" s="156"/>
      <c r="FK23" s="156"/>
      <c r="FL23" s="156"/>
      <c r="FM23" s="156"/>
      <c r="FN23" s="156"/>
      <c r="FO23" s="156"/>
      <c r="FP23" s="156"/>
      <c r="FQ23" s="156"/>
      <c r="FR23" s="156"/>
      <c r="FS23" s="156"/>
      <c r="FT23" s="156"/>
      <c r="FU23" s="156"/>
      <c r="FV23" s="156"/>
      <c r="FW23" s="156"/>
      <c r="FX23" s="156"/>
      <c r="FY23" s="156"/>
      <c r="FZ23" s="156"/>
      <c r="GA23" s="156"/>
      <c r="GB23" s="156"/>
      <c r="GC23" s="156"/>
      <c r="GD23" s="156"/>
      <c r="GE23" s="156"/>
      <c r="GF23" s="156"/>
      <c r="GG23" s="156"/>
      <c r="GH23" s="156"/>
      <c r="GI23" s="156"/>
      <c r="GJ23" s="156"/>
      <c r="GK23" s="156"/>
      <c r="GL23" s="156"/>
      <c r="GM23" s="156"/>
      <c r="GN23" s="156"/>
      <c r="GO23" s="156"/>
      <c r="GP23" s="156"/>
      <c r="GQ23" s="156"/>
      <c r="GR23" s="156"/>
      <c r="GS23" s="156"/>
      <c r="GT23" s="156"/>
      <c r="GU23" s="156"/>
      <c r="GV23" s="156"/>
      <c r="GW23" s="156"/>
      <c r="GX23" s="156"/>
      <c r="GY23" s="156"/>
      <c r="GZ23" s="156"/>
      <c r="HA23" s="156"/>
      <c r="HB23" s="156"/>
      <c r="HC23" s="156"/>
      <c r="HD23" s="156"/>
      <c r="HE23" s="156"/>
      <c r="HF23" s="156"/>
      <c r="HG23" s="156"/>
      <c r="HH23" s="156"/>
      <c r="HI23" s="156"/>
      <c r="HJ23" s="156"/>
      <c r="HK23" s="156"/>
      <c r="HL23" s="156"/>
    </row>
    <row r="24" spans="1:367" ht="14.1" customHeight="1" x14ac:dyDescent="0.2">
      <c r="A24" s="156"/>
      <c r="B24" s="90"/>
      <c r="C24" s="90"/>
      <c r="D24" s="50"/>
      <c r="E24" s="50"/>
      <c r="F24" s="53" t="s">
        <v>42</v>
      </c>
      <c r="G24" s="50"/>
      <c r="H24" s="605">
        <v>1.5</v>
      </c>
      <c r="I24" s="606"/>
      <c r="J24" s="607"/>
      <c r="K24" s="50"/>
      <c r="L24" s="447" t="s">
        <v>13</v>
      </c>
      <c r="M24" s="50"/>
      <c r="N24" s="50"/>
      <c r="O24" s="151"/>
      <c r="P24" s="50"/>
      <c r="Q24" s="608"/>
      <c r="R24" s="609"/>
      <c r="S24" s="610"/>
      <c r="T24" s="600" t="s">
        <v>146</v>
      </c>
      <c r="U24" s="600"/>
      <c r="V24" s="600"/>
      <c r="W24" s="631">
        <f>(IF71*(IF70+W22))+(IF72*(W23))</f>
        <v>1012</v>
      </c>
      <c r="X24" s="632"/>
      <c r="Y24" s="632"/>
      <c r="Z24" s="632"/>
      <c r="AA24" s="632"/>
      <c r="AB24" s="633"/>
      <c r="AC24" s="634" t="s">
        <v>47</v>
      </c>
      <c r="AD24" s="635"/>
      <c r="AE24" s="636"/>
      <c r="AF24" s="50"/>
      <c r="AG24" s="387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365"/>
      <c r="CG24" s="151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156"/>
      <c r="CS24" s="156"/>
      <c r="CT24" s="156"/>
      <c r="CU24" s="156"/>
      <c r="CV24" s="156"/>
      <c r="CW24" s="156"/>
      <c r="CX24" s="156"/>
      <c r="CY24" s="156"/>
      <c r="CZ24" s="156"/>
      <c r="DA24" s="156"/>
      <c r="DB24" s="156"/>
      <c r="DC24" s="156"/>
      <c r="DD24" s="156"/>
      <c r="DE24" s="156"/>
      <c r="DF24" s="156"/>
      <c r="DG24" s="156"/>
      <c r="DH24" s="156"/>
      <c r="DI24" s="156"/>
      <c r="DJ24" s="156"/>
      <c r="DK24" s="156"/>
      <c r="DL24" s="156"/>
      <c r="DM24" s="156"/>
      <c r="DN24" s="156"/>
      <c r="DO24" s="156"/>
      <c r="DP24" s="156"/>
      <c r="DQ24" s="156"/>
      <c r="DR24" s="156"/>
      <c r="DS24" s="156"/>
      <c r="DT24" s="156"/>
      <c r="DU24" s="156"/>
      <c r="DV24" s="156"/>
      <c r="DW24" s="156"/>
      <c r="DX24" s="156"/>
      <c r="DY24" s="156"/>
      <c r="DZ24" s="156"/>
      <c r="EA24" s="156"/>
      <c r="EB24" s="156"/>
      <c r="EC24" s="156"/>
      <c r="ED24" s="156"/>
      <c r="EE24" s="156"/>
      <c r="EF24" s="156"/>
      <c r="EG24" s="156"/>
      <c r="EH24" s="156"/>
      <c r="EI24" s="156"/>
      <c r="EJ24" s="156"/>
      <c r="EK24" s="156"/>
      <c r="EL24" s="156"/>
      <c r="EM24" s="156"/>
      <c r="EN24" s="156"/>
      <c r="EO24" s="156"/>
      <c r="EP24" s="156"/>
      <c r="EQ24" s="156"/>
      <c r="ER24" s="156"/>
      <c r="ES24" s="156"/>
      <c r="ET24" s="156"/>
      <c r="EU24" s="156"/>
      <c r="EV24" s="156"/>
      <c r="EW24" s="156"/>
      <c r="EX24" s="156"/>
      <c r="EY24" s="156"/>
      <c r="EZ24" s="156"/>
      <c r="FA24" s="156"/>
      <c r="FB24" s="156"/>
      <c r="FC24" s="156"/>
      <c r="FD24" s="156"/>
      <c r="FE24" s="156"/>
      <c r="FF24" s="156"/>
      <c r="FG24" s="156"/>
      <c r="FH24" s="156"/>
      <c r="FI24" s="156"/>
      <c r="FJ24" s="156"/>
      <c r="FK24" s="156"/>
      <c r="FL24" s="156"/>
      <c r="FM24" s="156"/>
      <c r="FN24" s="156"/>
      <c r="FO24" s="156"/>
      <c r="FP24" s="156"/>
      <c r="FQ24" s="156"/>
      <c r="FR24" s="156"/>
      <c r="FS24" s="156"/>
      <c r="FT24" s="156"/>
      <c r="FU24" s="156"/>
      <c r="FV24" s="156"/>
      <c r="FW24" s="156"/>
      <c r="FX24" s="156"/>
      <c r="FY24" s="156"/>
      <c r="FZ24" s="156"/>
      <c r="GA24" s="156"/>
      <c r="GB24" s="156"/>
      <c r="GC24" s="156"/>
      <c r="GD24" s="156"/>
      <c r="GE24" s="156"/>
      <c r="GF24" s="156"/>
      <c r="GG24" s="156"/>
      <c r="GH24" s="156"/>
      <c r="GI24" s="156"/>
      <c r="GJ24" s="156"/>
      <c r="GK24" s="156"/>
      <c r="GL24" s="156"/>
      <c r="GM24" s="156"/>
      <c r="GN24" s="156"/>
      <c r="GO24" s="156"/>
      <c r="GP24" s="156"/>
      <c r="GQ24" s="156"/>
      <c r="GR24" s="156"/>
      <c r="GS24" s="156"/>
      <c r="GT24" s="156"/>
      <c r="GU24" s="156"/>
      <c r="GV24" s="156"/>
      <c r="GW24" s="156"/>
      <c r="GX24" s="156"/>
      <c r="GY24" s="156"/>
      <c r="GZ24" s="156"/>
      <c r="HA24" s="156"/>
      <c r="HB24" s="156"/>
      <c r="HC24" s="156"/>
      <c r="HD24" s="156"/>
      <c r="HE24" s="156"/>
      <c r="HF24" s="156"/>
      <c r="HG24" s="156"/>
      <c r="HH24" s="156"/>
      <c r="HI24" s="156"/>
      <c r="HJ24" s="156"/>
      <c r="HK24" s="156"/>
      <c r="HL24" s="156"/>
    </row>
    <row r="25" spans="1:367" ht="14.1" customHeight="1" thickBot="1" x14ac:dyDescent="0.25">
      <c r="A25" s="156"/>
      <c r="B25" s="90"/>
      <c r="C25" s="90"/>
      <c r="D25" s="50"/>
      <c r="E25" s="50"/>
      <c r="F25" s="50"/>
      <c r="G25" s="50"/>
      <c r="H25" s="364"/>
      <c r="I25" s="364"/>
      <c r="J25" s="364"/>
      <c r="K25" s="50"/>
      <c r="L25" s="447"/>
      <c r="M25" s="50"/>
      <c r="N25" s="50"/>
      <c r="O25" s="151"/>
      <c r="P25" s="50"/>
      <c r="Q25" s="563" t="s">
        <v>228</v>
      </c>
      <c r="R25" s="564"/>
      <c r="S25" s="565"/>
      <c r="T25" s="600" t="s">
        <v>226</v>
      </c>
      <c r="U25" s="600"/>
      <c r="V25" s="600"/>
      <c r="W25" s="600" t="s">
        <v>140</v>
      </c>
      <c r="X25" s="600"/>
      <c r="Y25" s="600"/>
      <c r="Z25" s="600"/>
      <c r="AA25" s="600"/>
      <c r="AB25" s="600"/>
      <c r="AC25" s="600"/>
      <c r="AD25" s="600"/>
      <c r="AE25" s="663"/>
      <c r="AF25" s="50"/>
      <c r="AG25" s="387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379"/>
      <c r="BT25" s="379"/>
      <c r="BU25" s="379"/>
      <c r="BV25" s="379"/>
      <c r="BW25" s="379"/>
      <c r="BX25" s="379"/>
      <c r="BY25" s="379"/>
      <c r="BZ25" s="379"/>
      <c r="CA25" s="379"/>
      <c r="CB25" s="379"/>
      <c r="CC25" s="379"/>
      <c r="CD25" s="379"/>
      <c r="CE25" s="69"/>
      <c r="CF25" s="365"/>
      <c r="CG25" s="151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156"/>
      <c r="CS25" s="156"/>
      <c r="CT25" s="156"/>
      <c r="CU25" s="156"/>
      <c r="CV25" s="156"/>
      <c r="CW25" s="156"/>
      <c r="CX25" s="156"/>
      <c r="CY25" s="156"/>
      <c r="CZ25" s="156"/>
      <c r="DA25" s="156"/>
      <c r="DB25" s="156"/>
      <c r="DC25" s="156"/>
      <c r="DD25" s="156"/>
      <c r="DE25" s="156"/>
      <c r="DF25" s="156"/>
      <c r="DG25" s="156"/>
      <c r="DH25" s="156"/>
      <c r="DI25" s="156"/>
      <c r="DJ25" s="156"/>
      <c r="DK25" s="156"/>
      <c r="DL25" s="156"/>
      <c r="DM25" s="156"/>
      <c r="DN25" s="156"/>
      <c r="DO25" s="156"/>
      <c r="DP25" s="156"/>
      <c r="DQ25" s="156"/>
      <c r="DR25" s="156"/>
      <c r="DS25" s="156"/>
      <c r="DT25" s="156"/>
      <c r="DU25" s="156"/>
      <c r="DV25" s="156"/>
      <c r="DW25" s="156"/>
      <c r="DX25" s="156"/>
      <c r="DY25" s="156"/>
      <c r="DZ25" s="156"/>
      <c r="EA25" s="156"/>
      <c r="EB25" s="156"/>
      <c r="EC25" s="156"/>
      <c r="ED25" s="156"/>
      <c r="EE25" s="156"/>
      <c r="EF25" s="156"/>
      <c r="EG25" s="156"/>
      <c r="EH25" s="156"/>
      <c r="EI25" s="156"/>
      <c r="EJ25" s="156"/>
      <c r="EK25" s="156"/>
      <c r="EL25" s="156"/>
      <c r="EM25" s="156"/>
      <c r="EN25" s="156"/>
      <c r="EO25" s="156"/>
      <c r="EP25" s="156"/>
      <c r="EQ25" s="156"/>
      <c r="ER25" s="156"/>
      <c r="ES25" s="156"/>
      <c r="ET25" s="156"/>
      <c r="EU25" s="156"/>
      <c r="EV25" s="156"/>
      <c r="EW25" s="156"/>
      <c r="EX25" s="156"/>
      <c r="EY25" s="156"/>
      <c r="EZ25" s="156"/>
      <c r="FA25" s="156"/>
      <c r="FB25" s="156"/>
      <c r="FC25" s="156"/>
      <c r="FD25" s="156"/>
      <c r="FE25" s="156"/>
      <c r="FF25" s="156"/>
      <c r="FG25" s="156"/>
      <c r="FH25" s="156"/>
      <c r="FI25" s="156"/>
      <c r="FJ25" s="156"/>
      <c r="FK25" s="156"/>
      <c r="FL25" s="156"/>
      <c r="FM25" s="156"/>
      <c r="FN25" s="156"/>
      <c r="FO25" s="156"/>
      <c r="FP25" s="156"/>
      <c r="FQ25" s="156"/>
      <c r="FR25" s="156"/>
      <c r="FS25" s="156"/>
      <c r="FT25" s="156"/>
      <c r="FU25" s="156"/>
      <c r="FV25" s="156"/>
      <c r="FW25" s="156"/>
      <c r="FX25" s="156"/>
      <c r="FY25" s="156"/>
      <c r="FZ25" s="156"/>
      <c r="GA25" s="156"/>
      <c r="GB25" s="156"/>
      <c r="GC25" s="156"/>
      <c r="GD25" s="156"/>
      <c r="GE25" s="156"/>
      <c r="GF25" s="156"/>
      <c r="GG25" s="156"/>
      <c r="GH25" s="156"/>
      <c r="GI25" s="156"/>
      <c r="GJ25" s="156"/>
      <c r="GK25" s="156"/>
      <c r="GL25" s="156"/>
      <c r="GM25" s="156"/>
      <c r="GN25" s="156"/>
      <c r="GO25" s="156"/>
      <c r="GP25" s="156"/>
      <c r="GQ25" s="156"/>
      <c r="GR25" s="156"/>
      <c r="GS25" s="156"/>
      <c r="GT25" s="156"/>
      <c r="GU25" s="156"/>
      <c r="GV25" s="156"/>
      <c r="GW25" s="156"/>
      <c r="GX25" s="156"/>
      <c r="GY25" s="156"/>
      <c r="GZ25" s="156"/>
      <c r="HA25" s="156"/>
      <c r="HB25" s="156"/>
      <c r="HC25" s="156"/>
      <c r="HD25" s="156"/>
      <c r="HE25" s="156"/>
      <c r="HF25" s="156"/>
      <c r="HG25" s="156"/>
      <c r="HH25" s="156"/>
      <c r="HI25" s="156"/>
      <c r="HJ25" s="156"/>
      <c r="HK25" s="156"/>
      <c r="HL25" s="156"/>
    </row>
    <row r="26" spans="1:367" ht="14.1" customHeight="1" x14ac:dyDescent="0.2">
      <c r="A26" s="156"/>
      <c r="B26" s="90"/>
      <c r="C26" s="90"/>
      <c r="D26" s="50"/>
      <c r="E26" s="50"/>
      <c r="F26" s="53" t="s">
        <v>43</v>
      </c>
      <c r="G26" s="50"/>
      <c r="H26" s="605">
        <v>4</v>
      </c>
      <c r="I26" s="606"/>
      <c r="J26" s="607"/>
      <c r="K26" s="50"/>
      <c r="L26" s="447" t="s">
        <v>13</v>
      </c>
      <c r="M26" s="50"/>
      <c r="N26" s="50"/>
      <c r="O26" s="151"/>
      <c r="P26" s="50"/>
      <c r="Q26" s="566"/>
      <c r="R26" s="567"/>
      <c r="S26" s="568"/>
      <c r="T26" s="600" t="s">
        <v>261</v>
      </c>
      <c r="U26" s="600"/>
      <c r="V26" s="600"/>
      <c r="W26" s="672" t="s">
        <v>242</v>
      </c>
      <c r="X26" s="604"/>
      <c r="Y26" s="604"/>
      <c r="Z26" s="604" t="s">
        <v>243</v>
      </c>
      <c r="AA26" s="604"/>
      <c r="AB26" s="604"/>
      <c r="AC26" s="604" t="s">
        <v>244</v>
      </c>
      <c r="AD26" s="604"/>
      <c r="AE26" s="673"/>
      <c r="AF26" s="50"/>
      <c r="AG26" s="387"/>
      <c r="AH26" s="97"/>
      <c r="AI26" s="22"/>
      <c r="AJ26" s="22"/>
      <c r="AK26" s="22"/>
      <c r="AL26" s="22"/>
      <c r="AM26" s="22"/>
      <c r="AN26" s="20"/>
      <c r="AO26" s="97"/>
      <c r="AP26" s="97"/>
      <c r="AQ26" s="97"/>
      <c r="AR26" s="97"/>
      <c r="AS26" s="97"/>
      <c r="AT26" s="97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101"/>
      <c r="BU26" s="101"/>
      <c r="BV26" s="101"/>
      <c r="BW26" s="69"/>
      <c r="BX26" s="101"/>
      <c r="BY26" s="101"/>
      <c r="BZ26" s="101"/>
      <c r="CA26" s="69"/>
      <c r="CB26" s="101"/>
      <c r="CC26" s="101"/>
      <c r="CD26" s="101"/>
      <c r="CE26" s="69"/>
      <c r="CF26" s="391"/>
      <c r="CG26" s="383"/>
      <c r="CH26" s="226"/>
      <c r="CI26" s="226"/>
      <c r="CJ26" s="226"/>
      <c r="CK26" s="226"/>
      <c r="CL26" s="226"/>
      <c r="CM26" s="226"/>
      <c r="CN26" s="50"/>
      <c r="CO26" s="50"/>
      <c r="CP26" s="50"/>
      <c r="CQ26" s="50"/>
      <c r="CR26" s="156"/>
      <c r="CS26" s="156"/>
      <c r="CT26" s="156"/>
      <c r="CU26" s="156"/>
      <c r="CV26" s="156"/>
      <c r="CW26" s="156"/>
      <c r="CX26" s="156"/>
      <c r="CY26" s="156"/>
      <c r="CZ26" s="156"/>
      <c r="DA26" s="156"/>
      <c r="DB26" s="156"/>
      <c r="DC26" s="156"/>
      <c r="DD26" s="156"/>
      <c r="DE26" s="156"/>
      <c r="DF26" s="156"/>
      <c r="DG26" s="156"/>
      <c r="DH26" s="156"/>
      <c r="DI26" s="156"/>
      <c r="DJ26" s="156"/>
      <c r="DK26" s="156"/>
      <c r="DL26" s="156"/>
      <c r="DM26" s="156"/>
      <c r="DN26" s="156"/>
      <c r="DO26" s="156"/>
      <c r="DP26" s="156"/>
      <c r="DQ26" s="156"/>
      <c r="DR26" s="156"/>
      <c r="DS26" s="156"/>
      <c r="DT26" s="156"/>
      <c r="DU26" s="156"/>
      <c r="DV26" s="156"/>
      <c r="DW26" s="156"/>
      <c r="DX26" s="156"/>
      <c r="DY26" s="156"/>
      <c r="DZ26" s="156"/>
      <c r="EA26" s="156"/>
      <c r="EB26" s="156"/>
      <c r="EC26" s="156"/>
      <c r="ED26" s="156"/>
      <c r="EE26" s="156"/>
      <c r="EF26" s="156"/>
      <c r="EG26" s="156"/>
      <c r="EH26" s="156"/>
      <c r="EI26" s="156"/>
      <c r="EJ26" s="156"/>
      <c r="EK26" s="156"/>
      <c r="EL26" s="156"/>
      <c r="EM26" s="156"/>
      <c r="EN26" s="156"/>
      <c r="EO26" s="156"/>
      <c r="EP26" s="156"/>
      <c r="EQ26" s="156"/>
      <c r="ER26" s="156"/>
      <c r="ES26" s="156"/>
      <c r="ET26" s="156"/>
      <c r="EU26" s="156"/>
      <c r="EV26" s="156"/>
      <c r="EW26" s="156"/>
      <c r="EX26" s="156"/>
      <c r="EY26" s="156"/>
      <c r="EZ26" s="156"/>
      <c r="FA26" s="156"/>
      <c r="FB26" s="156"/>
      <c r="FC26" s="156"/>
      <c r="FD26" s="156"/>
      <c r="FE26" s="156"/>
      <c r="FF26" s="156"/>
      <c r="FG26" s="156"/>
      <c r="FH26" s="156"/>
      <c r="FI26" s="156"/>
      <c r="FJ26" s="156"/>
      <c r="FK26" s="156"/>
      <c r="FL26" s="156"/>
      <c r="FM26" s="156"/>
      <c r="FN26" s="156"/>
      <c r="FO26" s="156"/>
      <c r="FP26" s="156"/>
      <c r="FQ26" s="156"/>
      <c r="FR26" s="156"/>
      <c r="FS26" s="156"/>
      <c r="FT26" s="156"/>
      <c r="FU26" s="156"/>
      <c r="FV26" s="156"/>
      <c r="FW26" s="156"/>
      <c r="FX26" s="156"/>
      <c r="FY26" s="156"/>
      <c r="FZ26" s="156"/>
      <c r="GA26" s="156"/>
      <c r="GB26" s="156"/>
      <c r="GC26" s="156"/>
      <c r="GD26" s="156"/>
      <c r="GE26" s="156"/>
      <c r="GF26" s="156"/>
      <c r="GG26" s="156"/>
      <c r="GH26" s="156"/>
      <c r="GI26" s="156"/>
      <c r="GJ26" s="156"/>
      <c r="GK26" s="156"/>
      <c r="GL26" s="156"/>
      <c r="GM26" s="156"/>
      <c r="GN26" s="156"/>
      <c r="GO26" s="156"/>
      <c r="GP26" s="156"/>
      <c r="GQ26" s="156"/>
      <c r="GR26" s="156"/>
      <c r="GS26" s="156"/>
      <c r="GT26" s="156"/>
      <c r="GU26" s="156"/>
      <c r="GV26" s="156"/>
      <c r="GW26" s="156"/>
      <c r="GX26" s="156"/>
      <c r="GY26" s="156"/>
      <c r="GZ26" s="156"/>
      <c r="HA26" s="156"/>
      <c r="HB26" s="156"/>
      <c r="HC26" s="156"/>
      <c r="HD26" s="156"/>
      <c r="HE26" s="156"/>
      <c r="HF26" s="156"/>
      <c r="HG26" s="156"/>
      <c r="HH26" s="156"/>
      <c r="HI26" s="156"/>
      <c r="HJ26" s="156"/>
      <c r="HK26" s="156"/>
      <c r="HL26" s="156"/>
    </row>
    <row r="27" spans="1:367" ht="14.1" customHeight="1" thickBot="1" x14ac:dyDescent="0.25">
      <c r="A27" s="156"/>
      <c r="B27" s="90"/>
      <c r="C27" s="9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151"/>
      <c r="P27" s="50"/>
      <c r="Q27" s="566"/>
      <c r="R27" s="567"/>
      <c r="S27" s="568"/>
      <c r="T27" s="600" t="s">
        <v>225</v>
      </c>
      <c r="U27" s="600"/>
      <c r="V27" s="600"/>
      <c r="W27" s="397" t="str">
        <f>IF(H38=3,"Disc.-","Con.-")</f>
        <v>Con.-</v>
      </c>
      <c r="X27" s="398"/>
      <c r="Y27" s="399"/>
      <c r="Z27" s="400" t="s">
        <v>83</v>
      </c>
      <c r="AA27" s="398"/>
      <c r="AB27" s="399"/>
      <c r="AC27" s="400" t="str">
        <f>IF(H38=1,"Con.-","Disc.-")</f>
        <v>Con.-</v>
      </c>
      <c r="AD27" s="398"/>
      <c r="AE27" s="401"/>
      <c r="AF27" s="50"/>
      <c r="AG27" s="387"/>
      <c r="AH27" s="97"/>
      <c r="AI27" s="22"/>
      <c r="AJ27" s="22"/>
      <c r="AK27" s="22"/>
      <c r="AL27" s="22"/>
      <c r="AM27" s="22"/>
      <c r="AN27" s="20"/>
      <c r="AO27" s="97"/>
      <c r="AP27" s="97"/>
      <c r="AQ27" s="97"/>
      <c r="AR27" s="97"/>
      <c r="AS27" s="97"/>
      <c r="AT27" s="97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  <c r="CD27" s="101"/>
      <c r="CE27" s="101"/>
      <c r="CF27" s="391"/>
      <c r="CG27" s="383"/>
      <c r="CH27" s="226"/>
      <c r="CI27" s="226"/>
      <c r="CJ27" s="226"/>
      <c r="CK27" s="226"/>
      <c r="CL27" s="226"/>
      <c r="CM27" s="50"/>
      <c r="CN27" s="50"/>
      <c r="CO27" s="50"/>
      <c r="CP27" s="50"/>
      <c r="CQ27" s="50"/>
      <c r="CR27" s="156"/>
      <c r="CS27" s="156"/>
      <c r="CT27" s="156"/>
      <c r="CU27" s="156"/>
      <c r="CV27" s="156"/>
      <c r="CW27" s="156"/>
      <c r="CX27" s="156"/>
      <c r="CY27" s="156"/>
      <c r="CZ27" s="156"/>
      <c r="DA27" s="156"/>
      <c r="DB27" s="156"/>
      <c r="DC27" s="156"/>
      <c r="DD27" s="156"/>
      <c r="DE27" s="156"/>
      <c r="DF27" s="156"/>
      <c r="DG27" s="156"/>
      <c r="DH27" s="156"/>
      <c r="DI27" s="156"/>
      <c r="DJ27" s="156"/>
      <c r="DK27" s="156"/>
      <c r="DL27" s="156"/>
      <c r="DM27" s="156"/>
      <c r="DN27" s="156"/>
      <c r="DO27" s="156"/>
      <c r="DP27" s="156"/>
      <c r="DQ27" s="156"/>
      <c r="DR27" s="156"/>
      <c r="DS27" s="156"/>
      <c r="DT27" s="156"/>
      <c r="DU27" s="156"/>
      <c r="DV27" s="156"/>
      <c r="DW27" s="156"/>
      <c r="DX27" s="156"/>
      <c r="DY27" s="156"/>
      <c r="DZ27" s="156"/>
      <c r="EA27" s="156"/>
      <c r="EB27" s="156"/>
      <c r="EC27" s="156"/>
      <c r="ED27" s="156"/>
      <c r="EE27" s="156"/>
      <c r="EF27" s="156"/>
      <c r="EG27" s="156"/>
      <c r="EH27" s="156"/>
      <c r="EI27" s="156"/>
      <c r="EJ27" s="156"/>
      <c r="EK27" s="156"/>
      <c r="EL27" s="156"/>
      <c r="EM27" s="156"/>
      <c r="EN27" s="156"/>
      <c r="EO27" s="156"/>
      <c r="EP27" s="156"/>
      <c r="EQ27" s="156"/>
      <c r="ER27" s="156"/>
      <c r="ES27" s="156"/>
      <c r="ET27" s="156"/>
      <c r="EU27" s="156"/>
      <c r="EV27" s="156"/>
      <c r="EW27" s="156"/>
      <c r="EX27" s="156"/>
      <c r="EY27" s="156"/>
      <c r="EZ27" s="156"/>
      <c r="FA27" s="156"/>
      <c r="FB27" s="156"/>
      <c r="FC27" s="156"/>
      <c r="FD27" s="156"/>
      <c r="FE27" s="156"/>
      <c r="FF27" s="156"/>
      <c r="FG27" s="156"/>
      <c r="FH27" s="156"/>
      <c r="FI27" s="156"/>
      <c r="FJ27" s="156"/>
      <c r="FK27" s="156"/>
      <c r="FL27" s="156"/>
      <c r="FM27" s="156"/>
      <c r="FN27" s="156"/>
      <c r="FO27" s="156"/>
      <c r="FP27" s="156"/>
      <c r="FQ27" s="156"/>
      <c r="FR27" s="156"/>
      <c r="FS27" s="156"/>
      <c r="FT27" s="156"/>
      <c r="FU27" s="156"/>
      <c r="FV27" s="156"/>
      <c r="FW27" s="156"/>
      <c r="FX27" s="156"/>
      <c r="FY27" s="156"/>
      <c r="FZ27" s="242"/>
      <c r="GA27" s="242"/>
      <c r="GB27" s="242"/>
      <c r="GC27" s="242"/>
      <c r="GD27" s="242"/>
      <c r="GE27" s="242"/>
      <c r="GF27" s="242"/>
      <c r="GG27" s="242"/>
      <c r="GH27" s="242"/>
      <c r="GI27" s="242"/>
      <c r="GJ27" s="242"/>
      <c r="GK27" s="242"/>
      <c r="GL27" s="242"/>
      <c r="GM27" s="242"/>
      <c r="GN27" s="242"/>
      <c r="GO27" s="242"/>
      <c r="GP27" s="242"/>
      <c r="GQ27" s="242"/>
      <c r="GR27" s="242"/>
      <c r="GS27" s="242"/>
      <c r="GT27" s="242"/>
      <c r="GU27" s="242"/>
      <c r="GV27" s="242"/>
      <c r="GW27" s="242"/>
      <c r="GX27" s="242"/>
      <c r="GY27" s="242"/>
      <c r="GZ27" s="242"/>
      <c r="HA27" s="242"/>
      <c r="HB27" s="242"/>
      <c r="HC27" s="242"/>
      <c r="HD27" s="242"/>
      <c r="HE27" s="156"/>
      <c r="HF27" s="156"/>
      <c r="HG27" s="156"/>
      <c r="HH27" s="156"/>
      <c r="HI27" s="242"/>
      <c r="HJ27" s="242"/>
      <c r="HK27" s="242"/>
      <c r="HL27" s="242"/>
      <c r="HM27" s="442"/>
      <c r="HN27" s="442"/>
      <c r="HO27" s="442"/>
      <c r="HP27" s="442"/>
      <c r="HQ27" s="442"/>
      <c r="HR27" s="442"/>
      <c r="HS27" s="442"/>
      <c r="HT27" s="442"/>
      <c r="HU27" s="442"/>
      <c r="HV27" s="442"/>
      <c r="HW27" s="442"/>
      <c r="HX27" s="442"/>
      <c r="HY27" s="442"/>
      <c r="HZ27" s="442"/>
      <c r="IA27" s="442"/>
      <c r="IB27" s="442"/>
      <c r="IC27" s="442"/>
      <c r="ID27" s="442"/>
      <c r="IE27" s="442"/>
      <c r="IF27" s="442"/>
      <c r="IG27" s="442"/>
      <c r="IH27" s="442"/>
      <c r="II27" s="442"/>
      <c r="IJ27" s="442"/>
      <c r="IK27" s="442"/>
      <c r="IL27" s="442"/>
      <c r="IM27" s="442"/>
      <c r="IN27" s="442"/>
      <c r="IO27" s="442"/>
      <c r="IP27" s="442"/>
      <c r="IQ27" s="442"/>
      <c r="IR27" s="442"/>
      <c r="IS27" s="442"/>
      <c r="IT27" s="442"/>
      <c r="IU27" s="442"/>
      <c r="IV27" s="442"/>
      <c r="IW27" s="442"/>
      <c r="IX27" s="442"/>
      <c r="IY27" s="442"/>
      <c r="IZ27" s="442"/>
      <c r="JA27" s="442"/>
      <c r="JB27" s="442"/>
      <c r="JC27" s="442"/>
      <c r="JD27" s="442"/>
      <c r="JE27" s="442"/>
      <c r="JF27" s="442"/>
      <c r="JG27" s="442"/>
      <c r="JH27" s="442"/>
      <c r="JI27" s="442"/>
      <c r="JJ27" s="442"/>
      <c r="JK27" s="442"/>
      <c r="JL27" s="442"/>
      <c r="JM27" s="442"/>
      <c r="JN27" s="442"/>
      <c r="JO27" s="442"/>
      <c r="JP27" s="442"/>
      <c r="JQ27" s="442"/>
      <c r="JR27" s="442"/>
      <c r="JS27" s="442"/>
      <c r="JT27" s="442"/>
      <c r="JU27" s="442"/>
      <c r="JV27" s="442"/>
      <c r="JW27" s="442"/>
      <c r="JX27" s="442"/>
      <c r="JY27" s="442"/>
      <c r="JZ27" s="442"/>
      <c r="KA27" s="442"/>
      <c r="KB27" s="442"/>
      <c r="KC27" s="442"/>
      <c r="KD27" s="442"/>
      <c r="KE27" s="442"/>
      <c r="KF27" s="442"/>
      <c r="KG27" s="442"/>
      <c r="KH27" s="442"/>
      <c r="KI27" s="442"/>
      <c r="KJ27" s="442"/>
      <c r="KK27" s="442"/>
      <c r="KL27" s="442"/>
      <c r="KM27" s="442"/>
      <c r="KN27" s="442"/>
      <c r="KO27" s="442"/>
      <c r="KP27" s="442"/>
      <c r="KQ27" s="442"/>
      <c r="KR27" s="442"/>
      <c r="KS27" s="442"/>
      <c r="KT27" s="442"/>
      <c r="KU27" s="442"/>
      <c r="KV27" s="442"/>
      <c r="KW27" s="442"/>
      <c r="KX27" s="442"/>
      <c r="KY27" s="442"/>
      <c r="KZ27" s="442"/>
      <c r="LA27" s="442"/>
      <c r="LB27" s="442"/>
      <c r="LC27" s="442"/>
      <c r="LD27" s="442"/>
      <c r="LE27" s="442"/>
      <c r="LF27" s="442"/>
      <c r="LG27" s="442"/>
      <c r="LH27" s="442"/>
      <c r="LI27" s="442"/>
      <c r="LJ27" s="442"/>
      <c r="LK27" s="442"/>
      <c r="LL27" s="442"/>
      <c r="LM27" s="442"/>
      <c r="LN27" s="442"/>
      <c r="LO27" s="442"/>
      <c r="LP27" s="442"/>
      <c r="LQ27" s="442"/>
      <c r="LR27" s="442"/>
      <c r="LS27" s="442"/>
      <c r="LT27" s="442"/>
      <c r="LU27" s="442"/>
      <c r="LV27" s="442"/>
      <c r="LW27" s="442"/>
      <c r="LX27" s="442"/>
      <c r="LY27" s="442"/>
      <c r="LZ27" s="442"/>
      <c r="MA27" s="442"/>
      <c r="MB27" s="442"/>
      <c r="MC27" s="442"/>
      <c r="MD27" s="442"/>
      <c r="ME27" s="442"/>
      <c r="MF27" s="442"/>
      <c r="MG27" s="442"/>
      <c r="MH27" s="442"/>
      <c r="MI27" s="442"/>
      <c r="MJ27" s="442"/>
      <c r="MK27" s="442"/>
      <c r="ML27" s="442"/>
      <c r="MM27" s="442"/>
      <c r="MN27" s="442"/>
      <c r="MO27" s="442"/>
      <c r="MP27" s="442"/>
      <c r="MQ27" s="442"/>
      <c r="MR27" s="442"/>
      <c r="MS27" s="442"/>
      <c r="MT27" s="442"/>
      <c r="MU27" s="442"/>
      <c r="MV27" s="442"/>
      <c r="MW27" s="442"/>
      <c r="MX27" s="442"/>
      <c r="MY27" s="442"/>
      <c r="MZ27" s="442"/>
      <c r="NA27" s="442"/>
      <c r="NB27" s="442"/>
      <c r="NC27" s="442"/>
    </row>
    <row r="28" spans="1:367" ht="14.1" customHeight="1" x14ac:dyDescent="0.2">
      <c r="A28" s="156"/>
      <c r="B28" s="90"/>
      <c r="C28" s="90"/>
      <c r="D28" s="50"/>
      <c r="E28" s="50"/>
      <c r="F28" s="53" t="s">
        <v>50</v>
      </c>
      <c r="G28" s="50"/>
      <c r="H28" s="472">
        <v>10</v>
      </c>
      <c r="I28" s="473"/>
      <c r="J28" s="474"/>
      <c r="K28" s="50"/>
      <c r="L28" s="50" t="s">
        <v>18</v>
      </c>
      <c r="M28" s="50"/>
      <c r="N28" s="50"/>
      <c r="O28" s="151"/>
      <c r="P28" s="50"/>
      <c r="Q28" s="566"/>
      <c r="R28" s="567"/>
      <c r="S28" s="568"/>
      <c r="T28" s="600" t="s">
        <v>260</v>
      </c>
      <c r="U28" s="600"/>
      <c r="V28" s="600"/>
      <c r="W28" s="679">
        <f>IT79</f>
        <v>9.0909090909090912E-2</v>
      </c>
      <c r="X28" s="680"/>
      <c r="Y28" s="681"/>
      <c r="Z28" s="682">
        <f>IT80</f>
        <v>6.25E-2</v>
      </c>
      <c r="AA28" s="680"/>
      <c r="AB28" s="681"/>
      <c r="AC28" s="682">
        <f>IT81</f>
        <v>9.0909090909090912E-2</v>
      </c>
      <c r="AD28" s="680"/>
      <c r="AE28" s="683"/>
      <c r="AF28" s="50"/>
      <c r="AG28" s="387"/>
      <c r="AH28" s="97"/>
      <c r="AI28" s="97"/>
      <c r="AJ28" s="99"/>
      <c r="AK28" s="69"/>
      <c r="AL28" s="69"/>
      <c r="AM28" s="69"/>
      <c r="AN28" s="471"/>
      <c r="AO28" s="471"/>
      <c r="AP28" s="163"/>
      <c r="AQ28" s="315"/>
      <c r="AR28" s="97"/>
      <c r="AS28" s="97"/>
      <c r="AT28" s="94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8"/>
      <c r="BH28" s="8"/>
      <c r="BI28" s="8"/>
      <c r="BJ28" s="8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365"/>
      <c r="CG28" s="151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156"/>
      <c r="CS28" s="156"/>
      <c r="CT28" s="156"/>
      <c r="CU28" s="156"/>
      <c r="CV28" s="156"/>
      <c r="CW28" s="156"/>
      <c r="CX28" s="156"/>
      <c r="CY28" s="156"/>
      <c r="CZ28" s="156"/>
      <c r="DA28" s="156"/>
      <c r="DB28" s="156"/>
      <c r="DC28" s="156"/>
      <c r="DD28" s="156"/>
      <c r="DE28" s="156"/>
      <c r="DF28" s="156"/>
      <c r="DG28" s="156"/>
      <c r="DH28" s="156"/>
      <c r="DI28" s="156"/>
      <c r="DJ28" s="156"/>
      <c r="DK28" s="156"/>
      <c r="DL28" s="156"/>
      <c r="DM28" s="156"/>
      <c r="DN28" s="156"/>
      <c r="DO28" s="156"/>
      <c r="DP28" s="156"/>
      <c r="DQ28" s="156"/>
      <c r="DR28" s="156"/>
      <c r="DS28" s="156"/>
      <c r="DT28" s="156"/>
      <c r="DU28" s="156"/>
      <c r="DV28" s="156"/>
      <c r="DW28" s="156"/>
      <c r="DX28" s="156"/>
      <c r="DY28" s="156"/>
      <c r="DZ28" s="156"/>
      <c r="EA28" s="156"/>
      <c r="EB28" s="156"/>
      <c r="EC28" s="156"/>
      <c r="ED28" s="156"/>
      <c r="EE28" s="156"/>
      <c r="EF28" s="156"/>
      <c r="EG28" s="156"/>
      <c r="EH28" s="156"/>
      <c r="EI28" s="156"/>
      <c r="EJ28" s="156"/>
      <c r="EK28" s="156"/>
      <c r="EL28" s="156"/>
      <c r="EM28" s="156"/>
      <c r="EN28" s="156"/>
      <c r="EO28" s="156"/>
      <c r="EP28" s="156"/>
      <c r="EQ28" s="156"/>
      <c r="ER28" s="156"/>
      <c r="ES28" s="156"/>
      <c r="ET28" s="156"/>
      <c r="EU28" s="156"/>
      <c r="EV28" s="156"/>
      <c r="EW28" s="156"/>
      <c r="EX28" s="156"/>
      <c r="EY28" s="156"/>
      <c r="EZ28" s="156"/>
      <c r="FA28" s="156"/>
      <c r="FB28" s="156"/>
      <c r="FC28" s="156"/>
      <c r="FD28" s="156"/>
      <c r="FE28" s="156"/>
      <c r="FF28" s="156"/>
      <c r="FG28" s="156"/>
      <c r="FH28" s="156"/>
      <c r="FI28" s="156"/>
      <c r="FJ28" s="156"/>
      <c r="FK28" s="156"/>
      <c r="FL28" s="156"/>
      <c r="FM28" s="156"/>
      <c r="FN28" s="156"/>
      <c r="FO28" s="156"/>
      <c r="FP28" s="156"/>
      <c r="FQ28" s="156"/>
      <c r="FR28" s="156"/>
      <c r="FS28" s="156"/>
      <c r="FT28" s="156"/>
      <c r="FU28" s="156"/>
      <c r="FV28" s="156"/>
      <c r="FW28" s="156"/>
      <c r="FX28" s="156"/>
      <c r="FY28" s="156"/>
      <c r="FZ28" s="243"/>
      <c r="GA28" s="243"/>
      <c r="GB28" s="243"/>
      <c r="GC28" s="243"/>
      <c r="GD28" s="243"/>
      <c r="GE28" s="243"/>
      <c r="GF28" s="243"/>
      <c r="GG28" s="243"/>
      <c r="GH28" s="243"/>
      <c r="GI28" s="243"/>
      <c r="GJ28" s="243"/>
      <c r="GK28" s="243"/>
      <c r="GL28" s="243"/>
      <c r="GM28" s="243"/>
      <c r="GN28" s="243"/>
      <c r="GO28" s="243"/>
      <c r="GP28" s="243"/>
      <c r="GQ28" s="243"/>
      <c r="GR28" s="243"/>
      <c r="GS28" s="243"/>
      <c r="GT28" s="243"/>
      <c r="GU28" s="243"/>
      <c r="GV28" s="243"/>
      <c r="GW28" s="243"/>
      <c r="GX28" s="243"/>
      <c r="GY28" s="243"/>
      <c r="GZ28" s="243"/>
      <c r="HA28" s="243"/>
      <c r="HB28" s="243"/>
      <c r="HC28" s="243"/>
      <c r="HD28" s="243"/>
      <c r="HE28" s="156"/>
      <c r="HF28" s="156"/>
      <c r="HG28" s="156"/>
      <c r="HH28" s="156"/>
      <c r="HI28" s="243"/>
      <c r="HJ28" s="243"/>
      <c r="HK28" s="243"/>
      <c r="HL28" s="243"/>
      <c r="HM28" s="23"/>
      <c r="HN28" s="23"/>
      <c r="HO28" s="23"/>
      <c r="HP28" s="23"/>
      <c r="HQ28" s="442"/>
      <c r="HR28" s="442"/>
      <c r="HS28" s="442"/>
      <c r="HT28" s="442"/>
      <c r="HU28" s="442"/>
      <c r="HV28" s="442"/>
      <c r="HW28" s="442"/>
      <c r="HX28" s="442"/>
      <c r="HY28" s="442"/>
      <c r="HZ28" s="442"/>
      <c r="IA28" s="442"/>
      <c r="IB28" s="442"/>
      <c r="IC28" s="442"/>
      <c r="ID28" s="442"/>
      <c r="IE28" s="442"/>
      <c r="IF28" s="442"/>
      <c r="IG28" s="442"/>
      <c r="IH28" s="442"/>
      <c r="II28" s="442"/>
      <c r="IJ28" s="442"/>
      <c r="IK28" s="442"/>
      <c r="IL28" s="442"/>
      <c r="IM28" s="442"/>
      <c r="IN28" s="442"/>
      <c r="IO28" s="442"/>
      <c r="IP28" s="442"/>
      <c r="IQ28" s="442"/>
      <c r="IR28" s="442"/>
      <c r="IS28" s="442"/>
      <c r="IT28" s="442"/>
      <c r="IU28" s="442"/>
      <c r="IV28" s="442"/>
      <c r="IW28" s="442"/>
      <c r="IX28" s="442"/>
      <c r="IY28" s="442"/>
      <c r="IZ28" s="442"/>
      <c r="JA28" s="442"/>
      <c r="JB28" s="442"/>
      <c r="JC28" s="442"/>
      <c r="JD28" s="442"/>
      <c r="JE28" s="442"/>
      <c r="JF28" s="442"/>
      <c r="JG28" s="442"/>
      <c r="JH28" s="442"/>
      <c r="JI28" s="442"/>
      <c r="JJ28" s="442"/>
      <c r="JK28" s="442"/>
      <c r="JL28" s="442"/>
      <c r="JM28" s="442"/>
      <c r="JN28" s="442"/>
      <c r="JO28" s="442"/>
      <c r="JP28" s="442"/>
      <c r="JQ28" s="442"/>
      <c r="JR28" s="442"/>
      <c r="JS28" s="442"/>
      <c r="JT28" s="442"/>
      <c r="JU28" s="442"/>
      <c r="JV28" s="442"/>
      <c r="JW28" s="442"/>
      <c r="JX28" s="442"/>
      <c r="JY28" s="442"/>
      <c r="JZ28" s="442"/>
      <c r="KA28" s="442"/>
      <c r="KB28" s="442"/>
      <c r="KC28" s="442"/>
      <c r="KD28" s="442"/>
      <c r="KE28" s="442"/>
      <c r="KF28" s="442"/>
      <c r="KG28" s="442"/>
      <c r="KH28" s="442"/>
      <c r="KI28" s="442"/>
      <c r="KJ28" s="442"/>
      <c r="KK28" s="442"/>
      <c r="KL28" s="442"/>
      <c r="KM28" s="442"/>
      <c r="KN28" s="442"/>
      <c r="KO28" s="442"/>
      <c r="KP28" s="442"/>
      <c r="KQ28" s="442"/>
      <c r="KR28" s="442"/>
      <c r="KS28" s="442"/>
      <c r="KT28" s="442"/>
      <c r="KU28" s="442"/>
      <c r="KV28" s="442"/>
      <c r="KW28" s="442"/>
      <c r="KX28" s="442"/>
      <c r="KY28" s="442"/>
      <c r="KZ28" s="442"/>
      <c r="LA28" s="442"/>
      <c r="LB28" s="442"/>
      <c r="LC28" s="442"/>
      <c r="LD28" s="442"/>
      <c r="LE28" s="442"/>
      <c r="LF28" s="442"/>
      <c r="LG28" s="442"/>
      <c r="LH28" s="442"/>
      <c r="LI28" s="442"/>
      <c r="LJ28" s="442"/>
      <c r="LK28" s="442"/>
      <c r="LL28" s="442"/>
      <c r="LM28" s="442"/>
      <c r="LN28" s="442"/>
      <c r="LO28" s="442"/>
      <c r="LP28" s="442"/>
      <c r="LQ28" s="442"/>
      <c r="LR28" s="442"/>
      <c r="LS28" s="442"/>
      <c r="LT28" s="442"/>
      <c r="LU28" s="442"/>
      <c r="LV28" s="442"/>
      <c r="LW28" s="442"/>
      <c r="LX28" s="442"/>
      <c r="LY28" s="442"/>
      <c r="LZ28" s="442"/>
      <c r="MA28" s="442"/>
      <c r="MB28" s="442"/>
      <c r="MC28" s="442"/>
      <c r="MD28" s="442"/>
      <c r="ME28" s="442"/>
      <c r="MF28" s="442"/>
      <c r="MG28" s="442"/>
      <c r="MH28" s="442"/>
      <c r="MI28" s="442"/>
      <c r="MJ28" s="442"/>
      <c r="MK28" s="442"/>
      <c r="ML28" s="442"/>
      <c r="MM28" s="442"/>
      <c r="MN28" s="442"/>
      <c r="MO28" s="442"/>
      <c r="MP28" s="442"/>
      <c r="MQ28" s="442"/>
      <c r="MR28" s="442"/>
      <c r="MS28" s="442"/>
      <c r="MT28" s="442"/>
      <c r="MU28" s="442"/>
      <c r="MV28" s="442"/>
      <c r="MW28" s="442"/>
      <c r="MX28" s="442"/>
      <c r="MY28" s="442"/>
      <c r="MZ28" s="442"/>
      <c r="NA28" s="442"/>
      <c r="NB28" s="442"/>
      <c r="NC28" s="442"/>
    </row>
    <row r="29" spans="1:367" ht="14.1" customHeight="1" thickBot="1" x14ac:dyDescent="0.25">
      <c r="A29" s="156"/>
      <c r="B29" s="90"/>
      <c r="C29" s="9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151"/>
      <c r="P29" s="50"/>
      <c r="Q29" s="566"/>
      <c r="R29" s="567"/>
      <c r="S29" s="568"/>
      <c r="T29" s="601" t="s">
        <v>7</v>
      </c>
      <c r="U29" s="602"/>
      <c r="V29" s="603"/>
      <c r="W29" s="674">
        <f>HT92</f>
        <v>207</v>
      </c>
      <c r="X29" s="675"/>
      <c r="Y29" s="676"/>
      <c r="Z29" s="677">
        <f>HX92</f>
        <v>142.31</v>
      </c>
      <c r="AA29" s="675"/>
      <c r="AB29" s="676"/>
      <c r="AC29" s="677">
        <f>IB92</f>
        <v>207</v>
      </c>
      <c r="AD29" s="675"/>
      <c r="AE29" s="678"/>
      <c r="AF29" s="50"/>
      <c r="AG29" s="387"/>
      <c r="AH29" s="97"/>
      <c r="AI29" s="97"/>
      <c r="AJ29" s="97"/>
      <c r="AK29" s="97"/>
      <c r="AL29" s="97"/>
      <c r="AM29" s="380"/>
      <c r="AN29" s="97"/>
      <c r="AO29" s="26"/>
      <c r="AP29" s="26"/>
      <c r="AQ29" s="26"/>
      <c r="AR29" s="26"/>
      <c r="AS29" s="26"/>
      <c r="AT29" s="26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377"/>
      <c r="BL29" s="378"/>
      <c r="BM29" s="378"/>
      <c r="BN29" s="378"/>
      <c r="BO29" s="70"/>
      <c r="BP29" s="70"/>
      <c r="BQ29" s="70"/>
      <c r="BR29" s="70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365"/>
      <c r="CG29" s="151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156"/>
      <c r="CS29" s="156"/>
      <c r="CT29" s="156"/>
      <c r="CU29" s="156"/>
      <c r="CV29" s="156"/>
      <c r="CW29" s="156"/>
      <c r="CX29" s="156"/>
      <c r="CY29" s="156"/>
      <c r="CZ29" s="156"/>
      <c r="DA29" s="156"/>
      <c r="DB29" s="156"/>
      <c r="DC29" s="156"/>
      <c r="DD29" s="156"/>
      <c r="DE29" s="156"/>
      <c r="DF29" s="156"/>
      <c r="DG29" s="156"/>
      <c r="DH29" s="156"/>
      <c r="DI29" s="156"/>
      <c r="DJ29" s="156"/>
      <c r="DK29" s="156"/>
      <c r="DL29" s="156"/>
      <c r="DM29" s="156"/>
      <c r="DN29" s="156"/>
      <c r="DO29" s="156"/>
      <c r="DP29" s="156"/>
      <c r="DQ29" s="156"/>
      <c r="DR29" s="156"/>
      <c r="DS29" s="156"/>
      <c r="DT29" s="156"/>
      <c r="DU29" s="156"/>
      <c r="DV29" s="156"/>
      <c r="DW29" s="156"/>
      <c r="DX29" s="156"/>
      <c r="DY29" s="156"/>
      <c r="DZ29" s="156"/>
      <c r="EA29" s="156"/>
      <c r="EB29" s="156"/>
      <c r="EC29" s="156"/>
      <c r="ED29" s="156"/>
      <c r="EE29" s="156"/>
      <c r="EF29" s="156"/>
      <c r="EG29" s="156"/>
      <c r="EH29" s="156"/>
      <c r="EI29" s="156"/>
      <c r="EJ29" s="156"/>
      <c r="EK29" s="156"/>
      <c r="EL29" s="156"/>
      <c r="EM29" s="156"/>
      <c r="EN29" s="156"/>
      <c r="EO29" s="156"/>
      <c r="EP29" s="156"/>
      <c r="EQ29" s="156"/>
      <c r="ER29" s="156"/>
      <c r="ES29" s="156"/>
      <c r="ET29" s="156"/>
      <c r="EU29" s="156"/>
      <c r="EV29" s="156"/>
      <c r="EW29" s="156"/>
      <c r="EX29" s="156"/>
      <c r="EY29" s="156"/>
      <c r="EZ29" s="156"/>
      <c r="FA29" s="156"/>
      <c r="FB29" s="156"/>
      <c r="FC29" s="156"/>
      <c r="FD29" s="156"/>
      <c r="FE29" s="156"/>
      <c r="FF29" s="156"/>
      <c r="FG29" s="156"/>
      <c r="FH29" s="156"/>
      <c r="FI29" s="156"/>
      <c r="FJ29" s="156"/>
      <c r="FK29" s="156"/>
      <c r="FL29" s="156"/>
      <c r="FM29" s="156"/>
      <c r="FN29" s="156"/>
      <c r="FO29" s="156"/>
      <c r="FP29" s="156"/>
      <c r="FQ29" s="156"/>
      <c r="FR29" s="156"/>
      <c r="FS29" s="156"/>
      <c r="FT29" s="156"/>
      <c r="FU29" s="156"/>
      <c r="FV29" s="156"/>
      <c r="FW29" s="156"/>
      <c r="FX29" s="156"/>
      <c r="FY29" s="156"/>
      <c r="FZ29" s="244"/>
      <c r="GA29" s="244"/>
      <c r="GB29" s="244"/>
      <c r="GC29" s="244"/>
      <c r="GD29" s="244"/>
      <c r="GE29" s="244"/>
      <c r="GF29" s="244"/>
      <c r="GG29" s="244"/>
      <c r="GH29" s="244"/>
      <c r="GI29" s="244"/>
      <c r="GJ29" s="244"/>
      <c r="GK29" s="244"/>
      <c r="GL29" s="244"/>
      <c r="GM29" s="244"/>
      <c r="GN29" s="244"/>
      <c r="GO29" s="244"/>
      <c r="GP29" s="245"/>
      <c r="GQ29" s="245"/>
      <c r="GR29" s="246"/>
      <c r="GS29" s="246"/>
      <c r="GT29" s="246"/>
      <c r="GU29" s="247"/>
      <c r="GV29" s="248"/>
      <c r="GW29" s="248"/>
      <c r="GX29" s="248"/>
      <c r="GY29" s="248"/>
      <c r="GZ29" s="248"/>
      <c r="HA29" s="248"/>
      <c r="HB29" s="248"/>
      <c r="HC29" s="248"/>
      <c r="HD29" s="249"/>
      <c r="HE29" s="156"/>
      <c r="HF29" s="156"/>
      <c r="HG29" s="156"/>
      <c r="HH29" s="156"/>
      <c r="HI29" s="249"/>
      <c r="HJ29" s="249"/>
      <c r="HK29" s="249"/>
      <c r="HL29" s="249"/>
      <c r="HM29" s="153"/>
      <c r="HN29" s="153"/>
      <c r="HO29" s="153"/>
      <c r="HP29" s="442"/>
      <c r="HQ29" s="442"/>
      <c r="HR29" s="442">
        <v>1</v>
      </c>
      <c r="HS29" s="442"/>
      <c r="HT29" s="442"/>
      <c r="HU29" s="442"/>
      <c r="HV29" s="154"/>
      <c r="HW29" s="154"/>
      <c r="HX29" s="154"/>
      <c r="HY29" s="154"/>
      <c r="HZ29" s="154"/>
      <c r="IA29" s="154"/>
      <c r="IB29" s="154"/>
      <c r="IC29" s="442"/>
      <c r="ID29" s="442"/>
      <c r="IE29" s="155"/>
      <c r="IF29" s="155"/>
      <c r="IG29" s="155"/>
      <c r="IH29" s="155"/>
      <c r="II29" s="155"/>
      <c r="IJ29" s="155"/>
      <c r="IK29" s="155"/>
      <c r="IL29" s="155"/>
      <c r="IM29" s="155"/>
      <c r="IN29" s="155"/>
      <c r="IO29" s="155"/>
      <c r="IP29" s="155"/>
      <c r="IQ29" s="155"/>
      <c r="IR29" s="155"/>
      <c r="IS29" s="442"/>
      <c r="IT29" s="442"/>
      <c r="IU29" s="442"/>
      <c r="IV29" s="442"/>
      <c r="IW29" s="442"/>
      <c r="IX29" s="442"/>
      <c r="IY29" s="442"/>
      <c r="IZ29" s="442"/>
      <c r="JA29" s="442"/>
      <c r="JB29" s="442"/>
      <c r="JC29" s="442"/>
      <c r="JD29" s="442"/>
      <c r="JE29" s="442"/>
      <c r="JF29" s="442"/>
      <c r="JG29" s="442"/>
      <c r="JH29" s="442"/>
      <c r="JI29" s="442"/>
      <c r="JJ29" s="442"/>
      <c r="JK29" s="442"/>
      <c r="JL29" s="442"/>
      <c r="JM29" s="442"/>
      <c r="JN29" s="442"/>
      <c r="JO29" s="442"/>
      <c r="JP29" s="442"/>
      <c r="JQ29" s="442"/>
      <c r="JR29" s="442"/>
      <c r="JS29" s="442"/>
      <c r="JT29" s="442"/>
      <c r="JU29" s="442"/>
      <c r="JV29" s="442"/>
      <c r="JW29" s="442"/>
      <c r="JX29" s="442"/>
      <c r="JY29" s="442"/>
      <c r="JZ29" s="442"/>
      <c r="KA29" s="442"/>
      <c r="KB29" s="442"/>
      <c r="KC29" s="442"/>
      <c r="KD29" s="442"/>
      <c r="KE29" s="442"/>
      <c r="KF29" s="442"/>
      <c r="KG29" s="442"/>
      <c r="KH29" s="442"/>
      <c r="KI29" s="442"/>
      <c r="KJ29" s="442"/>
      <c r="KK29" s="442"/>
      <c r="KL29" s="442"/>
      <c r="KM29" s="442"/>
      <c r="KN29" s="442"/>
      <c r="KO29" s="442"/>
      <c r="KP29" s="442"/>
      <c r="KQ29" s="442"/>
      <c r="KR29" s="442"/>
      <c r="KS29" s="442"/>
      <c r="KT29" s="442"/>
      <c r="KU29" s="442"/>
      <c r="KV29" s="442"/>
      <c r="KW29" s="442"/>
      <c r="KX29" s="442"/>
      <c r="KY29" s="442"/>
      <c r="KZ29" s="442"/>
      <c r="LA29" s="442"/>
      <c r="LB29" s="442"/>
      <c r="LC29" s="442"/>
      <c r="LD29" s="442"/>
      <c r="LE29" s="442"/>
      <c r="LF29" s="442"/>
      <c r="LG29" s="442"/>
      <c r="LH29" s="442"/>
      <c r="LI29" s="442"/>
      <c r="LJ29" s="442"/>
      <c r="LK29" s="442"/>
      <c r="LL29" s="442"/>
      <c r="LM29" s="442"/>
      <c r="LN29" s="442"/>
      <c r="LO29" s="442"/>
      <c r="LP29" s="442"/>
      <c r="LQ29" s="442"/>
      <c r="LR29" s="442"/>
      <c r="LS29" s="442"/>
      <c r="LT29" s="442"/>
      <c r="LU29" s="442"/>
      <c r="LV29" s="442"/>
      <c r="LW29" s="442"/>
      <c r="LX29" s="442"/>
      <c r="LY29" s="442"/>
      <c r="LZ29" s="442"/>
      <c r="MA29" s="442"/>
      <c r="MB29" s="442"/>
      <c r="MC29" s="442"/>
      <c r="MD29" s="442"/>
      <c r="ME29" s="442"/>
      <c r="MF29" s="442"/>
      <c r="MG29" s="442"/>
      <c r="MH29" s="442"/>
      <c r="MI29" s="442"/>
      <c r="MJ29" s="442"/>
      <c r="MK29" s="442"/>
      <c r="ML29" s="442"/>
      <c r="MM29" s="442"/>
      <c r="MN29" s="442"/>
      <c r="MO29" s="442"/>
      <c r="MP29" s="442"/>
      <c r="MQ29" s="442"/>
      <c r="MR29" s="442"/>
      <c r="MS29" s="442"/>
      <c r="MT29" s="442"/>
      <c r="MU29" s="442"/>
      <c r="MV29" s="442"/>
      <c r="MW29" s="442"/>
      <c r="MX29" s="442"/>
      <c r="MY29" s="442"/>
      <c r="MZ29" s="442"/>
      <c r="NA29" s="442"/>
      <c r="NB29" s="442"/>
      <c r="NC29" s="442"/>
    </row>
    <row r="30" spans="1:367" ht="14.1" customHeight="1" x14ac:dyDescent="0.2">
      <c r="A30" s="156"/>
      <c r="B30" s="90"/>
      <c r="C30" s="90"/>
      <c r="D30" s="156"/>
      <c r="E30" s="50"/>
      <c r="F30" s="53" t="s">
        <v>41</v>
      </c>
      <c r="G30" s="50"/>
      <c r="H30" s="500">
        <v>3</v>
      </c>
      <c r="I30" s="501"/>
      <c r="J30" s="502"/>
      <c r="K30" s="50"/>
      <c r="L30" s="50" t="s">
        <v>18</v>
      </c>
      <c r="M30" s="50"/>
      <c r="N30" s="50"/>
      <c r="O30" s="151"/>
      <c r="P30" s="50"/>
      <c r="Q30" s="566"/>
      <c r="R30" s="567"/>
      <c r="S30" s="568"/>
      <c r="T30" s="590" t="s">
        <v>227</v>
      </c>
      <c r="U30" s="591"/>
      <c r="V30" s="592"/>
      <c r="W30" s="684">
        <f>HT97</f>
        <v>3.01</v>
      </c>
      <c r="X30" s="685"/>
      <c r="Y30" s="686"/>
      <c r="Z30" s="687">
        <f>HX97</f>
        <v>3.01</v>
      </c>
      <c r="AA30" s="685"/>
      <c r="AB30" s="686"/>
      <c r="AC30" s="687">
        <f>IB97</f>
        <v>3.01</v>
      </c>
      <c r="AD30" s="685"/>
      <c r="AE30" s="688"/>
      <c r="AF30" s="50"/>
      <c r="AG30" s="387"/>
      <c r="AH30" s="97"/>
      <c r="AI30" s="97"/>
      <c r="AJ30" s="99"/>
      <c r="AK30" s="69"/>
      <c r="AL30" s="69"/>
      <c r="AM30" s="69"/>
      <c r="AN30" s="471"/>
      <c r="AO30" s="471"/>
      <c r="AP30" s="163"/>
      <c r="AQ30" s="315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365"/>
      <c r="CG30" s="151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156"/>
      <c r="CS30" s="156"/>
      <c r="CT30" s="156"/>
      <c r="CU30" s="156"/>
      <c r="CV30" s="156"/>
      <c r="CW30" s="156"/>
      <c r="CX30" s="156"/>
      <c r="CY30" s="156"/>
      <c r="CZ30" s="156"/>
      <c r="DA30" s="156"/>
      <c r="DB30" s="156"/>
      <c r="DC30" s="156"/>
      <c r="DD30" s="156"/>
      <c r="DE30" s="156"/>
      <c r="DF30" s="156"/>
      <c r="DG30" s="156"/>
      <c r="DH30" s="156"/>
      <c r="DI30" s="156"/>
      <c r="DJ30" s="156"/>
      <c r="DK30" s="156"/>
      <c r="DL30" s="156"/>
      <c r="DM30" s="156"/>
      <c r="DN30" s="156"/>
      <c r="DO30" s="156"/>
      <c r="DP30" s="156"/>
      <c r="DQ30" s="156"/>
      <c r="DR30" s="156"/>
      <c r="DS30" s="156"/>
      <c r="DT30" s="156"/>
      <c r="DU30" s="156"/>
      <c r="DV30" s="156"/>
      <c r="DW30" s="156"/>
      <c r="DX30" s="156"/>
      <c r="DY30" s="156"/>
      <c r="DZ30" s="156"/>
      <c r="EA30" s="156"/>
      <c r="EB30" s="156"/>
      <c r="EC30" s="156"/>
      <c r="ED30" s="156"/>
      <c r="EE30" s="156"/>
      <c r="EF30" s="156"/>
      <c r="EG30" s="156"/>
      <c r="EH30" s="156"/>
      <c r="EI30" s="156"/>
      <c r="EJ30" s="156"/>
      <c r="EK30" s="156"/>
      <c r="EL30" s="156"/>
      <c r="EM30" s="156"/>
      <c r="EN30" s="156"/>
      <c r="EO30" s="156"/>
      <c r="EP30" s="156"/>
      <c r="EQ30" s="156"/>
      <c r="ER30" s="156"/>
      <c r="ES30" s="156"/>
      <c r="ET30" s="156"/>
      <c r="EU30" s="156"/>
      <c r="EV30" s="156"/>
      <c r="EW30" s="156"/>
      <c r="EX30" s="156"/>
      <c r="EY30" s="156"/>
      <c r="EZ30" s="156"/>
      <c r="FA30" s="156"/>
      <c r="FB30" s="156"/>
      <c r="FC30" s="156"/>
      <c r="FD30" s="156"/>
      <c r="FE30" s="156"/>
      <c r="FF30" s="156"/>
      <c r="FG30" s="156"/>
      <c r="FH30" s="156"/>
      <c r="FI30" s="156"/>
      <c r="FJ30" s="156"/>
      <c r="FK30" s="156"/>
      <c r="FL30" s="156"/>
      <c r="FM30" s="156"/>
      <c r="FN30" s="156"/>
      <c r="FO30" s="156"/>
      <c r="FP30" s="156"/>
      <c r="FQ30" s="156"/>
      <c r="FR30" s="156"/>
      <c r="FS30" s="156"/>
      <c r="FT30" s="156"/>
      <c r="FU30" s="156"/>
      <c r="FV30" s="156"/>
      <c r="FW30" s="156"/>
      <c r="FX30" s="156"/>
      <c r="FY30" s="156"/>
      <c r="FZ30" s="244"/>
      <c r="GA30" s="244"/>
      <c r="GB30" s="244"/>
      <c r="GC30" s="244"/>
      <c r="GD30" s="244"/>
      <c r="GE30" s="244"/>
      <c r="GF30" s="244"/>
      <c r="GG30" s="244"/>
      <c r="GH30" s="244"/>
      <c r="GI30" s="244"/>
      <c r="GJ30" s="244"/>
      <c r="GK30" s="244"/>
      <c r="GL30" s="244"/>
      <c r="GM30" s="244"/>
      <c r="GN30" s="244"/>
      <c r="GO30" s="244"/>
      <c r="GP30" s="245"/>
      <c r="GQ30" s="245"/>
      <c r="GR30" s="246"/>
      <c r="GS30" s="246"/>
      <c r="GT30" s="246"/>
      <c r="GU30" s="247"/>
      <c r="GV30" s="250"/>
      <c r="GW30" s="250"/>
      <c r="GX30" s="250"/>
      <c r="GY30" s="250"/>
      <c r="GZ30" s="250"/>
      <c r="HA30" s="250"/>
      <c r="HB30" s="250"/>
      <c r="HC30" s="250"/>
      <c r="HD30" s="251"/>
      <c r="HE30" s="156"/>
      <c r="HF30" s="156"/>
      <c r="HG30" s="156"/>
      <c r="HH30" s="156"/>
      <c r="HI30" s="251"/>
      <c r="HJ30" s="251"/>
      <c r="HK30" s="251"/>
      <c r="HL30" s="251"/>
      <c r="HM30" s="157"/>
      <c r="HN30" s="157"/>
      <c r="HO30" s="157"/>
      <c r="HP30" s="442"/>
      <c r="HQ30" s="442"/>
      <c r="HR30" s="442">
        <v>2</v>
      </c>
      <c r="HS30" s="442"/>
      <c r="HT30" s="442"/>
      <c r="HU30" s="158"/>
      <c r="HV30" s="442"/>
      <c r="HW30" s="442"/>
      <c r="HX30" s="442"/>
      <c r="HY30" s="442"/>
      <c r="HZ30" s="442"/>
      <c r="IA30" s="158"/>
      <c r="IB30" s="442"/>
      <c r="IC30" s="442"/>
      <c r="ID30" s="442"/>
      <c r="IE30" s="442"/>
      <c r="IF30" s="442"/>
      <c r="IG30" s="442"/>
      <c r="IH30" s="442"/>
      <c r="II30" s="442"/>
      <c r="IJ30" s="442"/>
      <c r="IK30" s="442"/>
      <c r="IL30" s="442"/>
      <c r="IM30" s="442"/>
      <c r="IN30" s="442"/>
      <c r="IO30" s="442"/>
      <c r="IP30" s="442"/>
      <c r="IQ30" s="442"/>
      <c r="IR30" s="442"/>
      <c r="IS30" s="442"/>
      <c r="IT30" s="442"/>
      <c r="IU30" s="442"/>
      <c r="IV30" s="442"/>
      <c r="IW30" s="442"/>
      <c r="IX30" s="442"/>
      <c r="IY30" s="442"/>
      <c r="IZ30" s="442"/>
      <c r="JA30" s="442"/>
      <c r="JB30" s="442"/>
      <c r="JC30" s="442"/>
      <c r="JD30" s="442"/>
      <c r="JE30" s="442"/>
      <c r="JF30" s="442"/>
      <c r="JG30" s="442"/>
      <c r="JH30" s="442"/>
      <c r="JI30" s="442"/>
      <c r="JJ30" s="442"/>
      <c r="JK30" s="442"/>
      <c r="JL30" s="442"/>
      <c r="JM30" s="442"/>
      <c r="JN30" s="442"/>
      <c r="JO30" s="442"/>
      <c r="JP30" s="442"/>
      <c r="JQ30" s="442"/>
      <c r="JR30" s="442"/>
      <c r="JS30" s="442"/>
      <c r="JT30" s="442"/>
      <c r="JU30" s="442"/>
      <c r="JV30" s="442"/>
      <c r="JW30" s="442"/>
      <c r="JX30" s="442"/>
      <c r="JY30" s="442"/>
      <c r="JZ30" s="442"/>
      <c r="KA30" s="442"/>
      <c r="KB30" s="442"/>
      <c r="KC30" s="442"/>
      <c r="KD30" s="442"/>
      <c r="KE30" s="442"/>
      <c r="KF30" s="442"/>
      <c r="KG30" s="442"/>
      <c r="KH30" s="442"/>
      <c r="KI30" s="442"/>
      <c r="KJ30" s="442"/>
      <c r="KK30" s="442"/>
      <c r="KL30" s="442"/>
      <c r="KM30" s="442"/>
      <c r="KN30" s="442"/>
      <c r="KO30" s="442"/>
      <c r="KP30" s="442"/>
      <c r="KQ30" s="442"/>
      <c r="KR30" s="442"/>
      <c r="KS30" s="442"/>
      <c r="KT30" s="442"/>
      <c r="KU30" s="442"/>
      <c r="KV30" s="442"/>
      <c r="KW30" s="442"/>
      <c r="KX30" s="442"/>
      <c r="KY30" s="442"/>
      <c r="KZ30" s="442"/>
      <c r="LA30" s="442"/>
      <c r="LB30" s="442"/>
      <c r="LC30" s="442"/>
      <c r="LD30" s="442"/>
      <c r="LE30" s="442"/>
      <c r="LF30" s="442"/>
      <c r="LG30" s="442"/>
      <c r="LH30" s="442"/>
      <c r="LI30" s="442"/>
      <c r="LJ30" s="442"/>
      <c r="LK30" s="442"/>
      <c r="LL30" s="442"/>
      <c r="LM30" s="442"/>
      <c r="LN30" s="442"/>
      <c r="LO30" s="442"/>
      <c r="LP30" s="442"/>
      <c r="LQ30" s="442"/>
      <c r="LR30" s="442"/>
      <c r="LS30" s="442"/>
      <c r="LT30" s="442"/>
      <c r="LU30" s="442"/>
      <c r="LV30" s="442"/>
      <c r="LW30" s="442"/>
      <c r="LX30" s="442"/>
      <c r="LY30" s="442"/>
      <c r="LZ30" s="442"/>
      <c r="MA30" s="442"/>
      <c r="MB30" s="442"/>
      <c r="MC30" s="442"/>
      <c r="MD30" s="442"/>
      <c r="ME30" s="442"/>
      <c r="MF30" s="442"/>
      <c r="MG30" s="442"/>
      <c r="MH30" s="442"/>
      <c r="MI30" s="442"/>
      <c r="MJ30" s="442"/>
      <c r="MK30" s="442"/>
      <c r="ML30" s="442"/>
      <c r="MM30" s="442"/>
      <c r="MN30" s="442"/>
      <c r="MO30" s="442"/>
      <c r="MP30" s="442"/>
      <c r="MQ30" s="442"/>
      <c r="MR30" s="442"/>
      <c r="MS30" s="442"/>
      <c r="MT30" s="442"/>
      <c r="MU30" s="442"/>
      <c r="MV30" s="442"/>
      <c r="MW30" s="442"/>
      <c r="MX30" s="442"/>
      <c r="MY30" s="442"/>
      <c r="MZ30" s="442"/>
      <c r="NA30" s="442"/>
      <c r="NB30" s="442"/>
      <c r="NC30" s="442"/>
    </row>
    <row r="31" spans="1:367" ht="14.1" customHeight="1" x14ac:dyDescent="0.2">
      <c r="A31" s="156"/>
      <c r="B31" s="90"/>
      <c r="C31" s="92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152"/>
      <c r="P31" s="50"/>
      <c r="Q31" s="566"/>
      <c r="R31" s="567"/>
      <c r="S31" s="568"/>
      <c r="T31" s="490" t="s">
        <v>221</v>
      </c>
      <c r="U31" s="486"/>
      <c r="V31" s="486"/>
      <c r="W31" s="689">
        <f>HT98</f>
        <v>0.3</v>
      </c>
      <c r="X31" s="690"/>
      <c r="Y31" s="690"/>
      <c r="Z31" s="690">
        <f>HX98</f>
        <v>0.3</v>
      </c>
      <c r="AA31" s="690"/>
      <c r="AB31" s="690"/>
      <c r="AC31" s="690">
        <f>IB98</f>
        <v>0.3</v>
      </c>
      <c r="AD31" s="690"/>
      <c r="AE31" s="691"/>
      <c r="AF31" s="50"/>
      <c r="AG31" s="387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69"/>
      <c r="CB31" s="69"/>
      <c r="CC31" s="69"/>
      <c r="CD31" s="69"/>
      <c r="CE31" s="69"/>
      <c r="CF31" s="365"/>
      <c r="CG31" s="151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156"/>
      <c r="CS31" s="156"/>
      <c r="CT31" s="156"/>
      <c r="CU31" s="156"/>
      <c r="CV31" s="156"/>
      <c r="CW31" s="156"/>
      <c r="CX31" s="156"/>
      <c r="CY31" s="156"/>
      <c r="CZ31" s="156"/>
      <c r="DA31" s="156"/>
      <c r="DB31" s="156"/>
      <c r="DC31" s="156"/>
      <c r="DD31" s="156"/>
      <c r="DE31" s="156"/>
      <c r="DF31" s="156"/>
      <c r="DG31" s="156"/>
      <c r="DH31" s="156"/>
      <c r="DI31" s="156"/>
      <c r="DJ31" s="156"/>
      <c r="DK31" s="156"/>
      <c r="DL31" s="156"/>
      <c r="DM31" s="156"/>
      <c r="DN31" s="156"/>
      <c r="DO31" s="156"/>
      <c r="DP31" s="156"/>
      <c r="DQ31" s="156"/>
      <c r="DR31" s="156"/>
      <c r="DS31" s="156"/>
      <c r="DT31" s="156"/>
      <c r="DU31" s="156"/>
      <c r="DV31" s="156"/>
      <c r="DW31" s="156"/>
      <c r="DX31" s="156"/>
      <c r="DY31" s="156"/>
      <c r="DZ31" s="156"/>
      <c r="EA31" s="156"/>
      <c r="EB31" s="156"/>
      <c r="EC31" s="156"/>
      <c r="ED31" s="156"/>
      <c r="EE31" s="156"/>
      <c r="EF31" s="156"/>
      <c r="EG31" s="156"/>
      <c r="EH31" s="156"/>
      <c r="EI31" s="156"/>
      <c r="EJ31" s="156"/>
      <c r="EK31" s="156"/>
      <c r="EL31" s="156"/>
      <c r="EM31" s="156"/>
      <c r="EN31" s="156"/>
      <c r="EO31" s="156"/>
      <c r="EP31" s="156"/>
      <c r="EQ31" s="156"/>
      <c r="ER31" s="156"/>
      <c r="ES31" s="156"/>
      <c r="ET31" s="156"/>
      <c r="EU31" s="156"/>
      <c r="EV31" s="156"/>
      <c r="EW31" s="156"/>
      <c r="EX31" s="156"/>
      <c r="EY31" s="156"/>
      <c r="EZ31" s="156"/>
      <c r="FA31" s="156"/>
      <c r="FB31" s="156"/>
      <c r="FC31" s="156"/>
      <c r="FD31" s="156"/>
      <c r="FE31" s="156"/>
      <c r="FF31" s="156"/>
      <c r="FG31" s="156"/>
      <c r="FH31" s="156"/>
      <c r="FI31" s="156"/>
      <c r="FJ31" s="156"/>
      <c r="FK31" s="156"/>
      <c r="FL31" s="156"/>
      <c r="FM31" s="156"/>
      <c r="FN31" s="156"/>
      <c r="FO31" s="156"/>
      <c r="FP31" s="156"/>
      <c r="FQ31" s="156"/>
      <c r="FR31" s="156"/>
      <c r="FS31" s="156"/>
      <c r="FT31" s="156"/>
      <c r="FU31" s="156"/>
      <c r="FV31" s="156"/>
      <c r="FW31" s="156"/>
      <c r="FX31" s="156"/>
      <c r="FY31" s="156"/>
      <c r="FZ31" s="244"/>
      <c r="GA31" s="244"/>
      <c r="GB31" s="244"/>
      <c r="GC31" s="244"/>
      <c r="GD31" s="244"/>
      <c r="GE31" s="244"/>
      <c r="GF31" s="244"/>
      <c r="GG31" s="244"/>
      <c r="GH31" s="244"/>
      <c r="GI31" s="244"/>
      <c r="GJ31" s="244"/>
      <c r="GK31" s="244"/>
      <c r="GL31" s="244"/>
      <c r="GM31" s="244"/>
      <c r="GN31" s="244"/>
      <c r="GO31" s="244"/>
      <c r="GP31" s="245"/>
      <c r="GQ31" s="245"/>
      <c r="GR31" s="246"/>
      <c r="GS31" s="246"/>
      <c r="GT31" s="246"/>
      <c r="GU31" s="247"/>
      <c r="GV31" s="250"/>
      <c r="GW31" s="250"/>
      <c r="GX31" s="250"/>
      <c r="GY31" s="250"/>
      <c r="GZ31" s="250"/>
      <c r="HA31" s="250"/>
      <c r="HB31" s="250"/>
      <c r="HC31" s="250"/>
      <c r="HD31" s="251"/>
      <c r="HE31" s="156"/>
      <c r="HF31" s="156"/>
      <c r="HG31" s="156"/>
      <c r="HH31" s="156"/>
      <c r="HI31" s="251"/>
      <c r="HJ31" s="251"/>
      <c r="HK31" s="251"/>
      <c r="HL31" s="251"/>
      <c r="HM31" s="157"/>
      <c r="HN31" s="157"/>
      <c r="HO31" s="157"/>
      <c r="HP31" s="442"/>
      <c r="HQ31" s="442"/>
      <c r="HR31" s="442">
        <v>3</v>
      </c>
      <c r="HS31" s="442"/>
      <c r="HT31" s="442"/>
      <c r="HU31" s="158"/>
      <c r="HV31" s="442"/>
      <c r="HW31" s="442"/>
      <c r="HX31" s="442"/>
      <c r="HY31" s="442"/>
      <c r="HZ31" s="442"/>
      <c r="IA31" s="158"/>
      <c r="IB31" s="442"/>
      <c r="IC31" s="442"/>
      <c r="ID31" s="442"/>
      <c r="IE31" s="442"/>
      <c r="IF31" s="442"/>
      <c r="IG31" s="442"/>
      <c r="IH31" s="442"/>
      <c r="II31" s="442"/>
      <c r="IJ31" s="442"/>
      <c r="IK31" s="442"/>
      <c r="IL31" s="442"/>
      <c r="IM31" s="442"/>
      <c r="IN31" s="115" t="s">
        <v>12</v>
      </c>
      <c r="IO31" s="442"/>
      <c r="IP31" s="442"/>
      <c r="IQ31" s="442"/>
      <c r="IR31" s="442">
        <v>1</v>
      </c>
      <c r="IS31" s="442"/>
      <c r="IT31" s="442"/>
      <c r="IU31" s="442"/>
      <c r="IV31" s="442"/>
      <c r="IW31" s="442"/>
      <c r="IX31" s="442"/>
      <c r="IY31" s="442"/>
      <c r="IZ31" s="442"/>
      <c r="JA31" s="442"/>
      <c r="JB31" s="442"/>
      <c r="JC31" s="442"/>
      <c r="JD31" s="442"/>
      <c r="JE31" s="442"/>
      <c r="JF31" s="442"/>
      <c r="JG31" s="442"/>
      <c r="JH31" s="442"/>
      <c r="JI31" s="442"/>
      <c r="JJ31" s="442"/>
      <c r="JK31" s="442"/>
      <c r="JL31" s="442"/>
      <c r="JM31" s="442"/>
      <c r="JN31" s="442"/>
      <c r="JO31" s="442"/>
      <c r="JP31" s="442"/>
      <c r="JQ31" s="442"/>
      <c r="JR31" s="442"/>
      <c r="JS31" s="442"/>
      <c r="JT31" s="442"/>
      <c r="JU31" s="442"/>
      <c r="JV31" s="442"/>
      <c r="JW31" s="442"/>
      <c r="JX31" s="442"/>
      <c r="JY31" s="442"/>
      <c r="JZ31" s="442"/>
      <c r="KA31" s="442"/>
      <c r="KB31" s="442"/>
      <c r="KC31" s="442"/>
      <c r="KD31" s="442"/>
      <c r="KE31" s="442"/>
      <c r="KF31" s="442"/>
      <c r="KG31" s="442"/>
      <c r="KH31" s="442"/>
      <c r="KI31" s="442"/>
      <c r="KJ31" s="442"/>
      <c r="KK31" s="442"/>
      <c r="KL31" s="442"/>
      <c r="KM31" s="442"/>
      <c r="KN31" s="442"/>
      <c r="KO31" s="442"/>
      <c r="KP31" s="442"/>
      <c r="KQ31" s="442"/>
      <c r="KR31" s="442"/>
      <c r="KS31" s="442"/>
      <c r="KT31" s="442"/>
      <c r="KU31" s="442"/>
      <c r="KV31" s="442"/>
      <c r="KW31" s="442"/>
      <c r="KX31" s="442"/>
      <c r="KY31" s="442"/>
      <c r="KZ31" s="442"/>
      <c r="LA31" s="442"/>
      <c r="LB31" s="442"/>
      <c r="LC31" s="442"/>
      <c r="LD31" s="442"/>
      <c r="LE31" s="442"/>
      <c r="LF31" s="442"/>
      <c r="LG31" s="442"/>
      <c r="LH31" s="442"/>
      <c r="LI31" s="442"/>
      <c r="LJ31" s="442"/>
      <c r="LK31" s="442"/>
      <c r="LL31" s="442"/>
      <c r="LM31" s="442"/>
      <c r="LN31" s="442"/>
      <c r="LO31" s="442"/>
      <c r="LP31" s="442"/>
      <c r="LQ31" s="442"/>
      <c r="LR31" s="442"/>
      <c r="LS31" s="442"/>
      <c r="LT31" s="442"/>
      <c r="LU31" s="442"/>
      <c r="LV31" s="442"/>
      <c r="LW31" s="442"/>
      <c r="LX31" s="442"/>
      <c r="LY31" s="442"/>
      <c r="LZ31" s="442"/>
      <c r="MA31" s="442"/>
      <c r="MB31" s="442"/>
      <c r="MC31" s="442"/>
      <c r="MD31" s="442"/>
      <c r="ME31" s="442"/>
      <c r="MF31" s="442"/>
      <c r="MG31" s="442"/>
      <c r="MH31" s="442"/>
      <c r="MI31" s="442"/>
      <c r="MJ31" s="442"/>
      <c r="MK31" s="442"/>
      <c r="ML31" s="442"/>
      <c r="MM31" s="442"/>
      <c r="MN31" s="442"/>
      <c r="MO31" s="442"/>
      <c r="MP31" s="442"/>
      <c r="MQ31" s="442"/>
      <c r="MR31" s="442"/>
      <c r="MS31" s="442"/>
      <c r="MT31" s="442"/>
      <c r="MU31" s="442"/>
      <c r="MV31" s="442"/>
      <c r="MW31" s="442"/>
      <c r="MX31" s="442"/>
      <c r="MY31" s="442"/>
      <c r="MZ31" s="442"/>
      <c r="NA31" s="442"/>
      <c r="NB31" s="442"/>
      <c r="NC31" s="442"/>
    </row>
    <row r="32" spans="1:367" ht="14.1" customHeight="1" x14ac:dyDescent="0.2">
      <c r="A32" s="156"/>
      <c r="B32" s="90"/>
      <c r="C32" s="89"/>
      <c r="D32" s="649" t="s">
        <v>135</v>
      </c>
      <c r="E32" s="649"/>
      <c r="F32" s="649"/>
      <c r="G32" s="649"/>
      <c r="H32" s="649"/>
      <c r="I32" s="649"/>
      <c r="J32" s="89"/>
      <c r="K32" s="89"/>
      <c r="L32" s="89"/>
      <c r="M32" s="89"/>
      <c r="N32" s="89"/>
      <c r="O32" s="89"/>
      <c r="P32" s="50"/>
      <c r="Q32" s="566"/>
      <c r="R32" s="567"/>
      <c r="S32" s="568"/>
      <c r="T32" s="490" t="s">
        <v>222</v>
      </c>
      <c r="U32" s="486"/>
      <c r="V32" s="486"/>
      <c r="W32" s="692">
        <v>0.25</v>
      </c>
      <c r="X32" s="693"/>
      <c r="Y32" s="694"/>
      <c r="Z32" s="695">
        <v>0.25</v>
      </c>
      <c r="AA32" s="693"/>
      <c r="AB32" s="694"/>
      <c r="AC32" s="695">
        <v>0.25</v>
      </c>
      <c r="AD32" s="693"/>
      <c r="AE32" s="696"/>
      <c r="AF32" s="50"/>
      <c r="AG32" s="387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69"/>
      <c r="CA32" s="69"/>
      <c r="CB32" s="69"/>
      <c r="CC32" s="69"/>
      <c r="CD32" s="69"/>
      <c r="CE32" s="69"/>
      <c r="CF32" s="365"/>
      <c r="CG32" s="151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156"/>
      <c r="CS32" s="156"/>
      <c r="CT32" s="156"/>
      <c r="CU32" s="156"/>
      <c r="CV32" s="156"/>
      <c r="CW32" s="156"/>
      <c r="CX32" s="156"/>
      <c r="CY32" s="156"/>
      <c r="CZ32" s="156"/>
      <c r="DA32" s="156"/>
      <c r="DB32" s="156"/>
      <c r="DC32" s="156"/>
      <c r="DD32" s="156"/>
      <c r="DE32" s="156"/>
      <c r="DF32" s="156"/>
      <c r="DG32" s="156"/>
      <c r="DH32" s="156"/>
      <c r="DI32" s="156"/>
      <c r="DJ32" s="156"/>
      <c r="DK32" s="156"/>
      <c r="DL32" s="156"/>
      <c r="DM32" s="156"/>
      <c r="DN32" s="156"/>
      <c r="DO32" s="156"/>
      <c r="DP32" s="156"/>
      <c r="DQ32" s="156"/>
      <c r="DR32" s="156"/>
      <c r="DS32" s="156"/>
      <c r="DT32" s="156"/>
      <c r="DU32" s="156"/>
      <c r="DV32" s="156"/>
      <c r="DW32" s="156"/>
      <c r="DX32" s="156"/>
      <c r="DY32" s="156"/>
      <c r="DZ32" s="156"/>
      <c r="EA32" s="156"/>
      <c r="EB32" s="156"/>
      <c r="EC32" s="156"/>
      <c r="ED32" s="156"/>
      <c r="EE32" s="156"/>
      <c r="EF32" s="156"/>
      <c r="EG32" s="156"/>
      <c r="EH32" s="156"/>
      <c r="EI32" s="156"/>
      <c r="EJ32" s="156"/>
      <c r="EK32" s="156"/>
      <c r="EL32" s="156"/>
      <c r="EM32" s="156"/>
      <c r="EN32" s="156"/>
      <c r="EO32" s="156"/>
      <c r="EP32" s="156"/>
      <c r="EQ32" s="156"/>
      <c r="ER32" s="156"/>
      <c r="ES32" s="156"/>
      <c r="ET32" s="156"/>
      <c r="EU32" s="156"/>
      <c r="EV32" s="156"/>
      <c r="EW32" s="156"/>
      <c r="EX32" s="156"/>
      <c r="EY32" s="156"/>
      <c r="EZ32" s="156"/>
      <c r="FA32" s="156"/>
      <c r="FB32" s="156"/>
      <c r="FC32" s="156"/>
      <c r="FD32" s="156"/>
      <c r="FE32" s="156"/>
      <c r="FF32" s="156"/>
      <c r="FG32" s="156"/>
      <c r="FH32" s="156"/>
      <c r="FI32" s="156"/>
      <c r="FJ32" s="156"/>
      <c r="FK32" s="156"/>
      <c r="FL32" s="156"/>
      <c r="FM32" s="156"/>
      <c r="FN32" s="156"/>
      <c r="FO32" s="156"/>
      <c r="FP32" s="156"/>
      <c r="FQ32" s="156"/>
      <c r="FR32" s="156"/>
      <c r="FS32" s="156"/>
      <c r="FT32" s="156"/>
      <c r="FU32" s="156"/>
      <c r="FV32" s="156"/>
      <c r="FW32" s="156"/>
      <c r="FX32" s="156"/>
      <c r="FY32" s="156"/>
      <c r="FZ32" s="243"/>
      <c r="GA32" s="243"/>
      <c r="GB32" s="243"/>
      <c r="GC32" s="243"/>
      <c r="GD32" s="243"/>
      <c r="GE32" s="243"/>
      <c r="GF32" s="243"/>
      <c r="GG32" s="243"/>
      <c r="GH32" s="243"/>
      <c r="GI32" s="243"/>
      <c r="GJ32" s="243"/>
      <c r="GK32" s="243"/>
      <c r="GL32" s="243"/>
      <c r="GM32" s="243"/>
      <c r="GN32" s="243"/>
      <c r="GO32" s="243"/>
      <c r="GP32" s="243"/>
      <c r="GQ32" s="243"/>
      <c r="GR32" s="243"/>
      <c r="GS32" s="243"/>
      <c r="GT32" s="243"/>
      <c r="GU32" s="243"/>
      <c r="GV32" s="243"/>
      <c r="GW32" s="243"/>
      <c r="GX32" s="243"/>
      <c r="GY32" s="243"/>
      <c r="GZ32" s="243"/>
      <c r="HA32" s="243"/>
      <c r="HB32" s="243"/>
      <c r="HC32" s="243"/>
      <c r="HD32" s="243"/>
      <c r="HE32" s="156"/>
      <c r="HF32" s="156"/>
      <c r="HG32" s="156"/>
      <c r="HH32" s="156"/>
      <c r="HI32" s="243"/>
      <c r="HJ32" s="243"/>
      <c r="HK32" s="243"/>
      <c r="HL32" s="242"/>
      <c r="HM32" s="442"/>
      <c r="HN32" s="442"/>
      <c r="HO32" s="442"/>
      <c r="HP32" s="23"/>
      <c r="HQ32" s="442"/>
      <c r="HR32" s="442">
        <v>4</v>
      </c>
      <c r="HS32" s="442"/>
      <c r="HT32" s="442"/>
      <c r="HU32" s="158"/>
      <c r="HV32" s="442"/>
      <c r="HW32" s="442"/>
      <c r="HX32" s="442"/>
      <c r="HY32" s="442"/>
      <c r="HZ32" s="442"/>
      <c r="IA32" s="158"/>
      <c r="IB32" s="442"/>
      <c r="IC32" s="442"/>
      <c r="ID32" s="442"/>
      <c r="IE32" s="442"/>
      <c r="IF32" s="442"/>
      <c r="IG32" s="442"/>
      <c r="IH32" s="442"/>
      <c r="II32" s="442"/>
      <c r="IJ32" s="442"/>
      <c r="IK32" s="442"/>
      <c r="IL32" s="442"/>
      <c r="IM32" s="442"/>
      <c r="IN32" s="115" t="s">
        <v>11</v>
      </c>
      <c r="IO32" s="442"/>
      <c r="IP32" s="442"/>
      <c r="IQ32" s="442"/>
      <c r="IR32" s="442">
        <v>2</v>
      </c>
      <c r="IS32" s="442"/>
      <c r="IT32" s="442"/>
      <c r="IU32" s="442"/>
      <c r="IV32" s="442"/>
      <c r="IW32" s="442"/>
      <c r="IX32" s="442"/>
      <c r="IY32" s="442"/>
      <c r="IZ32" s="442"/>
      <c r="JA32" s="442"/>
      <c r="JB32" s="442"/>
      <c r="JC32" s="442"/>
      <c r="JD32" s="442"/>
      <c r="JE32" s="442"/>
      <c r="JF32" s="442"/>
      <c r="JG32" s="442"/>
      <c r="JH32" s="442"/>
      <c r="JI32" s="442"/>
      <c r="JJ32" s="442"/>
      <c r="JK32" s="442"/>
      <c r="JL32" s="442"/>
      <c r="JM32" s="442"/>
      <c r="JN32" s="442"/>
      <c r="JO32" s="442"/>
      <c r="JP32" s="442"/>
      <c r="JQ32" s="442"/>
      <c r="JR32" s="442"/>
      <c r="JS32" s="442"/>
      <c r="JT32" s="442"/>
      <c r="JU32" s="442"/>
      <c r="JV32" s="442"/>
      <c r="JW32" s="442"/>
      <c r="JX32" s="442"/>
      <c r="JY32" s="442"/>
      <c r="JZ32" s="442"/>
      <c r="KA32" s="442"/>
      <c r="KB32" s="442"/>
      <c r="KC32" s="442"/>
      <c r="KD32" s="442"/>
      <c r="KE32" s="442"/>
      <c r="KF32" s="442"/>
      <c r="KG32" s="442"/>
      <c r="KH32" s="442"/>
      <c r="KI32" s="442"/>
      <c r="KJ32" s="442"/>
      <c r="KK32" s="442"/>
      <c r="KL32" s="442"/>
      <c r="KM32" s="442"/>
      <c r="KN32" s="442"/>
      <c r="KO32" s="442"/>
      <c r="KP32" s="442"/>
      <c r="KQ32" s="442"/>
      <c r="KR32" s="442"/>
      <c r="KS32" s="442"/>
      <c r="KT32" s="442"/>
      <c r="KU32" s="442"/>
      <c r="KV32" s="442"/>
      <c r="KW32" s="442"/>
      <c r="KX32" s="442"/>
      <c r="KY32" s="442"/>
      <c r="KZ32" s="442"/>
      <c r="LA32" s="442"/>
      <c r="LB32" s="442"/>
      <c r="LC32" s="442"/>
      <c r="LD32" s="442"/>
      <c r="LE32" s="442"/>
      <c r="LF32" s="442"/>
      <c r="LG32" s="442"/>
      <c r="LH32" s="442"/>
      <c r="LI32" s="442"/>
      <c r="LJ32" s="442"/>
      <c r="LK32" s="442"/>
      <c r="LL32" s="442"/>
      <c r="LM32" s="442"/>
      <c r="LN32" s="442"/>
      <c r="LO32" s="442"/>
      <c r="LP32" s="442"/>
      <c r="LQ32" s="442"/>
      <c r="LR32" s="442"/>
      <c r="LS32" s="442"/>
      <c r="LT32" s="442"/>
      <c r="LU32" s="442"/>
      <c r="LV32" s="442"/>
      <c r="LW32" s="442"/>
      <c r="LX32" s="442"/>
      <c r="LY32" s="442"/>
      <c r="LZ32" s="442"/>
      <c r="MA32" s="442"/>
      <c r="MB32" s="442"/>
      <c r="MC32" s="442"/>
      <c r="MD32" s="442"/>
      <c r="ME32" s="442"/>
      <c r="MF32" s="442"/>
      <c r="MG32" s="442"/>
      <c r="MH32" s="442"/>
      <c r="MI32" s="442"/>
      <c r="MJ32" s="442"/>
      <c r="MK32" s="442"/>
      <c r="ML32" s="442"/>
      <c r="MM32" s="442"/>
      <c r="MN32" s="442"/>
      <c r="MO32" s="442"/>
      <c r="MP32" s="442"/>
      <c r="MQ32" s="442"/>
      <c r="MR32" s="442"/>
      <c r="MS32" s="442"/>
      <c r="MT32" s="442"/>
      <c r="MU32" s="442"/>
      <c r="MV32" s="442"/>
      <c r="MW32" s="442"/>
      <c r="MX32" s="442"/>
      <c r="MY32" s="442"/>
      <c r="MZ32" s="442"/>
      <c r="NA32" s="442"/>
      <c r="NB32" s="442"/>
      <c r="NC32" s="442"/>
    </row>
    <row r="33" spans="1:367" ht="14.1" customHeight="1" thickBot="1" x14ac:dyDescent="0.25">
      <c r="A33" s="156"/>
      <c r="B33" s="90"/>
      <c r="C33" s="88"/>
      <c r="D33" s="650"/>
      <c r="E33" s="650"/>
      <c r="F33" s="650"/>
      <c r="G33" s="650"/>
      <c r="H33" s="650"/>
      <c r="I33" s="650"/>
      <c r="J33" s="89"/>
      <c r="K33" s="89"/>
      <c r="L33" s="89"/>
      <c r="M33" s="89"/>
      <c r="N33" s="89"/>
      <c r="O33" s="150"/>
      <c r="P33" s="50"/>
      <c r="Q33" s="566"/>
      <c r="R33" s="567"/>
      <c r="S33" s="568"/>
      <c r="T33" s="480" t="s">
        <v>96</v>
      </c>
      <c r="U33" s="480"/>
      <c r="V33" s="480"/>
      <c r="W33" s="646" t="str">
        <f>IF(W32&lt;=W31,"OK","NOT")</f>
        <v>OK</v>
      </c>
      <c r="X33" s="647"/>
      <c r="Y33" s="647"/>
      <c r="Z33" s="647" t="str">
        <f t="shared" ref="Z33" si="0">IF(Z32&lt;=Z31,"OK","NOT")</f>
        <v>OK</v>
      </c>
      <c r="AA33" s="647"/>
      <c r="AB33" s="647"/>
      <c r="AC33" s="647" t="str">
        <f t="shared" ref="AC33" si="1">IF(AC32&lt;=AC31,"OK","NOT")</f>
        <v>OK</v>
      </c>
      <c r="AD33" s="647"/>
      <c r="AE33" s="648"/>
      <c r="AF33" s="50"/>
      <c r="AG33" s="387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69"/>
      <c r="CA33" s="69"/>
      <c r="CB33" s="69"/>
      <c r="CC33" s="69"/>
      <c r="CD33" s="69"/>
      <c r="CE33" s="69"/>
      <c r="CF33" s="365"/>
      <c r="CG33" s="151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156"/>
      <c r="CS33" s="156"/>
      <c r="CT33" s="156"/>
      <c r="CU33" s="156"/>
      <c r="CV33" s="156"/>
      <c r="CW33" s="156"/>
      <c r="CX33" s="156"/>
      <c r="CY33" s="156"/>
      <c r="CZ33" s="156"/>
      <c r="DA33" s="156"/>
      <c r="DB33" s="156"/>
      <c r="DC33" s="156"/>
      <c r="DD33" s="156"/>
      <c r="DE33" s="156"/>
      <c r="DF33" s="156"/>
      <c r="DG33" s="156"/>
      <c r="DH33" s="156"/>
      <c r="DI33" s="156"/>
      <c r="DJ33" s="156"/>
      <c r="DK33" s="156"/>
      <c r="DL33" s="156"/>
      <c r="DM33" s="156"/>
      <c r="DN33" s="156"/>
      <c r="DO33" s="156"/>
      <c r="DP33" s="156"/>
      <c r="DQ33" s="156"/>
      <c r="DR33" s="156"/>
      <c r="DS33" s="156"/>
      <c r="DT33" s="156"/>
      <c r="DU33" s="156"/>
      <c r="DV33" s="156"/>
      <c r="DW33" s="156"/>
      <c r="DX33" s="156"/>
      <c r="DY33" s="156"/>
      <c r="DZ33" s="156"/>
      <c r="EA33" s="156"/>
      <c r="EB33" s="156"/>
      <c r="EC33" s="156"/>
      <c r="ED33" s="156"/>
      <c r="EE33" s="156"/>
      <c r="EF33" s="156"/>
      <c r="EG33" s="156"/>
      <c r="EH33" s="156"/>
      <c r="EI33" s="156"/>
      <c r="EJ33" s="156"/>
      <c r="EK33" s="156"/>
      <c r="EL33" s="156"/>
      <c r="EM33" s="156"/>
      <c r="EN33" s="156"/>
      <c r="EO33" s="156"/>
      <c r="EP33" s="156"/>
      <c r="EQ33" s="156"/>
      <c r="ER33" s="156"/>
      <c r="ES33" s="156"/>
      <c r="ET33" s="156"/>
      <c r="EU33" s="156"/>
      <c r="EV33" s="156"/>
      <c r="EW33" s="156"/>
      <c r="EX33" s="156"/>
      <c r="EY33" s="156"/>
      <c r="EZ33" s="156"/>
      <c r="FA33" s="156"/>
      <c r="FB33" s="156"/>
      <c r="FC33" s="156"/>
      <c r="FD33" s="156"/>
      <c r="FE33" s="156"/>
      <c r="FF33" s="156"/>
      <c r="FG33" s="156"/>
      <c r="FH33" s="156"/>
      <c r="FI33" s="156"/>
      <c r="FJ33" s="156"/>
      <c r="FK33" s="156"/>
      <c r="FL33" s="156"/>
      <c r="FM33" s="156"/>
      <c r="FN33" s="156"/>
      <c r="FO33" s="156"/>
      <c r="FP33" s="156"/>
      <c r="FQ33" s="156"/>
      <c r="FR33" s="156"/>
      <c r="FS33" s="156"/>
      <c r="FT33" s="156"/>
      <c r="FU33" s="156"/>
      <c r="FV33" s="156"/>
      <c r="FW33" s="156"/>
      <c r="FX33" s="156"/>
      <c r="FY33" s="156"/>
      <c r="FZ33" s="252"/>
      <c r="GA33" s="252"/>
      <c r="GB33" s="252"/>
      <c r="GC33" s="253"/>
      <c r="GD33" s="253"/>
      <c r="GE33" s="253"/>
      <c r="GF33" s="254"/>
      <c r="GG33" s="254"/>
      <c r="GH33" s="242"/>
      <c r="GI33" s="242"/>
      <c r="GJ33" s="242"/>
      <c r="GK33" s="242"/>
      <c r="GL33" s="242"/>
      <c r="GM33" s="242"/>
      <c r="GN33" s="242"/>
      <c r="GO33" s="242"/>
      <c r="GP33" s="242"/>
      <c r="GQ33" s="242"/>
      <c r="GR33" s="242"/>
      <c r="GS33" s="242"/>
      <c r="GT33" s="242"/>
      <c r="GU33" s="242"/>
      <c r="GV33" s="242"/>
      <c r="GW33" s="242"/>
      <c r="GX33" s="242"/>
      <c r="GY33" s="242"/>
      <c r="GZ33" s="242"/>
      <c r="HA33" s="242"/>
      <c r="HB33" s="242"/>
      <c r="HC33" s="242"/>
      <c r="HD33" s="255"/>
      <c r="HE33" s="156"/>
      <c r="HF33" s="156"/>
      <c r="HG33" s="156"/>
      <c r="HH33" s="156"/>
      <c r="HI33" s="255"/>
      <c r="HJ33" s="255"/>
      <c r="HK33" s="255"/>
      <c r="HL33" s="242"/>
      <c r="HM33" s="442"/>
      <c r="HN33" s="442"/>
      <c r="HO33" s="442"/>
      <c r="HP33" s="37"/>
      <c r="HQ33" s="37"/>
      <c r="HR33" s="442">
        <v>5</v>
      </c>
      <c r="HS33" s="442"/>
      <c r="HT33" s="442"/>
      <c r="HU33" s="95"/>
      <c r="HV33" s="154"/>
      <c r="HW33" s="154"/>
      <c r="HX33" s="154"/>
      <c r="HY33" s="154"/>
      <c r="HZ33" s="154"/>
      <c r="IA33" s="158"/>
      <c r="IB33" s="154"/>
      <c r="IC33" s="154"/>
      <c r="ID33" s="442"/>
      <c r="IE33" s="442"/>
      <c r="IF33" s="442"/>
      <c r="IG33" s="442"/>
      <c r="IH33" s="442"/>
      <c r="II33" s="442"/>
      <c r="IJ33" s="442"/>
      <c r="IK33" s="442"/>
      <c r="IL33" s="442"/>
      <c r="IM33" s="442"/>
      <c r="IN33" s="115" t="s">
        <v>10</v>
      </c>
      <c r="IO33" s="442"/>
      <c r="IP33" s="442"/>
      <c r="IQ33" s="442"/>
      <c r="IR33" s="442">
        <v>3</v>
      </c>
      <c r="IS33" s="442"/>
      <c r="IT33" s="442"/>
      <c r="IU33" s="442"/>
      <c r="IV33" s="442"/>
      <c r="IW33" s="442"/>
      <c r="IX33" s="442"/>
      <c r="IY33" s="442"/>
      <c r="IZ33" s="442"/>
      <c r="JA33" s="442"/>
      <c r="JB33" s="442"/>
      <c r="JC33" s="442"/>
      <c r="JD33" s="442"/>
      <c r="JE33" s="442"/>
      <c r="JF33" s="442"/>
      <c r="JG33" s="442"/>
      <c r="JH33" s="442"/>
      <c r="JI33" s="442"/>
      <c r="JJ33" s="442"/>
      <c r="JK33" s="442"/>
      <c r="JL33" s="442"/>
      <c r="JM33" s="442"/>
      <c r="JN33" s="442"/>
      <c r="JO33" s="442"/>
      <c r="JP33" s="442"/>
      <c r="JQ33" s="442"/>
      <c r="JR33" s="442"/>
      <c r="JS33" s="442"/>
      <c r="JT33" s="442"/>
      <c r="JU33" s="442"/>
      <c r="JV33" s="442"/>
      <c r="JW33" s="442"/>
      <c r="JX33" s="442"/>
      <c r="JY33" s="442"/>
      <c r="JZ33" s="442"/>
      <c r="KA33" s="442"/>
      <c r="KB33" s="442"/>
      <c r="KC33" s="442"/>
      <c r="KD33" s="442"/>
      <c r="KE33" s="442"/>
      <c r="KF33" s="442"/>
      <c r="KG33" s="442"/>
      <c r="KH33" s="442"/>
      <c r="KI33" s="442"/>
      <c r="KJ33" s="442"/>
      <c r="KK33" s="442"/>
      <c r="KL33" s="442"/>
      <c r="KM33" s="442"/>
      <c r="KN33" s="442"/>
      <c r="KO33" s="442"/>
      <c r="KP33" s="442"/>
      <c r="KQ33" s="442"/>
      <c r="KR33" s="442"/>
      <c r="KS33" s="442"/>
      <c r="KT33" s="442"/>
      <c r="KU33" s="442"/>
      <c r="KV33" s="442"/>
      <c r="KW33" s="442"/>
      <c r="KX33" s="442"/>
      <c r="KY33" s="442"/>
      <c r="KZ33" s="442"/>
      <c r="LA33" s="442"/>
      <c r="LB33" s="442"/>
      <c r="LC33" s="442"/>
      <c r="LD33" s="442"/>
      <c r="LE33" s="442"/>
      <c r="LF33" s="442"/>
      <c r="LG33" s="442"/>
      <c r="LH33" s="442"/>
      <c r="LI33" s="442"/>
      <c r="LJ33" s="442"/>
      <c r="LK33" s="442"/>
      <c r="LL33" s="442"/>
      <c r="LM33" s="442"/>
      <c r="LN33" s="442"/>
      <c r="LO33" s="442"/>
      <c r="LP33" s="442"/>
      <c r="LQ33" s="442"/>
      <c r="LR33" s="442"/>
      <c r="LS33" s="442"/>
      <c r="LT33" s="442"/>
      <c r="LU33" s="442"/>
      <c r="LV33" s="442"/>
      <c r="LW33" s="442"/>
      <c r="LX33" s="442"/>
      <c r="LY33" s="442"/>
      <c r="LZ33" s="442"/>
      <c r="MA33" s="442"/>
      <c r="MB33" s="442"/>
      <c r="MC33" s="442"/>
      <c r="MD33" s="442"/>
      <c r="ME33" s="442"/>
      <c r="MF33" s="442"/>
      <c r="MG33" s="442"/>
      <c r="MH33" s="442"/>
      <c r="MI33" s="442"/>
      <c r="MJ33" s="442"/>
      <c r="MK33" s="442"/>
      <c r="ML33" s="442"/>
      <c r="MM33" s="442"/>
      <c r="MN33" s="442"/>
      <c r="MO33" s="442"/>
      <c r="MP33" s="442"/>
      <c r="MQ33" s="442"/>
      <c r="MR33" s="442"/>
      <c r="MS33" s="442"/>
      <c r="MT33" s="442"/>
      <c r="MU33" s="442"/>
      <c r="MV33" s="442"/>
      <c r="MW33" s="442"/>
      <c r="MX33" s="442"/>
      <c r="MY33" s="442"/>
      <c r="MZ33" s="442"/>
      <c r="NA33" s="442"/>
      <c r="NB33" s="442"/>
      <c r="NC33" s="442"/>
    </row>
    <row r="34" spans="1:367" ht="14.1" customHeight="1" thickTop="1" x14ac:dyDescent="0.2">
      <c r="A34" s="156"/>
      <c r="B34" s="90"/>
      <c r="C34" s="90"/>
      <c r="D34" s="651">
        <v>1</v>
      </c>
      <c r="E34" s="652"/>
      <c r="F34" s="653"/>
      <c r="G34" s="50"/>
      <c r="H34" s="651">
        <v>2</v>
      </c>
      <c r="I34" s="652"/>
      <c r="J34" s="653"/>
      <c r="K34" s="177"/>
      <c r="L34" s="660">
        <v>3</v>
      </c>
      <c r="M34" s="661"/>
      <c r="N34" s="662"/>
      <c r="O34" s="151"/>
      <c r="P34" s="50"/>
      <c r="Q34" s="566"/>
      <c r="R34" s="567"/>
      <c r="S34" s="568"/>
      <c r="T34" s="600" t="s">
        <v>226</v>
      </c>
      <c r="U34" s="600"/>
      <c r="V34" s="600"/>
      <c r="W34" s="600" t="s">
        <v>141</v>
      </c>
      <c r="X34" s="600"/>
      <c r="Y34" s="600"/>
      <c r="Z34" s="600"/>
      <c r="AA34" s="600"/>
      <c r="AB34" s="600"/>
      <c r="AC34" s="600"/>
      <c r="AD34" s="600"/>
      <c r="AE34" s="663"/>
      <c r="AF34" s="50"/>
      <c r="AG34" s="387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69"/>
      <c r="CA34" s="69"/>
      <c r="CB34" s="69"/>
      <c r="CC34" s="69"/>
      <c r="CD34" s="69"/>
      <c r="CE34" s="69"/>
      <c r="CF34" s="365"/>
      <c r="CG34" s="151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156"/>
      <c r="CS34" s="156"/>
      <c r="CT34" s="156"/>
      <c r="CU34" s="156"/>
      <c r="CV34" s="156"/>
      <c r="CW34" s="156"/>
      <c r="CX34" s="156"/>
      <c r="CY34" s="156"/>
      <c r="CZ34" s="156"/>
      <c r="DA34" s="156"/>
      <c r="DB34" s="156"/>
      <c r="DC34" s="156"/>
      <c r="DD34" s="156"/>
      <c r="DE34" s="156"/>
      <c r="DF34" s="156"/>
      <c r="DG34" s="156"/>
      <c r="DH34" s="156"/>
      <c r="DI34" s="156"/>
      <c r="DJ34" s="156"/>
      <c r="DK34" s="156"/>
      <c r="DL34" s="156"/>
      <c r="DM34" s="156"/>
      <c r="DN34" s="156"/>
      <c r="DO34" s="156"/>
      <c r="DP34" s="156"/>
      <c r="DQ34" s="156"/>
      <c r="DR34" s="156"/>
      <c r="DS34" s="156"/>
      <c r="DT34" s="156"/>
      <c r="DU34" s="156"/>
      <c r="DV34" s="156"/>
      <c r="DW34" s="156"/>
      <c r="DX34" s="156"/>
      <c r="DY34" s="156"/>
      <c r="DZ34" s="156"/>
      <c r="EA34" s="156"/>
      <c r="EB34" s="156"/>
      <c r="EC34" s="156"/>
      <c r="ED34" s="156"/>
      <c r="EE34" s="156"/>
      <c r="EF34" s="156"/>
      <c r="EG34" s="156"/>
      <c r="EH34" s="156"/>
      <c r="EI34" s="156"/>
      <c r="EJ34" s="156"/>
      <c r="EK34" s="156"/>
      <c r="EL34" s="156"/>
      <c r="EM34" s="156"/>
      <c r="EN34" s="156"/>
      <c r="EO34" s="156"/>
      <c r="EP34" s="156"/>
      <c r="EQ34" s="156"/>
      <c r="ER34" s="156"/>
      <c r="ES34" s="156"/>
      <c r="ET34" s="156"/>
      <c r="EU34" s="156"/>
      <c r="EV34" s="156"/>
      <c r="EW34" s="156"/>
      <c r="EX34" s="156"/>
      <c r="EY34" s="156"/>
      <c r="EZ34" s="156"/>
      <c r="FA34" s="156"/>
      <c r="FB34" s="156"/>
      <c r="FC34" s="156"/>
      <c r="FD34" s="156"/>
      <c r="FE34" s="156"/>
      <c r="FF34" s="156"/>
      <c r="FG34" s="156"/>
      <c r="FH34" s="156"/>
      <c r="FI34" s="156"/>
      <c r="FJ34" s="156"/>
      <c r="FK34" s="156"/>
      <c r="FL34" s="156"/>
      <c r="FM34" s="156"/>
      <c r="FN34" s="156"/>
      <c r="FO34" s="156"/>
      <c r="FP34" s="156"/>
      <c r="FQ34" s="156"/>
      <c r="FR34" s="156"/>
      <c r="FS34" s="156"/>
      <c r="FT34" s="156"/>
      <c r="FU34" s="156"/>
      <c r="FV34" s="156"/>
      <c r="FW34" s="156"/>
      <c r="FX34" s="156"/>
      <c r="FY34" s="156"/>
      <c r="FZ34" s="252"/>
      <c r="GA34" s="252"/>
      <c r="GB34" s="252"/>
      <c r="GC34" s="253"/>
      <c r="GD34" s="253"/>
      <c r="GE34" s="253"/>
      <c r="GF34" s="254"/>
      <c r="GG34" s="254"/>
      <c r="GH34" s="242"/>
      <c r="GI34" s="242"/>
      <c r="GJ34" s="242"/>
      <c r="GK34" s="242"/>
      <c r="GL34" s="242"/>
      <c r="GM34" s="242"/>
      <c r="GN34" s="242"/>
      <c r="GO34" s="242"/>
      <c r="GP34" s="242"/>
      <c r="GQ34" s="242"/>
      <c r="GR34" s="242"/>
      <c r="GS34" s="242"/>
      <c r="GT34" s="242"/>
      <c r="GU34" s="242"/>
      <c r="GV34" s="242"/>
      <c r="GW34" s="242"/>
      <c r="GX34" s="242"/>
      <c r="GY34" s="242"/>
      <c r="GZ34" s="242"/>
      <c r="HA34" s="242"/>
      <c r="HB34" s="242"/>
      <c r="HC34" s="242"/>
      <c r="HD34" s="242"/>
      <c r="HE34" s="156"/>
      <c r="HF34" s="156"/>
      <c r="HG34" s="156"/>
      <c r="HH34" s="156"/>
      <c r="HI34" s="242"/>
      <c r="HJ34" s="242"/>
      <c r="HK34" s="242"/>
      <c r="HL34" s="242"/>
      <c r="HM34" s="442"/>
      <c r="HN34" s="442"/>
      <c r="HO34" s="442"/>
      <c r="HP34" s="159"/>
      <c r="HQ34" s="159"/>
      <c r="HR34" s="442">
        <v>6</v>
      </c>
      <c r="HS34" s="442"/>
      <c r="HT34" s="442"/>
      <c r="HU34" s="461"/>
      <c r="HV34" s="160"/>
      <c r="HW34" s="160"/>
      <c r="HX34" s="161"/>
      <c r="HY34" s="161"/>
      <c r="HZ34" s="161"/>
      <c r="IA34" s="161"/>
      <c r="IB34" s="461"/>
      <c r="IC34" s="461"/>
      <c r="ID34" s="442"/>
      <c r="IE34" s="162"/>
      <c r="IF34" s="162"/>
      <c r="IG34" s="163"/>
      <c r="IH34" s="163"/>
      <c r="II34" s="163"/>
      <c r="IJ34" s="163"/>
      <c r="IK34" s="453"/>
      <c r="IL34" s="453"/>
      <c r="IM34" s="453"/>
      <c r="IN34" s="115" t="s">
        <v>5</v>
      </c>
      <c r="IO34" s="442"/>
      <c r="IP34" s="442"/>
      <c r="IQ34" s="442"/>
      <c r="IR34" s="442">
        <v>4</v>
      </c>
      <c r="IS34" s="442"/>
      <c r="IT34" s="442"/>
      <c r="IU34" s="442"/>
      <c r="IV34" s="442"/>
      <c r="IW34" s="442"/>
      <c r="IX34" s="442"/>
      <c r="IY34" s="442"/>
      <c r="IZ34" s="442"/>
      <c r="JA34" s="442"/>
      <c r="JB34" s="442"/>
      <c r="JC34" s="442"/>
      <c r="JD34" s="442"/>
      <c r="JE34" s="442"/>
      <c r="JF34" s="442"/>
      <c r="JG34" s="442"/>
      <c r="JH34" s="442"/>
      <c r="JI34" s="442"/>
      <c r="JJ34" s="442"/>
      <c r="JK34" s="442"/>
      <c r="JL34" s="442"/>
      <c r="JM34" s="442"/>
      <c r="JN34" s="442"/>
      <c r="JO34" s="442"/>
      <c r="JP34" s="442"/>
      <c r="JQ34" s="442"/>
      <c r="JR34" s="442"/>
      <c r="JS34" s="442"/>
      <c r="JT34" s="442"/>
      <c r="JU34" s="442"/>
      <c r="JV34" s="442"/>
      <c r="JW34" s="442"/>
      <c r="JX34" s="442"/>
      <c r="JY34" s="442"/>
      <c r="JZ34" s="442"/>
      <c r="KA34" s="442"/>
      <c r="KB34" s="442"/>
      <c r="KC34" s="442"/>
      <c r="KD34" s="442"/>
      <c r="KE34" s="442"/>
      <c r="KF34" s="442"/>
      <c r="KG34" s="442"/>
      <c r="KH34" s="442"/>
      <c r="KI34" s="442"/>
      <c r="KJ34" s="442"/>
      <c r="KK34" s="442"/>
      <c r="KL34" s="442"/>
      <c r="KM34" s="442"/>
      <c r="KN34" s="442"/>
      <c r="KO34" s="442"/>
      <c r="KP34" s="442"/>
      <c r="KQ34" s="442"/>
      <c r="KR34" s="442"/>
      <c r="KS34" s="442"/>
      <c r="KT34" s="442"/>
      <c r="KU34" s="442"/>
      <c r="KV34" s="442"/>
      <c r="KW34" s="442"/>
      <c r="KX34" s="442"/>
      <c r="KY34" s="442"/>
      <c r="KZ34" s="442"/>
      <c r="LA34" s="442"/>
      <c r="LB34" s="442"/>
      <c r="LC34" s="442"/>
      <c r="LD34" s="442"/>
      <c r="LE34" s="442"/>
      <c r="LF34" s="442"/>
      <c r="LG34" s="442"/>
      <c r="LH34" s="442"/>
      <c r="LI34" s="442"/>
      <c r="LJ34" s="442"/>
      <c r="LK34" s="442"/>
      <c r="LL34" s="442"/>
      <c r="LM34" s="442"/>
      <c r="LN34" s="442"/>
      <c r="LO34" s="442"/>
      <c r="LP34" s="442"/>
      <c r="LQ34" s="442"/>
      <c r="LR34" s="442"/>
      <c r="LS34" s="442"/>
      <c r="LT34" s="442"/>
      <c r="LU34" s="442"/>
      <c r="LV34" s="442"/>
      <c r="LW34" s="442"/>
      <c r="LX34" s="442"/>
      <c r="LY34" s="442"/>
      <c r="LZ34" s="442"/>
      <c r="MA34" s="442"/>
      <c r="MB34" s="442"/>
      <c r="MC34" s="442"/>
      <c r="MD34" s="442"/>
      <c r="ME34" s="442"/>
      <c r="MF34" s="442"/>
      <c r="MG34" s="442"/>
      <c r="MH34" s="442"/>
      <c r="MI34" s="442"/>
      <c r="MJ34" s="442"/>
      <c r="MK34" s="442"/>
      <c r="ML34" s="442"/>
      <c r="MM34" s="442"/>
      <c r="MN34" s="442"/>
      <c r="MO34" s="442"/>
      <c r="MP34" s="442"/>
      <c r="MQ34" s="442"/>
      <c r="MR34" s="442"/>
      <c r="MS34" s="442"/>
      <c r="MT34" s="442"/>
      <c r="MU34" s="442"/>
      <c r="MV34" s="442"/>
      <c r="MW34" s="442"/>
      <c r="MX34" s="442"/>
      <c r="MY34" s="442"/>
      <c r="MZ34" s="442"/>
      <c r="NA34" s="442"/>
      <c r="NB34" s="442"/>
      <c r="NC34" s="442"/>
    </row>
    <row r="35" spans="1:367" ht="14.1" customHeight="1" thickBot="1" x14ac:dyDescent="0.25">
      <c r="A35" s="156"/>
      <c r="B35" s="90"/>
      <c r="C35" s="90"/>
      <c r="D35" s="654"/>
      <c r="E35" s="655"/>
      <c r="F35" s="656"/>
      <c r="G35" s="50"/>
      <c r="H35" s="657"/>
      <c r="I35" s="658"/>
      <c r="J35" s="659"/>
      <c r="K35" s="177"/>
      <c r="L35" s="657"/>
      <c r="M35" s="658"/>
      <c r="N35" s="659"/>
      <c r="O35" s="151"/>
      <c r="P35" s="50"/>
      <c r="Q35" s="566"/>
      <c r="R35" s="567"/>
      <c r="S35" s="568"/>
      <c r="T35" s="600" t="s">
        <v>261</v>
      </c>
      <c r="U35" s="600"/>
      <c r="V35" s="600"/>
      <c r="W35" s="664" t="s">
        <v>245</v>
      </c>
      <c r="X35" s="665"/>
      <c r="Y35" s="665"/>
      <c r="Z35" s="665"/>
      <c r="AA35" s="665"/>
      <c r="AB35" s="666"/>
      <c r="AC35" s="50" t="s">
        <v>0</v>
      </c>
      <c r="AD35" s="50"/>
      <c r="AE35" s="359"/>
      <c r="AF35" s="50"/>
      <c r="AG35" s="387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69"/>
      <c r="CC35" s="69"/>
      <c r="CD35" s="69"/>
      <c r="CE35" s="69"/>
      <c r="CF35" s="365"/>
      <c r="CG35" s="151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156"/>
      <c r="CS35" s="156"/>
      <c r="CT35" s="156"/>
      <c r="CU35" s="156"/>
      <c r="CV35" s="156"/>
      <c r="CW35" s="156"/>
      <c r="CX35" s="156"/>
      <c r="CY35" s="156"/>
      <c r="CZ35" s="156"/>
      <c r="DA35" s="156"/>
      <c r="DB35" s="156"/>
      <c r="DC35" s="156"/>
      <c r="DD35" s="156"/>
      <c r="DE35" s="156"/>
      <c r="DF35" s="156"/>
      <c r="DG35" s="156"/>
      <c r="DH35" s="156"/>
      <c r="DI35" s="156"/>
      <c r="DJ35" s="156"/>
      <c r="DK35" s="156"/>
      <c r="DL35" s="156"/>
      <c r="DM35" s="156"/>
      <c r="DN35" s="156"/>
      <c r="DO35" s="156"/>
      <c r="DP35" s="156"/>
      <c r="DQ35" s="156"/>
      <c r="DR35" s="156"/>
      <c r="DS35" s="156"/>
      <c r="DT35" s="156"/>
      <c r="DU35" s="156"/>
      <c r="DV35" s="156"/>
      <c r="DW35" s="156"/>
      <c r="DX35" s="156"/>
      <c r="DY35" s="156"/>
      <c r="DZ35" s="156"/>
      <c r="EA35" s="156"/>
      <c r="EB35" s="156"/>
      <c r="EC35" s="156"/>
      <c r="ED35" s="156"/>
      <c r="EE35" s="156"/>
      <c r="EF35" s="156"/>
      <c r="EG35" s="156"/>
      <c r="EH35" s="156"/>
      <c r="EI35" s="156"/>
      <c r="EJ35" s="156"/>
      <c r="EK35" s="156"/>
      <c r="EL35" s="156"/>
      <c r="EM35" s="156"/>
      <c r="EN35" s="156"/>
      <c r="EO35" s="156"/>
      <c r="EP35" s="156"/>
      <c r="EQ35" s="156"/>
      <c r="ER35" s="156"/>
      <c r="ES35" s="156"/>
      <c r="ET35" s="156"/>
      <c r="EU35" s="156"/>
      <c r="EV35" s="156"/>
      <c r="EW35" s="156"/>
      <c r="EX35" s="156"/>
      <c r="EY35" s="156"/>
      <c r="EZ35" s="156"/>
      <c r="FA35" s="156"/>
      <c r="FB35" s="156"/>
      <c r="FC35" s="156"/>
      <c r="FD35" s="156"/>
      <c r="FE35" s="156"/>
      <c r="FF35" s="156"/>
      <c r="FG35" s="156"/>
      <c r="FH35" s="156"/>
      <c r="FI35" s="156"/>
      <c r="FJ35" s="156"/>
      <c r="FK35" s="156"/>
      <c r="FL35" s="156"/>
      <c r="FM35" s="156"/>
      <c r="FN35" s="156"/>
      <c r="FO35" s="156"/>
      <c r="FP35" s="156"/>
      <c r="FQ35" s="156"/>
      <c r="FR35" s="156"/>
      <c r="FS35" s="156"/>
      <c r="FT35" s="156"/>
      <c r="FU35" s="156"/>
      <c r="FV35" s="156"/>
      <c r="FW35" s="156"/>
      <c r="FX35" s="156"/>
      <c r="FY35" s="156"/>
      <c r="FZ35" s="256"/>
      <c r="GA35" s="256"/>
      <c r="GB35" s="256"/>
      <c r="GC35" s="256"/>
      <c r="GD35" s="256"/>
      <c r="GE35" s="256"/>
      <c r="GF35" s="256"/>
      <c r="GG35" s="256"/>
      <c r="GH35" s="256"/>
      <c r="GI35" s="256"/>
      <c r="GJ35" s="256"/>
      <c r="GK35" s="256"/>
      <c r="GL35" s="256"/>
      <c r="GM35" s="256"/>
      <c r="GN35" s="256"/>
      <c r="GO35" s="256"/>
      <c r="GP35" s="256"/>
      <c r="GQ35" s="256"/>
      <c r="GR35" s="256"/>
      <c r="GS35" s="256"/>
      <c r="GT35" s="256"/>
      <c r="GU35" s="256"/>
      <c r="GV35" s="256"/>
      <c r="GW35" s="256"/>
      <c r="GX35" s="256"/>
      <c r="GY35" s="256"/>
      <c r="GZ35" s="256"/>
      <c r="HA35" s="256"/>
      <c r="HB35" s="256"/>
      <c r="HC35" s="256"/>
      <c r="HD35" s="242"/>
      <c r="HE35" s="156"/>
      <c r="HF35" s="156"/>
      <c r="HG35" s="156"/>
      <c r="HH35" s="156"/>
      <c r="HI35" s="242"/>
      <c r="HJ35" s="242"/>
      <c r="HK35" s="242"/>
      <c r="HL35" s="242"/>
      <c r="HM35" s="442"/>
      <c r="HN35" s="442"/>
      <c r="HO35" s="442"/>
      <c r="HP35" s="37"/>
      <c r="HQ35" s="37"/>
      <c r="HR35" s="442">
        <v>7</v>
      </c>
      <c r="HS35" s="442"/>
      <c r="HT35" s="442"/>
      <c r="HU35" s="461"/>
      <c r="HV35" s="160"/>
      <c r="HW35" s="160"/>
      <c r="HX35" s="161"/>
      <c r="HY35" s="161"/>
      <c r="HZ35" s="161"/>
      <c r="IA35" s="161"/>
      <c r="IB35" s="461"/>
      <c r="IC35" s="165"/>
      <c r="ID35" s="442"/>
      <c r="IE35" s="453"/>
      <c r="IF35" s="453"/>
      <c r="IG35" s="453"/>
      <c r="IH35" s="453"/>
      <c r="II35" s="453"/>
      <c r="IJ35" s="453"/>
      <c r="IK35" s="453"/>
      <c r="IL35" s="453"/>
      <c r="IM35" s="453"/>
      <c r="IN35" s="115" t="s">
        <v>6</v>
      </c>
      <c r="IO35" s="442"/>
      <c r="IP35" s="442"/>
      <c r="IQ35" s="442"/>
      <c r="IR35" s="442">
        <v>5</v>
      </c>
      <c r="IS35" s="442"/>
      <c r="IT35" s="442"/>
      <c r="IU35" s="442"/>
      <c r="IV35" s="442"/>
      <c r="IW35" s="442"/>
      <c r="IX35" s="442"/>
      <c r="IY35" s="442"/>
      <c r="IZ35" s="442"/>
      <c r="JA35" s="442"/>
      <c r="JB35" s="442"/>
      <c r="JC35" s="442"/>
      <c r="JD35" s="442"/>
      <c r="JE35" s="442"/>
      <c r="JF35" s="442"/>
      <c r="JG35" s="442"/>
      <c r="JH35" s="442"/>
      <c r="JI35" s="442"/>
      <c r="JJ35" s="442"/>
      <c r="JK35" s="442"/>
      <c r="JL35" s="442"/>
      <c r="JM35" s="442"/>
      <c r="JN35" s="442"/>
      <c r="JO35" s="442"/>
      <c r="JP35" s="442"/>
      <c r="JQ35" s="442"/>
      <c r="JR35" s="442"/>
      <c r="JS35" s="442"/>
      <c r="JT35" s="442"/>
      <c r="JU35" s="442"/>
      <c r="JV35" s="442"/>
      <c r="JW35" s="442"/>
      <c r="JX35" s="442"/>
      <c r="JY35" s="442"/>
      <c r="JZ35" s="442"/>
      <c r="KA35" s="442"/>
      <c r="KB35" s="442"/>
      <c r="KC35" s="442"/>
      <c r="KD35" s="442"/>
      <c r="KE35" s="442"/>
      <c r="KF35" s="442"/>
      <c r="KG35" s="442"/>
      <c r="KH35" s="442"/>
      <c r="KI35" s="442"/>
      <c r="KJ35" s="442"/>
      <c r="KK35" s="442"/>
      <c r="KL35" s="442"/>
      <c r="KM35" s="442"/>
      <c r="KN35" s="442"/>
      <c r="KO35" s="442"/>
      <c r="KP35" s="442"/>
      <c r="KQ35" s="442"/>
      <c r="KR35" s="442"/>
      <c r="KS35" s="442"/>
      <c r="KT35" s="442"/>
      <c r="KU35" s="442"/>
      <c r="KV35" s="442"/>
      <c r="KW35" s="442"/>
      <c r="KX35" s="442"/>
      <c r="KY35" s="442"/>
      <c r="KZ35" s="442"/>
      <c r="LA35" s="442"/>
      <c r="LB35" s="442"/>
      <c r="LC35" s="442"/>
      <c r="LD35" s="442"/>
      <c r="LE35" s="442"/>
      <c r="LF35" s="442"/>
      <c r="LG35" s="442"/>
      <c r="LH35" s="442"/>
      <c r="LI35" s="442"/>
      <c r="LJ35" s="442"/>
      <c r="LK35" s="442"/>
      <c r="LL35" s="442"/>
      <c r="LM35" s="442"/>
      <c r="LN35" s="442"/>
      <c r="LO35" s="442"/>
      <c r="LP35" s="442"/>
      <c r="LQ35" s="442"/>
      <c r="LR35" s="442"/>
      <c r="LS35" s="442"/>
      <c r="LT35" s="442"/>
      <c r="LU35" s="442"/>
      <c r="LV35" s="442"/>
      <c r="LW35" s="442"/>
      <c r="LX35" s="442"/>
      <c r="LY35" s="442"/>
      <c r="LZ35" s="442"/>
      <c r="MA35" s="442"/>
      <c r="MB35" s="442"/>
      <c r="MC35" s="442"/>
      <c r="MD35" s="442"/>
      <c r="ME35" s="442"/>
      <c r="MF35" s="442"/>
      <c r="MG35" s="442"/>
      <c r="MH35" s="442"/>
      <c r="MI35" s="442"/>
      <c r="MJ35" s="442"/>
      <c r="MK35" s="442"/>
      <c r="ML35" s="442"/>
      <c r="MM35" s="442"/>
      <c r="MN35" s="442"/>
      <c r="MO35" s="442"/>
      <c r="MP35" s="442"/>
      <c r="MQ35" s="442"/>
      <c r="MR35" s="442"/>
      <c r="MS35" s="442"/>
      <c r="MT35" s="442"/>
      <c r="MU35" s="442"/>
      <c r="MV35" s="442"/>
      <c r="MW35" s="442"/>
      <c r="MX35" s="442"/>
      <c r="MY35" s="442"/>
      <c r="MZ35" s="442"/>
      <c r="NA35" s="442"/>
      <c r="NB35" s="442"/>
      <c r="NC35" s="442"/>
    </row>
    <row r="36" spans="1:367" ht="14.1" customHeight="1" thickTop="1" x14ac:dyDescent="0.2">
      <c r="A36" s="156"/>
      <c r="B36" s="90"/>
      <c r="C36" s="9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151"/>
      <c r="P36" s="50"/>
      <c r="Q36" s="566"/>
      <c r="R36" s="567"/>
      <c r="S36" s="568"/>
      <c r="T36" s="590" t="s">
        <v>287</v>
      </c>
      <c r="U36" s="591"/>
      <c r="V36" s="592"/>
      <c r="W36" s="667">
        <f>HT100</f>
        <v>2.5</v>
      </c>
      <c r="X36" s="668"/>
      <c r="Y36" s="668"/>
      <c r="Z36" s="668"/>
      <c r="AA36" s="668"/>
      <c r="AB36" s="669"/>
      <c r="AC36" s="306" t="s">
        <v>17</v>
      </c>
      <c r="AD36" s="366"/>
      <c r="AE36" s="367"/>
      <c r="AF36" s="50"/>
      <c r="AG36" s="387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  <c r="BP36" s="69"/>
      <c r="BQ36" s="69"/>
      <c r="BR36" s="69"/>
      <c r="BS36" s="69"/>
      <c r="BT36" s="69"/>
      <c r="BU36" s="69"/>
      <c r="BV36" s="69"/>
      <c r="BW36" s="69"/>
      <c r="BX36" s="69"/>
      <c r="BY36" s="69"/>
      <c r="BZ36" s="69"/>
      <c r="CA36" s="69"/>
      <c r="CB36" s="69"/>
      <c r="CC36" s="69"/>
      <c r="CD36" s="69"/>
      <c r="CE36" s="69"/>
      <c r="CF36" s="365"/>
      <c r="CG36" s="151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156"/>
      <c r="CS36" s="156"/>
      <c r="CT36" s="156"/>
      <c r="CU36" s="156"/>
      <c r="CV36" s="156"/>
      <c r="CW36" s="156"/>
      <c r="CX36" s="156"/>
      <c r="CY36" s="156"/>
      <c r="CZ36" s="156"/>
      <c r="DA36" s="156"/>
      <c r="DB36" s="156"/>
      <c r="DC36" s="156"/>
      <c r="DD36" s="156"/>
      <c r="DE36" s="156"/>
      <c r="DF36" s="156"/>
      <c r="DG36" s="156"/>
      <c r="DH36" s="156"/>
      <c r="DI36" s="156"/>
      <c r="DJ36" s="156"/>
      <c r="DK36" s="156"/>
      <c r="DL36" s="156"/>
      <c r="DM36" s="156"/>
      <c r="DN36" s="156"/>
      <c r="DO36" s="156"/>
      <c r="DP36" s="156"/>
      <c r="DQ36" s="156"/>
      <c r="DR36" s="156"/>
      <c r="DS36" s="156"/>
      <c r="DT36" s="156"/>
      <c r="DU36" s="156"/>
      <c r="DV36" s="156"/>
      <c r="DW36" s="156"/>
      <c r="DX36" s="156"/>
      <c r="DY36" s="156"/>
      <c r="DZ36" s="156"/>
      <c r="EA36" s="156"/>
      <c r="EB36" s="156"/>
      <c r="EC36" s="156"/>
      <c r="ED36" s="156"/>
      <c r="EE36" s="156"/>
      <c r="EF36" s="156"/>
      <c r="EG36" s="156"/>
      <c r="EH36" s="156"/>
      <c r="EI36" s="156"/>
      <c r="EJ36" s="156"/>
      <c r="EK36" s="156"/>
      <c r="EL36" s="156"/>
      <c r="EM36" s="156"/>
      <c r="EN36" s="156"/>
      <c r="EO36" s="156"/>
      <c r="EP36" s="156"/>
      <c r="EQ36" s="156"/>
      <c r="ER36" s="156"/>
      <c r="ES36" s="156"/>
      <c r="ET36" s="156"/>
      <c r="EU36" s="156"/>
      <c r="EV36" s="156"/>
      <c r="EW36" s="156"/>
      <c r="EX36" s="156"/>
      <c r="EY36" s="156"/>
      <c r="EZ36" s="156"/>
      <c r="FA36" s="156"/>
      <c r="FB36" s="156"/>
      <c r="FC36" s="156"/>
      <c r="FD36" s="156"/>
      <c r="FE36" s="156"/>
      <c r="FF36" s="156"/>
      <c r="FG36" s="156"/>
      <c r="FH36" s="156"/>
      <c r="FI36" s="156"/>
      <c r="FJ36" s="156"/>
      <c r="FK36" s="156"/>
      <c r="FL36" s="156"/>
      <c r="FM36" s="156"/>
      <c r="FN36" s="156"/>
      <c r="FO36" s="156"/>
      <c r="FP36" s="156"/>
      <c r="FQ36" s="156"/>
      <c r="FR36" s="156"/>
      <c r="FS36" s="156"/>
      <c r="FT36" s="156"/>
      <c r="FU36" s="156"/>
      <c r="FV36" s="156"/>
      <c r="FW36" s="156"/>
      <c r="FX36" s="156"/>
      <c r="FY36" s="156"/>
      <c r="FZ36" s="164"/>
      <c r="GA36" s="242"/>
      <c r="GB36" s="242"/>
      <c r="GC36" s="242"/>
      <c r="GD36" s="222"/>
      <c r="GE36" s="242"/>
      <c r="GF36" s="242"/>
      <c r="GG36" s="242"/>
      <c r="GH36" s="222"/>
      <c r="GI36" s="222"/>
      <c r="GJ36" s="222"/>
      <c r="GK36" s="257"/>
      <c r="GL36" s="242"/>
      <c r="GM36" s="242"/>
      <c r="GN36" s="242"/>
      <c r="GO36" s="242"/>
      <c r="GP36" s="258"/>
      <c r="GQ36" s="242"/>
      <c r="GR36" s="242"/>
      <c r="GS36" s="242"/>
      <c r="GT36" s="259"/>
      <c r="GU36" s="259"/>
      <c r="GV36" s="259"/>
      <c r="GW36" s="259"/>
      <c r="GX36" s="259"/>
      <c r="GY36" s="259"/>
      <c r="GZ36" s="259"/>
      <c r="HA36" s="259"/>
      <c r="HB36" s="259"/>
      <c r="HC36" s="259"/>
      <c r="HD36" s="259"/>
      <c r="HE36" s="259"/>
      <c r="HF36" s="242"/>
      <c r="HG36" s="242"/>
      <c r="HH36" s="260"/>
      <c r="HI36" s="242"/>
      <c r="HJ36" s="242"/>
      <c r="HK36" s="242"/>
      <c r="HL36" s="242"/>
      <c r="HM36" s="442"/>
      <c r="HN36" s="442"/>
      <c r="HO36" s="442"/>
      <c r="HP36" s="37"/>
      <c r="HQ36" s="37"/>
      <c r="HR36" s="442">
        <v>8</v>
      </c>
      <c r="HS36" s="442"/>
      <c r="HT36" s="442"/>
      <c r="HU36" s="461"/>
      <c r="HV36" s="160"/>
      <c r="HW36" s="160"/>
      <c r="HX36" s="161"/>
      <c r="HY36" s="161"/>
      <c r="HZ36" s="161"/>
      <c r="IA36" s="161"/>
      <c r="IB36" s="461"/>
      <c r="IC36" s="461"/>
      <c r="ID36" s="442"/>
      <c r="IE36" s="453"/>
      <c r="IF36" s="453"/>
      <c r="IG36" s="453"/>
      <c r="IH36" s="453"/>
      <c r="II36" s="453"/>
      <c r="IJ36" s="453"/>
      <c r="IK36" s="453"/>
      <c r="IL36" s="453"/>
      <c r="IM36" s="453"/>
      <c r="IN36" s="442"/>
      <c r="IO36" s="442"/>
      <c r="IP36" s="442"/>
      <c r="IQ36" s="442"/>
      <c r="IR36" s="442">
        <v>6</v>
      </c>
      <c r="IS36" s="442"/>
      <c r="IT36" s="442"/>
      <c r="IU36" s="442"/>
      <c r="IV36" s="442"/>
      <c r="IW36" s="442"/>
      <c r="IX36" s="442"/>
      <c r="IY36" s="442"/>
      <c r="IZ36" s="442"/>
      <c r="JA36" s="442"/>
      <c r="JB36" s="442"/>
      <c r="JC36" s="442"/>
      <c r="JD36" s="442"/>
      <c r="JE36" s="442"/>
      <c r="JF36" s="442"/>
      <c r="JG36" s="442"/>
      <c r="JH36" s="442"/>
      <c r="JI36" s="442"/>
      <c r="JJ36" s="442"/>
      <c r="JK36" s="442"/>
      <c r="JL36" s="442"/>
      <c r="JM36" s="442"/>
      <c r="JN36" s="442"/>
      <c r="JO36" s="442"/>
      <c r="JP36" s="442"/>
      <c r="JQ36" s="442"/>
      <c r="JR36" s="442"/>
      <c r="JS36" s="442"/>
      <c r="JT36" s="442"/>
      <c r="JU36" s="442"/>
      <c r="JV36" s="442"/>
      <c r="JW36" s="442"/>
      <c r="JX36" s="442"/>
      <c r="JY36" s="442"/>
      <c r="JZ36" s="442"/>
      <c r="KA36" s="442"/>
      <c r="KB36" s="442"/>
      <c r="KC36" s="442"/>
      <c r="KD36" s="442"/>
      <c r="KE36" s="442"/>
      <c r="KF36" s="442"/>
      <c r="KG36" s="442"/>
      <c r="KH36" s="442"/>
      <c r="KI36" s="442"/>
      <c r="KJ36" s="442"/>
      <c r="KK36" s="442"/>
      <c r="KL36" s="442"/>
      <c r="KM36" s="442"/>
      <c r="KN36" s="442"/>
      <c r="KO36" s="442"/>
      <c r="KP36" s="442"/>
      <c r="KQ36" s="442"/>
      <c r="KR36" s="442"/>
      <c r="KS36" s="442"/>
      <c r="KT36" s="442"/>
      <c r="KU36" s="442"/>
      <c r="KV36" s="442"/>
      <c r="KW36" s="442"/>
      <c r="KX36" s="442"/>
      <c r="KY36" s="442"/>
      <c r="KZ36" s="442"/>
      <c r="LA36" s="442"/>
      <c r="LB36" s="442"/>
      <c r="LC36" s="442"/>
      <c r="LD36" s="442"/>
      <c r="LE36" s="442"/>
      <c r="LF36" s="442"/>
      <c r="LG36" s="442"/>
      <c r="LH36" s="442"/>
      <c r="LI36" s="442"/>
      <c r="LJ36" s="442"/>
      <c r="LK36" s="442"/>
      <c r="LL36" s="442"/>
      <c r="LM36" s="442"/>
      <c r="LN36" s="442"/>
      <c r="LO36" s="442"/>
      <c r="LP36" s="442"/>
      <c r="LQ36" s="442"/>
      <c r="LR36" s="442"/>
      <c r="LS36" s="442"/>
      <c r="LT36" s="442"/>
      <c r="LU36" s="442"/>
      <c r="LV36" s="442"/>
      <c r="LW36" s="442"/>
      <c r="LX36" s="442"/>
      <c r="LY36" s="442"/>
      <c r="LZ36" s="442"/>
      <c r="MA36" s="442"/>
      <c r="MB36" s="442"/>
      <c r="MC36" s="442"/>
      <c r="MD36" s="442"/>
      <c r="ME36" s="442"/>
      <c r="MF36" s="442"/>
      <c r="MG36" s="442"/>
      <c r="MH36" s="442"/>
      <c r="MI36" s="442"/>
      <c r="MJ36" s="442"/>
      <c r="MK36" s="442"/>
      <c r="ML36" s="442"/>
      <c r="MM36" s="442"/>
      <c r="MN36" s="442"/>
      <c r="MO36" s="442"/>
      <c r="MP36" s="442"/>
      <c r="MQ36" s="442"/>
      <c r="MR36" s="442"/>
      <c r="MS36" s="442"/>
      <c r="MT36" s="442"/>
      <c r="MU36" s="442"/>
      <c r="MV36" s="442"/>
      <c r="MW36" s="442"/>
      <c r="MX36" s="442"/>
      <c r="MY36" s="442"/>
      <c r="MZ36" s="442"/>
      <c r="NA36" s="442"/>
      <c r="NB36" s="442"/>
      <c r="NC36" s="442"/>
    </row>
    <row r="37" spans="1:367" ht="14.1" customHeight="1" thickBot="1" x14ac:dyDescent="0.25">
      <c r="A37" s="156"/>
      <c r="B37" s="90"/>
      <c r="C37" s="9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151"/>
      <c r="P37" s="50"/>
      <c r="Q37" s="566"/>
      <c r="R37" s="567"/>
      <c r="S37" s="568"/>
      <c r="T37" s="490" t="s">
        <v>221</v>
      </c>
      <c r="U37" s="486"/>
      <c r="V37" s="486"/>
      <c r="W37" s="572">
        <f>HT101</f>
        <v>0.25</v>
      </c>
      <c r="X37" s="573"/>
      <c r="Y37" s="573"/>
      <c r="Z37" s="573"/>
      <c r="AA37" s="573"/>
      <c r="AB37" s="574"/>
      <c r="AC37" s="306" t="s">
        <v>13</v>
      </c>
      <c r="AD37" s="366"/>
      <c r="AE37" s="367"/>
      <c r="AF37" s="50"/>
      <c r="AG37" s="387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  <c r="CB37" s="69"/>
      <c r="CC37" s="69"/>
      <c r="CD37" s="69"/>
      <c r="CE37" s="69"/>
      <c r="CF37" s="365"/>
      <c r="CG37" s="151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156"/>
      <c r="CS37" s="156"/>
      <c r="CT37" s="156"/>
      <c r="CU37" s="156"/>
      <c r="CV37" s="156"/>
      <c r="CW37" s="156"/>
      <c r="CX37" s="156"/>
      <c r="CY37" s="156"/>
      <c r="CZ37" s="156"/>
      <c r="DA37" s="156"/>
      <c r="DB37" s="156"/>
      <c r="DC37" s="156"/>
      <c r="DD37" s="156"/>
      <c r="DE37" s="156"/>
      <c r="DF37" s="156"/>
      <c r="DG37" s="156"/>
      <c r="DH37" s="156"/>
      <c r="DI37" s="156"/>
      <c r="DJ37" s="156"/>
      <c r="DK37" s="156"/>
      <c r="DL37" s="156"/>
      <c r="DM37" s="156"/>
      <c r="DN37" s="156"/>
      <c r="DO37" s="156"/>
      <c r="DP37" s="156"/>
      <c r="DQ37" s="156"/>
      <c r="DR37" s="156"/>
      <c r="DS37" s="156"/>
      <c r="DT37" s="156"/>
      <c r="DU37" s="156"/>
      <c r="DV37" s="156"/>
      <c r="DW37" s="156"/>
      <c r="DX37" s="156"/>
      <c r="DY37" s="156"/>
      <c r="DZ37" s="156"/>
      <c r="EA37" s="156"/>
      <c r="EB37" s="156"/>
      <c r="EC37" s="156"/>
      <c r="ED37" s="156"/>
      <c r="EE37" s="156"/>
      <c r="EF37" s="156"/>
      <c r="EG37" s="156"/>
      <c r="EH37" s="156"/>
      <c r="EI37" s="156"/>
      <c r="EJ37" s="156"/>
      <c r="EK37" s="156"/>
      <c r="EL37" s="156"/>
      <c r="EM37" s="156"/>
      <c r="EN37" s="156"/>
      <c r="EO37" s="156"/>
      <c r="EP37" s="156"/>
      <c r="EQ37" s="156"/>
      <c r="ER37" s="156"/>
      <c r="ES37" s="156"/>
      <c r="ET37" s="156"/>
      <c r="EU37" s="156"/>
      <c r="EV37" s="156"/>
      <c r="EW37" s="156"/>
      <c r="EX37" s="156"/>
      <c r="EY37" s="156"/>
      <c r="EZ37" s="156"/>
      <c r="FA37" s="156"/>
      <c r="FB37" s="156"/>
      <c r="FC37" s="156"/>
      <c r="FD37" s="156"/>
      <c r="FE37" s="156"/>
      <c r="FF37" s="156"/>
      <c r="FG37" s="156"/>
      <c r="FH37" s="156"/>
      <c r="FI37" s="156"/>
      <c r="FJ37" s="156"/>
      <c r="FK37" s="156"/>
      <c r="FL37" s="156"/>
      <c r="FM37" s="156"/>
      <c r="FN37" s="156"/>
      <c r="FO37" s="156"/>
      <c r="FP37" s="156"/>
      <c r="FQ37" s="156"/>
      <c r="FR37" s="156"/>
      <c r="FS37" s="156"/>
      <c r="FT37" s="156"/>
      <c r="FU37" s="156"/>
      <c r="FV37" s="156"/>
      <c r="FW37" s="156"/>
      <c r="FX37" s="156"/>
      <c r="FY37" s="156"/>
      <c r="FZ37" s="222"/>
      <c r="GA37" s="257"/>
      <c r="GB37" s="242"/>
      <c r="GC37" s="242"/>
      <c r="GD37" s="257"/>
      <c r="GE37" s="242"/>
      <c r="GF37" s="242"/>
      <c r="GG37" s="242"/>
      <c r="GH37" s="261"/>
      <c r="GI37" s="261"/>
      <c r="GJ37" s="261"/>
      <c r="GK37" s="257"/>
      <c r="GL37" s="262"/>
      <c r="GM37" s="242"/>
      <c r="GN37" s="263"/>
      <c r="GO37" s="242"/>
      <c r="GP37" s="258"/>
      <c r="GQ37" s="242"/>
      <c r="GR37" s="242"/>
      <c r="GS37" s="242"/>
      <c r="GT37" s="259"/>
      <c r="GU37" s="259"/>
      <c r="GV37" s="259"/>
      <c r="GW37" s="259"/>
      <c r="GX37" s="259"/>
      <c r="GY37" s="259"/>
      <c r="GZ37" s="259"/>
      <c r="HA37" s="259"/>
      <c r="HB37" s="259"/>
      <c r="HC37" s="259"/>
      <c r="HD37" s="259"/>
      <c r="HE37" s="259"/>
      <c r="HF37" s="242"/>
      <c r="HG37" s="242"/>
      <c r="HH37" s="260"/>
      <c r="HI37" s="242"/>
      <c r="HJ37" s="242"/>
      <c r="HK37" s="242"/>
      <c r="HL37" s="242"/>
      <c r="HM37" s="442"/>
      <c r="HN37" s="442"/>
      <c r="HO37" s="442"/>
      <c r="HP37" s="37"/>
      <c r="HQ37" s="37"/>
      <c r="HR37" s="442">
        <v>9</v>
      </c>
      <c r="HS37" s="442"/>
      <c r="HT37" s="442"/>
      <c r="HU37" s="461"/>
      <c r="HV37" s="160"/>
      <c r="HW37" s="160"/>
      <c r="HX37" s="161"/>
      <c r="HY37" s="161"/>
      <c r="HZ37" s="161"/>
      <c r="IA37" s="161"/>
      <c r="IB37" s="461"/>
      <c r="IC37" s="461"/>
      <c r="ID37" s="442"/>
      <c r="IE37" s="162"/>
      <c r="IF37" s="162"/>
      <c r="IG37" s="163"/>
      <c r="IH37" s="163"/>
      <c r="II37" s="163"/>
      <c r="IJ37" s="163"/>
      <c r="IK37" s="453"/>
      <c r="IL37" s="453"/>
      <c r="IM37" s="453"/>
      <c r="IN37" s="442"/>
      <c r="IO37" s="442"/>
      <c r="IP37" s="442"/>
      <c r="IQ37" s="442"/>
      <c r="IR37" s="442">
        <v>7</v>
      </c>
      <c r="IS37" s="442"/>
      <c r="IT37" s="442"/>
      <c r="IU37" s="442"/>
      <c r="IV37" s="442"/>
      <c r="IW37" s="442"/>
      <c r="IX37" s="442"/>
      <c r="IY37" s="442"/>
      <c r="IZ37" s="442"/>
      <c r="JA37" s="442"/>
      <c r="JB37" s="442"/>
      <c r="JC37" s="442"/>
      <c r="JD37" s="442"/>
      <c r="JE37" s="442"/>
      <c r="JF37" s="442"/>
      <c r="JG37" s="442"/>
      <c r="JH37" s="442"/>
      <c r="JI37" s="442"/>
      <c r="JJ37" s="442"/>
      <c r="JK37" s="442"/>
      <c r="JL37" s="442"/>
      <c r="JM37" s="442"/>
      <c r="JN37" s="442"/>
      <c r="JO37" s="442"/>
      <c r="JP37" s="442"/>
      <c r="JQ37" s="442"/>
      <c r="JR37" s="442"/>
      <c r="JS37" s="442"/>
      <c r="JT37" s="442"/>
      <c r="JU37" s="442"/>
      <c r="JV37" s="442"/>
      <c r="JW37" s="442"/>
      <c r="JX37" s="442"/>
      <c r="JY37" s="442"/>
      <c r="JZ37" s="442"/>
      <c r="KA37" s="442"/>
      <c r="KB37" s="442"/>
      <c r="KC37" s="442"/>
      <c r="KD37" s="442"/>
      <c r="KE37" s="442"/>
      <c r="KF37" s="442"/>
      <c r="KG37" s="442"/>
      <c r="KH37" s="442"/>
      <c r="KI37" s="442"/>
      <c r="KJ37" s="442"/>
      <c r="KK37" s="442"/>
      <c r="KL37" s="442"/>
      <c r="KM37" s="442"/>
      <c r="KN37" s="442"/>
      <c r="KO37" s="442"/>
      <c r="KP37" s="442"/>
      <c r="KQ37" s="442"/>
      <c r="KR37" s="442"/>
      <c r="KS37" s="442"/>
      <c r="KT37" s="442"/>
      <c r="KU37" s="442"/>
      <c r="KV37" s="442"/>
      <c r="KW37" s="442"/>
      <c r="KX37" s="442"/>
      <c r="KY37" s="442"/>
      <c r="KZ37" s="442"/>
      <c r="LA37" s="442"/>
      <c r="LB37" s="442"/>
      <c r="LC37" s="442"/>
      <c r="LD37" s="442"/>
      <c r="LE37" s="442"/>
      <c r="LF37" s="442"/>
      <c r="LG37" s="442"/>
      <c r="LH37" s="442"/>
      <c r="LI37" s="442"/>
      <c r="LJ37" s="442"/>
      <c r="LK37" s="442"/>
      <c r="LL37" s="442"/>
      <c r="LM37" s="442"/>
      <c r="LN37" s="442"/>
      <c r="LO37" s="442"/>
      <c r="LP37" s="442"/>
      <c r="LQ37" s="442"/>
      <c r="LR37" s="442"/>
      <c r="LS37" s="442"/>
      <c r="LT37" s="442"/>
      <c r="LU37" s="442"/>
      <c r="LV37" s="442"/>
      <c r="LW37" s="442"/>
      <c r="LX37" s="442"/>
      <c r="LY37" s="442"/>
      <c r="LZ37" s="442"/>
      <c r="MA37" s="442"/>
      <c r="MB37" s="442"/>
      <c r="MC37" s="442"/>
      <c r="MD37" s="442"/>
      <c r="ME37" s="442"/>
      <c r="MF37" s="442"/>
      <c r="MG37" s="442"/>
      <c r="MH37" s="442"/>
      <c r="MI37" s="442"/>
      <c r="MJ37" s="442"/>
      <c r="MK37" s="442"/>
      <c r="ML37" s="442"/>
      <c r="MM37" s="442"/>
      <c r="MN37" s="442"/>
      <c r="MO37" s="442"/>
      <c r="MP37" s="442"/>
      <c r="MQ37" s="442"/>
      <c r="MR37" s="442"/>
      <c r="MS37" s="442"/>
      <c r="MT37" s="442"/>
      <c r="MU37" s="442"/>
      <c r="MV37" s="442"/>
      <c r="MW37" s="442"/>
      <c r="MX37" s="442"/>
      <c r="MY37" s="442"/>
      <c r="MZ37" s="442"/>
      <c r="NA37" s="442"/>
      <c r="NB37" s="442"/>
      <c r="NC37" s="442"/>
    </row>
    <row r="38" spans="1:367" ht="14.1" customHeight="1" x14ac:dyDescent="0.2">
      <c r="A38" s="156"/>
      <c r="B38" s="90"/>
      <c r="C38" s="90"/>
      <c r="D38" s="50"/>
      <c r="E38" s="50"/>
      <c r="F38" s="53" t="s">
        <v>223</v>
      </c>
      <c r="G38" s="220"/>
      <c r="H38" s="619">
        <v>1</v>
      </c>
      <c r="I38" s="620"/>
      <c r="J38" s="621"/>
      <c r="K38" s="50"/>
      <c r="L38" s="50"/>
      <c r="M38" s="50"/>
      <c r="N38" s="50"/>
      <c r="O38" s="151"/>
      <c r="P38" s="50"/>
      <c r="Q38" s="566"/>
      <c r="R38" s="567"/>
      <c r="S38" s="568"/>
      <c r="T38" s="490" t="s">
        <v>222</v>
      </c>
      <c r="U38" s="486"/>
      <c r="V38" s="486"/>
      <c r="W38" s="575">
        <v>0.25</v>
      </c>
      <c r="X38" s="576"/>
      <c r="Y38" s="576"/>
      <c r="Z38" s="576"/>
      <c r="AA38" s="576"/>
      <c r="AB38" s="577"/>
      <c r="AC38" s="50" t="s">
        <v>13</v>
      </c>
      <c r="AD38" s="50"/>
      <c r="AE38" s="359"/>
      <c r="AF38" s="50"/>
      <c r="AG38" s="387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69"/>
      <c r="BR38" s="69"/>
      <c r="BS38" s="69"/>
      <c r="BT38" s="69"/>
      <c r="BU38" s="69"/>
      <c r="BV38" s="69"/>
      <c r="BW38" s="69"/>
      <c r="BX38" s="69"/>
      <c r="BY38" s="69"/>
      <c r="BZ38" s="69"/>
      <c r="CA38" s="69"/>
      <c r="CB38" s="69"/>
      <c r="CC38" s="69"/>
      <c r="CD38" s="69"/>
      <c r="CE38" s="69"/>
      <c r="CF38" s="365"/>
      <c r="CG38" s="151"/>
      <c r="CH38" s="50"/>
      <c r="CI38" s="50"/>
      <c r="CJ38" s="50"/>
      <c r="CK38" s="50"/>
      <c r="CL38" s="50"/>
      <c r="CM38" s="50"/>
      <c r="CN38" s="50"/>
      <c r="CO38" s="156"/>
      <c r="CP38" s="156"/>
      <c r="CQ38" s="156"/>
      <c r="CR38" s="156"/>
      <c r="CS38" s="156"/>
      <c r="CT38" s="156"/>
      <c r="CU38" s="156"/>
      <c r="CV38" s="156"/>
      <c r="CW38" s="156"/>
      <c r="CX38" s="156"/>
      <c r="CY38" s="156"/>
      <c r="CZ38" s="156"/>
      <c r="DA38" s="156"/>
      <c r="DB38" s="156"/>
      <c r="DC38" s="156"/>
      <c r="DD38" s="156"/>
      <c r="DE38" s="156"/>
      <c r="DF38" s="156"/>
      <c r="DG38" s="156"/>
      <c r="DH38" s="156"/>
      <c r="DI38" s="156"/>
      <c r="DJ38" s="156"/>
      <c r="DK38" s="156"/>
      <c r="DL38" s="156"/>
      <c r="DM38" s="156"/>
      <c r="DN38" s="156"/>
      <c r="DO38" s="156"/>
      <c r="DP38" s="156"/>
      <c r="DQ38" s="156"/>
      <c r="DR38" s="156"/>
      <c r="DS38" s="156"/>
      <c r="DT38" s="156"/>
      <c r="DU38" s="156"/>
      <c r="DV38" s="156"/>
      <c r="DW38" s="156"/>
      <c r="DX38" s="156"/>
      <c r="DY38" s="156"/>
      <c r="DZ38" s="156"/>
      <c r="EA38" s="156"/>
      <c r="EB38" s="156"/>
      <c r="EC38" s="156"/>
      <c r="ED38" s="156"/>
      <c r="EE38" s="156"/>
      <c r="EF38" s="156"/>
      <c r="EG38" s="156"/>
      <c r="EH38" s="156"/>
      <c r="EI38" s="156"/>
      <c r="EJ38" s="156"/>
      <c r="EK38" s="156"/>
      <c r="EL38" s="156"/>
      <c r="EM38" s="156"/>
      <c r="EN38" s="156"/>
      <c r="EO38" s="156"/>
      <c r="EP38" s="156"/>
      <c r="EQ38" s="156"/>
      <c r="ER38" s="156"/>
      <c r="ES38" s="156"/>
      <c r="ET38" s="156"/>
      <c r="EU38" s="156"/>
      <c r="EV38" s="156"/>
      <c r="EW38" s="156"/>
      <c r="EX38" s="156"/>
      <c r="EY38" s="156"/>
      <c r="EZ38" s="156"/>
      <c r="FA38" s="156"/>
      <c r="FB38" s="156"/>
      <c r="FC38" s="156"/>
      <c r="FD38" s="156"/>
      <c r="FE38" s="156"/>
      <c r="FF38" s="156"/>
      <c r="FG38" s="156"/>
      <c r="FH38" s="156"/>
      <c r="FI38" s="156"/>
      <c r="FJ38" s="156"/>
      <c r="FK38" s="156"/>
      <c r="FL38" s="156"/>
      <c r="FM38" s="156"/>
      <c r="FN38" s="156"/>
      <c r="FO38" s="156"/>
      <c r="FP38" s="156"/>
      <c r="FQ38" s="156"/>
      <c r="FR38" s="156"/>
      <c r="FS38" s="156"/>
      <c r="FT38" s="156"/>
      <c r="FU38" s="156"/>
      <c r="FV38" s="156"/>
      <c r="FW38" s="156"/>
      <c r="FX38" s="156"/>
      <c r="FY38" s="156"/>
      <c r="FZ38" s="264"/>
      <c r="GA38" s="257"/>
      <c r="GB38" s="265"/>
      <c r="GC38" s="265"/>
      <c r="GD38" s="257"/>
      <c r="GE38" s="242"/>
      <c r="GF38" s="266"/>
      <c r="GG38" s="267"/>
      <c r="GH38" s="261"/>
      <c r="GI38" s="261"/>
      <c r="GJ38" s="261"/>
      <c r="GK38" s="257"/>
      <c r="GL38" s="242"/>
      <c r="GM38" s="242"/>
      <c r="GN38" s="242"/>
      <c r="GO38" s="242"/>
      <c r="GP38" s="242"/>
      <c r="GQ38" s="242"/>
      <c r="GR38" s="242"/>
      <c r="GS38" s="242"/>
      <c r="GT38" s="259"/>
      <c r="GU38" s="259"/>
      <c r="GV38" s="259"/>
      <c r="GW38" s="259"/>
      <c r="GX38" s="259"/>
      <c r="GY38" s="259"/>
      <c r="GZ38" s="259"/>
      <c r="HA38" s="259"/>
      <c r="HB38" s="259"/>
      <c r="HC38" s="259"/>
      <c r="HD38" s="259"/>
      <c r="HE38" s="259"/>
      <c r="HF38" s="242"/>
      <c r="HG38" s="242"/>
      <c r="HH38" s="268"/>
      <c r="HI38" s="242"/>
      <c r="HJ38" s="242"/>
      <c r="HK38" s="242"/>
      <c r="HL38" s="242"/>
      <c r="HM38" s="442"/>
      <c r="HN38" s="442"/>
      <c r="HO38" s="442"/>
      <c r="HT38" s="166"/>
      <c r="HU38" s="167"/>
      <c r="HV38" s="167"/>
      <c r="HW38" s="167"/>
      <c r="HX38" s="168"/>
      <c r="HY38" s="169"/>
      <c r="HZ38" s="169"/>
      <c r="IA38" s="170"/>
      <c r="IB38" s="171"/>
      <c r="IC38" s="171"/>
      <c r="ID38" s="172"/>
      <c r="IE38" s="173"/>
      <c r="IF38" s="172"/>
      <c r="IG38" s="172"/>
      <c r="IH38" s="172"/>
      <c r="II38" s="173"/>
      <c r="IJ38" s="173"/>
      <c r="IK38" s="173"/>
      <c r="IL38" s="173"/>
      <c r="IM38" s="36"/>
      <c r="IN38" s="442"/>
      <c r="IO38" s="442"/>
      <c r="IP38" s="442"/>
      <c r="IQ38" s="442"/>
      <c r="IR38" s="442">
        <v>8</v>
      </c>
      <c r="IS38" s="442"/>
      <c r="IT38" s="442"/>
      <c r="IU38" s="442"/>
      <c r="IV38" s="442"/>
      <c r="IW38" s="442"/>
      <c r="IX38" s="442"/>
      <c r="IY38" s="442"/>
      <c r="IZ38" s="442"/>
      <c r="JA38" s="442"/>
      <c r="JB38" s="442"/>
      <c r="JC38" s="442"/>
      <c r="JD38" s="442"/>
      <c r="JE38" s="442"/>
      <c r="JF38" s="442"/>
      <c r="JG38" s="442"/>
      <c r="JH38" s="442"/>
      <c r="JI38" s="442"/>
      <c r="JJ38" s="442"/>
      <c r="JK38" s="442"/>
      <c r="JL38" s="442"/>
      <c r="JM38" s="442"/>
      <c r="JN38" s="442"/>
      <c r="JO38" s="442"/>
      <c r="JP38" s="442"/>
      <c r="JQ38" s="442"/>
      <c r="JR38" s="442"/>
      <c r="JS38" s="442"/>
      <c r="JT38" s="442"/>
      <c r="JU38" s="442"/>
      <c r="JV38" s="442"/>
      <c r="JW38" s="442"/>
      <c r="JX38" s="442"/>
      <c r="JY38" s="442"/>
      <c r="JZ38" s="442"/>
      <c r="KA38" s="442"/>
      <c r="KB38" s="442"/>
      <c r="KC38" s="442"/>
      <c r="KD38" s="442"/>
      <c r="KE38" s="442"/>
      <c r="KF38" s="442"/>
      <c r="KG38" s="442"/>
      <c r="KH38" s="442"/>
      <c r="KI38" s="442"/>
      <c r="KJ38" s="442"/>
      <c r="KK38" s="442"/>
      <c r="KL38" s="442"/>
      <c r="KM38" s="442"/>
      <c r="KN38" s="442"/>
      <c r="KO38" s="442"/>
      <c r="KP38" s="442"/>
      <c r="KQ38" s="442"/>
      <c r="KR38" s="442"/>
      <c r="KS38" s="442"/>
      <c r="KT38" s="442"/>
      <c r="KU38" s="442"/>
      <c r="KV38" s="442"/>
      <c r="KW38" s="442"/>
      <c r="KX38" s="442"/>
      <c r="KY38" s="442"/>
      <c r="KZ38" s="442"/>
      <c r="LA38" s="442"/>
      <c r="LB38" s="442"/>
      <c r="LC38" s="442"/>
      <c r="LD38" s="442"/>
      <c r="LE38" s="442"/>
      <c r="LF38" s="442"/>
      <c r="LG38" s="442"/>
      <c r="LH38" s="442"/>
      <c r="LI38" s="442"/>
      <c r="LJ38" s="442"/>
      <c r="LK38" s="442"/>
      <c r="LL38" s="442"/>
      <c r="LM38" s="442"/>
      <c r="LN38" s="442"/>
      <c r="LO38" s="442"/>
      <c r="LP38" s="442"/>
      <c r="LQ38" s="442"/>
      <c r="LR38" s="442"/>
      <c r="LS38" s="442"/>
      <c r="LT38" s="442"/>
      <c r="LU38" s="442"/>
      <c r="LV38" s="442"/>
      <c r="LW38" s="442"/>
      <c r="LX38" s="442"/>
      <c r="LY38" s="442"/>
      <c r="LZ38" s="442"/>
      <c r="MA38" s="442"/>
      <c r="MB38" s="442"/>
      <c r="MC38" s="442"/>
      <c r="MD38" s="442"/>
      <c r="ME38" s="442"/>
      <c r="MF38" s="442"/>
      <c r="MG38" s="442"/>
      <c r="MH38" s="442"/>
      <c r="MI38" s="442"/>
      <c r="MJ38" s="442"/>
      <c r="MK38" s="442"/>
      <c r="ML38" s="442"/>
      <c r="MM38" s="442"/>
      <c r="MN38" s="442"/>
      <c r="MO38" s="442"/>
      <c r="MP38" s="442"/>
      <c r="MQ38" s="442"/>
      <c r="MR38" s="442"/>
      <c r="MS38" s="442"/>
      <c r="MT38" s="442"/>
      <c r="MU38" s="442"/>
      <c r="MV38" s="442"/>
      <c r="MW38" s="442"/>
      <c r="MX38" s="442"/>
      <c r="MY38" s="442"/>
      <c r="MZ38" s="442"/>
      <c r="NA38" s="442"/>
      <c r="NB38" s="442"/>
      <c r="NC38" s="442"/>
    </row>
    <row r="39" spans="1:367" ht="14.1" customHeight="1" x14ac:dyDescent="0.2">
      <c r="A39" s="156"/>
      <c r="B39" s="90"/>
      <c r="C39" s="92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152"/>
      <c r="P39" s="50"/>
      <c r="Q39" s="569"/>
      <c r="R39" s="570"/>
      <c r="S39" s="571"/>
      <c r="T39" s="485" t="s">
        <v>96</v>
      </c>
      <c r="U39" s="485"/>
      <c r="V39" s="485"/>
      <c r="W39" s="670" t="str">
        <f>IF(W38&lt;=W37,"OK","NOT")</f>
        <v>OK</v>
      </c>
      <c r="X39" s="671"/>
      <c r="Y39" s="671"/>
      <c r="Z39" s="671"/>
      <c r="AA39" s="671"/>
      <c r="AB39" s="671"/>
      <c r="AC39" s="370" t="s">
        <v>0</v>
      </c>
      <c r="AD39" s="371"/>
      <c r="AE39" s="372"/>
      <c r="AF39" s="50"/>
      <c r="AG39" s="392"/>
      <c r="AH39" s="393"/>
      <c r="AI39" s="393"/>
      <c r="AJ39" s="393"/>
      <c r="AK39" s="393"/>
      <c r="AL39" s="393"/>
      <c r="AM39" s="393"/>
      <c r="AN39" s="393"/>
      <c r="AO39" s="393"/>
      <c r="AP39" s="393"/>
      <c r="AQ39" s="393"/>
      <c r="AR39" s="393"/>
      <c r="AS39" s="393"/>
      <c r="AT39" s="393"/>
      <c r="AU39" s="393"/>
      <c r="AV39" s="393"/>
      <c r="AW39" s="393"/>
      <c r="AX39" s="393"/>
      <c r="AY39" s="393"/>
      <c r="AZ39" s="393"/>
      <c r="BA39" s="393"/>
      <c r="BB39" s="393"/>
      <c r="BC39" s="393"/>
      <c r="BD39" s="393"/>
      <c r="BE39" s="393"/>
      <c r="BF39" s="393"/>
      <c r="BG39" s="393"/>
      <c r="BH39" s="393"/>
      <c r="BI39" s="393"/>
      <c r="BJ39" s="393"/>
      <c r="BK39" s="393"/>
      <c r="BL39" s="393"/>
      <c r="BM39" s="393"/>
      <c r="BN39" s="393"/>
      <c r="BO39" s="393"/>
      <c r="BP39" s="393"/>
      <c r="BQ39" s="393"/>
      <c r="BR39" s="393"/>
      <c r="BS39" s="393"/>
      <c r="BT39" s="393"/>
      <c r="BU39" s="393"/>
      <c r="BV39" s="393"/>
      <c r="BW39" s="393"/>
      <c r="BX39" s="393"/>
      <c r="BY39" s="393"/>
      <c r="BZ39" s="393"/>
      <c r="CA39" s="393"/>
      <c r="CB39" s="393"/>
      <c r="CC39" s="393"/>
      <c r="CD39" s="393"/>
      <c r="CE39" s="393"/>
      <c r="CF39" s="394"/>
      <c r="CG39" s="151"/>
      <c r="CH39" s="50"/>
      <c r="CI39" s="50"/>
      <c r="CJ39" s="50"/>
      <c r="CK39" s="50"/>
      <c r="CL39" s="50"/>
      <c r="CM39" s="50"/>
      <c r="CN39" s="50"/>
      <c r="CO39" s="156"/>
      <c r="CP39" s="156"/>
      <c r="CQ39" s="156"/>
      <c r="CR39" s="156"/>
      <c r="CS39" s="156"/>
      <c r="CT39" s="156"/>
      <c r="CU39" s="156"/>
      <c r="CV39" s="156"/>
      <c r="CW39" s="156"/>
      <c r="CX39" s="156"/>
      <c r="CY39" s="156"/>
      <c r="CZ39" s="156"/>
      <c r="DA39" s="156"/>
      <c r="DB39" s="156"/>
      <c r="DC39" s="156"/>
      <c r="DD39" s="156"/>
      <c r="DE39" s="156"/>
      <c r="DF39" s="156"/>
      <c r="DG39" s="156"/>
      <c r="DH39" s="156"/>
      <c r="DI39" s="156"/>
      <c r="DJ39" s="156"/>
      <c r="DK39" s="156"/>
      <c r="DL39" s="156"/>
      <c r="DM39" s="156"/>
      <c r="DN39" s="156"/>
      <c r="DO39" s="156"/>
      <c r="DP39" s="156"/>
      <c r="DQ39" s="156"/>
      <c r="DR39" s="156"/>
      <c r="DS39" s="156"/>
      <c r="DT39" s="156"/>
      <c r="DU39" s="156"/>
      <c r="DV39" s="156"/>
      <c r="DW39" s="156"/>
      <c r="DX39" s="156"/>
      <c r="DY39" s="156"/>
      <c r="DZ39" s="156"/>
      <c r="EA39" s="156"/>
      <c r="EB39" s="156"/>
      <c r="EC39" s="156"/>
      <c r="ED39" s="156"/>
      <c r="EE39" s="156"/>
      <c r="EF39" s="156"/>
      <c r="EG39" s="156"/>
      <c r="EH39" s="156"/>
      <c r="EI39" s="156"/>
      <c r="EJ39" s="156"/>
      <c r="EK39" s="156"/>
      <c r="EL39" s="156"/>
      <c r="EM39" s="156"/>
      <c r="EN39" s="156"/>
      <c r="EO39" s="156"/>
      <c r="EP39" s="156"/>
      <c r="EQ39" s="156"/>
      <c r="ER39" s="156"/>
      <c r="ES39" s="156"/>
      <c r="ET39" s="156"/>
      <c r="EU39" s="156"/>
      <c r="EV39" s="156"/>
      <c r="EW39" s="156"/>
      <c r="EX39" s="156"/>
      <c r="EY39" s="156"/>
      <c r="EZ39" s="156"/>
      <c r="FA39" s="156"/>
      <c r="FB39" s="156"/>
      <c r="FC39" s="156"/>
      <c r="FD39" s="156"/>
      <c r="FE39" s="156"/>
      <c r="FF39" s="156"/>
      <c r="FG39" s="156"/>
      <c r="FH39" s="156"/>
      <c r="FI39" s="156"/>
      <c r="FJ39" s="156"/>
      <c r="FK39" s="156"/>
      <c r="FL39" s="156"/>
      <c r="FM39" s="156"/>
      <c r="FN39" s="156"/>
      <c r="FO39" s="156"/>
      <c r="FP39" s="156"/>
      <c r="FQ39" s="156"/>
      <c r="FR39" s="156"/>
      <c r="FS39" s="156"/>
      <c r="FT39" s="156"/>
      <c r="FU39" s="156"/>
      <c r="FV39" s="156"/>
      <c r="FW39" s="156"/>
      <c r="FX39" s="156"/>
      <c r="FY39" s="156"/>
      <c r="FZ39" s="269"/>
      <c r="GA39" s="257"/>
      <c r="GB39" s="50"/>
      <c r="GC39" s="242"/>
      <c r="GD39" s="270"/>
      <c r="GE39" s="242"/>
      <c r="GF39" s="242"/>
      <c r="GG39" s="242"/>
      <c r="GH39" s="264"/>
      <c r="GI39" s="264"/>
      <c r="GJ39" s="264"/>
      <c r="GK39" s="257"/>
      <c r="GL39" s="262"/>
      <c r="GM39" s="242"/>
      <c r="GN39" s="263"/>
      <c r="GO39" s="242"/>
      <c r="GP39" s="242"/>
      <c r="GQ39" s="271"/>
      <c r="GR39" s="271"/>
      <c r="GS39" s="271"/>
      <c r="GT39" s="272"/>
      <c r="GU39" s="272"/>
      <c r="GV39" s="272"/>
      <c r="GW39" s="272"/>
      <c r="GX39" s="272"/>
      <c r="GY39" s="272"/>
      <c r="GZ39" s="272"/>
      <c r="HA39" s="272"/>
      <c r="HB39" s="272"/>
      <c r="HC39" s="272"/>
      <c r="HD39" s="272"/>
      <c r="HE39" s="272"/>
      <c r="HF39" s="271"/>
      <c r="HG39" s="242"/>
      <c r="HH39" s="242"/>
      <c r="HI39" s="242"/>
      <c r="HJ39" s="242"/>
      <c r="HK39" s="242"/>
      <c r="HL39" s="242"/>
      <c r="HM39" s="442"/>
      <c r="HN39" s="442"/>
      <c r="HO39" s="442"/>
      <c r="HP39" s="173"/>
      <c r="HQ39" s="173"/>
      <c r="HR39" s="173"/>
      <c r="HS39" s="173"/>
      <c r="HT39" s="173"/>
      <c r="HU39" s="167"/>
      <c r="HV39" s="442"/>
      <c r="HW39" s="442"/>
      <c r="HX39" s="168"/>
      <c r="HY39" s="169"/>
      <c r="HZ39" s="169"/>
      <c r="IA39" s="170"/>
      <c r="IB39" s="171"/>
      <c r="IC39" s="171"/>
      <c r="ID39" s="172"/>
      <c r="IE39" s="442"/>
      <c r="IF39" s="442"/>
      <c r="IG39" s="172"/>
      <c r="IH39" s="172"/>
      <c r="II39" s="173"/>
      <c r="IJ39" s="173"/>
      <c r="IK39" s="173"/>
      <c r="IL39" s="173"/>
      <c r="IM39" s="36"/>
      <c r="IN39" s="442"/>
      <c r="IO39" s="442"/>
      <c r="IP39" s="442"/>
      <c r="IQ39" s="442"/>
      <c r="IR39" s="442">
        <v>9</v>
      </c>
      <c r="IS39" s="442"/>
      <c r="IT39" s="442"/>
      <c r="IU39" s="442"/>
      <c r="IV39" s="442"/>
      <c r="IW39" s="442"/>
      <c r="IX39" s="442"/>
      <c r="IY39" s="442"/>
      <c r="IZ39" s="442"/>
      <c r="JA39" s="442"/>
      <c r="JB39" s="442"/>
      <c r="JC39" s="442"/>
      <c r="JD39" s="442"/>
      <c r="JE39" s="442"/>
      <c r="JF39" s="442"/>
      <c r="JG39" s="442"/>
      <c r="JH39" s="442"/>
      <c r="JI39" s="442"/>
      <c r="JJ39" s="442"/>
      <c r="JK39" s="442"/>
      <c r="JL39" s="442"/>
      <c r="JM39" s="442"/>
      <c r="JN39" s="442"/>
      <c r="JO39" s="442"/>
      <c r="JP39" s="442"/>
      <c r="JQ39" s="442"/>
      <c r="JR39" s="442"/>
      <c r="JS39" s="442"/>
      <c r="JT39" s="442"/>
      <c r="JU39" s="442"/>
      <c r="JV39" s="442"/>
      <c r="JW39" s="442"/>
      <c r="JX39" s="442"/>
      <c r="JY39" s="442"/>
      <c r="JZ39" s="442"/>
      <c r="KA39" s="442"/>
      <c r="KB39" s="442"/>
      <c r="KC39" s="442"/>
      <c r="KD39" s="442"/>
      <c r="KE39" s="442"/>
      <c r="KF39" s="442"/>
      <c r="KG39" s="442"/>
      <c r="KH39" s="442"/>
      <c r="KI39" s="442"/>
      <c r="KJ39" s="442"/>
      <c r="KK39" s="442"/>
      <c r="KL39" s="442"/>
      <c r="KM39" s="442"/>
      <c r="KN39" s="442"/>
      <c r="KO39" s="442"/>
      <c r="KP39" s="442"/>
      <c r="KQ39" s="442"/>
      <c r="KR39" s="442"/>
      <c r="KS39" s="442"/>
      <c r="KT39" s="442"/>
      <c r="KU39" s="442"/>
      <c r="KV39" s="442"/>
      <c r="KW39" s="442"/>
      <c r="KX39" s="442"/>
      <c r="KY39" s="442"/>
      <c r="KZ39" s="442"/>
      <c r="LA39" s="442"/>
      <c r="LB39" s="442"/>
      <c r="LC39" s="442"/>
      <c r="LD39" s="442"/>
      <c r="LE39" s="442"/>
      <c r="LF39" s="442"/>
      <c r="LG39" s="442"/>
      <c r="LH39" s="442"/>
      <c r="LI39" s="442"/>
      <c r="LJ39" s="442"/>
      <c r="LK39" s="442"/>
      <c r="LL39" s="442"/>
      <c r="LM39" s="442"/>
      <c r="LN39" s="442"/>
      <c r="LO39" s="442"/>
      <c r="LP39" s="442"/>
      <c r="LQ39" s="442"/>
      <c r="LR39" s="442"/>
      <c r="LS39" s="442"/>
      <c r="LT39" s="442"/>
      <c r="LU39" s="442"/>
      <c r="LV39" s="442"/>
      <c r="LW39" s="442"/>
      <c r="LX39" s="442"/>
      <c r="LY39" s="442"/>
      <c r="LZ39" s="442"/>
      <c r="MA39" s="442"/>
      <c r="MB39" s="442"/>
      <c r="MC39" s="442"/>
      <c r="MD39" s="442"/>
      <c r="ME39" s="442"/>
      <c r="MF39" s="442"/>
      <c r="MG39" s="442"/>
      <c r="MH39" s="442"/>
      <c r="MI39" s="442"/>
      <c r="MJ39" s="442"/>
      <c r="MK39" s="442"/>
      <c r="ML39" s="442"/>
      <c r="MM39" s="442"/>
      <c r="MN39" s="442"/>
      <c r="MO39" s="442"/>
      <c r="MP39" s="442"/>
      <c r="MQ39" s="442"/>
      <c r="MR39" s="442"/>
      <c r="MS39" s="442"/>
      <c r="MT39" s="442"/>
      <c r="MU39" s="442"/>
      <c r="MV39" s="442"/>
      <c r="MW39" s="442"/>
      <c r="MX39" s="442"/>
      <c r="MY39" s="442"/>
      <c r="MZ39" s="442"/>
      <c r="NA39" s="442"/>
      <c r="NB39" s="442"/>
      <c r="NC39" s="442"/>
    </row>
    <row r="40" spans="1:367" ht="14.1" customHeight="1" x14ac:dyDescent="0.2">
      <c r="A40" s="156"/>
      <c r="B40" s="92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384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93"/>
      <c r="BP40" s="93"/>
      <c r="BQ40" s="93"/>
      <c r="BR40" s="93"/>
      <c r="BS40" s="93"/>
      <c r="BT40" s="93"/>
      <c r="BU40" s="93"/>
      <c r="BV40" s="93"/>
      <c r="BW40" s="93"/>
      <c r="BX40" s="93"/>
      <c r="BY40" s="93"/>
      <c r="BZ40" s="93"/>
      <c r="CA40" s="93"/>
      <c r="CB40" s="93"/>
      <c r="CC40" s="93"/>
      <c r="CD40" s="93"/>
      <c r="CE40" s="93"/>
      <c r="CF40" s="93"/>
      <c r="CG40" s="152"/>
      <c r="CH40" s="50"/>
      <c r="CI40" s="50"/>
      <c r="CJ40" s="50"/>
      <c r="CK40" s="50"/>
      <c r="CL40" s="50"/>
      <c r="CM40" s="50"/>
      <c r="CN40" s="50"/>
      <c r="CO40" s="156"/>
      <c r="CP40" s="156"/>
      <c r="CQ40" s="156"/>
      <c r="CR40" s="156"/>
      <c r="CS40" s="156"/>
      <c r="CT40" s="156"/>
      <c r="CU40" s="156"/>
      <c r="CV40" s="156"/>
      <c r="CW40" s="156"/>
      <c r="CX40" s="156"/>
      <c r="CY40" s="156"/>
      <c r="CZ40" s="156"/>
      <c r="DA40" s="156"/>
      <c r="DB40" s="156"/>
      <c r="DC40" s="156"/>
      <c r="DD40" s="156"/>
      <c r="DE40" s="156"/>
      <c r="DF40" s="156"/>
      <c r="DG40" s="156"/>
      <c r="DH40" s="156"/>
      <c r="DI40" s="156"/>
      <c r="DJ40" s="156"/>
      <c r="DK40" s="156"/>
      <c r="DL40" s="156"/>
      <c r="DM40" s="156"/>
      <c r="DN40" s="156"/>
      <c r="DO40" s="156"/>
      <c r="DP40" s="156"/>
      <c r="DQ40" s="156"/>
      <c r="DR40" s="156"/>
      <c r="DS40" s="156"/>
      <c r="DT40" s="156"/>
      <c r="DU40" s="156"/>
      <c r="DV40" s="156"/>
      <c r="DW40" s="156"/>
      <c r="DX40" s="156"/>
      <c r="DY40" s="156"/>
      <c r="DZ40" s="156"/>
      <c r="EA40" s="156"/>
      <c r="EB40" s="156"/>
      <c r="EC40" s="156"/>
      <c r="ED40" s="156"/>
      <c r="EE40" s="156"/>
      <c r="EF40" s="156"/>
      <c r="EG40" s="156"/>
      <c r="EH40" s="156"/>
      <c r="EI40" s="156"/>
      <c r="EJ40" s="156"/>
      <c r="EK40" s="156"/>
      <c r="EL40" s="156"/>
      <c r="EM40" s="156"/>
      <c r="EN40" s="156"/>
      <c r="EO40" s="156"/>
      <c r="EP40" s="156"/>
      <c r="EQ40" s="156"/>
      <c r="ER40" s="156"/>
      <c r="ES40" s="156"/>
      <c r="ET40" s="156"/>
      <c r="EU40" s="156"/>
      <c r="EV40" s="156"/>
      <c r="EW40" s="156"/>
      <c r="EX40" s="156"/>
      <c r="EY40" s="156"/>
      <c r="EZ40" s="156"/>
      <c r="FA40" s="156"/>
      <c r="FB40" s="156"/>
      <c r="FC40" s="156"/>
      <c r="FD40" s="156"/>
      <c r="FE40" s="156"/>
      <c r="FF40" s="156"/>
      <c r="FG40" s="156"/>
      <c r="FH40" s="156"/>
      <c r="FI40" s="156"/>
      <c r="FJ40" s="156"/>
      <c r="FK40" s="156"/>
      <c r="FL40" s="156"/>
      <c r="FM40" s="156"/>
      <c r="FN40" s="156"/>
      <c r="FO40" s="156"/>
      <c r="FP40" s="156"/>
      <c r="FQ40" s="156"/>
      <c r="FR40" s="156"/>
      <c r="FS40" s="156"/>
      <c r="FT40" s="156"/>
      <c r="FU40" s="156"/>
      <c r="FV40" s="156"/>
      <c r="FW40" s="156"/>
      <c r="FX40" s="156"/>
      <c r="FY40" s="156"/>
      <c r="FZ40" s="273"/>
      <c r="GA40" s="257"/>
      <c r="GB40" s="242"/>
      <c r="GC40" s="242"/>
      <c r="GD40" s="274"/>
      <c r="GE40" s="242"/>
      <c r="GF40" s="242"/>
      <c r="GG40" s="242"/>
      <c r="GH40" s="275"/>
      <c r="GI40" s="275"/>
      <c r="GJ40" s="275"/>
      <c r="GK40" s="257"/>
      <c r="GL40" s="262"/>
      <c r="GM40" s="242"/>
      <c r="GN40" s="263"/>
      <c r="GO40" s="242"/>
      <c r="GP40" s="257"/>
      <c r="GQ40" s="242"/>
      <c r="GR40" s="242"/>
      <c r="GS40" s="242"/>
      <c r="GT40" s="268"/>
      <c r="GU40" s="268"/>
      <c r="GV40" s="268"/>
      <c r="GW40" s="268"/>
      <c r="GX40" s="268"/>
      <c r="GY40" s="268"/>
      <c r="GZ40" s="268"/>
      <c r="HA40" s="268"/>
      <c r="HB40" s="268"/>
      <c r="HC40" s="268"/>
      <c r="HD40" s="268"/>
      <c r="HE40" s="268"/>
      <c r="HF40" s="268"/>
      <c r="HG40" s="257"/>
      <c r="HH40" s="242"/>
      <c r="HI40" s="242"/>
      <c r="HJ40" s="242"/>
      <c r="HK40" s="242"/>
      <c r="HL40" s="242"/>
      <c r="HM40" s="442"/>
      <c r="HN40" s="442"/>
      <c r="HO40" s="442"/>
      <c r="HS40" s="173"/>
      <c r="HT40" s="173"/>
      <c r="HU40" s="169"/>
      <c r="HV40" s="169"/>
      <c r="HW40" s="170"/>
      <c r="HX40" s="168"/>
      <c r="HY40" s="169"/>
      <c r="HZ40" s="169"/>
      <c r="IA40" s="170"/>
      <c r="IB40" s="171"/>
      <c r="IC40" s="171"/>
      <c r="ID40" s="172"/>
      <c r="IE40" s="173"/>
      <c r="IF40" s="172"/>
      <c r="IG40" s="172"/>
      <c r="IH40" s="172"/>
      <c r="II40" s="173"/>
      <c r="IJ40" s="173"/>
      <c r="IK40" s="173"/>
      <c r="IL40" s="173"/>
      <c r="IM40" s="36"/>
      <c r="IN40" s="442"/>
      <c r="IO40" s="442"/>
      <c r="IP40" s="442"/>
      <c r="IQ40" s="442"/>
      <c r="IR40" s="442"/>
      <c r="IS40" s="442"/>
      <c r="IT40" s="442"/>
      <c r="IU40" s="442"/>
      <c r="IV40" s="442"/>
      <c r="IW40" s="442"/>
      <c r="IX40" s="442"/>
      <c r="IY40" s="442"/>
      <c r="IZ40" s="442"/>
      <c r="JA40" s="442"/>
      <c r="JB40" s="442"/>
      <c r="JC40" s="442"/>
      <c r="JD40" s="442"/>
      <c r="JE40" s="442"/>
      <c r="JF40" s="442"/>
      <c r="JG40" s="442"/>
      <c r="JH40" s="442"/>
      <c r="JI40" s="442"/>
      <c r="JJ40" s="442"/>
      <c r="JK40" s="442"/>
      <c r="JL40" s="442"/>
      <c r="JM40" s="442"/>
      <c r="JN40" s="442"/>
      <c r="JO40" s="442"/>
      <c r="JP40" s="442"/>
      <c r="JQ40" s="442"/>
      <c r="JR40" s="442"/>
      <c r="JS40" s="442"/>
      <c r="JT40" s="442"/>
      <c r="JU40" s="442"/>
      <c r="JV40" s="442"/>
      <c r="JW40" s="442"/>
      <c r="JX40" s="442"/>
      <c r="JY40" s="442"/>
      <c r="JZ40" s="442"/>
      <c r="KA40" s="442"/>
      <c r="KB40" s="442"/>
      <c r="KC40" s="442"/>
      <c r="KD40" s="442"/>
      <c r="KE40" s="442"/>
      <c r="KF40" s="442"/>
      <c r="KG40" s="442"/>
      <c r="KH40" s="442"/>
      <c r="KI40" s="442"/>
      <c r="KJ40" s="442"/>
      <c r="KK40" s="442"/>
      <c r="KL40" s="442"/>
      <c r="KM40" s="442"/>
      <c r="KN40" s="442"/>
      <c r="KO40" s="442"/>
      <c r="KP40" s="442"/>
      <c r="KQ40" s="442"/>
      <c r="KR40" s="442"/>
      <c r="KS40" s="442"/>
      <c r="KT40" s="442"/>
      <c r="KU40" s="442"/>
      <c r="KV40" s="442"/>
      <c r="KW40" s="442"/>
      <c r="KX40" s="442"/>
      <c r="KY40" s="442"/>
      <c r="KZ40" s="442"/>
      <c r="LA40" s="442"/>
      <c r="LB40" s="442"/>
      <c r="LC40" s="442"/>
      <c r="LD40" s="442"/>
      <c r="LE40" s="442"/>
      <c r="LF40" s="442"/>
      <c r="LG40" s="442"/>
      <c r="LH40" s="442"/>
      <c r="LI40" s="442"/>
      <c r="LJ40" s="442"/>
      <c r="LK40" s="442"/>
      <c r="LL40" s="442"/>
      <c r="LM40" s="442"/>
      <c r="LN40" s="442"/>
      <c r="LO40" s="442"/>
      <c r="LP40" s="442"/>
      <c r="LQ40" s="442"/>
      <c r="LR40" s="442"/>
      <c r="LS40" s="442"/>
      <c r="LT40" s="442"/>
      <c r="LU40" s="442"/>
      <c r="LV40" s="442"/>
      <c r="LW40" s="442"/>
      <c r="LX40" s="442"/>
      <c r="LY40" s="442"/>
      <c r="LZ40" s="442"/>
      <c r="MA40" s="442"/>
      <c r="MB40" s="442"/>
      <c r="MC40" s="442"/>
      <c r="MD40" s="442"/>
      <c r="ME40" s="442"/>
      <c r="MF40" s="442"/>
      <c r="MG40" s="442"/>
      <c r="MH40" s="442"/>
      <c r="MI40" s="442"/>
      <c r="MJ40" s="442"/>
      <c r="MK40" s="442"/>
      <c r="ML40" s="442"/>
      <c r="MM40" s="442"/>
      <c r="MN40" s="442"/>
      <c r="MO40" s="442"/>
      <c r="MP40" s="442"/>
      <c r="MQ40" s="442"/>
      <c r="MR40" s="442"/>
      <c r="MS40" s="442"/>
      <c r="MT40" s="442"/>
      <c r="MU40" s="442"/>
      <c r="MV40" s="442"/>
      <c r="MW40" s="442"/>
      <c r="MX40" s="442"/>
      <c r="MY40" s="442"/>
      <c r="MZ40" s="442"/>
      <c r="NA40" s="442"/>
      <c r="NB40" s="442"/>
      <c r="NC40" s="442"/>
    </row>
    <row r="41" spans="1:367" ht="14.1" customHeight="1" x14ac:dyDescent="0.2">
      <c r="A41" s="156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177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177"/>
      <c r="AU41" s="177"/>
      <c r="AV41" s="177"/>
      <c r="AW41" s="177"/>
      <c r="AX41" s="177"/>
      <c r="AY41" s="177"/>
      <c r="AZ41" s="177"/>
      <c r="BA41" s="177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156"/>
      <c r="CP41" s="156"/>
      <c r="CQ41" s="156"/>
      <c r="CR41" s="156"/>
      <c r="CS41" s="156"/>
      <c r="CT41" s="156"/>
      <c r="CU41" s="156"/>
      <c r="CV41" s="156"/>
      <c r="CW41" s="156"/>
      <c r="CX41" s="156"/>
      <c r="CY41" s="156"/>
      <c r="CZ41" s="156"/>
      <c r="DA41" s="156"/>
      <c r="DB41" s="156"/>
      <c r="DC41" s="156"/>
      <c r="DD41" s="156"/>
      <c r="DE41" s="156"/>
      <c r="DF41" s="156"/>
      <c r="DG41" s="156"/>
      <c r="DH41" s="156"/>
      <c r="DI41" s="156"/>
      <c r="DJ41" s="156"/>
      <c r="DK41" s="156"/>
      <c r="DL41" s="156"/>
      <c r="DM41" s="156"/>
      <c r="DN41" s="156"/>
      <c r="DO41" s="156"/>
      <c r="DP41" s="156"/>
      <c r="DQ41" s="156"/>
      <c r="DR41" s="156"/>
      <c r="DS41" s="156"/>
      <c r="DT41" s="156"/>
      <c r="DU41" s="156"/>
      <c r="DV41" s="156"/>
      <c r="DW41" s="156"/>
      <c r="DX41" s="156"/>
      <c r="DY41" s="156"/>
      <c r="DZ41" s="156"/>
      <c r="EA41" s="156"/>
      <c r="EB41" s="156"/>
      <c r="EC41" s="156"/>
      <c r="ED41" s="156"/>
      <c r="EE41" s="156"/>
      <c r="EF41" s="156"/>
      <c r="EG41" s="156"/>
      <c r="EH41" s="156"/>
      <c r="EI41" s="156"/>
      <c r="EJ41" s="156"/>
      <c r="EK41" s="156"/>
      <c r="EL41" s="156"/>
      <c r="EM41" s="156"/>
      <c r="EN41" s="156"/>
      <c r="EO41" s="156"/>
      <c r="EP41" s="156"/>
      <c r="EQ41" s="156"/>
      <c r="ER41" s="156"/>
      <c r="ES41" s="156"/>
      <c r="ET41" s="156"/>
      <c r="EU41" s="156"/>
      <c r="EV41" s="156"/>
      <c r="EW41" s="156"/>
      <c r="EX41" s="156"/>
      <c r="EY41" s="156"/>
      <c r="EZ41" s="156"/>
      <c r="FA41" s="156"/>
      <c r="FB41" s="156"/>
      <c r="FC41" s="156"/>
      <c r="FD41" s="156"/>
      <c r="FE41" s="156"/>
      <c r="FF41" s="156"/>
      <c r="FG41" s="156"/>
      <c r="FH41" s="156"/>
      <c r="FI41" s="156"/>
      <c r="FJ41" s="156"/>
      <c r="FK41" s="156"/>
      <c r="FL41" s="156"/>
      <c r="FM41" s="156"/>
      <c r="FN41" s="156"/>
      <c r="FO41" s="156"/>
      <c r="FP41" s="156"/>
      <c r="FQ41" s="156"/>
      <c r="FR41" s="156"/>
      <c r="FS41" s="156"/>
      <c r="FT41" s="156"/>
      <c r="FU41" s="156"/>
      <c r="FV41" s="156"/>
      <c r="FW41" s="156"/>
      <c r="FX41" s="156"/>
      <c r="FY41" s="156"/>
      <c r="FZ41" s="273"/>
      <c r="GA41" s="257"/>
      <c r="GB41" s="242"/>
      <c r="GC41" s="242"/>
      <c r="GD41" s="242"/>
      <c r="GE41" s="242"/>
      <c r="GF41" s="242"/>
      <c r="GG41" s="267"/>
      <c r="GH41" s="275"/>
      <c r="GI41" s="275"/>
      <c r="GJ41" s="275"/>
      <c r="GK41" s="257"/>
      <c r="GL41" s="242"/>
      <c r="GM41" s="242"/>
      <c r="GN41" s="242"/>
      <c r="GO41" s="242"/>
      <c r="GP41" s="267"/>
      <c r="GQ41" s="242"/>
      <c r="GR41" s="242"/>
      <c r="GS41" s="242"/>
      <c r="GT41" s="275"/>
      <c r="GU41" s="275"/>
      <c r="GV41" s="275"/>
      <c r="GW41" s="275"/>
      <c r="GX41" s="275"/>
      <c r="GY41" s="275"/>
      <c r="GZ41" s="275"/>
      <c r="HA41" s="275"/>
      <c r="HB41" s="275"/>
      <c r="HC41" s="275"/>
      <c r="HD41" s="275"/>
      <c r="HE41" s="275"/>
      <c r="HF41" s="275"/>
      <c r="HG41" s="257"/>
      <c r="HH41" s="242"/>
      <c r="HI41" s="242"/>
      <c r="HJ41" s="242"/>
      <c r="HK41" s="242"/>
      <c r="HL41" s="242"/>
      <c r="HM41" s="442"/>
      <c r="HN41" s="442"/>
      <c r="HO41" s="442"/>
      <c r="HP41" s="173"/>
      <c r="HQ41" s="173"/>
      <c r="HR41" s="173"/>
      <c r="HS41" s="173"/>
      <c r="HT41" s="173"/>
      <c r="HU41" s="169"/>
      <c r="HV41" s="169"/>
      <c r="HW41" s="170"/>
      <c r="HX41" s="168"/>
      <c r="HY41" s="169"/>
      <c r="HZ41" s="169"/>
      <c r="IA41" s="170"/>
      <c r="IB41" s="171"/>
      <c r="IC41" s="171"/>
      <c r="ID41" s="172"/>
      <c r="IE41" s="173"/>
      <c r="IF41" s="172"/>
      <c r="IG41" s="172"/>
      <c r="IH41" s="172"/>
      <c r="II41" s="173"/>
      <c r="IJ41" s="173"/>
      <c r="IK41" s="173"/>
      <c r="IL41" s="173"/>
      <c r="IM41" s="36"/>
      <c r="IN41" s="442"/>
      <c r="IO41" s="442"/>
      <c r="IP41" s="442"/>
      <c r="IQ41" s="442"/>
      <c r="IR41" s="442"/>
      <c r="IS41" s="442"/>
      <c r="IT41" s="442"/>
      <c r="IU41" s="442"/>
      <c r="IV41" s="442"/>
      <c r="IW41" s="442"/>
      <c r="IX41" s="442"/>
      <c r="IY41" s="442"/>
      <c r="IZ41" s="442"/>
      <c r="JA41" s="442"/>
      <c r="JB41" s="442"/>
      <c r="JC41" s="442"/>
      <c r="JD41" s="442"/>
      <c r="JE41" s="442"/>
      <c r="JF41" s="442"/>
      <c r="JG41" s="442"/>
      <c r="JH41" s="442"/>
      <c r="JI41" s="442"/>
      <c r="JJ41" s="442"/>
      <c r="JK41" s="442"/>
      <c r="JL41" s="442"/>
      <c r="JM41" s="442"/>
      <c r="JN41" s="442"/>
      <c r="JO41" s="442"/>
      <c r="JP41" s="442"/>
      <c r="JQ41" s="442"/>
      <c r="JR41" s="442"/>
      <c r="JS41" s="442"/>
      <c r="JT41" s="442"/>
      <c r="JU41" s="442"/>
      <c r="JV41" s="442"/>
      <c r="JW41" s="442"/>
      <c r="JX41" s="442"/>
      <c r="JY41" s="442"/>
      <c r="JZ41" s="442"/>
      <c r="KA41" s="442"/>
      <c r="KB41" s="442"/>
      <c r="KC41" s="442"/>
      <c r="KD41" s="442"/>
      <c r="KE41" s="442"/>
      <c r="KF41" s="442"/>
      <c r="KG41" s="442"/>
      <c r="KH41" s="442"/>
      <c r="KI41" s="442"/>
      <c r="KJ41" s="442"/>
      <c r="KK41" s="442"/>
      <c r="KL41" s="442"/>
      <c r="KM41" s="442"/>
      <c r="KN41" s="442"/>
      <c r="KO41" s="442"/>
      <c r="KP41" s="442"/>
      <c r="KQ41" s="442"/>
      <c r="KR41" s="442"/>
      <c r="KS41" s="442"/>
      <c r="KT41" s="442"/>
      <c r="KU41" s="442"/>
      <c r="KV41" s="442"/>
      <c r="KW41" s="442"/>
      <c r="KX41" s="442"/>
      <c r="KY41" s="442"/>
      <c r="KZ41" s="442"/>
      <c r="LA41" s="442"/>
      <c r="LB41" s="442"/>
      <c r="LC41" s="442"/>
      <c r="LD41" s="442"/>
      <c r="LE41" s="442"/>
      <c r="LF41" s="442"/>
      <c r="LG41" s="442"/>
      <c r="LH41" s="442"/>
      <c r="LI41" s="442"/>
      <c r="LJ41" s="442"/>
      <c r="LK41" s="442"/>
      <c r="LL41" s="442"/>
      <c r="LM41" s="442"/>
      <c r="LN41" s="442"/>
      <c r="LO41" s="442"/>
      <c r="LP41" s="442"/>
      <c r="LQ41" s="442"/>
      <c r="LR41" s="442"/>
      <c r="LS41" s="442"/>
      <c r="LT41" s="442"/>
      <c r="LU41" s="442"/>
      <c r="LV41" s="442"/>
      <c r="LW41" s="442"/>
      <c r="LX41" s="442"/>
      <c r="LY41" s="442"/>
      <c r="LZ41" s="442"/>
      <c r="MA41" s="442"/>
      <c r="MB41" s="442"/>
      <c r="MC41" s="442"/>
      <c r="MD41" s="442"/>
      <c r="ME41" s="442"/>
      <c r="MF41" s="442"/>
      <c r="MG41" s="442"/>
      <c r="MH41" s="442"/>
      <c r="MI41" s="442"/>
      <c r="MJ41" s="442"/>
      <c r="MK41" s="442"/>
      <c r="ML41" s="442"/>
      <c r="MM41" s="442"/>
      <c r="MN41" s="442"/>
      <c r="MO41" s="442"/>
      <c r="MP41" s="442"/>
      <c r="MQ41" s="442"/>
      <c r="MR41" s="442"/>
      <c r="MS41" s="442"/>
      <c r="MT41" s="442"/>
      <c r="MU41" s="442"/>
      <c r="MV41" s="442"/>
      <c r="MW41" s="442"/>
      <c r="MX41" s="442"/>
      <c r="MY41" s="442"/>
      <c r="MZ41" s="442"/>
      <c r="NA41" s="442"/>
      <c r="NB41" s="442"/>
      <c r="NC41" s="442"/>
    </row>
    <row r="42" spans="1:367" ht="14.1" customHeight="1" x14ac:dyDescent="0.2">
      <c r="A42" s="156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177"/>
      <c r="AU42" s="177"/>
      <c r="AV42" s="177"/>
      <c r="AW42" s="177"/>
      <c r="AX42" s="177"/>
      <c r="AY42" s="177"/>
      <c r="AZ42" s="177"/>
      <c r="BA42" s="177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156"/>
      <c r="CP42" s="156"/>
      <c r="CQ42" s="156"/>
      <c r="CR42" s="156"/>
      <c r="CS42" s="156"/>
      <c r="CT42" s="156"/>
      <c r="CU42" s="156"/>
      <c r="CV42" s="156"/>
      <c r="CW42" s="156"/>
      <c r="CX42" s="156"/>
      <c r="CY42" s="156"/>
      <c r="CZ42" s="156"/>
      <c r="DA42" s="156"/>
      <c r="DB42" s="156"/>
      <c r="DC42" s="156"/>
      <c r="DD42" s="156"/>
      <c r="DE42" s="156"/>
      <c r="DF42" s="156"/>
      <c r="DG42" s="156"/>
      <c r="DH42" s="156"/>
      <c r="DI42" s="156"/>
      <c r="DJ42" s="156"/>
      <c r="DK42" s="156"/>
      <c r="DL42" s="156"/>
      <c r="DM42" s="156"/>
      <c r="DN42" s="156"/>
      <c r="DO42" s="156"/>
      <c r="DP42" s="156"/>
      <c r="DQ42" s="156"/>
      <c r="DR42" s="156"/>
      <c r="DS42" s="156"/>
      <c r="DT42" s="156"/>
      <c r="DU42" s="156"/>
      <c r="DV42" s="156"/>
      <c r="DW42" s="156"/>
      <c r="DX42" s="156"/>
      <c r="DY42" s="156"/>
      <c r="DZ42" s="156"/>
      <c r="EA42" s="156"/>
      <c r="EB42" s="156"/>
      <c r="EC42" s="156"/>
      <c r="ED42" s="156"/>
      <c r="EE42" s="156"/>
      <c r="EF42" s="156"/>
      <c r="EG42" s="156"/>
      <c r="EH42" s="156"/>
      <c r="EI42" s="156"/>
      <c r="EJ42" s="156"/>
      <c r="EK42" s="156"/>
      <c r="EL42" s="156"/>
      <c r="EM42" s="156"/>
      <c r="EN42" s="156"/>
      <c r="EO42" s="156"/>
      <c r="EP42" s="156"/>
      <c r="EQ42" s="156"/>
      <c r="ER42" s="156"/>
      <c r="ES42" s="156"/>
      <c r="ET42" s="156"/>
      <c r="EU42" s="156"/>
      <c r="EV42" s="156"/>
      <c r="EW42" s="156"/>
      <c r="EX42" s="156"/>
      <c r="EY42" s="156"/>
      <c r="EZ42" s="156"/>
      <c r="FA42" s="156"/>
      <c r="FB42" s="156"/>
      <c r="FC42" s="156"/>
      <c r="FD42" s="156"/>
      <c r="FE42" s="156"/>
      <c r="FF42" s="156"/>
      <c r="FG42" s="156"/>
      <c r="FH42" s="156"/>
      <c r="FI42" s="156"/>
      <c r="FJ42" s="156"/>
      <c r="FK42" s="156"/>
      <c r="FL42" s="156"/>
      <c r="FM42" s="156"/>
      <c r="FN42" s="156"/>
      <c r="FO42" s="156"/>
      <c r="FP42" s="156"/>
      <c r="FQ42" s="156"/>
      <c r="FR42" s="156"/>
      <c r="FS42" s="242"/>
      <c r="FT42" s="270"/>
      <c r="FU42" s="242"/>
      <c r="FV42" s="242"/>
      <c r="FW42" s="242"/>
      <c r="FX42" s="276"/>
      <c r="FY42" s="276"/>
      <c r="FZ42" s="276"/>
      <c r="GA42" s="277"/>
      <c r="GB42" s="262"/>
      <c r="GC42" s="242"/>
      <c r="GD42" s="242"/>
      <c r="GE42" s="242"/>
      <c r="GF42" s="242"/>
      <c r="GG42" s="267"/>
      <c r="GH42" s="275"/>
      <c r="GI42" s="268"/>
      <c r="GJ42" s="268"/>
      <c r="GK42" s="257"/>
      <c r="GL42" s="242"/>
      <c r="GM42" s="242"/>
      <c r="GN42" s="242"/>
      <c r="GO42" s="242"/>
      <c r="GP42" s="242"/>
      <c r="GQ42" s="242"/>
      <c r="GR42" s="242"/>
      <c r="GS42" s="242"/>
      <c r="GT42" s="233"/>
      <c r="GU42" s="233"/>
      <c r="GV42" s="222"/>
      <c r="GW42" s="222"/>
      <c r="GX42" s="222"/>
      <c r="GY42" s="222"/>
      <c r="GZ42" s="222"/>
      <c r="HA42" s="222"/>
      <c r="HB42" s="222"/>
      <c r="HC42" s="222"/>
      <c r="HD42" s="222"/>
      <c r="HE42" s="222"/>
      <c r="HF42" s="164"/>
      <c r="HG42" s="242"/>
      <c r="HH42" s="242"/>
      <c r="HI42" s="242"/>
      <c r="HJ42" s="242"/>
      <c r="HK42" s="242"/>
      <c r="HL42" s="242"/>
      <c r="HM42" s="442"/>
      <c r="HN42" s="442"/>
      <c r="HO42" s="442"/>
      <c r="HP42" s="173"/>
      <c r="HQ42" s="173"/>
      <c r="HR42" s="173"/>
      <c r="HS42" s="173"/>
      <c r="HT42" s="173"/>
      <c r="HU42" s="173"/>
      <c r="HV42" s="173"/>
      <c r="HW42" s="173"/>
      <c r="HX42" s="173"/>
      <c r="HY42" s="173"/>
      <c r="HZ42" s="173"/>
      <c r="IA42" s="173"/>
      <c r="IB42" s="173"/>
      <c r="IC42" s="173"/>
      <c r="ID42" s="173"/>
      <c r="IE42" s="445"/>
      <c r="IF42" s="172"/>
      <c r="IG42" s="172"/>
      <c r="IH42" s="172"/>
      <c r="II42" s="173"/>
      <c r="IJ42" s="173"/>
      <c r="IK42" s="173"/>
      <c r="IL42" s="173"/>
      <c r="IM42" s="36"/>
      <c r="IN42" s="442"/>
      <c r="IO42" s="442"/>
      <c r="IP42" s="442"/>
      <c r="IQ42" s="442"/>
      <c r="IR42" s="442"/>
      <c r="IS42" s="442"/>
      <c r="IT42" s="442"/>
      <c r="IU42" s="442"/>
      <c r="IV42" s="442"/>
      <c r="IW42" s="442"/>
      <c r="IX42" s="442"/>
      <c r="IY42" s="161"/>
      <c r="IZ42" s="161"/>
      <c r="JA42" s="161"/>
      <c r="JB42" s="442"/>
      <c r="JC42" s="442"/>
      <c r="JD42" s="442"/>
      <c r="JE42" s="442"/>
      <c r="JF42" s="442"/>
      <c r="JG42" s="442"/>
      <c r="JH42" s="442"/>
      <c r="JI42" s="442"/>
      <c r="JJ42" s="442"/>
      <c r="JK42" s="442"/>
      <c r="JL42" s="442"/>
      <c r="JM42" s="442"/>
      <c r="JN42" s="442"/>
      <c r="JO42" s="442"/>
      <c r="JP42" s="442"/>
      <c r="JQ42" s="442"/>
      <c r="JR42" s="442"/>
      <c r="JS42" s="442"/>
      <c r="JT42" s="442"/>
      <c r="JU42" s="442"/>
      <c r="JV42" s="442"/>
      <c r="JW42" s="442"/>
      <c r="JX42" s="442"/>
      <c r="JY42" s="442"/>
      <c r="JZ42" s="442"/>
      <c r="KA42" s="442"/>
      <c r="KB42" s="442"/>
      <c r="KC42" s="442"/>
      <c r="KD42" s="442"/>
      <c r="KE42" s="442"/>
      <c r="KF42" s="442"/>
      <c r="KG42" s="442"/>
      <c r="KH42" s="442"/>
      <c r="KI42" s="442"/>
      <c r="KJ42" s="442"/>
      <c r="KK42" s="442"/>
      <c r="KL42" s="442"/>
      <c r="KM42" s="442"/>
      <c r="KN42" s="442"/>
      <c r="KO42" s="442"/>
      <c r="KP42" s="442"/>
      <c r="KQ42" s="442"/>
      <c r="KR42" s="442"/>
      <c r="KS42" s="442"/>
      <c r="KT42" s="442"/>
      <c r="KU42" s="442"/>
      <c r="KV42" s="442"/>
      <c r="KW42" s="442"/>
      <c r="KX42" s="442"/>
      <c r="KY42" s="442"/>
      <c r="KZ42" s="442"/>
      <c r="LA42" s="442"/>
      <c r="LB42" s="442"/>
      <c r="LC42" s="442"/>
      <c r="LD42" s="442"/>
      <c r="LE42" s="442"/>
      <c r="LF42" s="442"/>
      <c r="LG42" s="442"/>
      <c r="LH42" s="442"/>
      <c r="LI42" s="442"/>
      <c r="LJ42" s="442"/>
      <c r="LK42" s="442"/>
      <c r="LL42" s="442"/>
      <c r="LM42" s="442"/>
      <c r="LN42" s="442"/>
      <c r="LO42" s="442"/>
      <c r="LP42" s="442"/>
      <c r="LQ42" s="442"/>
      <c r="LR42" s="442"/>
      <c r="LS42" s="442"/>
      <c r="LT42" s="442"/>
      <c r="LU42" s="442"/>
      <c r="LV42" s="442"/>
      <c r="LW42" s="442"/>
      <c r="LX42" s="442"/>
      <c r="LY42" s="442"/>
      <c r="LZ42" s="442"/>
      <c r="MA42" s="442"/>
      <c r="MB42" s="442"/>
      <c r="MC42" s="442"/>
      <c r="MD42" s="442"/>
      <c r="ME42" s="442"/>
      <c r="MF42" s="442"/>
      <c r="MG42" s="442"/>
      <c r="MH42" s="442"/>
      <c r="MI42" s="442"/>
      <c r="MJ42" s="442"/>
      <c r="MK42" s="442"/>
      <c r="ML42" s="442"/>
      <c r="MM42" s="442"/>
      <c r="MN42" s="442"/>
      <c r="MO42" s="442"/>
      <c r="MP42" s="442"/>
      <c r="MQ42" s="442"/>
      <c r="MR42" s="442"/>
      <c r="MS42" s="442"/>
      <c r="MT42" s="442"/>
      <c r="MU42" s="442"/>
      <c r="MV42" s="442"/>
      <c r="MW42" s="442"/>
      <c r="MX42" s="442"/>
      <c r="MY42" s="442"/>
      <c r="MZ42" s="442"/>
      <c r="NA42" s="442"/>
      <c r="NB42" s="442"/>
      <c r="NC42" s="442"/>
    </row>
    <row r="43" spans="1:367" ht="14.1" customHeight="1" x14ac:dyDescent="0.2">
      <c r="A43" s="156"/>
      <c r="B43" s="50"/>
      <c r="C43" s="50"/>
      <c r="D43" s="50"/>
      <c r="E43" s="156"/>
      <c r="F43" s="156"/>
      <c r="G43" s="156"/>
      <c r="H43" s="156"/>
      <c r="I43" s="156"/>
      <c r="J43" s="156"/>
      <c r="K43" s="156"/>
      <c r="L43" s="156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156"/>
      <c r="CP43" s="156"/>
      <c r="CQ43" s="156"/>
      <c r="CR43" s="156"/>
      <c r="CS43" s="156"/>
      <c r="CT43" s="156"/>
      <c r="CU43" s="156"/>
      <c r="CV43" s="156"/>
      <c r="CW43" s="156"/>
      <c r="CX43" s="156"/>
      <c r="CY43" s="156"/>
      <c r="CZ43" s="156"/>
      <c r="DA43" s="156"/>
      <c r="DB43" s="156"/>
      <c r="DC43" s="156"/>
      <c r="DD43" s="156"/>
      <c r="DE43" s="156"/>
      <c r="DF43" s="156"/>
      <c r="DG43" s="156"/>
      <c r="DH43" s="156"/>
      <c r="DI43" s="156"/>
      <c r="DJ43" s="156"/>
      <c r="DK43" s="156"/>
      <c r="DL43" s="156"/>
      <c r="DM43" s="156"/>
      <c r="DN43" s="156"/>
      <c r="DO43" s="156"/>
      <c r="DP43" s="156"/>
      <c r="DQ43" s="156"/>
      <c r="DR43" s="156"/>
      <c r="DS43" s="156"/>
      <c r="DT43" s="156"/>
      <c r="DU43" s="156"/>
      <c r="DV43" s="156"/>
      <c r="DW43" s="156"/>
      <c r="DX43" s="156"/>
      <c r="DY43" s="156"/>
      <c r="DZ43" s="156"/>
      <c r="EA43" s="156"/>
      <c r="EB43" s="156"/>
      <c r="EC43" s="156"/>
      <c r="ED43" s="156"/>
      <c r="EE43" s="156"/>
      <c r="EF43" s="156"/>
      <c r="EG43" s="156"/>
      <c r="EH43" s="156"/>
      <c r="EI43" s="156"/>
      <c r="EJ43" s="156"/>
      <c r="EK43" s="156"/>
      <c r="EL43" s="156"/>
      <c r="EM43" s="156"/>
      <c r="EN43" s="156"/>
      <c r="EO43" s="156"/>
      <c r="EP43" s="156"/>
      <c r="EQ43" s="156"/>
      <c r="ER43" s="156"/>
      <c r="ES43" s="156"/>
      <c r="ET43" s="156"/>
      <c r="EU43" s="156"/>
      <c r="EV43" s="156"/>
      <c r="EW43" s="156"/>
      <c r="EX43" s="156"/>
      <c r="EY43" s="156"/>
      <c r="EZ43" s="156"/>
      <c r="FA43" s="156"/>
      <c r="FB43" s="156"/>
      <c r="FC43" s="156"/>
      <c r="FD43" s="156"/>
      <c r="FE43" s="156"/>
      <c r="FF43" s="156"/>
      <c r="FG43" s="156"/>
      <c r="FH43" s="156"/>
      <c r="FI43" s="156"/>
      <c r="FJ43" s="156"/>
      <c r="FK43" s="156"/>
      <c r="FL43" s="156"/>
      <c r="FM43" s="156"/>
      <c r="FN43" s="156"/>
      <c r="FO43" s="156"/>
      <c r="FP43" s="156"/>
      <c r="FQ43" s="156"/>
      <c r="FR43" s="156"/>
      <c r="FS43" s="242"/>
      <c r="FT43" s="270"/>
      <c r="FU43" s="242"/>
      <c r="FV43" s="242"/>
      <c r="FW43" s="242"/>
      <c r="FX43" s="278"/>
      <c r="FY43" s="278"/>
      <c r="FZ43" s="278"/>
      <c r="GA43" s="242"/>
      <c r="GB43" s="242"/>
      <c r="GC43" s="242"/>
      <c r="GD43" s="242"/>
      <c r="GE43" s="242"/>
      <c r="GF43" s="242"/>
      <c r="GG43" s="267"/>
      <c r="GH43" s="275"/>
      <c r="GI43" s="275"/>
      <c r="GJ43" s="275"/>
      <c r="GK43" s="257"/>
      <c r="GL43" s="242"/>
      <c r="GM43" s="242"/>
      <c r="GN43" s="242"/>
      <c r="GO43" s="242"/>
      <c r="GP43" s="268"/>
      <c r="GQ43" s="242"/>
      <c r="GR43" s="242"/>
      <c r="GS43" s="242"/>
      <c r="GT43" s="268"/>
      <c r="GU43" s="268"/>
      <c r="GV43" s="268"/>
      <c r="GW43" s="268"/>
      <c r="GX43" s="268"/>
      <c r="GY43" s="268"/>
      <c r="GZ43" s="268"/>
      <c r="HA43" s="268"/>
      <c r="HB43" s="268"/>
      <c r="HC43" s="268"/>
      <c r="HD43" s="268"/>
      <c r="HE43" s="268"/>
      <c r="HF43" s="268"/>
      <c r="HG43" s="267"/>
      <c r="HH43" s="242"/>
      <c r="HI43" s="242"/>
      <c r="HJ43" s="242"/>
      <c r="HK43" s="242"/>
      <c r="HL43" s="242"/>
      <c r="HM43" s="163"/>
      <c r="HN43" s="163"/>
      <c r="HO43" s="442"/>
      <c r="HP43" s="173"/>
      <c r="HQ43" s="173"/>
      <c r="HR43" s="173"/>
      <c r="HS43" s="173"/>
      <c r="HT43" s="173"/>
      <c r="HU43" s="173"/>
      <c r="HV43" s="173"/>
      <c r="HW43" s="173"/>
      <c r="HX43" s="173"/>
      <c r="HY43" s="173" t="str">
        <f>IF(H4&lt;4000,"(0.40+(fy/7000))","")</f>
        <v>(0.40+(fy/7000))</v>
      </c>
      <c r="HZ43" s="173"/>
      <c r="IA43" s="173"/>
      <c r="IB43" s="173"/>
      <c r="IC43" s="173"/>
      <c r="ID43" s="173"/>
      <c r="IE43" s="173"/>
      <c r="IF43" s="173"/>
      <c r="IG43" s="173"/>
      <c r="IH43" s="173"/>
      <c r="II43" s="173"/>
      <c r="IJ43" s="173"/>
      <c r="IK43" s="173"/>
      <c r="IL43" s="173"/>
      <c r="IM43" s="36"/>
      <c r="IN43" s="442"/>
      <c r="IO43" s="438" t="s">
        <v>60</v>
      </c>
      <c r="IP43" s="442"/>
      <c r="IQ43" s="438" t="s">
        <v>61</v>
      </c>
      <c r="IR43" s="442"/>
      <c r="IS43" s="174" t="str">
        <f t="shared" ref="IS43:IS48" si="2">IF($H$4&gt;2400,IO43,IQ43)</f>
        <v>DB12</v>
      </c>
      <c r="IT43" s="442"/>
      <c r="IU43" s="174" t="e">
        <f>IF(#REF!&gt;2400,IO43,IQ43)</f>
        <v>#REF!</v>
      </c>
      <c r="IV43" s="442"/>
      <c r="IW43" s="442"/>
      <c r="IX43" s="442"/>
      <c r="IY43" s="438"/>
      <c r="IZ43" s="442"/>
      <c r="JA43" s="442"/>
      <c r="JB43" s="442"/>
      <c r="JC43" s="442"/>
      <c r="JD43" s="442"/>
      <c r="JE43" s="442"/>
      <c r="JF43" s="442"/>
      <c r="JG43" s="442"/>
      <c r="JH43" s="442"/>
      <c r="JI43" s="442"/>
      <c r="JJ43" s="442"/>
      <c r="JK43" s="442"/>
      <c r="JL43" s="442"/>
      <c r="JM43" s="442"/>
      <c r="JN43" s="442"/>
      <c r="JO43" s="442"/>
      <c r="JP43" s="442"/>
      <c r="JQ43" s="442"/>
      <c r="JR43" s="442"/>
      <c r="JS43" s="442"/>
      <c r="JT43" s="442"/>
      <c r="JU43" s="442"/>
      <c r="JV43" s="442"/>
      <c r="JW43" s="442"/>
      <c r="JX43" s="442"/>
      <c r="JY43" s="442"/>
      <c r="JZ43" s="442"/>
      <c r="KA43" s="442"/>
      <c r="KB43" s="442"/>
      <c r="KC43" s="442"/>
      <c r="KD43" s="442"/>
      <c r="KE43" s="442"/>
      <c r="KF43" s="442"/>
      <c r="KG43" s="442"/>
      <c r="KH43" s="442"/>
      <c r="KI43" s="442"/>
      <c r="KJ43" s="442"/>
      <c r="KK43" s="442"/>
      <c r="KL43" s="442"/>
      <c r="KM43" s="442"/>
      <c r="KN43" s="442"/>
      <c r="KO43" s="442"/>
      <c r="KP43" s="442"/>
      <c r="KQ43" s="442"/>
      <c r="KR43" s="442"/>
      <c r="KS43" s="442"/>
      <c r="KT43" s="442"/>
      <c r="KU43" s="442"/>
      <c r="KV43" s="442"/>
      <c r="KW43" s="442"/>
      <c r="KX43" s="442"/>
      <c r="KY43" s="442"/>
      <c r="KZ43" s="442"/>
      <c r="LA43" s="442"/>
      <c r="LB43" s="442"/>
      <c r="LC43" s="442"/>
      <c r="LD43" s="442"/>
      <c r="LE43" s="442"/>
      <c r="LF43" s="442"/>
      <c r="LG43" s="442"/>
      <c r="LH43" s="442"/>
      <c r="LI43" s="442"/>
      <c r="LJ43" s="442"/>
      <c r="LK43" s="442"/>
      <c r="LL43" s="442"/>
      <c r="LM43" s="442"/>
      <c r="LN43" s="442"/>
      <c r="LO43" s="442"/>
      <c r="LP43" s="442"/>
      <c r="LQ43" s="442"/>
      <c r="LR43" s="442"/>
      <c r="LS43" s="442"/>
      <c r="LT43" s="442"/>
      <c r="LU43" s="442"/>
      <c r="LV43" s="442"/>
      <c r="LW43" s="442"/>
      <c r="LX43" s="442"/>
      <c r="LY43" s="442"/>
      <c r="LZ43" s="442"/>
      <c r="MA43" s="442"/>
      <c r="MB43" s="442"/>
      <c r="MC43" s="442"/>
      <c r="MD43" s="442"/>
      <c r="ME43" s="442"/>
      <c r="MF43" s="442"/>
      <c r="MG43" s="442"/>
      <c r="MH43" s="442"/>
      <c r="MI43" s="442"/>
      <c r="MJ43" s="442"/>
      <c r="MK43" s="442"/>
      <c r="ML43" s="442"/>
      <c r="MM43" s="442"/>
      <c r="MN43" s="442"/>
      <c r="MO43" s="442"/>
      <c r="MP43" s="442"/>
      <c r="MQ43" s="442"/>
      <c r="MR43" s="442"/>
      <c r="MS43" s="442"/>
      <c r="MT43" s="442"/>
      <c r="MU43" s="442"/>
      <c r="MV43" s="442"/>
      <c r="MW43" s="442"/>
      <c r="MX43" s="442"/>
      <c r="MY43" s="442"/>
      <c r="MZ43" s="442"/>
      <c r="NA43" s="442"/>
      <c r="NB43" s="442"/>
      <c r="NC43" s="442"/>
    </row>
    <row r="44" spans="1:367" ht="14.1" customHeight="1" x14ac:dyDescent="0.2">
      <c r="A44" s="156"/>
      <c r="B44" s="50"/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156"/>
      <c r="CP44" s="156"/>
      <c r="CQ44" s="156"/>
      <c r="CR44" s="156"/>
      <c r="CS44" s="156"/>
      <c r="CT44" s="156"/>
      <c r="CU44" s="156"/>
      <c r="CV44" s="156"/>
      <c r="CW44" s="156"/>
      <c r="CX44" s="156"/>
      <c r="CY44" s="156"/>
      <c r="CZ44" s="156"/>
      <c r="DA44" s="156"/>
      <c r="DB44" s="156"/>
      <c r="DC44" s="156"/>
      <c r="DD44" s="156"/>
      <c r="DE44" s="156"/>
      <c r="DF44" s="156"/>
      <c r="DG44" s="156"/>
      <c r="DH44" s="156"/>
      <c r="DI44" s="156"/>
      <c r="DJ44" s="156"/>
      <c r="DK44" s="156"/>
      <c r="DL44" s="156"/>
      <c r="DM44" s="156"/>
      <c r="DN44" s="156"/>
      <c r="DO44" s="156"/>
      <c r="DP44" s="156"/>
      <c r="DQ44" s="156"/>
      <c r="DR44" s="156"/>
      <c r="DS44" s="156"/>
      <c r="DT44" s="156"/>
      <c r="DU44" s="156"/>
      <c r="DV44" s="156"/>
      <c r="DW44" s="156"/>
      <c r="DX44" s="156"/>
      <c r="DY44" s="156"/>
      <c r="DZ44" s="156"/>
      <c r="EA44" s="156"/>
      <c r="EB44" s="156"/>
      <c r="EC44" s="156"/>
      <c r="ED44" s="156"/>
      <c r="EE44" s="156"/>
      <c r="EF44" s="156"/>
      <c r="EG44" s="156"/>
      <c r="EH44" s="156"/>
      <c r="EI44" s="156"/>
      <c r="EJ44" s="156"/>
      <c r="EK44" s="156"/>
      <c r="EL44" s="156"/>
      <c r="EM44" s="156"/>
      <c r="EN44" s="156"/>
      <c r="EO44" s="156"/>
      <c r="EP44" s="156"/>
      <c r="EQ44" s="156"/>
      <c r="ER44" s="156"/>
      <c r="ES44" s="156"/>
      <c r="ET44" s="156"/>
      <c r="EU44" s="156"/>
      <c r="EV44" s="156"/>
      <c r="EW44" s="156"/>
      <c r="EX44" s="156"/>
      <c r="EY44" s="156"/>
      <c r="EZ44" s="156"/>
      <c r="FA44" s="156"/>
      <c r="FB44" s="156"/>
      <c r="FC44" s="156"/>
      <c r="FD44" s="156"/>
      <c r="FE44" s="156"/>
      <c r="FF44" s="156"/>
      <c r="FG44" s="156"/>
      <c r="FH44" s="156"/>
      <c r="FI44" s="156"/>
      <c r="FJ44" s="156"/>
      <c r="FK44" s="156"/>
      <c r="FL44" s="156"/>
      <c r="FM44" s="156"/>
      <c r="FN44" s="156"/>
      <c r="FO44" s="156"/>
      <c r="FP44" s="156"/>
      <c r="FQ44" s="156"/>
      <c r="FR44" s="156"/>
      <c r="FS44" s="242"/>
      <c r="FT44" s="270"/>
      <c r="FU44" s="242"/>
      <c r="FV44" s="242"/>
      <c r="FW44" s="242"/>
      <c r="FX44" s="279"/>
      <c r="FY44" s="279"/>
      <c r="FZ44" s="279"/>
      <c r="GA44" s="242"/>
      <c r="GB44" s="242"/>
      <c r="GC44" s="242"/>
      <c r="GD44" s="242"/>
      <c r="GE44" s="242"/>
      <c r="GF44" s="242"/>
      <c r="GG44" s="267"/>
      <c r="GH44" s="275"/>
      <c r="GI44" s="268"/>
      <c r="GJ44" s="268"/>
      <c r="GK44" s="257"/>
      <c r="GL44" s="242"/>
      <c r="GM44" s="242"/>
      <c r="GN44" s="242"/>
      <c r="GO44" s="242"/>
      <c r="GP44" s="242"/>
      <c r="GQ44" s="242"/>
      <c r="GR44" s="242"/>
      <c r="GS44" s="242"/>
      <c r="GT44" s="275"/>
      <c r="GU44" s="275"/>
      <c r="GV44" s="275"/>
      <c r="GW44" s="275"/>
      <c r="GX44" s="275"/>
      <c r="GY44" s="275"/>
      <c r="GZ44" s="275"/>
      <c r="HA44" s="275"/>
      <c r="HB44" s="275"/>
      <c r="HC44" s="275"/>
      <c r="HD44" s="275"/>
      <c r="HE44" s="275"/>
      <c r="HF44" s="275"/>
      <c r="HG44" s="267"/>
      <c r="HH44" s="242"/>
      <c r="HI44" s="242"/>
      <c r="HJ44" s="242"/>
      <c r="HK44" s="242"/>
      <c r="HL44" s="242"/>
      <c r="HN44" s="37"/>
      <c r="HO44" s="442"/>
      <c r="HP44" s="175" t="s">
        <v>62</v>
      </c>
      <c r="HQ44" s="445" t="s">
        <v>1</v>
      </c>
      <c r="HR44" s="556">
        <v>0.85</v>
      </c>
      <c r="HS44" s="556"/>
      <c r="HT44" s="173"/>
      <c r="HU44" s="173"/>
      <c r="HV44" s="173"/>
      <c r="HW44" s="173"/>
      <c r="HX44" s="173"/>
      <c r="HY44" s="173"/>
      <c r="HZ44" s="173"/>
      <c r="IA44" s="176" t="s">
        <v>63</v>
      </c>
      <c r="IB44" s="173"/>
      <c r="IC44" s="173"/>
      <c r="ID44" s="173"/>
      <c r="IE44" s="173"/>
      <c r="IF44" s="173"/>
      <c r="IG44" s="173"/>
      <c r="IH44" s="445" t="s">
        <v>3</v>
      </c>
      <c r="II44" s="445" t="s">
        <v>64</v>
      </c>
      <c r="IJ44" s="552">
        <v>280</v>
      </c>
      <c r="IK44" s="552"/>
      <c r="IL44" s="176" t="s">
        <v>2</v>
      </c>
      <c r="IM44" s="36"/>
      <c r="IN44" s="442"/>
      <c r="IO44" s="438" t="s">
        <v>65</v>
      </c>
      <c r="IP44" s="442"/>
      <c r="IQ44" s="438" t="s">
        <v>66</v>
      </c>
      <c r="IR44" s="442"/>
      <c r="IS44" s="174" t="str">
        <f t="shared" si="2"/>
        <v>DB16</v>
      </c>
      <c r="IT44" s="442"/>
      <c r="IU44" s="174" t="e">
        <f>IF(#REF!&gt;2400,IO44,IQ44)</f>
        <v>#REF!</v>
      </c>
      <c r="IV44" s="442"/>
      <c r="IW44" s="442"/>
      <c r="IX44" s="442"/>
      <c r="IY44" s="438"/>
      <c r="IZ44" s="442"/>
      <c r="JA44" s="442"/>
      <c r="JB44" s="442"/>
      <c r="JC44" s="442"/>
      <c r="JD44" s="442"/>
      <c r="JE44" s="442"/>
      <c r="JF44" s="442"/>
      <c r="JG44" s="442"/>
      <c r="JH44" s="442"/>
      <c r="JI44" s="442"/>
      <c r="JJ44" s="442"/>
      <c r="JK44" s="442"/>
      <c r="JL44" s="442"/>
      <c r="JM44" s="442"/>
      <c r="JN44" s="442"/>
      <c r="JO44" s="442"/>
      <c r="JP44" s="442"/>
      <c r="JQ44" s="442"/>
      <c r="JR44" s="442"/>
      <c r="JS44" s="442"/>
      <c r="JT44" s="442"/>
      <c r="JU44" s="442"/>
      <c r="JV44" s="442"/>
      <c r="JW44" s="442"/>
      <c r="JX44" s="442"/>
      <c r="JY44" s="442"/>
      <c r="JZ44" s="442"/>
      <c r="KA44" s="442"/>
      <c r="KB44" s="442"/>
      <c r="KC44" s="442"/>
      <c r="KD44" s="442"/>
      <c r="KE44" s="442"/>
      <c r="KF44" s="442"/>
      <c r="KG44" s="442"/>
      <c r="KH44" s="442"/>
      <c r="KI44" s="442"/>
      <c r="KJ44" s="442"/>
      <c r="KK44" s="442"/>
      <c r="KL44" s="442"/>
      <c r="KM44" s="442"/>
      <c r="KN44" s="442"/>
      <c r="KO44" s="442"/>
      <c r="KP44" s="442"/>
      <c r="KQ44" s="442"/>
      <c r="KR44" s="442"/>
      <c r="KS44" s="442"/>
      <c r="KT44" s="442"/>
      <c r="KU44" s="442"/>
      <c r="KV44" s="442"/>
      <c r="KW44" s="442"/>
      <c r="KX44" s="442"/>
      <c r="KY44" s="442"/>
      <c r="KZ44" s="442"/>
      <c r="LA44" s="442"/>
      <c r="LB44" s="442"/>
      <c r="LC44" s="442"/>
      <c r="LD44" s="442"/>
      <c r="LE44" s="442"/>
      <c r="LF44" s="442"/>
      <c r="LG44" s="442"/>
      <c r="LH44" s="442"/>
      <c r="LI44" s="442"/>
      <c r="LJ44" s="442"/>
      <c r="LK44" s="442"/>
      <c r="LL44" s="442"/>
      <c r="LM44" s="442"/>
      <c r="LN44" s="442"/>
      <c r="LO44" s="442"/>
      <c r="LP44" s="442"/>
      <c r="LQ44" s="442"/>
      <c r="LR44" s="442"/>
      <c r="LS44" s="442"/>
      <c r="LT44" s="442"/>
      <c r="LU44" s="442"/>
      <c r="LV44" s="442"/>
      <c r="LW44" s="442"/>
      <c r="LX44" s="442"/>
      <c r="LY44" s="442"/>
      <c r="LZ44" s="442"/>
      <c r="MA44" s="442"/>
      <c r="MB44" s="442"/>
      <c r="MC44" s="442"/>
      <c r="MD44" s="442"/>
      <c r="ME44" s="442"/>
      <c r="MF44" s="442"/>
      <c r="MG44" s="442"/>
      <c r="MH44" s="442"/>
      <c r="MI44" s="442"/>
      <c r="MJ44" s="442"/>
      <c r="MK44" s="442"/>
      <c r="ML44" s="442"/>
      <c r="MM44" s="442"/>
      <c r="MN44" s="442"/>
      <c r="MO44" s="442"/>
      <c r="MP44" s="442"/>
      <c r="MQ44" s="442"/>
      <c r="MR44" s="442"/>
      <c r="MS44" s="442"/>
      <c r="MT44" s="442"/>
      <c r="MU44" s="442"/>
      <c r="MV44" s="442"/>
      <c r="MW44" s="442"/>
      <c r="MX44" s="442"/>
      <c r="MY44" s="442"/>
      <c r="MZ44" s="442"/>
      <c r="NA44" s="442"/>
      <c r="NB44" s="442"/>
      <c r="NC44" s="442"/>
    </row>
    <row r="45" spans="1:367" ht="14.1" customHeight="1" x14ac:dyDescent="0.2">
      <c r="A45" s="156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56"/>
      <c r="Z45" s="156"/>
      <c r="AA45" s="156"/>
      <c r="AB45" s="156"/>
      <c r="AC45" s="156"/>
      <c r="AD45" s="156"/>
      <c r="AE45" s="156"/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156"/>
      <c r="CP45" s="156"/>
      <c r="CQ45" s="156"/>
      <c r="CR45" s="156"/>
      <c r="CS45" s="156"/>
      <c r="CT45" s="156"/>
      <c r="CU45" s="156"/>
      <c r="CV45" s="156"/>
      <c r="CW45" s="156"/>
      <c r="CX45" s="156"/>
      <c r="CY45" s="156"/>
      <c r="CZ45" s="156"/>
      <c r="DA45" s="156"/>
      <c r="DB45" s="156"/>
      <c r="DC45" s="156"/>
      <c r="DD45" s="156"/>
      <c r="DE45" s="156"/>
      <c r="DF45" s="156"/>
      <c r="DG45" s="156"/>
      <c r="DH45" s="156"/>
      <c r="DI45" s="156"/>
      <c r="DJ45" s="156"/>
      <c r="DK45" s="156"/>
      <c r="DL45" s="156"/>
      <c r="DM45" s="156"/>
      <c r="DN45" s="156"/>
      <c r="DO45" s="156"/>
      <c r="DP45" s="156"/>
      <c r="DQ45" s="156"/>
      <c r="DR45" s="156"/>
      <c r="DS45" s="156"/>
      <c r="DT45" s="156"/>
      <c r="DU45" s="156"/>
      <c r="DV45" s="156"/>
      <c r="DW45" s="156"/>
      <c r="DX45" s="156"/>
      <c r="DY45" s="156"/>
      <c r="DZ45" s="156"/>
      <c r="EA45" s="156"/>
      <c r="EB45" s="156"/>
      <c r="EC45" s="156"/>
      <c r="ED45" s="156"/>
      <c r="EE45" s="156"/>
      <c r="EF45" s="156"/>
      <c r="EG45" s="156"/>
      <c r="EH45" s="156"/>
      <c r="EI45" s="156"/>
      <c r="EJ45" s="156"/>
      <c r="EK45" s="156"/>
      <c r="EL45" s="156"/>
      <c r="EM45" s="156"/>
      <c r="EN45" s="156"/>
      <c r="EO45" s="156"/>
      <c r="EP45" s="156"/>
      <c r="EQ45" s="156"/>
      <c r="ER45" s="156"/>
      <c r="ES45" s="156"/>
      <c r="ET45" s="156"/>
      <c r="EU45" s="156"/>
      <c r="EV45" s="156"/>
      <c r="EW45" s="156"/>
      <c r="EX45" s="156"/>
      <c r="EY45" s="156"/>
      <c r="EZ45" s="156"/>
      <c r="FA45" s="156"/>
      <c r="FB45" s="156"/>
      <c r="FC45" s="156"/>
      <c r="FD45" s="156"/>
      <c r="FE45" s="156"/>
      <c r="FF45" s="156"/>
      <c r="FG45" s="156"/>
      <c r="FH45" s="156"/>
      <c r="FI45" s="156"/>
      <c r="FJ45" s="156"/>
      <c r="FK45" s="156"/>
      <c r="FL45" s="156"/>
      <c r="FM45" s="156"/>
      <c r="FN45" s="156"/>
      <c r="FO45" s="156"/>
      <c r="FP45" s="156"/>
      <c r="FQ45" s="156"/>
      <c r="FR45" s="156"/>
      <c r="FS45" s="242"/>
      <c r="FT45" s="270"/>
      <c r="FU45" s="242"/>
      <c r="FV45" s="242"/>
      <c r="FW45" s="242"/>
      <c r="FX45" s="278"/>
      <c r="FY45" s="278"/>
      <c r="FZ45" s="278"/>
      <c r="GA45" s="242"/>
      <c r="GB45" s="50"/>
      <c r="GC45" s="50"/>
      <c r="GD45" s="50"/>
      <c r="GE45" s="242"/>
      <c r="GF45" s="50"/>
      <c r="GG45" s="50"/>
      <c r="GH45" s="50"/>
      <c r="GI45" s="50"/>
      <c r="GJ45" s="50"/>
      <c r="GK45" s="50"/>
      <c r="GL45" s="50"/>
      <c r="GM45" s="50"/>
      <c r="GN45" s="242"/>
      <c r="GO45" s="280"/>
      <c r="GP45" s="268"/>
      <c r="GQ45" s="268"/>
      <c r="GR45" s="242"/>
      <c r="GS45" s="242"/>
      <c r="GT45" s="268"/>
      <c r="GU45" s="268"/>
      <c r="GV45" s="268"/>
      <c r="GW45" s="268"/>
      <c r="GX45" s="268"/>
      <c r="GY45" s="268"/>
      <c r="GZ45" s="268"/>
      <c r="HA45" s="268"/>
      <c r="HB45" s="268"/>
      <c r="HC45" s="268"/>
      <c r="HD45" s="268"/>
      <c r="HE45" s="268"/>
      <c r="HF45" s="268"/>
      <c r="HG45" s="267"/>
      <c r="HH45" s="242"/>
      <c r="HI45" s="242"/>
      <c r="HJ45" s="242"/>
      <c r="HK45" s="242"/>
      <c r="HL45" s="242"/>
      <c r="HN45" s="37"/>
      <c r="HO45" s="442"/>
      <c r="HP45" s="175" t="s">
        <v>62</v>
      </c>
      <c r="HQ45" s="445" t="s">
        <v>1</v>
      </c>
      <c r="HR45" s="176" t="s">
        <v>70</v>
      </c>
      <c r="HS45" s="176"/>
      <c r="HT45" s="173"/>
      <c r="HU45" s="173"/>
      <c r="HV45" s="173"/>
      <c r="HW45" s="173"/>
      <c r="HX45" s="173"/>
      <c r="HY45" s="173"/>
      <c r="HZ45" s="173"/>
      <c r="IA45" s="176" t="s">
        <v>63</v>
      </c>
      <c r="IB45" s="173"/>
      <c r="IC45" s="552">
        <v>280</v>
      </c>
      <c r="ID45" s="552"/>
      <c r="IE45" s="176" t="s">
        <v>2</v>
      </c>
      <c r="IF45" s="173"/>
      <c r="IG45" s="176" t="s">
        <v>71</v>
      </c>
      <c r="IH45" s="445" t="s">
        <v>3</v>
      </c>
      <c r="II45" s="445" t="s">
        <v>64</v>
      </c>
      <c r="IJ45" s="552">
        <v>560</v>
      </c>
      <c r="IK45" s="552"/>
      <c r="IL45" s="176" t="s">
        <v>2</v>
      </c>
      <c r="IM45" s="36"/>
      <c r="IN45" s="442"/>
      <c r="IO45" s="438" t="s">
        <v>72</v>
      </c>
      <c r="IP45" s="442"/>
      <c r="IQ45" s="438" t="s">
        <v>73</v>
      </c>
      <c r="IR45" s="442"/>
      <c r="IS45" s="174" t="str">
        <f t="shared" si="2"/>
        <v>DB20</v>
      </c>
      <c r="IT45" s="442"/>
      <c r="IU45" s="174" t="e">
        <f>IF(#REF!&gt;2400,IO45,IQ45)</f>
        <v>#REF!</v>
      </c>
      <c r="IV45" s="442"/>
      <c r="IW45" s="442"/>
      <c r="IX45" s="442"/>
      <c r="IY45" s="438"/>
      <c r="IZ45" s="442"/>
      <c r="JA45" s="442"/>
      <c r="JB45" s="442"/>
      <c r="JC45" s="442"/>
      <c r="JD45" s="442"/>
      <c r="JE45" s="442"/>
      <c r="JF45" s="442"/>
      <c r="JG45" s="442"/>
      <c r="JH45" s="442"/>
      <c r="JI45" s="442"/>
      <c r="JJ45" s="442"/>
      <c r="JK45" s="442"/>
      <c r="JL45" s="442"/>
      <c r="JM45" s="442"/>
      <c r="JN45" s="442"/>
      <c r="JO45" s="442"/>
      <c r="JP45" s="442"/>
      <c r="JQ45" s="442"/>
      <c r="JR45" s="442"/>
      <c r="JS45" s="442"/>
      <c r="JT45" s="442"/>
      <c r="JU45" s="442"/>
      <c r="JV45" s="442"/>
      <c r="JW45" s="442"/>
      <c r="JX45" s="442"/>
      <c r="JY45" s="442"/>
      <c r="JZ45" s="442"/>
      <c r="KA45" s="442"/>
      <c r="KB45" s="442"/>
      <c r="KC45" s="442"/>
      <c r="KD45" s="442"/>
      <c r="KE45" s="442"/>
      <c r="KF45" s="442"/>
      <c r="KG45" s="442"/>
      <c r="KH45" s="442"/>
      <c r="KI45" s="442"/>
      <c r="KJ45" s="442"/>
      <c r="KK45" s="442"/>
      <c r="KL45" s="442"/>
      <c r="KM45" s="442"/>
      <c r="KN45" s="442"/>
      <c r="KO45" s="442"/>
      <c r="KP45" s="442"/>
      <c r="KQ45" s="442"/>
      <c r="KR45" s="442"/>
      <c r="KS45" s="442"/>
      <c r="KT45" s="442"/>
      <c r="KU45" s="442"/>
      <c r="KV45" s="442"/>
      <c r="KW45" s="442"/>
      <c r="KX45" s="442"/>
      <c r="KY45" s="442"/>
      <c r="KZ45" s="442"/>
      <c r="LA45" s="442"/>
      <c r="LB45" s="442"/>
      <c r="LC45" s="442"/>
      <c r="LD45" s="442"/>
      <c r="LE45" s="442"/>
      <c r="LF45" s="442"/>
      <c r="LG45" s="442"/>
      <c r="LH45" s="442"/>
      <c r="LI45" s="442"/>
      <c r="LJ45" s="442"/>
      <c r="LK45" s="442"/>
      <c r="LL45" s="442"/>
      <c r="LM45" s="442"/>
      <c r="LN45" s="442"/>
      <c r="LO45" s="442"/>
      <c r="LP45" s="442"/>
      <c r="LQ45" s="442"/>
      <c r="LR45" s="442"/>
      <c r="LS45" s="442"/>
      <c r="LT45" s="442"/>
      <c r="LU45" s="442"/>
      <c r="LV45" s="442"/>
      <c r="LW45" s="442"/>
      <c r="LX45" s="442"/>
      <c r="LY45" s="442"/>
      <c r="LZ45" s="442"/>
      <c r="MA45" s="442"/>
      <c r="MB45" s="442"/>
      <c r="MC45" s="442"/>
      <c r="MD45" s="442"/>
      <c r="ME45" s="442"/>
      <c r="MF45" s="442"/>
      <c r="MG45" s="442"/>
      <c r="MH45" s="442"/>
      <c r="MI45" s="442"/>
      <c r="MJ45" s="442"/>
      <c r="MK45" s="442"/>
      <c r="ML45" s="442"/>
      <c r="MM45" s="442"/>
      <c r="MN45" s="442"/>
      <c r="MO45" s="442"/>
      <c r="MP45" s="442"/>
      <c r="MQ45" s="442"/>
      <c r="MR45" s="442"/>
      <c r="MS45" s="442"/>
      <c r="MT45" s="442"/>
      <c r="MU45" s="442"/>
      <c r="MV45" s="442"/>
      <c r="MW45" s="442"/>
      <c r="MX45" s="442"/>
      <c r="MY45" s="442"/>
      <c r="MZ45" s="442"/>
      <c r="NA45" s="442"/>
      <c r="NB45" s="442"/>
      <c r="NC45" s="442"/>
    </row>
    <row r="46" spans="1:367" ht="14.1" customHeight="1" x14ac:dyDescent="0.2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6"/>
      <c r="AA46" s="156"/>
      <c r="AB46" s="156"/>
      <c r="AC46" s="156"/>
      <c r="AD46" s="156"/>
      <c r="AE46" s="156"/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156"/>
      <c r="CP46" s="156"/>
      <c r="CQ46" s="156"/>
      <c r="CR46" s="156"/>
      <c r="CS46" s="156"/>
      <c r="CT46" s="156"/>
      <c r="CU46" s="156"/>
      <c r="CV46" s="156"/>
      <c r="CW46" s="156"/>
      <c r="CX46" s="156"/>
      <c r="CY46" s="156"/>
      <c r="CZ46" s="156"/>
      <c r="DA46" s="156"/>
      <c r="DB46" s="156"/>
      <c r="DC46" s="156"/>
      <c r="DD46" s="156"/>
      <c r="DE46" s="156"/>
      <c r="DF46" s="156"/>
      <c r="DG46" s="156"/>
      <c r="DH46" s="156"/>
      <c r="DI46" s="156"/>
      <c r="DJ46" s="156"/>
      <c r="DK46" s="156"/>
      <c r="DL46" s="156"/>
      <c r="DM46" s="156"/>
      <c r="DN46" s="156"/>
      <c r="DO46" s="156"/>
      <c r="DP46" s="156"/>
      <c r="DQ46" s="156"/>
      <c r="DR46" s="156"/>
      <c r="DS46" s="156"/>
      <c r="DT46" s="156"/>
      <c r="DU46" s="156"/>
      <c r="DV46" s="156"/>
      <c r="DW46" s="156"/>
      <c r="DX46" s="156"/>
      <c r="DY46" s="156"/>
      <c r="DZ46" s="156"/>
      <c r="EA46" s="156"/>
      <c r="EB46" s="156"/>
      <c r="EC46" s="156"/>
      <c r="ED46" s="156"/>
      <c r="EE46" s="156"/>
      <c r="EF46" s="156"/>
      <c r="EG46" s="156"/>
      <c r="EH46" s="156"/>
      <c r="EI46" s="156"/>
      <c r="EJ46" s="156"/>
      <c r="EK46" s="156"/>
      <c r="EL46" s="156"/>
      <c r="EM46" s="156"/>
      <c r="EN46" s="156"/>
      <c r="EO46" s="156"/>
      <c r="EP46" s="156"/>
      <c r="EQ46" s="156"/>
      <c r="ER46" s="156"/>
      <c r="ES46" s="156"/>
      <c r="ET46" s="156"/>
      <c r="EU46" s="156"/>
      <c r="EV46" s="156"/>
      <c r="EW46" s="156"/>
      <c r="EX46" s="156"/>
      <c r="EY46" s="156"/>
      <c r="EZ46" s="156"/>
      <c r="FA46" s="156"/>
      <c r="FB46" s="156"/>
      <c r="FC46" s="156"/>
      <c r="FD46" s="156"/>
      <c r="FE46" s="156"/>
      <c r="FF46" s="156"/>
      <c r="FG46" s="156"/>
      <c r="FH46" s="156"/>
      <c r="FI46" s="156"/>
      <c r="FJ46" s="156"/>
      <c r="FK46" s="156"/>
      <c r="FL46" s="156"/>
      <c r="FM46" s="156"/>
      <c r="FN46" s="156"/>
      <c r="FO46" s="156"/>
      <c r="FP46" s="156"/>
      <c r="FQ46" s="156"/>
      <c r="FR46" s="156"/>
      <c r="FS46" s="242"/>
      <c r="FT46" s="256"/>
      <c r="FU46" s="256"/>
      <c r="FV46" s="256"/>
      <c r="FW46" s="256"/>
      <c r="FX46" s="281"/>
      <c r="FY46" s="281"/>
      <c r="FZ46" s="256"/>
      <c r="GA46" s="256"/>
      <c r="GB46" s="281"/>
      <c r="GC46" s="281"/>
      <c r="GD46" s="281"/>
      <c r="GE46" s="281"/>
      <c r="GF46" s="50"/>
      <c r="GG46" s="50"/>
      <c r="GH46" s="281"/>
      <c r="GI46" s="281"/>
      <c r="GJ46" s="256"/>
      <c r="GK46" s="256"/>
      <c r="GL46" s="256"/>
      <c r="GM46" s="256"/>
      <c r="GN46" s="256"/>
      <c r="GO46" s="280"/>
      <c r="GP46" s="242"/>
      <c r="GQ46" s="242"/>
      <c r="GR46" s="242"/>
      <c r="GS46" s="242"/>
      <c r="GT46" s="242"/>
      <c r="GU46" s="242"/>
      <c r="GV46" s="242"/>
      <c r="GW46" s="242"/>
      <c r="GX46" s="242"/>
      <c r="GY46" s="242"/>
      <c r="GZ46" s="242"/>
      <c r="HA46" s="242"/>
      <c r="HB46" s="242"/>
      <c r="HC46" s="242"/>
      <c r="HD46" s="242"/>
      <c r="HE46" s="242"/>
      <c r="HF46" s="282"/>
      <c r="HG46" s="267"/>
      <c r="HH46" s="242"/>
      <c r="HI46" s="242"/>
      <c r="HJ46" s="242"/>
      <c r="HK46" s="242"/>
      <c r="HL46" s="242"/>
      <c r="HN46" s="37"/>
      <c r="HO46" s="442"/>
      <c r="HP46" s="175" t="s">
        <v>62</v>
      </c>
      <c r="HQ46" s="445" t="s">
        <v>1</v>
      </c>
      <c r="HR46" s="556">
        <v>0.65</v>
      </c>
      <c r="HS46" s="556"/>
      <c r="HT46" s="173"/>
      <c r="HU46" s="173"/>
      <c r="HV46" s="173"/>
      <c r="HW46" s="173"/>
      <c r="HX46" s="173"/>
      <c r="HY46" s="173"/>
      <c r="HZ46" s="173"/>
      <c r="IA46" s="176" t="s">
        <v>63</v>
      </c>
      <c r="IB46" s="173"/>
      <c r="IC46" s="173"/>
      <c r="ID46" s="173"/>
      <c r="IE46" s="173"/>
      <c r="IF46" s="173"/>
      <c r="IG46" s="173"/>
      <c r="IH46" s="445" t="s">
        <v>3</v>
      </c>
      <c r="II46" s="445" t="s">
        <v>74</v>
      </c>
      <c r="IJ46" s="552">
        <v>560</v>
      </c>
      <c r="IK46" s="552"/>
      <c r="IL46" s="176" t="s">
        <v>2</v>
      </c>
      <c r="IM46" s="36"/>
      <c r="IN46" s="442"/>
      <c r="IO46" s="438" t="s">
        <v>75</v>
      </c>
      <c r="IP46" s="442"/>
      <c r="IQ46" s="438" t="s">
        <v>76</v>
      </c>
      <c r="IR46" s="442"/>
      <c r="IS46" s="174" t="str">
        <f t="shared" si="2"/>
        <v>DB25</v>
      </c>
      <c r="IT46" s="442"/>
      <c r="IU46" s="174" t="e">
        <f>IF(#REF!&gt;2400,IO46,IQ46)</f>
        <v>#REF!</v>
      </c>
      <c r="IV46" s="442"/>
      <c r="IW46" s="442"/>
      <c r="IX46" s="442"/>
      <c r="IY46" s="438"/>
      <c r="IZ46" s="442"/>
      <c r="JA46" s="442"/>
      <c r="JB46" s="442"/>
      <c r="JC46" s="442"/>
      <c r="JD46" s="442"/>
      <c r="JE46" s="442"/>
      <c r="JF46" s="442"/>
      <c r="JG46" s="442"/>
      <c r="JH46" s="442"/>
      <c r="JI46" s="442"/>
      <c r="JJ46" s="442"/>
      <c r="JK46" s="442"/>
      <c r="JL46" s="442"/>
      <c r="JM46" s="442"/>
      <c r="JN46" s="442"/>
      <c r="JO46" s="442"/>
      <c r="JP46" s="442"/>
      <c r="JQ46" s="442"/>
      <c r="JR46" s="442"/>
      <c r="JS46" s="442"/>
      <c r="JT46" s="442"/>
      <c r="JU46" s="442"/>
      <c r="JV46" s="442"/>
      <c r="JW46" s="442"/>
      <c r="JX46" s="442"/>
      <c r="JY46" s="442"/>
      <c r="JZ46" s="442"/>
      <c r="KA46" s="442"/>
      <c r="KB46" s="442"/>
      <c r="KC46" s="442"/>
      <c r="KD46" s="442"/>
      <c r="KE46" s="442"/>
      <c r="KF46" s="442"/>
      <c r="KG46" s="442"/>
      <c r="KH46" s="442"/>
      <c r="KI46" s="442"/>
      <c r="KJ46" s="442"/>
      <c r="KK46" s="442"/>
      <c r="KL46" s="442"/>
      <c r="KM46" s="442"/>
      <c r="KN46" s="442"/>
      <c r="KO46" s="442"/>
      <c r="KP46" s="442"/>
      <c r="KQ46" s="442"/>
      <c r="KR46" s="442"/>
      <c r="KS46" s="442"/>
      <c r="KT46" s="442"/>
      <c r="KU46" s="442"/>
      <c r="KV46" s="442"/>
      <c r="KW46" s="442"/>
      <c r="KX46" s="442"/>
      <c r="KY46" s="442"/>
      <c r="KZ46" s="442"/>
      <c r="LA46" s="442"/>
      <c r="LB46" s="442"/>
      <c r="LC46" s="442"/>
      <c r="LD46" s="442"/>
      <c r="LE46" s="442"/>
      <c r="LF46" s="442"/>
      <c r="LG46" s="442"/>
      <c r="LH46" s="442"/>
      <c r="LI46" s="442"/>
      <c r="LJ46" s="442"/>
      <c r="LK46" s="442"/>
      <c r="LL46" s="442"/>
      <c r="LM46" s="442"/>
      <c r="LN46" s="442"/>
      <c r="LO46" s="442"/>
      <c r="LP46" s="442"/>
      <c r="LQ46" s="442"/>
      <c r="LR46" s="442"/>
      <c r="LS46" s="442"/>
      <c r="LT46" s="442"/>
      <c r="LU46" s="442"/>
      <c r="LV46" s="442"/>
      <c r="LW46" s="442"/>
      <c r="LX46" s="442"/>
      <c r="LY46" s="442"/>
      <c r="LZ46" s="442"/>
      <c r="MA46" s="442"/>
      <c r="MB46" s="442"/>
      <c r="MC46" s="442"/>
      <c r="MD46" s="442"/>
      <c r="ME46" s="442"/>
      <c r="MF46" s="442"/>
      <c r="MG46" s="442"/>
      <c r="MH46" s="442"/>
      <c r="MI46" s="442"/>
      <c r="MJ46" s="442"/>
      <c r="MK46" s="442"/>
      <c r="ML46" s="442"/>
      <c r="MM46" s="442"/>
      <c r="MN46" s="442"/>
      <c r="MO46" s="442"/>
      <c r="MP46" s="442"/>
      <c r="MQ46" s="442"/>
      <c r="MR46" s="442"/>
      <c r="MS46" s="442"/>
      <c r="MT46" s="442"/>
      <c r="MU46" s="442"/>
      <c r="MV46" s="442"/>
      <c r="MW46" s="442"/>
      <c r="MX46" s="442"/>
      <c r="MY46" s="442"/>
      <c r="MZ46" s="442"/>
      <c r="NA46" s="442"/>
      <c r="NB46" s="442"/>
      <c r="NC46" s="442"/>
    </row>
    <row r="47" spans="1:367" ht="14.1" customHeight="1" x14ac:dyDescent="0.2">
      <c r="A47" s="156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  <c r="AC47" s="156"/>
      <c r="AD47" s="156"/>
      <c r="AE47" s="156"/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156"/>
      <c r="CP47" s="156"/>
      <c r="CQ47" s="156"/>
      <c r="CR47" s="156"/>
      <c r="CS47" s="156"/>
      <c r="CT47" s="156"/>
      <c r="CU47" s="156"/>
      <c r="CV47" s="156"/>
      <c r="CW47" s="156"/>
      <c r="CX47" s="156"/>
      <c r="CY47" s="156"/>
      <c r="CZ47" s="156"/>
      <c r="DA47" s="156"/>
      <c r="DB47" s="156"/>
      <c r="DC47" s="156"/>
      <c r="DD47" s="156"/>
      <c r="DE47" s="156"/>
      <c r="DF47" s="156"/>
      <c r="DG47" s="156"/>
      <c r="DH47" s="156"/>
      <c r="DI47" s="156"/>
      <c r="DJ47" s="156"/>
      <c r="DK47" s="156"/>
      <c r="DL47" s="156"/>
      <c r="DM47" s="156"/>
      <c r="DN47" s="156"/>
      <c r="DO47" s="156"/>
      <c r="DP47" s="156"/>
      <c r="DQ47" s="156"/>
      <c r="DR47" s="156"/>
      <c r="DS47" s="156"/>
      <c r="DT47" s="156"/>
      <c r="DU47" s="156"/>
      <c r="DV47" s="156"/>
      <c r="DW47" s="156"/>
      <c r="DX47" s="156"/>
      <c r="DY47" s="156"/>
      <c r="DZ47" s="156"/>
      <c r="EA47" s="156"/>
      <c r="EB47" s="156"/>
      <c r="EC47" s="156"/>
      <c r="ED47" s="156"/>
      <c r="EE47" s="156"/>
      <c r="EF47" s="156"/>
      <c r="EG47" s="156"/>
      <c r="EH47" s="156"/>
      <c r="EI47" s="156"/>
      <c r="EJ47" s="156"/>
      <c r="EK47" s="156"/>
      <c r="EL47" s="156"/>
      <c r="EM47" s="156"/>
      <c r="EN47" s="156"/>
      <c r="EO47" s="156"/>
      <c r="EP47" s="156"/>
      <c r="EQ47" s="156"/>
      <c r="ER47" s="156"/>
      <c r="ES47" s="156"/>
      <c r="ET47" s="156"/>
      <c r="EU47" s="156"/>
      <c r="EV47" s="156"/>
      <c r="EW47" s="156"/>
      <c r="EX47" s="156"/>
      <c r="EY47" s="156"/>
      <c r="EZ47" s="156"/>
      <c r="FA47" s="156"/>
      <c r="FB47" s="156"/>
      <c r="FC47" s="156"/>
      <c r="FD47" s="156"/>
      <c r="FE47" s="156"/>
      <c r="FF47" s="156"/>
      <c r="FG47" s="156"/>
      <c r="FH47" s="156"/>
      <c r="FI47" s="156"/>
      <c r="FJ47" s="156"/>
      <c r="FK47" s="156"/>
      <c r="FL47" s="156"/>
      <c r="FM47" s="156"/>
      <c r="FN47" s="156"/>
      <c r="FO47" s="156"/>
      <c r="FP47" s="156"/>
      <c r="FQ47" s="156"/>
      <c r="FR47" s="156"/>
      <c r="FS47" s="242"/>
      <c r="FT47" s="50"/>
      <c r="FU47" s="50"/>
      <c r="FV47" s="50"/>
      <c r="FW47" s="50"/>
      <c r="FX47" s="50"/>
      <c r="FY47" s="50"/>
      <c r="FZ47" s="50"/>
      <c r="GA47" s="50"/>
      <c r="GB47" s="50"/>
      <c r="GC47" s="50"/>
      <c r="GD47" s="50"/>
      <c r="GE47" s="50"/>
      <c r="GF47" s="50"/>
      <c r="GG47" s="50"/>
      <c r="GH47" s="50"/>
      <c r="GI47" s="50"/>
      <c r="GJ47" s="50"/>
      <c r="GK47" s="222"/>
      <c r="GL47" s="222"/>
      <c r="GM47" s="222"/>
      <c r="GN47" s="50"/>
      <c r="GO47" s="242"/>
      <c r="GP47" s="242"/>
      <c r="GQ47" s="242"/>
      <c r="GR47" s="242"/>
      <c r="GS47" s="242"/>
      <c r="GT47" s="242"/>
      <c r="GU47" s="242"/>
      <c r="GV47" s="242"/>
      <c r="GW47" s="242"/>
      <c r="GX47" s="242"/>
      <c r="GY47" s="242"/>
      <c r="GZ47" s="242"/>
      <c r="HA47" s="242"/>
      <c r="HB47" s="242"/>
      <c r="HC47" s="242"/>
      <c r="HD47" s="242"/>
      <c r="HE47" s="242"/>
      <c r="HF47" s="224"/>
      <c r="HG47" s="242"/>
      <c r="HH47" s="242"/>
      <c r="HI47" s="242"/>
      <c r="HJ47" s="242"/>
      <c r="HK47" s="242"/>
      <c r="HL47" s="242"/>
      <c r="HN47" s="37"/>
      <c r="HO47" s="442"/>
      <c r="HP47" s="556">
        <f>ROUND((IF(H8&lt;=280,0.85,IF(H8&gt;560,0.65,0.85-(0.05*((H8-280)/70))))),2)</f>
        <v>0.85</v>
      </c>
      <c r="HQ47" s="556"/>
      <c r="HR47" s="172"/>
      <c r="HS47" s="173"/>
      <c r="HT47" s="173"/>
      <c r="HU47" s="173"/>
      <c r="HV47" s="173"/>
      <c r="HW47" s="173"/>
      <c r="HX47" s="173"/>
      <c r="HY47" s="173"/>
      <c r="HZ47" s="173"/>
      <c r="IA47" s="173"/>
      <c r="IB47" s="173"/>
      <c r="IC47" s="173"/>
      <c r="ID47" s="173"/>
      <c r="IE47" s="173"/>
      <c r="IF47" s="173"/>
      <c r="IG47" s="173"/>
      <c r="IH47" s="173"/>
      <c r="II47" s="173"/>
      <c r="IJ47" s="173"/>
      <c r="IK47" s="173"/>
      <c r="IL47" s="173"/>
      <c r="IM47" s="36"/>
      <c r="IN47" s="442"/>
      <c r="IO47" s="438" t="s">
        <v>81</v>
      </c>
      <c r="IP47" s="442"/>
      <c r="IQ47" s="438" t="s">
        <v>82</v>
      </c>
      <c r="IR47" s="442"/>
      <c r="IS47" s="174" t="str">
        <f t="shared" si="2"/>
        <v>DB28</v>
      </c>
      <c r="IT47" s="442"/>
      <c r="IU47" s="174" t="e">
        <f>IF(#REF!&gt;2400,IO47,IQ47)</f>
        <v>#REF!</v>
      </c>
      <c r="IV47" s="442"/>
      <c r="IW47" s="442"/>
      <c r="IX47" s="442"/>
      <c r="IY47" s="438"/>
      <c r="IZ47" s="442"/>
      <c r="JA47" s="442"/>
      <c r="JB47" s="442"/>
      <c r="JC47" s="442"/>
      <c r="JD47" s="442"/>
      <c r="JE47" s="442"/>
      <c r="JF47" s="442"/>
      <c r="JG47" s="442"/>
      <c r="JH47" s="442"/>
      <c r="JI47" s="442"/>
      <c r="JJ47" s="442"/>
      <c r="JK47" s="442"/>
      <c r="JL47" s="442"/>
      <c r="JM47" s="442"/>
      <c r="JN47" s="442"/>
      <c r="JO47" s="442"/>
      <c r="JP47" s="442"/>
      <c r="JQ47" s="442"/>
      <c r="JR47" s="442"/>
      <c r="JS47" s="442"/>
      <c r="JT47" s="442"/>
      <c r="JU47" s="442"/>
      <c r="JV47" s="442"/>
      <c r="JW47" s="442"/>
      <c r="JX47" s="442"/>
      <c r="JY47" s="442"/>
      <c r="JZ47" s="442"/>
      <c r="KA47" s="442"/>
      <c r="KB47" s="442"/>
      <c r="KC47" s="442"/>
      <c r="KD47" s="442"/>
      <c r="KE47" s="442"/>
      <c r="KF47" s="442"/>
      <c r="KG47" s="442"/>
      <c r="KH47" s="442"/>
      <c r="KI47" s="442"/>
      <c r="KJ47" s="442"/>
      <c r="KK47" s="442"/>
      <c r="KL47" s="442"/>
      <c r="KM47" s="442"/>
      <c r="KN47" s="442"/>
      <c r="KO47" s="442"/>
      <c r="KP47" s="442"/>
      <c r="KQ47" s="442"/>
      <c r="KR47" s="442"/>
      <c r="KS47" s="442"/>
      <c r="KT47" s="442"/>
      <c r="KU47" s="442"/>
      <c r="KV47" s="442"/>
      <c r="KW47" s="442"/>
      <c r="KX47" s="442"/>
      <c r="KY47" s="442"/>
      <c r="KZ47" s="442"/>
      <c r="LA47" s="442"/>
      <c r="LB47" s="442"/>
      <c r="LC47" s="442"/>
      <c r="LD47" s="442"/>
      <c r="LE47" s="442"/>
      <c r="LF47" s="442"/>
      <c r="LG47" s="442"/>
      <c r="LH47" s="442"/>
      <c r="LI47" s="442"/>
      <c r="LJ47" s="442"/>
      <c r="LK47" s="442"/>
      <c r="LL47" s="442"/>
      <c r="LM47" s="442"/>
      <c r="LN47" s="442"/>
      <c r="LO47" s="442"/>
      <c r="LP47" s="442"/>
      <c r="LQ47" s="442"/>
      <c r="LR47" s="442"/>
      <c r="LS47" s="442"/>
      <c r="LT47" s="442"/>
      <c r="LU47" s="442"/>
      <c r="LV47" s="442"/>
      <c r="LW47" s="442"/>
      <c r="LX47" s="442"/>
      <c r="LY47" s="442"/>
      <c r="LZ47" s="442"/>
      <c r="MA47" s="442"/>
      <c r="MB47" s="442"/>
      <c r="MC47" s="442"/>
      <c r="MD47" s="442"/>
      <c r="ME47" s="442"/>
      <c r="MF47" s="442"/>
      <c r="MG47" s="442"/>
      <c r="MH47" s="442"/>
      <c r="MI47" s="442"/>
      <c r="MJ47" s="442"/>
      <c r="MK47" s="442"/>
      <c r="ML47" s="442"/>
      <c r="MM47" s="442"/>
      <c r="MN47" s="442"/>
      <c r="MO47" s="442"/>
      <c r="MP47" s="442"/>
      <c r="MQ47" s="442"/>
      <c r="MR47" s="442"/>
      <c r="MS47" s="442"/>
      <c r="MT47" s="442"/>
      <c r="MU47" s="442"/>
      <c r="MV47" s="442"/>
      <c r="MW47" s="442"/>
      <c r="MX47" s="442"/>
      <c r="MY47" s="442"/>
      <c r="MZ47" s="442"/>
      <c r="NA47" s="442"/>
      <c r="NB47" s="442"/>
      <c r="NC47" s="442"/>
    </row>
    <row r="48" spans="1:367" ht="14.1" customHeight="1" x14ac:dyDescent="0.2">
      <c r="A48" s="156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156"/>
      <c r="CP48" s="156"/>
      <c r="CQ48" s="156"/>
      <c r="CR48" s="156"/>
      <c r="CS48" s="156"/>
      <c r="CT48" s="156"/>
      <c r="CU48" s="156"/>
      <c r="CV48" s="156"/>
      <c r="CW48" s="156"/>
      <c r="CX48" s="156"/>
      <c r="CY48" s="156"/>
      <c r="CZ48" s="156"/>
      <c r="DA48" s="156"/>
      <c r="DB48" s="156"/>
      <c r="DC48" s="156"/>
      <c r="DD48" s="156"/>
      <c r="DE48" s="156"/>
      <c r="DF48" s="156"/>
      <c r="DG48" s="156"/>
      <c r="DH48" s="156"/>
      <c r="DI48" s="156"/>
      <c r="DJ48" s="156"/>
      <c r="DK48" s="156"/>
      <c r="DL48" s="156"/>
      <c r="DM48" s="156"/>
      <c r="DN48" s="156"/>
      <c r="DO48" s="156"/>
      <c r="DP48" s="156"/>
      <c r="DQ48" s="156"/>
      <c r="DR48" s="156"/>
      <c r="DS48" s="156"/>
      <c r="DT48" s="156"/>
      <c r="DU48" s="156"/>
      <c r="DV48" s="156"/>
      <c r="DW48" s="156"/>
      <c r="DX48" s="156"/>
      <c r="DY48" s="156"/>
      <c r="DZ48" s="156"/>
      <c r="EA48" s="156"/>
      <c r="EB48" s="156"/>
      <c r="EC48" s="156"/>
      <c r="ED48" s="156"/>
      <c r="EE48" s="156"/>
      <c r="EF48" s="156"/>
      <c r="EG48" s="156"/>
      <c r="EH48" s="156"/>
      <c r="EI48" s="156"/>
      <c r="EJ48" s="156"/>
      <c r="EK48" s="156"/>
      <c r="EL48" s="156"/>
      <c r="EM48" s="156"/>
      <c r="EN48" s="156"/>
      <c r="EO48" s="156"/>
      <c r="EP48" s="156"/>
      <c r="EQ48" s="156"/>
      <c r="ER48" s="156"/>
      <c r="ES48" s="156"/>
      <c r="ET48" s="156"/>
      <c r="EU48" s="156"/>
      <c r="EV48" s="156"/>
      <c r="EW48" s="156"/>
      <c r="EX48" s="156"/>
      <c r="EY48" s="156"/>
      <c r="EZ48" s="156"/>
      <c r="FA48" s="156"/>
      <c r="FB48" s="156"/>
      <c r="FC48" s="156"/>
      <c r="FD48" s="156"/>
      <c r="FE48" s="156"/>
      <c r="FF48" s="156"/>
      <c r="FG48" s="156"/>
      <c r="FH48" s="156"/>
      <c r="FI48" s="156"/>
      <c r="FJ48" s="156"/>
      <c r="FK48" s="156"/>
      <c r="FL48" s="156"/>
      <c r="FM48" s="156"/>
      <c r="FN48" s="156"/>
      <c r="FO48" s="156"/>
      <c r="FP48" s="156"/>
      <c r="FQ48" s="156"/>
      <c r="FR48" s="156"/>
      <c r="FS48" s="242"/>
      <c r="FT48" s="50"/>
      <c r="FU48" s="50"/>
      <c r="FV48" s="50"/>
      <c r="FW48" s="50"/>
      <c r="FX48" s="50"/>
      <c r="FY48" s="50"/>
      <c r="FZ48" s="50"/>
      <c r="GA48" s="50"/>
      <c r="GB48" s="50"/>
      <c r="GC48" s="50"/>
      <c r="GD48" s="50"/>
      <c r="GE48" s="50"/>
      <c r="GF48" s="50"/>
      <c r="GG48" s="50"/>
      <c r="GH48" s="50"/>
      <c r="GI48" s="50"/>
      <c r="GJ48" s="50"/>
      <c r="GK48" s="222"/>
      <c r="GL48" s="222"/>
      <c r="GM48" s="222"/>
      <c r="GN48" s="50"/>
      <c r="GO48" s="242"/>
      <c r="GP48" s="242"/>
      <c r="GQ48" s="242"/>
      <c r="GR48" s="242"/>
      <c r="GS48" s="242"/>
      <c r="GT48" s="272"/>
      <c r="GU48" s="272"/>
      <c r="GV48" s="272"/>
      <c r="GW48" s="272"/>
      <c r="GX48" s="272"/>
      <c r="GY48" s="272"/>
      <c r="GZ48" s="272"/>
      <c r="HA48" s="272"/>
      <c r="HB48" s="272"/>
      <c r="HC48" s="272"/>
      <c r="HD48" s="272"/>
      <c r="HE48" s="272"/>
      <c r="HF48" s="268"/>
      <c r="HG48" s="268"/>
      <c r="HH48" s="242"/>
      <c r="HI48" s="242"/>
      <c r="HJ48" s="242"/>
      <c r="HK48" s="242"/>
      <c r="HL48" s="242"/>
      <c r="HN48" s="37"/>
      <c r="HO48" s="442"/>
      <c r="HP48" s="559">
        <f>((2*H26*100)+(2*H24*100))/180</f>
        <v>6.1111111111111107</v>
      </c>
      <c r="HQ48" s="559"/>
      <c r="HR48" s="559"/>
      <c r="HS48" s="173"/>
      <c r="HT48" s="173"/>
      <c r="HU48" s="173"/>
      <c r="HV48" s="173"/>
      <c r="HW48" s="445"/>
      <c r="HX48" s="180"/>
      <c r="HY48" s="180"/>
      <c r="HZ48" s="180"/>
      <c r="IA48" s="173"/>
      <c r="IB48" s="173"/>
      <c r="IC48" s="445"/>
      <c r="ID48" s="172"/>
      <c r="IE48" s="172"/>
      <c r="IF48" s="176"/>
      <c r="IG48" s="176"/>
      <c r="IH48" s="181"/>
      <c r="II48" s="181"/>
      <c r="IJ48" s="181"/>
      <c r="IK48" s="181"/>
      <c r="IL48" s="173"/>
      <c r="IM48" s="36"/>
      <c r="IN48" s="442"/>
      <c r="IO48" s="438" t="s">
        <v>84</v>
      </c>
      <c r="IP48" s="442"/>
      <c r="IQ48" s="442" t="s">
        <v>85</v>
      </c>
      <c r="IR48" s="442"/>
      <c r="IS48" s="174" t="str">
        <f t="shared" si="2"/>
        <v>DB32</v>
      </c>
      <c r="IT48" s="174"/>
      <c r="IU48" s="174" t="e">
        <f>IF(#REF!&gt;2400,IO48,IQ48)</f>
        <v>#REF!</v>
      </c>
      <c r="IV48" s="174"/>
      <c r="IW48" s="442"/>
      <c r="IX48" s="442"/>
      <c r="IY48" s="438"/>
      <c r="IZ48" s="442"/>
      <c r="JA48" s="442"/>
      <c r="JB48" s="442"/>
      <c r="JC48" s="442"/>
      <c r="JD48" s="442"/>
      <c r="JE48" s="442"/>
      <c r="JF48" s="442"/>
      <c r="JG48" s="442"/>
      <c r="JH48" s="442"/>
      <c r="JI48" s="442"/>
      <c r="JJ48" s="442"/>
      <c r="JK48" s="442"/>
      <c r="JL48" s="442"/>
      <c r="JM48" s="442"/>
      <c r="JN48" s="442"/>
      <c r="JO48" s="442"/>
      <c r="JP48" s="442"/>
      <c r="JQ48" s="442"/>
      <c r="JR48" s="442"/>
      <c r="JS48" s="442"/>
      <c r="JT48" s="442"/>
      <c r="JU48" s="442"/>
      <c r="JV48" s="442"/>
      <c r="JW48" s="442"/>
      <c r="JX48" s="442"/>
      <c r="JY48" s="442"/>
      <c r="JZ48" s="442"/>
      <c r="KA48" s="442"/>
      <c r="KB48" s="442"/>
      <c r="KC48" s="442"/>
      <c r="KD48" s="442"/>
      <c r="KE48" s="442"/>
      <c r="KF48" s="442"/>
      <c r="KG48" s="442"/>
      <c r="KH48" s="442"/>
      <c r="KI48" s="442"/>
      <c r="KJ48" s="442"/>
      <c r="KK48" s="442"/>
      <c r="KL48" s="442"/>
      <c r="KM48" s="442"/>
      <c r="KN48" s="442"/>
      <c r="KO48" s="442"/>
      <c r="KP48" s="442"/>
      <c r="KQ48" s="442"/>
      <c r="KR48" s="442"/>
      <c r="KS48" s="442"/>
      <c r="KT48" s="442"/>
      <c r="KU48" s="442"/>
      <c r="KV48" s="442"/>
      <c r="KW48" s="442"/>
      <c r="KX48" s="442"/>
      <c r="KY48" s="442"/>
      <c r="KZ48" s="442"/>
      <c r="LA48" s="442"/>
      <c r="LB48" s="442"/>
      <c r="LC48" s="442"/>
      <c r="LD48" s="442"/>
      <c r="LE48" s="442"/>
      <c r="LF48" s="442"/>
      <c r="LG48" s="442"/>
      <c r="LH48" s="442"/>
      <c r="LI48" s="442"/>
      <c r="LJ48" s="442"/>
      <c r="LK48" s="442"/>
      <c r="LL48" s="442"/>
      <c r="LM48" s="442"/>
      <c r="LN48" s="442"/>
      <c r="LO48" s="442"/>
      <c r="LP48" s="442"/>
      <c r="LQ48" s="442"/>
      <c r="LR48" s="442"/>
      <c r="LS48" s="442"/>
      <c r="LT48" s="442"/>
      <c r="LU48" s="442"/>
      <c r="LV48" s="442"/>
      <c r="LW48" s="442"/>
      <c r="LX48" s="442"/>
      <c r="LY48" s="442"/>
      <c r="LZ48" s="442"/>
      <c r="MA48" s="442"/>
      <c r="MB48" s="442"/>
      <c r="MC48" s="442"/>
      <c r="MD48" s="442"/>
      <c r="ME48" s="442"/>
      <c r="MF48" s="442"/>
      <c r="MG48" s="442"/>
      <c r="MH48" s="442"/>
      <c r="MI48" s="442"/>
      <c r="MJ48" s="442"/>
      <c r="MK48" s="442"/>
      <c r="ML48" s="442"/>
      <c r="MM48" s="442"/>
      <c r="MN48" s="442"/>
      <c r="MO48" s="442"/>
      <c r="MP48" s="442"/>
      <c r="MQ48" s="442"/>
      <c r="MR48" s="442"/>
      <c r="MS48" s="442"/>
      <c r="MT48" s="442"/>
      <c r="MU48" s="442"/>
      <c r="MV48" s="442"/>
      <c r="MW48" s="442"/>
      <c r="MX48" s="442"/>
      <c r="MY48" s="442"/>
      <c r="MZ48" s="442"/>
      <c r="NA48" s="442"/>
      <c r="NB48" s="442"/>
      <c r="NC48" s="442"/>
    </row>
    <row r="49" spans="1:401" ht="14.1" customHeight="1" x14ac:dyDescent="0.2">
      <c r="A49" s="156"/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  <c r="AC49" s="156"/>
      <c r="AD49" s="156"/>
      <c r="AE49" s="156"/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156"/>
      <c r="CP49" s="156"/>
      <c r="CQ49" s="156"/>
      <c r="CR49" s="156"/>
      <c r="CS49" s="156"/>
      <c r="CT49" s="156"/>
      <c r="CU49" s="156"/>
      <c r="CV49" s="156"/>
      <c r="CW49" s="156"/>
      <c r="CX49" s="156"/>
      <c r="CY49" s="156"/>
      <c r="CZ49" s="156"/>
      <c r="DA49" s="156"/>
      <c r="DB49" s="156"/>
      <c r="DC49" s="156"/>
      <c r="DD49" s="156"/>
      <c r="DE49" s="156"/>
      <c r="DF49" s="156"/>
      <c r="DG49" s="156"/>
      <c r="DH49" s="156"/>
      <c r="DI49" s="156"/>
      <c r="DJ49" s="156"/>
      <c r="DK49" s="156"/>
      <c r="DL49" s="156"/>
      <c r="DM49" s="156"/>
      <c r="DN49" s="156"/>
      <c r="DO49" s="156"/>
      <c r="DP49" s="156"/>
      <c r="DQ49" s="156"/>
      <c r="DR49" s="156"/>
      <c r="DS49" s="156"/>
      <c r="DT49" s="156"/>
      <c r="DU49" s="156"/>
      <c r="DV49" s="156"/>
      <c r="DW49" s="156"/>
      <c r="DX49" s="156"/>
      <c r="DY49" s="156"/>
      <c r="DZ49" s="156"/>
      <c r="EA49" s="156"/>
      <c r="EB49" s="156"/>
      <c r="EC49" s="156"/>
      <c r="ED49" s="156"/>
      <c r="EE49" s="156"/>
      <c r="EF49" s="156"/>
      <c r="EG49" s="156"/>
      <c r="EH49" s="156"/>
      <c r="EI49" s="156"/>
      <c r="EJ49" s="156"/>
      <c r="EK49" s="156"/>
      <c r="EL49" s="156"/>
      <c r="EM49" s="156"/>
      <c r="EN49" s="156"/>
      <c r="EO49" s="156"/>
      <c r="EP49" s="156"/>
      <c r="EQ49" s="156"/>
      <c r="ER49" s="156"/>
      <c r="ES49" s="156"/>
      <c r="ET49" s="156"/>
      <c r="EU49" s="156"/>
      <c r="EV49" s="156"/>
      <c r="EW49" s="156"/>
      <c r="EX49" s="156"/>
      <c r="EY49" s="156"/>
      <c r="EZ49" s="156"/>
      <c r="FA49" s="156"/>
      <c r="FB49" s="156"/>
      <c r="FC49" s="156"/>
      <c r="FD49" s="156"/>
      <c r="FE49" s="156"/>
      <c r="FF49" s="156"/>
      <c r="FG49" s="156"/>
      <c r="FH49" s="156"/>
      <c r="FI49" s="156"/>
      <c r="FJ49" s="156"/>
      <c r="FK49" s="156"/>
      <c r="FL49" s="156"/>
      <c r="FM49" s="156"/>
      <c r="FN49" s="156"/>
      <c r="FO49" s="156"/>
      <c r="FP49" s="156"/>
      <c r="FQ49" s="156"/>
      <c r="FR49" s="156"/>
      <c r="FS49" s="242"/>
      <c r="FT49" s="50"/>
      <c r="FU49" s="50"/>
      <c r="FV49" s="50"/>
      <c r="FW49" s="50"/>
      <c r="FX49" s="50"/>
      <c r="FY49" s="50"/>
      <c r="FZ49" s="50"/>
      <c r="GA49" s="50"/>
      <c r="GB49" s="50"/>
      <c r="GC49" s="50"/>
      <c r="GD49" s="50"/>
      <c r="GE49" s="50"/>
      <c r="GF49" s="50"/>
      <c r="GG49" s="50"/>
      <c r="GH49" s="50"/>
      <c r="GI49" s="50"/>
      <c r="GJ49" s="50"/>
      <c r="GK49" s="268"/>
      <c r="GL49" s="268"/>
      <c r="GM49" s="268"/>
      <c r="GN49" s="50"/>
      <c r="GO49" s="242"/>
      <c r="GP49" s="257"/>
      <c r="GQ49" s="242"/>
      <c r="GR49" s="242"/>
      <c r="GS49" s="242"/>
      <c r="GT49" s="275"/>
      <c r="GU49" s="275"/>
      <c r="GV49" s="275"/>
      <c r="GW49" s="275"/>
      <c r="GX49" s="275"/>
      <c r="GY49" s="275"/>
      <c r="GZ49" s="275"/>
      <c r="HA49" s="275"/>
      <c r="HB49" s="275"/>
      <c r="HC49" s="275"/>
      <c r="HD49" s="275"/>
      <c r="HE49" s="275"/>
      <c r="HF49" s="282"/>
      <c r="HG49" s="257"/>
      <c r="HH49" s="242"/>
      <c r="HI49" s="242"/>
      <c r="HJ49" s="242"/>
      <c r="HK49" s="242"/>
      <c r="HL49" s="242"/>
      <c r="HN49" s="37"/>
      <c r="HO49" s="442"/>
      <c r="HP49" s="176">
        <f>IF(HP48&lt;=IN52,IN52,IF(HP48&lt;=IN53,IN53,IF(HP48&lt;=IN54,IN54,IF(HP48&lt;=IN55,IN55,IF(HP48&lt;=IN56,IN56,IF(HP48&lt;=IN57,IN57,IF(HP48&lt;=IN58,IN58,IF(HP48&lt;=IN59,IN59,IF(HP48&lt;=IN60,IN60,IF(HP48&lt;=IN61,IN61))))))))))</f>
        <v>8</v>
      </c>
      <c r="HQ49" s="180"/>
      <c r="HR49" s="173"/>
      <c r="HS49" s="173"/>
      <c r="HT49" s="173"/>
      <c r="HU49" s="173"/>
      <c r="HV49" s="173"/>
      <c r="HW49" s="445"/>
      <c r="HX49" s="180"/>
      <c r="HY49" s="180"/>
      <c r="HZ49" s="180"/>
      <c r="IA49" s="173"/>
      <c r="IB49" s="173"/>
      <c r="IC49" s="445"/>
      <c r="ID49" s="172"/>
      <c r="IE49" s="172"/>
      <c r="IF49" s="176"/>
      <c r="IG49" s="176"/>
      <c r="IH49" s="181"/>
      <c r="II49" s="181"/>
      <c r="IJ49" s="173"/>
      <c r="IK49" s="173"/>
      <c r="IL49" s="173"/>
      <c r="IM49" s="36"/>
      <c r="IN49" s="442"/>
      <c r="IO49" s="442"/>
      <c r="IP49" s="442"/>
      <c r="IQ49" s="442"/>
      <c r="IR49" s="442"/>
      <c r="IS49" s="442"/>
      <c r="IT49" s="442"/>
      <c r="IU49" s="442"/>
      <c r="IV49" s="442"/>
      <c r="IW49" s="442"/>
      <c r="IX49" s="442"/>
      <c r="IY49" s="438"/>
      <c r="IZ49" s="442"/>
      <c r="JA49" s="442"/>
      <c r="JB49" s="442"/>
      <c r="JC49" s="442"/>
      <c r="JD49" s="442"/>
      <c r="JE49" s="442"/>
      <c r="JF49" s="442"/>
      <c r="JG49" s="442"/>
      <c r="JH49" s="442"/>
      <c r="JI49" s="442"/>
      <c r="JJ49" s="442"/>
      <c r="JK49" s="442"/>
      <c r="JL49" s="442"/>
      <c r="JM49" s="442"/>
      <c r="JN49" s="442"/>
      <c r="JO49" s="442"/>
      <c r="JP49" s="442"/>
      <c r="JQ49" s="442"/>
      <c r="JR49" s="442"/>
      <c r="JS49" s="442"/>
      <c r="JT49" s="442"/>
      <c r="JU49" s="442"/>
      <c r="JV49" s="442"/>
      <c r="JW49" s="442"/>
      <c r="JX49" s="442"/>
      <c r="JY49" s="442"/>
      <c r="JZ49" s="442"/>
      <c r="KA49" s="442"/>
      <c r="KB49" s="442"/>
      <c r="KC49" s="442"/>
      <c r="KD49" s="442"/>
      <c r="KE49" s="442"/>
      <c r="KF49" s="442"/>
      <c r="KG49" s="442"/>
      <c r="KH49" s="442"/>
      <c r="KI49" s="442"/>
      <c r="KJ49" s="442"/>
      <c r="KK49" s="442"/>
      <c r="KL49" s="442"/>
      <c r="KM49" s="442"/>
      <c r="KN49" s="442"/>
      <c r="KO49" s="442"/>
      <c r="KP49" s="442"/>
      <c r="KQ49" s="442"/>
      <c r="KR49" s="442"/>
      <c r="KS49" s="442"/>
      <c r="KT49" s="442"/>
      <c r="KU49" s="442"/>
      <c r="KV49" s="442"/>
      <c r="KW49" s="442"/>
      <c r="KX49" s="442"/>
      <c r="KY49" s="442"/>
      <c r="KZ49" s="442"/>
      <c r="LA49" s="442"/>
      <c r="LB49" s="442"/>
      <c r="LC49" s="442"/>
      <c r="LD49" s="442"/>
      <c r="LE49" s="442"/>
      <c r="LF49" s="442"/>
      <c r="LG49" s="442"/>
      <c r="LH49" s="442"/>
      <c r="LI49" s="442"/>
      <c r="LJ49" s="442"/>
      <c r="LK49" s="442"/>
      <c r="LL49" s="442"/>
      <c r="LM49" s="442"/>
      <c r="LN49" s="442"/>
      <c r="LO49" s="442"/>
      <c r="LP49" s="442"/>
      <c r="LQ49" s="442"/>
      <c r="LR49" s="442"/>
      <c r="LS49" s="442"/>
      <c r="LT49" s="442"/>
      <c r="LU49" s="442"/>
      <c r="LV49" s="442"/>
      <c r="LW49" s="442"/>
      <c r="LX49" s="442"/>
      <c r="LY49" s="442"/>
      <c r="LZ49" s="442"/>
      <c r="MA49" s="442"/>
      <c r="MB49" s="442"/>
      <c r="MC49" s="442"/>
      <c r="MD49" s="442"/>
      <c r="ME49" s="442"/>
      <c r="MF49" s="442"/>
      <c r="MG49" s="442"/>
      <c r="MH49" s="442"/>
      <c r="MI49" s="442"/>
      <c r="MJ49" s="442"/>
      <c r="MK49" s="442"/>
      <c r="ML49" s="442"/>
      <c r="MM49" s="442"/>
      <c r="MN49" s="442"/>
      <c r="MO49" s="442"/>
      <c r="MP49" s="442"/>
      <c r="MQ49" s="442"/>
      <c r="MR49" s="442"/>
      <c r="MS49" s="442"/>
      <c r="MT49" s="442"/>
      <c r="MU49" s="442"/>
      <c r="MV49" s="442"/>
      <c r="MW49" s="442"/>
      <c r="MX49" s="442"/>
      <c r="MY49" s="442"/>
      <c r="MZ49" s="442"/>
      <c r="NA49" s="442"/>
      <c r="NB49" s="442"/>
      <c r="NC49" s="442"/>
    </row>
    <row r="50" spans="1:401" ht="14.1" customHeight="1" x14ac:dyDescent="0.2">
      <c r="A50" s="156"/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  <c r="AC50" s="156"/>
      <c r="AD50" s="156"/>
      <c r="AE50" s="156"/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156"/>
      <c r="CP50" s="156"/>
      <c r="CQ50" s="156"/>
      <c r="CR50" s="156"/>
      <c r="CS50" s="156"/>
      <c r="CT50" s="156"/>
      <c r="CU50" s="156"/>
      <c r="CV50" s="156"/>
      <c r="CW50" s="156"/>
      <c r="CX50" s="156"/>
      <c r="CY50" s="156"/>
      <c r="CZ50" s="156"/>
      <c r="DA50" s="156"/>
      <c r="DB50" s="156"/>
      <c r="DC50" s="156"/>
      <c r="DD50" s="156"/>
      <c r="DE50" s="156"/>
      <c r="DF50" s="156"/>
      <c r="DG50" s="156"/>
      <c r="DH50" s="156"/>
      <c r="DI50" s="156"/>
      <c r="DJ50" s="156"/>
      <c r="DK50" s="156"/>
      <c r="DL50" s="156"/>
      <c r="DM50" s="156"/>
      <c r="DN50" s="156"/>
      <c r="DO50" s="156"/>
      <c r="DP50" s="156"/>
      <c r="DQ50" s="156"/>
      <c r="DR50" s="156"/>
      <c r="DS50" s="156"/>
      <c r="DT50" s="156"/>
      <c r="DU50" s="156"/>
      <c r="DV50" s="156"/>
      <c r="DW50" s="156"/>
      <c r="DX50" s="156"/>
      <c r="DY50" s="156"/>
      <c r="DZ50" s="156"/>
      <c r="EA50" s="156"/>
      <c r="EB50" s="156"/>
      <c r="EC50" s="156"/>
      <c r="ED50" s="156"/>
      <c r="EE50" s="156"/>
      <c r="EF50" s="156"/>
      <c r="EG50" s="156"/>
      <c r="EH50" s="156"/>
      <c r="EI50" s="156"/>
      <c r="EJ50" s="156"/>
      <c r="EK50" s="156"/>
      <c r="EL50" s="156"/>
      <c r="EM50" s="156"/>
      <c r="EN50" s="156"/>
      <c r="EO50" s="156"/>
      <c r="EP50" s="156"/>
      <c r="EQ50" s="156"/>
      <c r="ER50" s="156"/>
      <c r="ES50" s="156"/>
      <c r="ET50" s="156"/>
      <c r="EU50" s="156"/>
      <c r="EV50" s="156"/>
      <c r="EW50" s="156"/>
      <c r="EX50" s="156"/>
      <c r="EY50" s="156"/>
      <c r="EZ50" s="156"/>
      <c r="FA50" s="156"/>
      <c r="FB50" s="156"/>
      <c r="FC50" s="156"/>
      <c r="FD50" s="156"/>
      <c r="FE50" s="156"/>
      <c r="FF50" s="156"/>
      <c r="FG50" s="156"/>
      <c r="FH50" s="156"/>
      <c r="FI50" s="156"/>
      <c r="FJ50" s="156"/>
      <c r="FK50" s="156"/>
      <c r="FL50" s="156"/>
      <c r="FM50" s="156"/>
      <c r="FN50" s="156"/>
      <c r="FO50" s="156"/>
      <c r="FP50" s="156"/>
      <c r="FQ50" s="156"/>
      <c r="FR50" s="156"/>
      <c r="FS50" s="242"/>
      <c r="FT50" s="50"/>
      <c r="FU50" s="50"/>
      <c r="FV50" s="50"/>
      <c r="FW50" s="50"/>
      <c r="FX50" s="50"/>
      <c r="FY50" s="50"/>
      <c r="FZ50" s="50"/>
      <c r="GA50" s="50"/>
      <c r="GB50" s="50"/>
      <c r="GC50" s="50"/>
      <c r="GD50" s="50"/>
      <c r="GE50" s="50"/>
      <c r="GF50" s="50"/>
      <c r="GG50" s="50"/>
      <c r="GH50" s="50"/>
      <c r="GI50" s="50"/>
      <c r="GJ50" s="50"/>
      <c r="GK50" s="283"/>
      <c r="GL50" s="283"/>
      <c r="GM50" s="283"/>
      <c r="GN50" s="50"/>
      <c r="GO50" s="242"/>
      <c r="GP50" s="267"/>
      <c r="GQ50" s="242"/>
      <c r="GR50" s="242"/>
      <c r="GS50" s="242"/>
      <c r="GT50" s="275"/>
      <c r="GU50" s="275"/>
      <c r="GV50" s="275"/>
      <c r="GW50" s="275"/>
      <c r="GX50" s="275"/>
      <c r="GY50" s="275"/>
      <c r="GZ50" s="275"/>
      <c r="HA50" s="275"/>
      <c r="HB50" s="275"/>
      <c r="HC50" s="275"/>
      <c r="HD50" s="275"/>
      <c r="HE50" s="275"/>
      <c r="HF50" s="222"/>
      <c r="HG50" s="257"/>
      <c r="HH50" s="242"/>
      <c r="HI50" s="242"/>
      <c r="HJ50" s="242"/>
      <c r="HK50" s="242"/>
      <c r="HL50" s="242"/>
      <c r="HN50" s="37"/>
      <c r="HO50" s="442"/>
      <c r="HR50" s="173"/>
      <c r="HS50" s="173"/>
      <c r="HT50" s="173"/>
      <c r="HU50" s="173"/>
      <c r="HV50" s="173"/>
      <c r="HW50" s="445"/>
      <c r="HX50" s="180"/>
      <c r="HY50" s="180"/>
      <c r="HZ50" s="180"/>
      <c r="IA50" s="173"/>
      <c r="IB50" s="173"/>
      <c r="IC50" s="445"/>
      <c r="ID50" s="172"/>
      <c r="IE50" s="172"/>
      <c r="IF50" s="176"/>
      <c r="IG50" s="176"/>
      <c r="IH50" s="176"/>
      <c r="II50" s="173"/>
      <c r="IJ50" s="173"/>
      <c r="IK50" s="173"/>
      <c r="IL50" s="173"/>
      <c r="IM50" s="36"/>
      <c r="IN50" s="442"/>
      <c r="IO50" s="442"/>
      <c r="IP50" s="442"/>
      <c r="IQ50" s="442"/>
      <c r="IR50" s="442"/>
      <c r="IS50" s="442"/>
      <c r="IT50" s="442"/>
      <c r="IU50" s="442"/>
      <c r="IV50" s="442"/>
      <c r="IW50" s="442"/>
      <c r="IX50" s="442"/>
      <c r="IY50" s="438"/>
      <c r="IZ50" s="442"/>
      <c r="JA50" s="442"/>
      <c r="JB50" s="442"/>
      <c r="JC50" s="442"/>
      <c r="JD50" s="442"/>
      <c r="JE50" s="442"/>
      <c r="JF50" s="442"/>
      <c r="JG50" s="442"/>
      <c r="JH50" s="442"/>
      <c r="JI50" s="442"/>
      <c r="JJ50" s="442"/>
      <c r="JK50" s="442"/>
      <c r="JL50" s="442"/>
      <c r="JM50" s="442"/>
      <c r="JN50" s="442"/>
      <c r="JO50" s="442"/>
      <c r="JP50" s="442"/>
      <c r="JQ50" s="442"/>
      <c r="JR50" s="442"/>
      <c r="JS50" s="442"/>
      <c r="JT50" s="442"/>
      <c r="JU50" s="442"/>
      <c r="JV50" s="442"/>
      <c r="JW50" s="442"/>
      <c r="JX50" s="442"/>
      <c r="JY50" s="442"/>
      <c r="JZ50" s="442"/>
      <c r="KA50" s="442"/>
      <c r="KB50" s="442"/>
      <c r="KC50" s="442"/>
      <c r="KD50" s="442"/>
      <c r="KE50" s="442"/>
      <c r="KF50" s="442"/>
      <c r="KG50" s="442"/>
      <c r="KH50" s="442"/>
      <c r="KI50" s="442"/>
      <c r="KJ50" s="442"/>
      <c r="KK50" s="442"/>
      <c r="KL50" s="442"/>
      <c r="KM50" s="442"/>
      <c r="KN50" s="442"/>
      <c r="KO50" s="442"/>
      <c r="KP50" s="442"/>
      <c r="KQ50" s="442"/>
      <c r="KR50" s="442"/>
      <c r="KS50" s="442"/>
      <c r="KT50" s="442"/>
      <c r="KU50" s="442"/>
      <c r="KV50" s="442"/>
      <c r="KW50" s="442"/>
      <c r="KX50" s="442"/>
      <c r="KY50" s="442"/>
      <c r="KZ50" s="442"/>
      <c r="LA50" s="442"/>
      <c r="LB50" s="442"/>
      <c r="LC50" s="442"/>
      <c r="LD50" s="442"/>
      <c r="LE50" s="442"/>
      <c r="LF50" s="442"/>
      <c r="LG50" s="442"/>
      <c r="LH50" s="442"/>
      <c r="LI50" s="442"/>
      <c r="LJ50" s="442"/>
      <c r="LK50" s="442"/>
      <c r="LL50" s="442"/>
      <c r="LM50" s="442"/>
      <c r="LN50" s="442"/>
      <c r="LO50" s="442"/>
      <c r="LP50" s="442"/>
      <c r="LQ50" s="442"/>
      <c r="LR50" s="442"/>
      <c r="LS50" s="442"/>
      <c r="LT50" s="442"/>
      <c r="LU50" s="442"/>
      <c r="LV50" s="442"/>
      <c r="LW50" s="442"/>
      <c r="LX50" s="442"/>
      <c r="LY50" s="442"/>
      <c r="LZ50" s="442"/>
      <c r="MA50" s="442"/>
      <c r="MB50" s="442"/>
      <c r="MC50" s="442"/>
      <c r="MD50" s="442"/>
      <c r="ME50" s="442"/>
      <c r="MF50" s="442"/>
      <c r="MG50" s="442"/>
      <c r="MH50" s="442"/>
      <c r="MI50" s="442"/>
      <c r="MJ50" s="442"/>
      <c r="MK50" s="442"/>
      <c r="ML50" s="442"/>
      <c r="MM50" s="442"/>
      <c r="MN50" s="442"/>
      <c r="MO50" s="442"/>
      <c r="MP50" s="442"/>
      <c r="MQ50" s="442"/>
      <c r="MR50" s="442"/>
      <c r="MS50" s="442"/>
      <c r="MT50" s="442"/>
      <c r="MU50" s="442"/>
      <c r="MV50" s="442"/>
      <c r="MW50" s="442"/>
      <c r="MX50" s="442"/>
      <c r="MY50" s="442"/>
      <c r="MZ50" s="442"/>
      <c r="NA50" s="442"/>
      <c r="NB50" s="442"/>
      <c r="NC50" s="442"/>
      <c r="NT50" s="149" t="s">
        <v>149</v>
      </c>
    </row>
    <row r="51" spans="1:401" ht="14.1" customHeight="1" x14ac:dyDescent="0.2">
      <c r="A51" s="156"/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56"/>
      <c r="Z51" s="156"/>
      <c r="AA51" s="156"/>
      <c r="AB51" s="156"/>
      <c r="AC51" s="156"/>
      <c r="AD51" s="156"/>
      <c r="AE51" s="156"/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156"/>
      <c r="CP51" s="156"/>
      <c r="CQ51" s="156"/>
      <c r="CR51" s="156"/>
      <c r="CS51" s="156"/>
      <c r="CT51" s="156"/>
      <c r="CU51" s="156"/>
      <c r="CV51" s="156"/>
      <c r="CW51" s="156"/>
      <c r="CX51" s="156"/>
      <c r="CY51" s="156"/>
      <c r="CZ51" s="156"/>
      <c r="DA51" s="156"/>
      <c r="DB51" s="156"/>
      <c r="DC51" s="156"/>
      <c r="DD51" s="156"/>
      <c r="DE51" s="156"/>
      <c r="DF51" s="156"/>
      <c r="DG51" s="156"/>
      <c r="DH51" s="156"/>
      <c r="DI51" s="156"/>
      <c r="DJ51" s="156"/>
      <c r="DK51" s="156"/>
      <c r="DL51" s="156"/>
      <c r="DM51" s="156"/>
      <c r="DN51" s="156"/>
      <c r="DO51" s="156"/>
      <c r="DP51" s="156"/>
      <c r="DQ51" s="156"/>
      <c r="DR51" s="156"/>
      <c r="DS51" s="156"/>
      <c r="DT51" s="156"/>
      <c r="DU51" s="156"/>
      <c r="DV51" s="156"/>
      <c r="DW51" s="156"/>
      <c r="DX51" s="156"/>
      <c r="DY51" s="156"/>
      <c r="DZ51" s="156"/>
      <c r="EA51" s="156"/>
      <c r="EB51" s="156"/>
      <c r="EC51" s="156"/>
      <c r="ED51" s="156"/>
      <c r="EE51" s="156"/>
      <c r="EF51" s="156"/>
      <c r="EG51" s="156"/>
      <c r="EH51" s="156"/>
      <c r="EI51" s="156"/>
      <c r="EJ51" s="156"/>
      <c r="EK51" s="156"/>
      <c r="EL51" s="156"/>
      <c r="EM51" s="156"/>
      <c r="EN51" s="156"/>
      <c r="EO51" s="156"/>
      <c r="EP51" s="156"/>
      <c r="EQ51" s="156"/>
      <c r="ER51" s="156"/>
      <c r="ES51" s="156"/>
      <c r="ET51" s="156"/>
      <c r="EU51" s="156"/>
      <c r="EV51" s="156"/>
      <c r="EW51" s="156"/>
      <c r="EX51" s="156"/>
      <c r="EY51" s="156"/>
      <c r="EZ51" s="156"/>
      <c r="FA51" s="156"/>
      <c r="FB51" s="156"/>
      <c r="FC51" s="156"/>
      <c r="FD51" s="156"/>
      <c r="FE51" s="156"/>
      <c r="FF51" s="156"/>
      <c r="FG51" s="156"/>
      <c r="FH51" s="156"/>
      <c r="FI51" s="156"/>
      <c r="FJ51" s="156"/>
      <c r="FK51" s="156"/>
      <c r="FL51" s="156"/>
      <c r="FM51" s="156"/>
      <c r="FN51" s="156"/>
      <c r="FO51" s="156"/>
      <c r="FP51" s="156"/>
      <c r="FQ51" s="156"/>
      <c r="FR51" s="156"/>
      <c r="FS51" s="242"/>
      <c r="FT51" s="50"/>
      <c r="FU51" s="50"/>
      <c r="FV51" s="50"/>
      <c r="FW51" s="50"/>
      <c r="FX51" s="50"/>
      <c r="FY51" s="50"/>
      <c r="FZ51" s="50"/>
      <c r="GA51" s="50"/>
      <c r="GB51" s="50"/>
      <c r="GC51" s="50"/>
      <c r="GD51" s="50"/>
      <c r="GE51" s="50"/>
      <c r="GF51" s="50"/>
      <c r="GG51" s="50"/>
      <c r="GH51" s="50"/>
      <c r="GI51" s="50"/>
      <c r="GJ51" s="50"/>
      <c r="GK51" s="222"/>
      <c r="GL51" s="222"/>
      <c r="GM51" s="222"/>
      <c r="GN51" s="50"/>
      <c r="GO51" s="242"/>
      <c r="GP51" s="268"/>
      <c r="GQ51" s="242"/>
      <c r="GR51" s="242"/>
      <c r="GS51" s="242"/>
      <c r="GT51" s="268"/>
      <c r="GU51" s="268"/>
      <c r="GV51" s="268"/>
      <c r="GW51" s="268"/>
      <c r="GX51" s="268"/>
      <c r="GY51" s="268"/>
      <c r="GZ51" s="268"/>
      <c r="HA51" s="268"/>
      <c r="HB51" s="268"/>
      <c r="HC51" s="268"/>
      <c r="HD51" s="268"/>
      <c r="HE51" s="268"/>
      <c r="HF51" s="242"/>
      <c r="HG51" s="267"/>
      <c r="HH51" s="242"/>
      <c r="HI51" s="242"/>
      <c r="HJ51" s="242"/>
      <c r="HK51" s="242"/>
      <c r="HL51" s="242"/>
      <c r="HN51" s="37"/>
      <c r="HO51" s="442"/>
      <c r="HP51" s="444" t="s">
        <v>71</v>
      </c>
      <c r="HQ51" s="444" t="s">
        <v>88</v>
      </c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442"/>
      <c r="IN51" s="442"/>
      <c r="IO51" s="442"/>
      <c r="IP51" s="442"/>
      <c r="IQ51" s="442"/>
      <c r="IR51" s="442"/>
      <c r="IS51" s="442"/>
      <c r="IT51" s="442"/>
      <c r="IU51" s="442">
        <v>150</v>
      </c>
      <c r="IV51" s="442"/>
      <c r="IW51" s="442"/>
      <c r="IX51" s="442"/>
      <c r="IY51" s="438"/>
      <c r="IZ51" s="442"/>
      <c r="JA51" s="442"/>
      <c r="JB51" s="442"/>
      <c r="JC51" s="442"/>
      <c r="JD51" s="442"/>
      <c r="JE51" s="442"/>
      <c r="JF51" s="442"/>
      <c r="JG51" s="442"/>
      <c r="JH51" s="442"/>
      <c r="JI51" s="442"/>
      <c r="JJ51" s="442"/>
      <c r="JK51" s="442"/>
      <c r="JL51" s="442"/>
      <c r="JM51" s="442"/>
      <c r="JN51" s="442"/>
      <c r="JO51" s="442"/>
      <c r="JP51" s="442"/>
      <c r="JQ51" s="442"/>
      <c r="JR51" s="442"/>
      <c r="JS51" s="442"/>
      <c r="JT51" s="442"/>
      <c r="JU51" s="442"/>
      <c r="JV51" s="442"/>
      <c r="JW51" s="442"/>
      <c r="JX51" s="442"/>
      <c r="JY51" s="442"/>
      <c r="JZ51" s="442"/>
      <c r="KA51" s="442"/>
      <c r="KB51" s="442"/>
      <c r="KC51" s="442"/>
      <c r="KD51" s="442"/>
      <c r="KE51" s="442"/>
      <c r="KF51" s="442"/>
      <c r="KG51" s="442"/>
      <c r="KH51" s="442"/>
      <c r="KI51" s="442"/>
      <c r="KJ51" s="442"/>
      <c r="KK51" s="442"/>
      <c r="KL51" s="442"/>
      <c r="KM51" s="442"/>
      <c r="KN51" s="442"/>
      <c r="KO51" s="442"/>
      <c r="KP51" s="442"/>
      <c r="KQ51" s="442"/>
      <c r="KR51" s="442"/>
      <c r="KS51" s="442"/>
      <c r="KT51" s="442"/>
      <c r="KU51" s="442"/>
      <c r="KV51" s="442"/>
      <c r="KW51" s="442"/>
      <c r="KX51" s="442"/>
      <c r="KY51" s="442"/>
      <c r="KZ51" s="442"/>
      <c r="LA51" s="442"/>
      <c r="LB51" s="442"/>
      <c r="LC51" s="442"/>
      <c r="LD51" s="442"/>
      <c r="LE51" s="442"/>
      <c r="LF51" s="442"/>
      <c r="LG51" s="442"/>
      <c r="LH51" s="442"/>
      <c r="LI51" s="442"/>
      <c r="LJ51" s="442"/>
      <c r="LK51" s="442"/>
      <c r="LL51" s="442"/>
      <c r="LM51" s="442"/>
      <c r="LN51" s="442"/>
      <c r="LO51" s="442"/>
      <c r="LP51" s="442"/>
      <c r="LQ51" s="442"/>
      <c r="LR51" s="442"/>
      <c r="LS51" s="442"/>
      <c r="LT51" s="442"/>
      <c r="LU51" s="442"/>
      <c r="LV51" s="442"/>
      <c r="LW51" s="442"/>
      <c r="LX51" s="442"/>
      <c r="LY51" s="442"/>
      <c r="LZ51" s="442"/>
      <c r="MA51" s="442"/>
      <c r="MB51" s="442"/>
      <c r="MC51" s="442"/>
      <c r="MD51" s="442"/>
      <c r="ME51" s="442"/>
      <c r="MF51" s="442"/>
      <c r="MG51" s="442"/>
      <c r="MH51" s="442"/>
      <c r="MI51" s="442"/>
      <c r="MJ51" s="442"/>
      <c r="MK51" s="442"/>
      <c r="ML51" s="442"/>
      <c r="MM51" s="442"/>
      <c r="MN51" s="442"/>
      <c r="MO51" s="442"/>
      <c r="MP51" s="442"/>
      <c r="MQ51" s="442"/>
      <c r="MR51" s="442"/>
      <c r="MS51" s="442"/>
      <c r="MT51" s="442"/>
      <c r="MU51" s="442"/>
      <c r="MV51" s="442"/>
      <c r="MW51" s="442"/>
      <c r="MX51" s="442"/>
      <c r="MY51" s="442"/>
      <c r="MZ51" s="442"/>
      <c r="NA51" s="442"/>
      <c r="NB51" s="442"/>
      <c r="NC51" s="442"/>
      <c r="NT51" s="149" t="s">
        <v>22</v>
      </c>
      <c r="NU51" s="149">
        <v>0</v>
      </c>
      <c r="NV51" s="149">
        <v>-0.2</v>
      </c>
      <c r="NW51" s="149">
        <v>-0.2</v>
      </c>
      <c r="NX51" s="149">
        <v>0</v>
      </c>
      <c r="NY51" s="182">
        <v>0</v>
      </c>
    </row>
    <row r="52" spans="1:401" ht="14.1" customHeight="1" x14ac:dyDescent="0.2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156"/>
      <c r="CP52" s="156"/>
      <c r="CQ52" s="156"/>
      <c r="CR52" s="156"/>
      <c r="CS52" s="156"/>
      <c r="CT52" s="156"/>
      <c r="CU52" s="156"/>
      <c r="CV52" s="156"/>
      <c r="CW52" s="156"/>
      <c r="CX52" s="156"/>
      <c r="CY52" s="156"/>
      <c r="CZ52" s="156"/>
      <c r="DA52" s="156"/>
      <c r="DB52" s="156"/>
      <c r="DC52" s="156"/>
      <c r="DD52" s="156"/>
      <c r="DE52" s="156"/>
      <c r="DF52" s="156"/>
      <c r="DG52" s="156"/>
      <c r="DH52" s="156"/>
      <c r="DI52" s="156"/>
      <c r="DJ52" s="156"/>
      <c r="DK52" s="156"/>
      <c r="DL52" s="156"/>
      <c r="DM52" s="156"/>
      <c r="DN52" s="156"/>
      <c r="DO52" s="156"/>
      <c r="DP52" s="156"/>
      <c r="DQ52" s="156"/>
      <c r="DR52" s="156"/>
      <c r="DS52" s="156"/>
      <c r="DT52" s="156"/>
      <c r="DU52" s="156"/>
      <c r="DV52" s="156"/>
      <c r="DW52" s="156"/>
      <c r="DX52" s="156"/>
      <c r="DY52" s="156"/>
      <c r="DZ52" s="156"/>
      <c r="EA52" s="156"/>
      <c r="EB52" s="156"/>
      <c r="EC52" s="156"/>
      <c r="ED52" s="156"/>
      <c r="EE52" s="156"/>
      <c r="EF52" s="156"/>
      <c r="EG52" s="156"/>
      <c r="EH52" s="156"/>
      <c r="EI52" s="156"/>
      <c r="EJ52" s="156"/>
      <c r="EK52" s="156"/>
      <c r="EL52" s="156"/>
      <c r="EM52" s="156"/>
      <c r="EN52" s="156"/>
      <c r="EO52" s="156"/>
      <c r="EP52" s="156"/>
      <c r="EQ52" s="156"/>
      <c r="ER52" s="156"/>
      <c r="ES52" s="156"/>
      <c r="ET52" s="156"/>
      <c r="EU52" s="156"/>
      <c r="EV52" s="156"/>
      <c r="EW52" s="156"/>
      <c r="EX52" s="156"/>
      <c r="EY52" s="156"/>
      <c r="EZ52" s="156"/>
      <c r="FA52" s="156"/>
      <c r="FB52" s="156"/>
      <c r="FC52" s="156"/>
      <c r="FD52" s="156"/>
      <c r="FE52" s="156"/>
      <c r="FF52" s="156"/>
      <c r="FG52" s="156"/>
      <c r="FH52" s="156"/>
      <c r="FI52" s="156"/>
      <c r="FJ52" s="156"/>
      <c r="FK52" s="156"/>
      <c r="FL52" s="156"/>
      <c r="FM52" s="156"/>
      <c r="FN52" s="156"/>
      <c r="FO52" s="156"/>
      <c r="FP52" s="156"/>
      <c r="FQ52" s="156"/>
      <c r="FR52" s="156"/>
      <c r="FS52" s="242"/>
      <c r="FT52" s="50"/>
      <c r="FU52" s="50"/>
      <c r="FV52" s="50"/>
      <c r="FW52" s="50"/>
      <c r="FX52" s="50"/>
      <c r="FY52" s="50"/>
      <c r="FZ52" s="50"/>
      <c r="GA52" s="50"/>
      <c r="GB52" s="50"/>
      <c r="GC52" s="50"/>
      <c r="GD52" s="50"/>
      <c r="GE52" s="50"/>
      <c r="GF52" s="50"/>
      <c r="GG52" s="50"/>
      <c r="GH52" s="50"/>
      <c r="GI52" s="50"/>
      <c r="GJ52" s="50"/>
      <c r="GK52" s="222"/>
      <c r="GL52" s="222"/>
      <c r="GM52" s="222"/>
      <c r="GN52" s="50"/>
      <c r="GO52" s="242"/>
      <c r="GP52" s="284"/>
      <c r="GQ52" s="284"/>
      <c r="GR52" s="285"/>
      <c r="GS52" s="285"/>
      <c r="GT52" s="285"/>
      <c r="GU52" s="285"/>
      <c r="GV52" s="285"/>
      <c r="GW52" s="285"/>
      <c r="GX52" s="285"/>
      <c r="GY52" s="285"/>
      <c r="GZ52" s="285"/>
      <c r="HA52" s="242"/>
      <c r="HB52" s="242"/>
      <c r="HC52" s="242"/>
      <c r="HD52" s="242"/>
      <c r="HE52" s="242"/>
      <c r="HF52" s="242"/>
      <c r="HG52" s="242"/>
      <c r="HH52" s="242"/>
      <c r="HI52" s="242"/>
      <c r="HJ52" s="242"/>
      <c r="HK52" s="242"/>
      <c r="HL52" s="242"/>
      <c r="HN52" s="37"/>
      <c r="HO52" s="442"/>
      <c r="HP52" s="116" t="s">
        <v>89</v>
      </c>
      <c r="HQ52" s="173"/>
      <c r="HR52" s="176" t="s">
        <v>1</v>
      </c>
      <c r="HS52" s="549">
        <f>IF(H4=2400,0.0025,IF(H4=3000,0.002,IF(H4=4000,0.0018,IF(H4&gt;4000,0.0018*(4000/H4)))))</f>
        <v>2E-3</v>
      </c>
      <c r="HT52" s="549"/>
      <c r="HU52" s="549"/>
      <c r="HV52" s="116"/>
      <c r="HW52" s="173" t="s">
        <v>90</v>
      </c>
      <c r="HX52" s="116" t="s">
        <v>91</v>
      </c>
      <c r="HY52" s="173"/>
      <c r="HZ52" s="445" t="s">
        <v>1</v>
      </c>
      <c r="IA52" s="549" t="e">
        <f>IF(#REF!=2400,0.0025,IF(#REF!=3000,0.002,IF(#REF!=4000,0.0018,IF(#REF!&gt;4000,0.0018*(4000/#REF!)))))</f>
        <v>#REF!</v>
      </c>
      <c r="IB52" s="549"/>
      <c r="IC52" s="549"/>
      <c r="ID52" s="32"/>
      <c r="IE52" s="547">
        <v>1.4</v>
      </c>
      <c r="IF52" s="547"/>
      <c r="IG52" s="522">
        <v>1.7</v>
      </c>
      <c r="IH52" s="522"/>
      <c r="II52" s="442"/>
      <c r="IJ52" s="522">
        <v>2400</v>
      </c>
      <c r="IK52" s="522"/>
      <c r="IL52" s="443">
        <v>2</v>
      </c>
      <c r="IM52" s="141"/>
      <c r="IN52" s="141">
        <v>8</v>
      </c>
      <c r="IO52" s="37"/>
      <c r="IP52" s="13">
        <v>0.1</v>
      </c>
      <c r="IQ52" s="13"/>
      <c r="IR52" s="442"/>
      <c r="IS52" s="442">
        <v>30</v>
      </c>
      <c r="IT52" s="442"/>
      <c r="IU52" s="11">
        <v>173</v>
      </c>
      <c r="IV52" s="442"/>
      <c r="IW52" s="442">
        <v>50</v>
      </c>
      <c r="IX52" s="442"/>
      <c r="IY52" s="7">
        <v>0.9</v>
      </c>
      <c r="IZ52" s="10">
        <v>0.85</v>
      </c>
      <c r="JA52" s="442"/>
      <c r="JB52" s="442"/>
      <c r="JC52" s="442"/>
      <c r="JD52" s="442"/>
      <c r="JE52" s="442"/>
      <c r="JF52" s="442"/>
      <c r="JG52" s="442"/>
      <c r="JH52" s="442"/>
      <c r="JI52" s="442"/>
      <c r="JJ52" s="442"/>
      <c r="JK52" s="442"/>
      <c r="JL52" s="442"/>
      <c r="JM52" s="442"/>
      <c r="JN52" s="442"/>
      <c r="JO52" s="442"/>
      <c r="JP52" s="442"/>
      <c r="JQ52" s="442"/>
      <c r="JR52" s="442"/>
      <c r="JS52" s="442"/>
      <c r="JT52" s="442"/>
      <c r="JU52" s="442"/>
      <c r="JV52" s="442"/>
      <c r="JW52" s="442"/>
      <c r="JX52" s="442"/>
      <c r="JY52" s="442"/>
      <c r="JZ52" s="442"/>
      <c r="KA52" s="442"/>
      <c r="KB52" s="442"/>
      <c r="KC52" s="442"/>
      <c r="KD52" s="442"/>
      <c r="KE52" s="442"/>
      <c r="KF52" s="442"/>
      <c r="KG52" s="442"/>
      <c r="KH52" s="442"/>
      <c r="KI52" s="442"/>
      <c r="KJ52" s="442"/>
      <c r="KK52" s="442"/>
      <c r="KL52" s="442"/>
      <c r="KM52" s="442"/>
      <c r="KN52" s="442"/>
      <c r="KO52" s="442"/>
      <c r="KP52" s="442"/>
      <c r="KQ52" s="442"/>
      <c r="KR52" s="442"/>
      <c r="KS52" s="442"/>
      <c r="KT52" s="442"/>
      <c r="KU52" s="442"/>
      <c r="KV52" s="442"/>
      <c r="KW52" s="442"/>
      <c r="KX52" s="442"/>
      <c r="KY52" s="442"/>
      <c r="KZ52" s="442"/>
      <c r="LA52" s="442"/>
      <c r="LB52" s="442"/>
      <c r="LC52" s="442"/>
      <c r="LD52" s="442"/>
      <c r="LE52" s="442"/>
      <c r="LF52" s="442"/>
      <c r="LG52" s="442"/>
      <c r="LH52" s="442"/>
      <c r="LI52" s="442"/>
      <c r="LJ52" s="442"/>
      <c r="LK52" s="442"/>
      <c r="LL52" s="442"/>
      <c r="LM52" s="442"/>
      <c r="LN52" s="442"/>
      <c r="LO52" s="442"/>
      <c r="LP52" s="442"/>
      <c r="LQ52" s="442"/>
      <c r="LR52" s="442"/>
      <c r="LS52" s="442"/>
      <c r="LT52" s="442"/>
      <c r="LU52" s="442"/>
      <c r="LV52" s="442"/>
      <c r="LW52" s="442"/>
      <c r="LX52" s="442"/>
      <c r="LY52" s="442"/>
      <c r="LZ52" s="442"/>
      <c r="MA52" s="442"/>
      <c r="MB52" s="442"/>
      <c r="MC52" s="442"/>
      <c r="MD52" s="442"/>
      <c r="ME52" s="442"/>
      <c r="MF52" s="442"/>
      <c r="MG52" s="442"/>
      <c r="MH52" s="442"/>
      <c r="MI52" s="442"/>
      <c r="MJ52" s="442"/>
      <c r="MK52" s="442"/>
      <c r="ML52" s="442"/>
      <c r="MM52" s="442"/>
      <c r="MN52" s="442"/>
      <c r="MO52" s="442"/>
      <c r="MP52" s="442"/>
      <c r="MQ52" s="442"/>
      <c r="MR52" s="442"/>
      <c r="MS52" s="442"/>
      <c r="MT52" s="442"/>
      <c r="MU52" s="442"/>
      <c r="MV52" s="442"/>
      <c r="MW52" s="442"/>
      <c r="MX52" s="442"/>
      <c r="MY52" s="442"/>
      <c r="MZ52" s="442"/>
      <c r="NA52" s="442"/>
      <c r="NB52" s="442"/>
      <c r="NC52" s="442"/>
      <c r="NT52" s="149" t="s">
        <v>23</v>
      </c>
      <c r="NU52" s="149">
        <v>0</v>
      </c>
      <c r="NV52" s="149">
        <v>0</v>
      </c>
      <c r="NW52" s="149">
        <v>-0.4</v>
      </c>
      <c r="NX52" s="149">
        <v>-0.4</v>
      </c>
      <c r="NY52" s="182">
        <f>NY58</f>
        <v>-0.125</v>
      </c>
    </row>
    <row r="53" spans="1:401" ht="14.1" customHeight="1" x14ac:dyDescent="0.2">
      <c r="A53" s="156"/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56"/>
      <c r="Z53" s="156"/>
      <c r="AA53" s="156"/>
      <c r="AB53" s="156"/>
      <c r="AC53" s="156"/>
      <c r="AD53" s="156"/>
      <c r="AE53" s="156"/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156"/>
      <c r="CP53" s="156"/>
      <c r="CQ53" s="156"/>
      <c r="CR53" s="156"/>
      <c r="CS53" s="156"/>
      <c r="CT53" s="156"/>
      <c r="CU53" s="156"/>
      <c r="CV53" s="156"/>
      <c r="CW53" s="156"/>
      <c r="CX53" s="156"/>
      <c r="CY53" s="156"/>
      <c r="CZ53" s="156"/>
      <c r="DA53" s="156"/>
      <c r="DB53" s="156"/>
      <c r="DC53" s="156"/>
      <c r="DD53" s="156"/>
      <c r="DE53" s="156"/>
      <c r="DF53" s="156"/>
      <c r="DG53" s="156"/>
      <c r="DH53" s="156"/>
      <c r="DI53" s="156"/>
      <c r="DJ53" s="156"/>
      <c r="DK53" s="156"/>
      <c r="DL53" s="156"/>
      <c r="DM53" s="156"/>
      <c r="DN53" s="156"/>
      <c r="DO53" s="156"/>
      <c r="DP53" s="156"/>
      <c r="DQ53" s="156"/>
      <c r="DR53" s="156"/>
      <c r="DS53" s="156"/>
      <c r="DT53" s="156"/>
      <c r="DU53" s="156"/>
      <c r="DV53" s="156"/>
      <c r="DW53" s="156"/>
      <c r="DX53" s="156"/>
      <c r="DY53" s="156"/>
      <c r="DZ53" s="156"/>
      <c r="EA53" s="156"/>
      <c r="EB53" s="156"/>
      <c r="EC53" s="156"/>
      <c r="ED53" s="156"/>
      <c r="EE53" s="156"/>
      <c r="EF53" s="156"/>
      <c r="EG53" s="156"/>
      <c r="EH53" s="156"/>
      <c r="EI53" s="156"/>
      <c r="EJ53" s="156"/>
      <c r="EK53" s="156"/>
      <c r="EL53" s="156"/>
      <c r="EM53" s="156"/>
      <c r="EN53" s="156"/>
      <c r="EO53" s="156"/>
      <c r="EP53" s="156"/>
      <c r="EQ53" s="156"/>
      <c r="ER53" s="156"/>
      <c r="ES53" s="156"/>
      <c r="ET53" s="156"/>
      <c r="EU53" s="156"/>
      <c r="EV53" s="156"/>
      <c r="EW53" s="156"/>
      <c r="EX53" s="156"/>
      <c r="EY53" s="156"/>
      <c r="EZ53" s="156"/>
      <c r="FA53" s="156"/>
      <c r="FB53" s="156"/>
      <c r="FC53" s="156"/>
      <c r="FD53" s="156"/>
      <c r="FE53" s="156"/>
      <c r="FF53" s="156"/>
      <c r="FG53" s="156"/>
      <c r="FH53" s="156"/>
      <c r="FI53" s="156"/>
      <c r="FJ53" s="156"/>
      <c r="FK53" s="156"/>
      <c r="FL53" s="156"/>
      <c r="FM53" s="156"/>
      <c r="FN53" s="156"/>
      <c r="FO53" s="156"/>
      <c r="FP53" s="156"/>
      <c r="FQ53" s="156"/>
      <c r="FR53" s="156"/>
      <c r="FS53" s="242"/>
      <c r="FT53" s="50"/>
      <c r="FU53" s="50"/>
      <c r="FV53" s="50"/>
      <c r="FW53" s="50"/>
      <c r="FX53" s="50"/>
      <c r="FY53" s="50"/>
      <c r="FZ53" s="50"/>
      <c r="GA53" s="50"/>
      <c r="GB53" s="50"/>
      <c r="GC53" s="50"/>
      <c r="GD53" s="50"/>
      <c r="GE53" s="50"/>
      <c r="GF53" s="50"/>
      <c r="GG53" s="50"/>
      <c r="GH53" s="50"/>
      <c r="GI53" s="50"/>
      <c r="GJ53" s="50"/>
      <c r="GK53" s="268"/>
      <c r="GL53" s="268"/>
      <c r="GM53" s="268"/>
      <c r="GN53" s="50"/>
      <c r="GO53" s="242"/>
      <c r="GP53" s="284"/>
      <c r="GQ53" s="284"/>
      <c r="GR53" s="285"/>
      <c r="GS53" s="285"/>
      <c r="GT53" s="285"/>
      <c r="GU53" s="285"/>
      <c r="GV53" s="285"/>
      <c r="GW53" s="285"/>
      <c r="GX53" s="285"/>
      <c r="GY53" s="285"/>
      <c r="GZ53" s="285"/>
      <c r="HA53" s="242"/>
      <c r="HB53" s="242"/>
      <c r="HC53" s="242"/>
      <c r="HD53" s="242"/>
      <c r="HE53" s="242"/>
      <c r="HF53" s="242"/>
      <c r="HG53" s="242"/>
      <c r="HH53" s="242"/>
      <c r="HI53" s="242"/>
      <c r="HJ53" s="242"/>
      <c r="HK53" s="242"/>
      <c r="HL53" s="242"/>
      <c r="HN53" s="37"/>
      <c r="HO53" s="442"/>
      <c r="HP53" s="442" t="s">
        <v>92</v>
      </c>
      <c r="HQ53" s="442"/>
      <c r="HR53" s="442"/>
      <c r="HS53" s="442" t="s">
        <v>93</v>
      </c>
      <c r="HT53" s="442"/>
      <c r="HU53" s="442"/>
      <c r="HV53" s="442"/>
      <c r="HW53" s="442"/>
      <c r="HX53" s="442"/>
      <c r="HY53" s="442"/>
      <c r="HZ53" s="442"/>
      <c r="IA53" s="442"/>
      <c r="IB53" s="442"/>
      <c r="IC53" s="442"/>
      <c r="ID53" s="442"/>
      <c r="IE53" s="522">
        <v>1.7</v>
      </c>
      <c r="IF53" s="522"/>
      <c r="IG53" s="547">
        <v>2</v>
      </c>
      <c r="IH53" s="547"/>
      <c r="II53" s="442"/>
      <c r="IJ53" s="522">
        <v>3000</v>
      </c>
      <c r="IK53" s="522"/>
      <c r="IL53" s="443">
        <v>2.5</v>
      </c>
      <c r="IM53" s="184"/>
      <c r="IN53" s="141">
        <v>10</v>
      </c>
      <c r="IO53" s="37"/>
      <c r="IP53" s="13">
        <v>0.125</v>
      </c>
      <c r="IQ53" s="13"/>
      <c r="IR53" s="442"/>
      <c r="IS53" s="442">
        <v>100</v>
      </c>
      <c r="IT53" s="442"/>
      <c r="IU53" s="11">
        <v>180</v>
      </c>
      <c r="IV53" s="442"/>
      <c r="IW53" s="442">
        <v>100</v>
      </c>
      <c r="IX53" s="442"/>
      <c r="IY53" s="7">
        <v>0.85</v>
      </c>
      <c r="IZ53" s="10">
        <v>0.8</v>
      </c>
      <c r="JA53" s="442"/>
      <c r="JB53" s="442"/>
      <c r="JC53" s="442"/>
      <c r="JD53" s="442"/>
      <c r="JE53" s="442"/>
      <c r="JF53" s="442"/>
      <c r="JG53" s="442"/>
      <c r="JH53" s="442"/>
      <c r="JI53" s="442"/>
      <c r="JJ53" s="442"/>
      <c r="JK53" s="442"/>
      <c r="JL53" s="442"/>
      <c r="JM53" s="442"/>
      <c r="JN53" s="442"/>
      <c r="JO53" s="442"/>
      <c r="JP53" s="442"/>
      <c r="JQ53" s="442"/>
      <c r="JR53" s="442"/>
      <c r="JS53" s="442"/>
      <c r="JT53" s="442"/>
      <c r="JU53" s="442"/>
      <c r="JV53" s="442"/>
      <c r="JW53" s="442"/>
      <c r="JX53" s="442"/>
      <c r="JY53" s="442"/>
      <c r="JZ53" s="442"/>
      <c r="KA53" s="442"/>
      <c r="KB53" s="442"/>
      <c r="KC53" s="442"/>
      <c r="KD53" s="442"/>
      <c r="KE53" s="442"/>
      <c r="KF53" s="442"/>
      <c r="KG53" s="442"/>
      <c r="KH53" s="442"/>
      <c r="KI53" s="442"/>
      <c r="KJ53" s="442"/>
      <c r="KK53" s="442"/>
      <c r="KL53" s="442"/>
      <c r="KM53" s="442"/>
      <c r="KN53" s="442"/>
      <c r="KO53" s="442"/>
      <c r="KP53" s="442"/>
      <c r="KQ53" s="442"/>
      <c r="KR53" s="442"/>
      <c r="KS53" s="442"/>
      <c r="KT53" s="442"/>
      <c r="KU53" s="442"/>
      <c r="KV53" s="442"/>
      <c r="KW53" s="442"/>
      <c r="KX53" s="442"/>
      <c r="KY53" s="442"/>
      <c r="KZ53" s="442"/>
      <c r="LA53" s="442"/>
      <c r="LB53" s="442"/>
      <c r="LC53" s="442"/>
      <c r="LD53" s="442"/>
      <c r="LE53" s="442"/>
      <c r="LF53" s="442"/>
      <c r="LG53" s="442"/>
      <c r="LH53" s="442"/>
      <c r="LI53" s="442"/>
      <c r="LJ53" s="442"/>
      <c r="LK53" s="442"/>
      <c r="LL53" s="442"/>
      <c r="LM53" s="442"/>
      <c r="LN53" s="442"/>
      <c r="LO53" s="442"/>
      <c r="LP53" s="442"/>
      <c r="LQ53" s="442"/>
      <c r="LR53" s="442"/>
      <c r="LS53" s="442"/>
      <c r="LT53" s="442"/>
      <c r="LU53" s="442"/>
      <c r="LV53" s="442"/>
      <c r="LW53" s="442"/>
      <c r="LX53" s="442"/>
      <c r="LY53" s="442"/>
      <c r="LZ53" s="442"/>
      <c r="MA53" s="442"/>
      <c r="MB53" s="442"/>
      <c r="MC53" s="442"/>
      <c r="MD53" s="442"/>
      <c r="ME53" s="442"/>
      <c r="MF53" s="442"/>
      <c r="MG53" s="442"/>
      <c r="MH53" s="442"/>
      <c r="MI53" s="442"/>
      <c r="MJ53" s="442"/>
      <c r="MK53" s="442"/>
      <c r="ML53" s="442"/>
      <c r="MM53" s="442"/>
      <c r="MN53" s="442"/>
      <c r="MO53" s="442"/>
      <c r="MP53" s="442"/>
      <c r="MQ53" s="442"/>
      <c r="MR53" s="442"/>
      <c r="MS53" s="442"/>
      <c r="MT53" s="442"/>
      <c r="MU53" s="442"/>
      <c r="MV53" s="442"/>
      <c r="MW53" s="442"/>
      <c r="MX53" s="442"/>
      <c r="MY53" s="442"/>
      <c r="MZ53" s="442"/>
      <c r="NA53" s="442"/>
      <c r="NB53" s="442"/>
      <c r="NC53" s="442"/>
      <c r="NT53" s="149" t="s">
        <v>148</v>
      </c>
    </row>
    <row r="54" spans="1:401" ht="14.1" customHeight="1" x14ac:dyDescent="0.2">
      <c r="A54" s="156"/>
      <c r="B54" s="236"/>
      <c r="C54" s="236"/>
      <c r="D54" s="83"/>
      <c r="E54" s="83"/>
      <c r="F54" s="83"/>
      <c r="G54" s="83"/>
      <c r="H54" s="83"/>
      <c r="I54" s="236"/>
      <c r="J54" s="236"/>
      <c r="K54" s="236"/>
      <c r="L54" s="236"/>
      <c r="M54" s="236"/>
      <c r="N54" s="236"/>
      <c r="O54" s="236"/>
      <c r="P54" s="236"/>
      <c r="Q54" s="236"/>
      <c r="R54" s="236"/>
      <c r="S54" s="236"/>
      <c r="T54" s="236"/>
      <c r="U54" s="236"/>
      <c r="V54" s="236"/>
      <c r="W54" s="236"/>
      <c r="X54" s="236"/>
      <c r="Y54" s="236"/>
      <c r="Z54" s="236"/>
      <c r="AA54" s="236"/>
      <c r="AB54" s="236"/>
      <c r="AC54" s="236"/>
      <c r="AD54" s="236"/>
      <c r="AE54" s="236"/>
      <c r="AF54" s="23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156"/>
      <c r="CP54" s="156"/>
      <c r="CQ54" s="156"/>
      <c r="CR54" s="156"/>
      <c r="CS54" s="156"/>
      <c r="CT54" s="156"/>
      <c r="CU54" s="156"/>
      <c r="CV54" s="156"/>
      <c r="CW54" s="156"/>
      <c r="CX54" s="156"/>
      <c r="CY54" s="156"/>
      <c r="CZ54" s="156"/>
      <c r="DA54" s="156"/>
      <c r="DB54" s="156"/>
      <c r="DC54" s="156"/>
      <c r="DD54" s="156"/>
      <c r="DE54" s="156"/>
      <c r="DF54" s="156"/>
      <c r="DG54" s="156"/>
      <c r="DH54" s="156"/>
      <c r="DI54" s="156"/>
      <c r="DJ54" s="156"/>
      <c r="DK54" s="156"/>
      <c r="DL54" s="156"/>
      <c r="DM54" s="156"/>
      <c r="DN54" s="156"/>
      <c r="DO54" s="156"/>
      <c r="DP54" s="156"/>
      <c r="DQ54" s="156"/>
      <c r="DR54" s="156"/>
      <c r="DS54" s="156"/>
      <c r="DT54" s="156"/>
      <c r="DU54" s="156"/>
      <c r="DV54" s="156"/>
      <c r="DW54" s="156"/>
      <c r="DX54" s="156"/>
      <c r="DY54" s="156"/>
      <c r="DZ54" s="156"/>
      <c r="EA54" s="156"/>
      <c r="EB54" s="156"/>
      <c r="EC54" s="156"/>
      <c r="ED54" s="156"/>
      <c r="EE54" s="156"/>
      <c r="EF54" s="156"/>
      <c r="EG54" s="156"/>
      <c r="EH54" s="156"/>
      <c r="EI54" s="156"/>
      <c r="EJ54" s="156"/>
      <c r="EK54" s="156"/>
      <c r="EL54" s="156"/>
      <c r="EM54" s="156"/>
      <c r="EN54" s="156"/>
      <c r="EO54" s="156"/>
      <c r="EP54" s="156"/>
      <c r="EQ54" s="156"/>
      <c r="ER54" s="156"/>
      <c r="ES54" s="156"/>
      <c r="ET54" s="156"/>
      <c r="EU54" s="156"/>
      <c r="EV54" s="156"/>
      <c r="EW54" s="156"/>
      <c r="EX54" s="156"/>
      <c r="EY54" s="156"/>
      <c r="EZ54" s="156"/>
      <c r="FA54" s="156"/>
      <c r="FB54" s="156"/>
      <c r="FC54" s="156"/>
      <c r="FD54" s="156"/>
      <c r="FE54" s="156"/>
      <c r="FF54" s="156"/>
      <c r="FG54" s="156"/>
      <c r="FH54" s="156"/>
      <c r="FI54" s="156"/>
      <c r="FJ54" s="156"/>
      <c r="FK54" s="156"/>
      <c r="FL54" s="156"/>
      <c r="FM54" s="156"/>
      <c r="FN54" s="156"/>
      <c r="FO54" s="156"/>
      <c r="FP54" s="156"/>
      <c r="FQ54" s="156"/>
      <c r="FR54" s="156"/>
      <c r="FS54" s="242"/>
      <c r="FT54" s="222"/>
      <c r="FU54" s="222"/>
      <c r="FV54" s="222"/>
      <c r="FW54" s="222"/>
      <c r="FX54" s="222"/>
      <c r="FY54" s="222"/>
      <c r="FZ54" s="222"/>
      <c r="GA54" s="222"/>
      <c r="GB54" s="222"/>
      <c r="GC54" s="222"/>
      <c r="GD54" s="222"/>
      <c r="GE54" s="222"/>
      <c r="GF54" s="222"/>
      <c r="GG54" s="222"/>
      <c r="GH54" s="222"/>
      <c r="GI54" s="222"/>
      <c r="GJ54" s="222"/>
      <c r="GK54" s="222"/>
      <c r="GL54" s="222"/>
      <c r="GM54" s="222"/>
      <c r="GN54" s="50"/>
      <c r="GO54" s="242"/>
      <c r="GP54" s="267"/>
      <c r="GQ54" s="267"/>
      <c r="GR54" s="267"/>
      <c r="GS54" s="267"/>
      <c r="GT54" s="275"/>
      <c r="GU54" s="268"/>
      <c r="GV54" s="268"/>
      <c r="GW54" s="267"/>
      <c r="GX54" s="242"/>
      <c r="GY54" s="285"/>
      <c r="GZ54" s="285"/>
      <c r="HA54" s="242"/>
      <c r="HB54" s="242"/>
      <c r="HC54" s="242"/>
      <c r="HD54" s="242"/>
      <c r="HE54" s="242"/>
      <c r="HF54" s="242"/>
      <c r="HG54" s="242"/>
      <c r="HH54" s="242"/>
      <c r="HI54" s="242"/>
      <c r="HJ54" s="242"/>
      <c r="HK54" s="242"/>
      <c r="HL54" s="242"/>
      <c r="HM54" s="442"/>
      <c r="HN54" s="442"/>
      <c r="HO54" s="442"/>
      <c r="HP54" s="442"/>
      <c r="HQ54" s="442"/>
      <c r="HR54" s="442"/>
      <c r="HS54" s="442"/>
      <c r="HT54" s="442"/>
      <c r="HU54" s="442"/>
      <c r="HV54" s="442"/>
      <c r="HW54" s="442"/>
      <c r="HX54" s="442"/>
      <c r="HY54" s="442"/>
      <c r="HZ54" s="442"/>
      <c r="IA54" s="442"/>
      <c r="IB54" s="442"/>
      <c r="IC54" s="442"/>
      <c r="ID54" s="442"/>
      <c r="IE54" s="442"/>
      <c r="IF54" s="37"/>
      <c r="IG54" s="37"/>
      <c r="IH54" s="37"/>
      <c r="II54" s="442"/>
      <c r="IJ54" s="522">
        <v>4000</v>
      </c>
      <c r="IK54" s="522"/>
      <c r="IL54" s="443">
        <v>3</v>
      </c>
      <c r="IM54" s="442"/>
      <c r="IN54" s="141">
        <v>12.5</v>
      </c>
      <c r="IO54" s="37"/>
      <c r="IP54" s="13">
        <v>0.15</v>
      </c>
      <c r="IQ54" s="13"/>
      <c r="IR54" s="442"/>
      <c r="IS54" s="442">
        <v>150</v>
      </c>
      <c r="IT54" s="442"/>
      <c r="IU54" s="12">
        <v>210</v>
      </c>
      <c r="IV54" s="442"/>
      <c r="IW54" s="442">
        <v>120</v>
      </c>
      <c r="IX54" s="442"/>
      <c r="IY54" s="7">
        <v>0.8</v>
      </c>
      <c r="IZ54" s="10">
        <v>0.75</v>
      </c>
      <c r="JA54" s="442"/>
      <c r="JB54" s="442"/>
      <c r="JC54" s="442"/>
      <c r="JD54" s="442"/>
      <c r="JE54" s="442"/>
      <c r="JF54" s="442"/>
      <c r="JG54" s="442"/>
      <c r="JH54" s="442"/>
      <c r="JI54" s="442"/>
      <c r="JJ54" s="442"/>
      <c r="JK54" s="442"/>
      <c r="JL54" s="442"/>
      <c r="JM54" s="442"/>
      <c r="JN54" s="442"/>
      <c r="JO54" s="442"/>
      <c r="JP54" s="442"/>
      <c r="JQ54" s="442"/>
      <c r="JR54" s="442"/>
      <c r="JS54" s="442"/>
      <c r="JT54" s="442"/>
      <c r="JU54" s="442"/>
      <c r="JV54" s="442"/>
      <c r="JW54" s="442"/>
      <c r="JX54" s="442"/>
      <c r="JY54" s="442"/>
      <c r="JZ54" s="442"/>
      <c r="KA54" s="442"/>
      <c r="KB54" s="442"/>
      <c r="KC54" s="442"/>
      <c r="KD54" s="442"/>
      <c r="KE54" s="442"/>
      <c r="KF54" s="442"/>
      <c r="KG54" s="442"/>
      <c r="KH54" s="442"/>
      <c r="KI54" s="442"/>
      <c r="KJ54" s="442"/>
      <c r="KK54" s="442"/>
      <c r="KL54" s="442"/>
      <c r="KM54" s="442"/>
      <c r="KN54" s="442"/>
      <c r="KO54" s="442"/>
      <c r="KP54" s="442"/>
      <c r="KQ54" s="442"/>
      <c r="KR54" s="442"/>
      <c r="KS54" s="442"/>
      <c r="KT54" s="442"/>
      <c r="KU54" s="442"/>
      <c r="KV54" s="442"/>
      <c r="KW54" s="442"/>
      <c r="KX54" s="442"/>
      <c r="KY54" s="442"/>
      <c r="KZ54" s="442"/>
      <c r="LA54" s="442"/>
      <c r="LB54" s="442"/>
      <c r="LC54" s="442"/>
      <c r="LD54" s="442"/>
      <c r="LE54" s="442"/>
      <c r="LF54" s="442"/>
      <c r="LG54" s="442"/>
      <c r="LH54" s="442"/>
      <c r="LI54" s="442"/>
      <c r="LJ54" s="442"/>
      <c r="LK54" s="442"/>
      <c r="LL54" s="442"/>
      <c r="LM54" s="442"/>
      <c r="LN54" s="442"/>
      <c r="LO54" s="442"/>
      <c r="LP54" s="442"/>
      <c r="LQ54" s="442"/>
      <c r="LR54" s="442"/>
      <c r="LS54" s="442"/>
      <c r="LT54" s="442"/>
      <c r="LU54" s="442"/>
      <c r="LV54" s="442"/>
      <c r="LW54" s="442"/>
      <c r="LX54" s="442"/>
      <c r="LY54" s="442"/>
      <c r="LZ54" s="442"/>
      <c r="MA54" s="442"/>
      <c r="MB54" s="442"/>
      <c r="MC54" s="442"/>
      <c r="MD54" s="442"/>
      <c r="ME54" s="442"/>
      <c r="MF54" s="442"/>
      <c r="MG54" s="442"/>
      <c r="MH54" s="442"/>
      <c r="MI54" s="442"/>
      <c r="MJ54" s="442"/>
      <c r="MK54" s="442"/>
      <c r="ML54" s="442"/>
      <c r="MM54" s="442"/>
      <c r="MN54" s="442"/>
      <c r="MO54" s="442"/>
      <c r="MP54" s="442"/>
      <c r="MQ54" s="442"/>
      <c r="MR54" s="442"/>
      <c r="MS54" s="442"/>
      <c r="MT54" s="442"/>
      <c r="MU54" s="442"/>
      <c r="MV54" s="442"/>
      <c r="MW54" s="442"/>
      <c r="MX54" s="442"/>
      <c r="MY54" s="442"/>
      <c r="MZ54" s="442"/>
      <c r="NA54" s="442"/>
      <c r="NB54" s="442"/>
      <c r="NC54" s="442"/>
      <c r="NT54" s="149" t="s">
        <v>22</v>
      </c>
      <c r="NU54" s="149">
        <v>2</v>
      </c>
      <c r="NV54" s="149">
        <v>2.2000000000000002</v>
      </c>
      <c r="NW54" s="149">
        <v>2.2000000000000002</v>
      </c>
      <c r="NX54" s="149">
        <v>2</v>
      </c>
      <c r="NY54" s="182">
        <v>2</v>
      </c>
    </row>
    <row r="55" spans="1:401" ht="14.1" customHeight="1" x14ac:dyDescent="0.2">
      <c r="A55" s="156"/>
      <c r="B55" s="236"/>
      <c r="C55" s="236"/>
      <c r="D55" s="83"/>
      <c r="E55" s="83"/>
      <c r="F55" s="83"/>
      <c r="G55" s="83"/>
      <c r="H55" s="83"/>
      <c r="I55" s="236"/>
      <c r="J55" s="236"/>
      <c r="K55" s="236"/>
      <c r="L55" s="236"/>
      <c r="M55" s="236"/>
      <c r="N55" s="236"/>
      <c r="O55" s="236"/>
      <c r="P55" s="236"/>
      <c r="Q55" s="236"/>
      <c r="R55" s="236"/>
      <c r="S55" s="236"/>
      <c r="T55" s="236"/>
      <c r="U55" s="236"/>
      <c r="V55" s="236"/>
      <c r="W55" s="236"/>
      <c r="X55" s="236"/>
      <c r="Y55" s="236"/>
      <c r="Z55" s="236"/>
      <c r="AA55" s="236"/>
      <c r="AB55" s="236"/>
      <c r="AC55" s="236"/>
      <c r="AD55" s="236"/>
      <c r="AE55" s="236"/>
      <c r="AF55" s="23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156"/>
      <c r="CP55" s="156"/>
      <c r="CQ55" s="156"/>
      <c r="CR55" s="156"/>
      <c r="CS55" s="156"/>
      <c r="CT55" s="156"/>
      <c r="CU55" s="156"/>
      <c r="CV55" s="156"/>
      <c r="CW55" s="156"/>
      <c r="CX55" s="156"/>
      <c r="CY55" s="156"/>
      <c r="CZ55" s="156"/>
      <c r="DA55" s="156"/>
      <c r="DB55" s="156"/>
      <c r="DC55" s="156"/>
      <c r="DD55" s="156"/>
      <c r="DE55" s="156"/>
      <c r="DF55" s="156"/>
      <c r="DG55" s="156"/>
      <c r="DH55" s="156"/>
      <c r="DI55" s="156"/>
      <c r="DJ55" s="156"/>
      <c r="DK55" s="156"/>
      <c r="DL55" s="156"/>
      <c r="DM55" s="156"/>
      <c r="DN55" s="156"/>
      <c r="DO55" s="156"/>
      <c r="DP55" s="156"/>
      <c r="DQ55" s="156"/>
      <c r="DR55" s="156"/>
      <c r="DS55" s="156"/>
      <c r="DT55" s="156"/>
      <c r="DU55" s="156"/>
      <c r="DV55" s="156"/>
      <c r="DW55" s="156"/>
      <c r="DX55" s="156"/>
      <c r="DY55" s="156"/>
      <c r="DZ55" s="156"/>
      <c r="EA55" s="156"/>
      <c r="EB55" s="156"/>
      <c r="EC55" s="156"/>
      <c r="ED55" s="156"/>
      <c r="EE55" s="156"/>
      <c r="EF55" s="156"/>
      <c r="EG55" s="156"/>
      <c r="EH55" s="156"/>
      <c r="EI55" s="156"/>
      <c r="EJ55" s="156"/>
      <c r="EK55" s="156"/>
      <c r="EL55" s="156"/>
      <c r="EM55" s="156"/>
      <c r="EN55" s="156"/>
      <c r="EO55" s="156"/>
      <c r="EP55" s="156"/>
      <c r="EQ55" s="156"/>
      <c r="ER55" s="156"/>
      <c r="ES55" s="156"/>
      <c r="ET55" s="156"/>
      <c r="EU55" s="156"/>
      <c r="EV55" s="156"/>
      <c r="EW55" s="156"/>
      <c r="EX55" s="156"/>
      <c r="EY55" s="156"/>
      <c r="EZ55" s="156"/>
      <c r="FA55" s="156"/>
      <c r="FB55" s="156"/>
      <c r="FC55" s="156"/>
      <c r="FD55" s="156"/>
      <c r="FE55" s="156"/>
      <c r="FF55" s="156"/>
      <c r="FG55" s="156"/>
      <c r="FH55" s="156"/>
      <c r="FI55" s="156"/>
      <c r="FJ55" s="156"/>
      <c r="FK55" s="156"/>
      <c r="FL55" s="156"/>
      <c r="FM55" s="156"/>
      <c r="FN55" s="156"/>
      <c r="FO55" s="156"/>
      <c r="FP55" s="156"/>
      <c r="FQ55" s="156"/>
      <c r="FR55" s="156"/>
      <c r="FS55" s="242"/>
      <c r="FT55" s="268"/>
      <c r="FU55" s="268"/>
      <c r="FV55" s="268"/>
      <c r="FW55" s="268"/>
      <c r="FX55" s="50"/>
      <c r="FY55" s="50"/>
      <c r="FZ55" s="50"/>
      <c r="GA55" s="50"/>
      <c r="GB55" s="50"/>
      <c r="GC55" s="50"/>
      <c r="GD55" s="50"/>
      <c r="GE55" s="50"/>
      <c r="GF55" s="50"/>
      <c r="GG55" s="50"/>
      <c r="GH55" s="50"/>
      <c r="GI55" s="50"/>
      <c r="GJ55" s="222"/>
      <c r="GK55" s="222"/>
      <c r="GL55" s="222"/>
      <c r="GM55" s="222"/>
      <c r="GN55" s="50"/>
      <c r="GO55" s="242"/>
      <c r="GP55" s="267"/>
      <c r="GQ55" s="242"/>
      <c r="GR55" s="242"/>
      <c r="GS55" s="267"/>
      <c r="GT55" s="275"/>
      <c r="GU55" s="268"/>
      <c r="GV55" s="268"/>
      <c r="GW55" s="267"/>
      <c r="GX55" s="242"/>
      <c r="GY55" s="285"/>
      <c r="GZ55" s="285"/>
      <c r="HA55" s="242"/>
      <c r="HB55" s="242"/>
      <c r="HC55" s="242"/>
      <c r="HD55" s="242"/>
      <c r="HE55" s="242"/>
      <c r="HF55" s="242"/>
      <c r="HG55" s="242"/>
      <c r="HH55" s="242"/>
      <c r="HI55" s="242"/>
      <c r="HJ55" s="242"/>
      <c r="HK55" s="242"/>
      <c r="HL55" s="242"/>
      <c r="HM55" s="442"/>
      <c r="HN55" s="442"/>
      <c r="HO55" s="442"/>
      <c r="HP55" s="442"/>
      <c r="HQ55" s="439"/>
      <c r="HR55" s="442"/>
      <c r="HS55" s="442"/>
      <c r="HT55" s="219"/>
      <c r="HU55" s="219"/>
      <c r="HV55" s="219"/>
      <c r="HW55" s="219"/>
      <c r="HX55" s="219"/>
      <c r="HY55" s="219"/>
      <c r="HZ55" s="219"/>
      <c r="IA55" s="219"/>
      <c r="IB55" s="219"/>
      <c r="IC55" s="108"/>
      <c r="ID55" s="108"/>
      <c r="IE55" s="442"/>
      <c r="IF55" s="442"/>
      <c r="IG55" s="442"/>
      <c r="IH55" s="442"/>
      <c r="II55" s="442"/>
      <c r="IJ55" s="522">
        <v>5000</v>
      </c>
      <c r="IK55" s="522"/>
      <c r="IL55" s="443">
        <v>4</v>
      </c>
      <c r="IM55" s="442"/>
      <c r="IN55" s="141">
        <v>15</v>
      </c>
      <c r="IO55" s="37"/>
      <c r="IP55" s="13">
        <v>0.17499999999999999</v>
      </c>
      <c r="IQ55" s="13"/>
      <c r="IR55" s="442"/>
      <c r="IS55" s="442">
        <v>200</v>
      </c>
      <c r="IT55" s="442"/>
      <c r="IU55" s="12">
        <v>240</v>
      </c>
      <c r="IV55" s="442"/>
      <c r="IW55" s="442">
        <v>150</v>
      </c>
      <c r="IX55" s="442"/>
      <c r="IY55" s="442"/>
      <c r="IZ55" s="442"/>
      <c r="JA55" s="442"/>
      <c r="JB55" s="442"/>
      <c r="JC55" s="442"/>
      <c r="JD55" s="442"/>
      <c r="JE55" s="442"/>
      <c r="JF55" s="442"/>
      <c r="JG55" s="442"/>
      <c r="JH55" s="442"/>
      <c r="JI55" s="442"/>
      <c r="JJ55" s="442"/>
      <c r="JK55" s="442"/>
      <c r="JL55" s="442"/>
      <c r="JM55" s="442"/>
      <c r="JN55" s="442"/>
      <c r="JO55" s="442"/>
      <c r="JP55" s="442"/>
      <c r="JQ55" s="442"/>
      <c r="JR55" s="442"/>
      <c r="JS55" s="442"/>
      <c r="JT55" s="442"/>
      <c r="JU55" s="442"/>
      <c r="JV55" s="442"/>
      <c r="JW55" s="442"/>
      <c r="JX55" s="442"/>
      <c r="JY55" s="442"/>
      <c r="JZ55" s="442"/>
      <c r="KA55" s="442"/>
      <c r="KB55" s="442"/>
      <c r="KC55" s="442"/>
      <c r="KD55" s="442"/>
      <c r="KE55" s="442"/>
      <c r="KF55" s="442"/>
      <c r="KG55" s="442"/>
      <c r="KH55" s="442"/>
      <c r="KI55" s="442"/>
      <c r="KJ55" s="442"/>
      <c r="KK55" s="442"/>
      <c r="KL55" s="442"/>
      <c r="KM55" s="442"/>
      <c r="KN55" s="442"/>
      <c r="KO55" s="442"/>
      <c r="KP55" s="442"/>
      <c r="KQ55" s="442"/>
      <c r="KR55" s="442"/>
      <c r="KS55" s="442"/>
      <c r="KT55" s="442"/>
      <c r="KU55" s="442"/>
      <c r="KV55" s="442"/>
      <c r="KW55" s="442"/>
      <c r="KX55" s="442"/>
      <c r="KY55" s="442"/>
      <c r="KZ55" s="442"/>
      <c r="LA55" s="442"/>
      <c r="LB55" s="442"/>
      <c r="LC55" s="442"/>
      <c r="LD55" s="442"/>
      <c r="LE55" s="442"/>
      <c r="LF55" s="442"/>
      <c r="LG55" s="442"/>
      <c r="LH55" s="442"/>
      <c r="LI55" s="442"/>
      <c r="LJ55" s="442"/>
      <c r="LK55" s="442"/>
      <c r="LL55" s="442"/>
      <c r="LM55" s="442"/>
      <c r="LN55" s="442"/>
      <c r="LO55" s="442"/>
      <c r="LP55" s="442"/>
      <c r="LQ55" s="442"/>
      <c r="LR55" s="442"/>
      <c r="LS55" s="442"/>
      <c r="LT55" s="442"/>
      <c r="LU55" s="442"/>
      <c r="LV55" s="442"/>
      <c r="LW55" s="442"/>
      <c r="LX55" s="442"/>
      <c r="LY55" s="442"/>
      <c r="LZ55" s="442"/>
      <c r="MA55" s="442"/>
      <c r="MB55" s="442"/>
      <c r="MC55" s="442"/>
      <c r="MD55" s="442"/>
      <c r="ME55" s="442"/>
      <c r="MF55" s="442"/>
      <c r="MG55" s="442"/>
      <c r="MH55" s="442"/>
      <c r="MI55" s="442"/>
      <c r="MJ55" s="442"/>
      <c r="MK55" s="442"/>
      <c r="ML55" s="442"/>
      <c r="MM55" s="442"/>
      <c r="MN55" s="442"/>
      <c r="MO55" s="442"/>
      <c r="MP55" s="442"/>
      <c r="MQ55" s="442"/>
      <c r="MR55" s="442"/>
      <c r="MS55" s="442"/>
      <c r="MT55" s="442"/>
      <c r="MU55" s="442"/>
      <c r="MV55" s="442"/>
      <c r="MW55" s="442"/>
      <c r="MX55" s="442"/>
      <c r="MY55" s="442"/>
      <c r="MZ55" s="442"/>
      <c r="NA55" s="442"/>
      <c r="NB55" s="442"/>
      <c r="NC55" s="442"/>
      <c r="NT55" s="149" t="s">
        <v>23</v>
      </c>
      <c r="NU55" s="149">
        <v>0</v>
      </c>
      <c r="NV55" s="149">
        <v>0</v>
      </c>
      <c r="NW55" s="149">
        <v>-0.4</v>
      </c>
      <c r="NX55" s="149">
        <v>-0.4</v>
      </c>
      <c r="NY55" s="182">
        <f>NY58</f>
        <v>-0.125</v>
      </c>
    </row>
    <row r="56" spans="1:401" ht="14.1" customHeight="1" x14ac:dyDescent="0.2">
      <c r="A56" s="156"/>
      <c r="B56" s="236"/>
      <c r="C56" s="236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156"/>
      <c r="CP56" s="156"/>
      <c r="CQ56" s="156"/>
      <c r="CR56" s="156"/>
      <c r="CS56" s="156"/>
      <c r="CT56" s="156"/>
      <c r="CU56" s="156"/>
      <c r="CV56" s="156"/>
      <c r="CW56" s="156"/>
      <c r="CX56" s="156"/>
      <c r="CY56" s="156"/>
      <c r="CZ56" s="156"/>
      <c r="DA56" s="156"/>
      <c r="DB56" s="156"/>
      <c r="DC56" s="156"/>
      <c r="DD56" s="156"/>
      <c r="DE56" s="156"/>
      <c r="DF56" s="156"/>
      <c r="DG56" s="156"/>
      <c r="DH56" s="156"/>
      <c r="DI56" s="156"/>
      <c r="DJ56" s="156"/>
      <c r="DK56" s="156"/>
      <c r="DL56" s="156"/>
      <c r="DM56" s="156"/>
      <c r="DN56" s="156"/>
      <c r="DO56" s="156"/>
      <c r="DP56" s="156"/>
      <c r="DQ56" s="156"/>
      <c r="DR56" s="156"/>
      <c r="DS56" s="156"/>
      <c r="DT56" s="156"/>
      <c r="DU56" s="156"/>
      <c r="DV56" s="156"/>
      <c r="DW56" s="156"/>
      <c r="DX56" s="156"/>
      <c r="DY56" s="156"/>
      <c r="DZ56" s="156"/>
      <c r="EA56" s="156"/>
      <c r="EB56" s="156"/>
      <c r="EC56" s="156"/>
      <c r="ED56" s="156"/>
      <c r="EE56" s="156"/>
      <c r="EF56" s="156"/>
      <c r="EG56" s="156"/>
      <c r="EH56" s="156"/>
      <c r="EI56" s="156"/>
      <c r="EJ56" s="156"/>
      <c r="EK56" s="156"/>
      <c r="EL56" s="156"/>
      <c r="EM56" s="156"/>
      <c r="EN56" s="156"/>
      <c r="EO56" s="156"/>
      <c r="EP56" s="156"/>
      <c r="EQ56" s="156"/>
      <c r="ER56" s="156"/>
      <c r="ES56" s="156"/>
      <c r="ET56" s="156"/>
      <c r="EU56" s="156"/>
      <c r="EV56" s="156"/>
      <c r="EW56" s="156"/>
      <c r="EX56" s="156"/>
      <c r="EY56" s="156"/>
      <c r="EZ56" s="156"/>
      <c r="FA56" s="156"/>
      <c r="FB56" s="156"/>
      <c r="FC56" s="156"/>
      <c r="FD56" s="156"/>
      <c r="FE56" s="156"/>
      <c r="FF56" s="156"/>
      <c r="FG56" s="156"/>
      <c r="FH56" s="156"/>
      <c r="FI56" s="156"/>
      <c r="FJ56" s="156"/>
      <c r="FK56" s="156"/>
      <c r="FL56" s="156"/>
      <c r="FM56" s="156"/>
      <c r="FN56" s="156"/>
      <c r="FO56" s="156"/>
      <c r="FP56" s="156"/>
      <c r="FQ56" s="156"/>
      <c r="FR56" s="156"/>
      <c r="FS56" s="242"/>
      <c r="FT56" s="268"/>
      <c r="FU56" s="268"/>
      <c r="FV56" s="268"/>
      <c r="FW56" s="268"/>
      <c r="FX56" s="279"/>
      <c r="FY56" s="279"/>
      <c r="FZ56" s="279"/>
      <c r="GA56" s="279"/>
      <c r="GB56" s="279"/>
      <c r="GC56" s="279"/>
      <c r="GD56" s="279"/>
      <c r="GE56" s="279"/>
      <c r="GF56" s="279"/>
      <c r="GG56" s="279"/>
      <c r="GH56" s="279"/>
      <c r="GI56" s="279"/>
      <c r="GJ56" s="268"/>
      <c r="GK56" s="268"/>
      <c r="GL56" s="268"/>
      <c r="GM56" s="268"/>
      <c r="GN56" s="50"/>
      <c r="GO56" s="242"/>
      <c r="GP56" s="242"/>
      <c r="GQ56" s="242"/>
      <c r="GR56" s="242"/>
      <c r="GS56" s="242"/>
      <c r="GT56" s="242"/>
      <c r="GU56" s="242"/>
      <c r="GV56" s="242"/>
      <c r="GW56" s="242"/>
      <c r="GX56" s="242"/>
      <c r="GY56" s="285"/>
      <c r="GZ56" s="285"/>
      <c r="HA56" s="242"/>
      <c r="HB56" s="242"/>
      <c r="HC56" s="242"/>
      <c r="HD56" s="242"/>
      <c r="HE56" s="242"/>
      <c r="HF56" s="242"/>
      <c r="HG56" s="242"/>
      <c r="HH56" s="242"/>
      <c r="HI56" s="242"/>
      <c r="HJ56" s="242"/>
      <c r="HK56" s="242"/>
      <c r="HL56" s="242"/>
      <c r="HM56" s="442"/>
      <c r="HN56" s="442"/>
      <c r="HO56" s="442"/>
      <c r="HP56" s="31"/>
      <c r="HQ56" s="31"/>
      <c r="HR56" s="31"/>
      <c r="HS56" s="31"/>
      <c r="HT56" s="31"/>
      <c r="HU56" s="31"/>
      <c r="HV56" s="31"/>
      <c r="HW56" s="24"/>
      <c r="HX56" s="24"/>
      <c r="HY56" s="24"/>
      <c r="HZ56" s="24"/>
      <c r="IA56" s="24"/>
      <c r="IB56" s="24"/>
      <c r="IC56" s="104"/>
      <c r="ID56" s="185"/>
      <c r="IE56" s="562" t="e">
        <f>MAX(#REF!)</f>
        <v>#REF!</v>
      </c>
      <c r="IF56" s="562"/>
      <c r="IG56" s="529" t="e">
        <f>IF(IE56='Calculation OW'!P28,IE57,IF(IE56='Calculation OW'!S28,IE58,IF(IE56='Calculation OW'!V28,IE59)))</f>
        <v>#REF!</v>
      </c>
      <c r="IH56" s="529"/>
      <c r="II56" s="186"/>
      <c r="IJ56" s="186"/>
      <c r="IK56" s="442"/>
      <c r="IL56" s="443">
        <v>5</v>
      </c>
      <c r="IM56" s="442"/>
      <c r="IN56" s="141">
        <v>17.5</v>
      </c>
      <c r="IO56" s="37"/>
      <c r="IP56" s="13">
        <v>0.2</v>
      </c>
      <c r="IQ56" s="13"/>
      <c r="IR56" s="442"/>
      <c r="IS56" s="442">
        <v>250</v>
      </c>
      <c r="IT56" s="442"/>
      <c r="IU56" s="9">
        <v>280</v>
      </c>
      <c r="IV56" s="442"/>
      <c r="IW56" s="442">
        <v>200</v>
      </c>
      <c r="IX56" s="442"/>
      <c r="IY56" s="442"/>
      <c r="IZ56" s="442"/>
      <c r="JA56" s="442"/>
      <c r="JB56" s="442"/>
      <c r="JC56" s="442"/>
      <c r="JD56" s="442"/>
      <c r="JE56" s="442"/>
      <c r="JF56" s="442"/>
      <c r="JG56" s="442"/>
      <c r="JH56" s="442"/>
      <c r="JI56" s="442"/>
      <c r="JJ56" s="442"/>
      <c r="JK56" s="442"/>
      <c r="JL56" s="442"/>
      <c r="JM56" s="442"/>
      <c r="JN56" s="442"/>
      <c r="JO56" s="442"/>
      <c r="JP56" s="442"/>
      <c r="JQ56" s="442"/>
      <c r="JR56" s="442"/>
      <c r="JS56" s="442"/>
      <c r="JT56" s="442"/>
      <c r="JU56" s="442"/>
      <c r="JV56" s="442"/>
      <c r="JW56" s="442"/>
      <c r="JX56" s="442"/>
      <c r="JY56" s="442"/>
      <c r="JZ56" s="442"/>
      <c r="KA56" s="442"/>
      <c r="KB56" s="442"/>
      <c r="KC56" s="442"/>
      <c r="KD56" s="442"/>
      <c r="KE56" s="442"/>
      <c r="KF56" s="442"/>
      <c r="KG56" s="442"/>
      <c r="KH56" s="442"/>
      <c r="KI56" s="442"/>
      <c r="KJ56" s="442"/>
      <c r="KK56" s="442"/>
      <c r="KL56" s="442"/>
      <c r="KM56" s="442"/>
      <c r="KN56" s="442"/>
      <c r="KO56" s="442"/>
      <c r="KP56" s="442"/>
      <c r="KQ56" s="442"/>
      <c r="KR56" s="442"/>
      <c r="KS56" s="442"/>
      <c r="KT56" s="442"/>
      <c r="KU56" s="442"/>
      <c r="KV56" s="442"/>
      <c r="KW56" s="442"/>
      <c r="KX56" s="442"/>
      <c r="KY56" s="442"/>
      <c r="KZ56" s="442"/>
      <c r="LA56" s="442"/>
      <c r="LB56" s="442"/>
      <c r="LC56" s="442"/>
      <c r="LD56" s="442"/>
      <c r="LE56" s="442"/>
      <c r="LF56" s="442"/>
      <c r="LG56" s="442"/>
      <c r="LH56" s="442"/>
      <c r="LI56" s="442"/>
      <c r="LJ56" s="442"/>
      <c r="LK56" s="442"/>
      <c r="LL56" s="442"/>
      <c r="LM56" s="442"/>
      <c r="LN56" s="442"/>
      <c r="LO56" s="442"/>
      <c r="LP56" s="442"/>
      <c r="LQ56" s="442"/>
      <c r="LR56" s="442"/>
      <c r="LS56" s="442"/>
      <c r="LT56" s="442"/>
      <c r="LU56" s="442"/>
      <c r="LV56" s="442"/>
      <c r="LW56" s="442"/>
      <c r="LX56" s="442"/>
      <c r="LY56" s="442"/>
      <c r="LZ56" s="442"/>
      <c r="MA56" s="442"/>
      <c r="MB56" s="442"/>
      <c r="MC56" s="442"/>
      <c r="MD56" s="442"/>
      <c r="ME56" s="442"/>
      <c r="MF56" s="442"/>
      <c r="MG56" s="442"/>
      <c r="MH56" s="442"/>
      <c r="MI56" s="442"/>
      <c r="MJ56" s="442"/>
      <c r="MK56" s="442"/>
      <c r="ML56" s="442"/>
      <c r="MM56" s="442"/>
      <c r="MN56" s="442"/>
      <c r="MO56" s="442"/>
      <c r="MP56" s="442"/>
      <c r="MQ56" s="442"/>
      <c r="MR56" s="442"/>
      <c r="MS56" s="442"/>
      <c r="MT56" s="442"/>
      <c r="MU56" s="442"/>
      <c r="MV56" s="442"/>
      <c r="MW56" s="442"/>
      <c r="MX56" s="442"/>
      <c r="MY56" s="442"/>
      <c r="MZ56" s="442"/>
      <c r="NA56" s="442"/>
      <c r="NB56" s="442"/>
      <c r="NC56" s="442"/>
      <c r="NT56" s="149" t="s">
        <v>150</v>
      </c>
      <c r="NX56" s="149" t="s">
        <v>151</v>
      </c>
    </row>
    <row r="57" spans="1:401" ht="14.1" customHeight="1" x14ac:dyDescent="0.2">
      <c r="A57" s="156"/>
      <c r="B57" s="236"/>
      <c r="C57" s="236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156"/>
      <c r="CP57" s="156"/>
      <c r="CQ57" s="156"/>
      <c r="CR57" s="156"/>
      <c r="CS57" s="156"/>
      <c r="CT57" s="156"/>
      <c r="CU57" s="156"/>
      <c r="CV57" s="156"/>
      <c r="CW57" s="156"/>
      <c r="CX57" s="156"/>
      <c r="CY57" s="156"/>
      <c r="CZ57" s="156"/>
      <c r="DA57" s="156"/>
      <c r="DB57" s="156"/>
      <c r="DC57" s="156"/>
      <c r="DD57" s="156"/>
      <c r="DE57" s="156"/>
      <c r="DF57" s="156"/>
      <c r="DG57" s="156"/>
      <c r="DH57" s="156"/>
      <c r="DI57" s="156"/>
      <c r="DJ57" s="156"/>
      <c r="DK57" s="156"/>
      <c r="DL57" s="156"/>
      <c r="DM57" s="156"/>
      <c r="DN57" s="156"/>
      <c r="DO57" s="156"/>
      <c r="DP57" s="156"/>
      <c r="DQ57" s="156"/>
      <c r="DR57" s="156"/>
      <c r="DS57" s="156"/>
      <c r="DT57" s="156"/>
      <c r="DU57" s="156"/>
      <c r="DV57" s="156"/>
      <c r="DW57" s="156"/>
      <c r="DX57" s="156"/>
      <c r="DY57" s="156"/>
      <c r="DZ57" s="156"/>
      <c r="EA57" s="156"/>
      <c r="EB57" s="156"/>
      <c r="EC57" s="156"/>
      <c r="ED57" s="156"/>
      <c r="EE57" s="156"/>
      <c r="EF57" s="156"/>
      <c r="EG57" s="156"/>
      <c r="EH57" s="156"/>
      <c r="EI57" s="156"/>
      <c r="EJ57" s="156"/>
      <c r="EK57" s="156"/>
      <c r="EL57" s="156"/>
      <c r="EM57" s="156"/>
      <c r="EN57" s="156"/>
      <c r="EO57" s="156"/>
      <c r="EP57" s="156"/>
      <c r="EQ57" s="156"/>
      <c r="ER57" s="156"/>
      <c r="ES57" s="156"/>
      <c r="ET57" s="156"/>
      <c r="EU57" s="156"/>
      <c r="EV57" s="156"/>
      <c r="EW57" s="156"/>
      <c r="EX57" s="156"/>
      <c r="EY57" s="156"/>
      <c r="EZ57" s="156"/>
      <c r="FA57" s="156"/>
      <c r="FB57" s="156"/>
      <c r="FC57" s="156"/>
      <c r="FD57" s="156"/>
      <c r="FE57" s="156"/>
      <c r="FF57" s="156"/>
      <c r="FG57" s="156"/>
      <c r="FH57" s="156"/>
      <c r="FI57" s="156"/>
      <c r="FJ57" s="156"/>
      <c r="FK57" s="156"/>
      <c r="FL57" s="156"/>
      <c r="FM57" s="156"/>
      <c r="FN57" s="156"/>
      <c r="FO57" s="156"/>
      <c r="FP57" s="156"/>
      <c r="FQ57" s="156"/>
      <c r="FR57" s="156"/>
      <c r="FS57" s="242"/>
      <c r="FT57" s="50"/>
      <c r="FU57" s="50"/>
      <c r="FV57" s="50"/>
      <c r="FW57" s="50"/>
      <c r="FX57" s="50"/>
      <c r="FY57" s="50"/>
      <c r="FZ57" s="50"/>
      <c r="GA57" s="50"/>
      <c r="GB57" s="50"/>
      <c r="GC57" s="50"/>
      <c r="GD57" s="50"/>
      <c r="GE57" s="50"/>
      <c r="GF57" s="50"/>
      <c r="GG57" s="50"/>
      <c r="GH57" s="50"/>
      <c r="GI57" s="50"/>
      <c r="GJ57" s="50"/>
      <c r="GK57" s="50"/>
      <c r="GL57" s="50"/>
      <c r="GM57" s="50"/>
      <c r="GN57" s="50"/>
      <c r="GO57" s="242"/>
      <c r="GP57" s="283"/>
      <c r="GQ57" s="242"/>
      <c r="GR57" s="242"/>
      <c r="GS57" s="267"/>
      <c r="GT57" s="275"/>
      <c r="GU57" s="275"/>
      <c r="GV57" s="275"/>
      <c r="GW57" s="267"/>
      <c r="GX57" s="267"/>
      <c r="GY57" s="285"/>
      <c r="GZ57" s="285"/>
      <c r="HA57" s="242"/>
      <c r="HB57" s="242"/>
      <c r="HC57" s="242"/>
      <c r="HD57" s="242"/>
      <c r="HE57" s="242"/>
      <c r="HF57" s="242"/>
      <c r="HG57" s="242"/>
      <c r="HH57" s="242"/>
      <c r="HI57" s="242"/>
      <c r="HJ57" s="242"/>
      <c r="HK57" s="242"/>
      <c r="HL57" s="242"/>
      <c r="HM57" s="442"/>
      <c r="HN57" s="442"/>
      <c r="HO57" s="442"/>
      <c r="HP57" s="31"/>
      <c r="HQ57" s="142"/>
      <c r="HR57" s="142"/>
      <c r="HS57" s="142"/>
      <c r="HT57" s="219"/>
      <c r="HU57" s="219"/>
      <c r="HV57" s="219"/>
      <c r="HW57" s="219"/>
      <c r="HX57" s="219"/>
      <c r="HY57" s="219"/>
      <c r="HZ57" s="219"/>
      <c r="IA57" s="219"/>
      <c r="IB57" s="219"/>
      <c r="IC57" s="104"/>
      <c r="ID57" s="187"/>
      <c r="IE57" s="529">
        <f>'Calculation OW'!P30</f>
        <v>6.4</v>
      </c>
      <c r="IF57" s="529"/>
      <c r="IG57" s="442"/>
      <c r="IH57" s="32"/>
      <c r="II57" s="186"/>
      <c r="IJ57" s="186"/>
      <c r="IK57" s="442"/>
      <c r="IL57" s="443">
        <v>7.5</v>
      </c>
      <c r="IM57" s="442"/>
      <c r="IN57" s="141">
        <v>20</v>
      </c>
      <c r="IO57" s="37"/>
      <c r="IP57" s="13">
        <v>0.22500000000000001</v>
      </c>
      <c r="IQ57" s="13"/>
      <c r="IR57" s="442"/>
      <c r="IS57" s="442">
        <v>300</v>
      </c>
      <c r="IT57" s="442"/>
      <c r="IU57" s="9">
        <v>300</v>
      </c>
      <c r="IV57" s="442"/>
      <c r="IW57" s="442">
        <v>250</v>
      </c>
      <c r="IX57" s="442"/>
      <c r="IY57" s="442"/>
      <c r="IZ57" s="442"/>
      <c r="JA57" s="442"/>
      <c r="JB57" s="442"/>
      <c r="JC57" s="442"/>
      <c r="JD57" s="442"/>
      <c r="JE57" s="442"/>
      <c r="JF57" s="442"/>
      <c r="JG57" s="442"/>
      <c r="JH57" s="442"/>
      <c r="JI57" s="442"/>
      <c r="JJ57" s="442"/>
      <c r="JK57" s="442"/>
      <c r="JL57" s="442"/>
      <c r="JM57" s="442"/>
      <c r="JN57" s="442"/>
      <c r="JO57" s="442"/>
      <c r="JP57" s="442"/>
      <c r="JQ57" s="442"/>
      <c r="JR57" s="442"/>
      <c r="JS57" s="442"/>
      <c r="JT57" s="442"/>
      <c r="JU57" s="442"/>
      <c r="JV57" s="442"/>
      <c r="JW57" s="442"/>
      <c r="JX57" s="442"/>
      <c r="JY57" s="442"/>
      <c r="JZ57" s="442"/>
      <c r="KA57" s="442"/>
      <c r="KB57" s="442"/>
      <c r="KC57" s="442"/>
      <c r="KD57" s="442"/>
      <c r="KE57" s="442"/>
      <c r="KF57" s="442"/>
      <c r="KG57" s="442"/>
      <c r="KH57" s="442"/>
      <c r="KI57" s="442"/>
      <c r="KJ57" s="442"/>
      <c r="KK57" s="442"/>
      <c r="KL57" s="442"/>
      <c r="KM57" s="442"/>
      <c r="KN57" s="442"/>
      <c r="KO57" s="442"/>
      <c r="KP57" s="442"/>
      <c r="KQ57" s="442"/>
      <c r="KR57" s="442"/>
      <c r="KS57" s="442"/>
      <c r="KT57" s="442"/>
      <c r="KU57" s="442"/>
      <c r="KV57" s="442"/>
      <c r="KW57" s="442"/>
      <c r="KX57" s="442"/>
      <c r="KY57" s="442"/>
      <c r="KZ57" s="442"/>
      <c r="LA57" s="442"/>
      <c r="LB57" s="442"/>
      <c r="LC57" s="442"/>
      <c r="LD57" s="442"/>
      <c r="LE57" s="442"/>
      <c r="LF57" s="442"/>
      <c r="LG57" s="442"/>
      <c r="LH57" s="442"/>
      <c r="LI57" s="442"/>
      <c r="LJ57" s="442"/>
      <c r="LK57" s="442"/>
      <c r="LL57" s="442"/>
      <c r="LM57" s="442"/>
      <c r="LN57" s="442"/>
      <c r="LO57" s="442"/>
      <c r="LP57" s="442"/>
      <c r="LQ57" s="442"/>
      <c r="LR57" s="442"/>
      <c r="LS57" s="442"/>
      <c r="LT57" s="442"/>
      <c r="LU57" s="442"/>
      <c r="LV57" s="442"/>
      <c r="LW57" s="442"/>
      <c r="LX57" s="442"/>
      <c r="LY57" s="442"/>
      <c r="LZ57" s="442"/>
      <c r="MA57" s="442"/>
      <c r="MB57" s="442"/>
      <c r="MC57" s="442"/>
      <c r="MD57" s="442"/>
      <c r="ME57" s="442"/>
      <c r="MF57" s="442"/>
      <c r="MG57" s="442"/>
      <c r="MH57" s="442"/>
      <c r="MI57" s="442"/>
      <c r="MJ57" s="442"/>
      <c r="MK57" s="442"/>
      <c r="ML57" s="442"/>
      <c r="MM57" s="442"/>
      <c r="MN57" s="442"/>
      <c r="MO57" s="442"/>
      <c r="MP57" s="442"/>
      <c r="MQ57" s="442"/>
      <c r="MR57" s="442"/>
      <c r="MS57" s="442"/>
      <c r="MT57" s="442"/>
      <c r="MU57" s="442"/>
      <c r="MV57" s="442"/>
      <c r="MW57" s="442"/>
      <c r="MX57" s="442"/>
      <c r="MY57" s="442"/>
      <c r="MZ57" s="442"/>
      <c r="NA57" s="442"/>
      <c r="NB57" s="442"/>
      <c r="NC57" s="442"/>
      <c r="NT57" s="149" t="s">
        <v>22</v>
      </c>
      <c r="NU57" s="149">
        <v>0</v>
      </c>
      <c r="NV57" s="149">
        <v>2</v>
      </c>
      <c r="NX57" s="149" t="s">
        <v>22</v>
      </c>
      <c r="NY57" s="182">
        <v>0</v>
      </c>
      <c r="NZ57" s="182">
        <v>2</v>
      </c>
    </row>
    <row r="58" spans="1:401" ht="14.1" customHeight="1" x14ac:dyDescent="0.2">
      <c r="A58" s="156"/>
      <c r="B58" s="236"/>
      <c r="C58" s="236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156"/>
      <c r="CP58" s="156"/>
      <c r="CQ58" s="156"/>
      <c r="CR58" s="156"/>
      <c r="CS58" s="156"/>
      <c r="CT58" s="156"/>
      <c r="CU58" s="156"/>
      <c r="CV58" s="156"/>
      <c r="CW58" s="156"/>
      <c r="CX58" s="156"/>
      <c r="CY58" s="156"/>
      <c r="CZ58" s="156"/>
      <c r="DA58" s="156"/>
      <c r="DB58" s="156"/>
      <c r="DC58" s="156"/>
      <c r="DD58" s="156"/>
      <c r="DE58" s="156"/>
      <c r="DF58" s="156"/>
      <c r="DG58" s="156"/>
      <c r="DH58" s="156"/>
      <c r="DI58" s="156"/>
      <c r="DJ58" s="156"/>
      <c r="DK58" s="156"/>
      <c r="DL58" s="156"/>
      <c r="DM58" s="156"/>
      <c r="DN58" s="156"/>
      <c r="DO58" s="156"/>
      <c r="DP58" s="156"/>
      <c r="DQ58" s="156"/>
      <c r="DR58" s="156"/>
      <c r="DS58" s="156"/>
      <c r="DT58" s="156"/>
      <c r="DU58" s="156"/>
      <c r="DV58" s="156"/>
      <c r="DW58" s="156"/>
      <c r="DX58" s="156"/>
      <c r="DY58" s="156"/>
      <c r="DZ58" s="156"/>
      <c r="EA58" s="156"/>
      <c r="EB58" s="156"/>
      <c r="EC58" s="156"/>
      <c r="ED58" s="156"/>
      <c r="EE58" s="156"/>
      <c r="EF58" s="156"/>
      <c r="EG58" s="156"/>
      <c r="EH58" s="156"/>
      <c r="EI58" s="156"/>
      <c r="EJ58" s="156"/>
      <c r="EK58" s="156"/>
      <c r="EL58" s="156"/>
      <c r="EM58" s="156"/>
      <c r="EN58" s="156"/>
      <c r="EO58" s="156"/>
      <c r="EP58" s="156"/>
      <c r="EQ58" s="156"/>
      <c r="ER58" s="156"/>
      <c r="ES58" s="156"/>
      <c r="ET58" s="156"/>
      <c r="EU58" s="156"/>
      <c r="EV58" s="156"/>
      <c r="EW58" s="156"/>
      <c r="EX58" s="156"/>
      <c r="EY58" s="156"/>
      <c r="EZ58" s="156"/>
      <c r="FA58" s="156"/>
      <c r="FB58" s="156"/>
      <c r="FC58" s="156"/>
      <c r="FD58" s="156"/>
      <c r="FE58" s="156"/>
      <c r="FF58" s="156"/>
      <c r="FG58" s="156"/>
      <c r="FH58" s="156"/>
      <c r="FI58" s="156"/>
      <c r="FJ58" s="156"/>
      <c r="FK58" s="156"/>
      <c r="FL58" s="156"/>
      <c r="FM58" s="156"/>
      <c r="FN58" s="156"/>
      <c r="FO58" s="156"/>
      <c r="FP58" s="156"/>
      <c r="FQ58" s="156"/>
      <c r="FR58" s="156"/>
      <c r="FS58" s="242"/>
      <c r="FT58" s="268"/>
      <c r="FU58" s="268"/>
      <c r="FV58" s="268"/>
      <c r="FW58" s="268"/>
      <c r="FX58" s="286"/>
      <c r="FY58" s="286"/>
      <c r="FZ58" s="286"/>
      <c r="GA58" s="286"/>
      <c r="GB58" s="286"/>
      <c r="GC58" s="286"/>
      <c r="GD58" s="286"/>
      <c r="GE58" s="286"/>
      <c r="GF58" s="286"/>
      <c r="GG58" s="286"/>
      <c r="GH58" s="286"/>
      <c r="GI58" s="286"/>
      <c r="GJ58" s="268"/>
      <c r="GK58" s="268"/>
      <c r="GL58" s="268"/>
      <c r="GM58" s="268"/>
      <c r="GN58" s="50"/>
      <c r="GO58" s="242"/>
      <c r="GP58" s="283"/>
      <c r="GQ58" s="242"/>
      <c r="GR58" s="242"/>
      <c r="GS58" s="267"/>
      <c r="GT58" s="275"/>
      <c r="GU58" s="275"/>
      <c r="GV58" s="275"/>
      <c r="GW58" s="267"/>
      <c r="GX58" s="267"/>
      <c r="GY58" s="285"/>
      <c r="GZ58" s="285"/>
      <c r="HA58" s="242"/>
      <c r="HB58" s="242"/>
      <c r="HC58" s="242"/>
      <c r="HD58" s="242"/>
      <c r="HE58" s="242"/>
      <c r="HF58" s="242"/>
      <c r="HG58" s="242"/>
      <c r="HH58" s="242"/>
      <c r="HI58" s="242"/>
      <c r="HJ58" s="242"/>
      <c r="HK58" s="242"/>
      <c r="HL58" s="242"/>
      <c r="HM58" s="442"/>
      <c r="HN58" s="442"/>
      <c r="HO58" s="442"/>
      <c r="HP58" s="31"/>
      <c r="HQ58" s="142"/>
      <c r="HR58" s="142"/>
      <c r="HS58" s="142"/>
      <c r="HT58" s="219"/>
      <c r="HU58" s="219"/>
      <c r="HV58" s="219"/>
      <c r="HW58" s="219"/>
      <c r="HX58" s="219"/>
      <c r="HY58" s="219"/>
      <c r="HZ58" s="219"/>
      <c r="IA58" s="219"/>
      <c r="IB58" s="219"/>
      <c r="IC58" s="104"/>
      <c r="ID58" s="187"/>
      <c r="IE58" s="529">
        <f>'Calculation OW'!S30</f>
        <v>6.4</v>
      </c>
      <c r="IF58" s="529"/>
      <c r="IG58" s="442"/>
      <c r="IH58" s="32"/>
      <c r="II58" s="186"/>
      <c r="IJ58" s="186"/>
      <c r="IK58" s="442"/>
      <c r="IL58" s="442"/>
      <c r="IM58" s="442"/>
      <c r="IN58" s="141">
        <v>22.5</v>
      </c>
      <c r="IO58" s="37"/>
      <c r="IP58" s="13">
        <v>0.25</v>
      </c>
      <c r="IQ58" s="13"/>
      <c r="IR58" s="442"/>
      <c r="IS58" s="442">
        <v>400</v>
      </c>
      <c r="IT58" s="442"/>
      <c r="IU58" s="9">
        <v>320</v>
      </c>
      <c r="IV58" s="442"/>
      <c r="IW58" s="442">
        <v>300</v>
      </c>
      <c r="IX58" s="442"/>
      <c r="IY58" s="442"/>
      <c r="IZ58" s="442"/>
      <c r="JA58" s="442"/>
      <c r="JB58" s="442"/>
      <c r="JC58" s="442"/>
      <c r="JD58" s="442"/>
      <c r="JE58" s="442"/>
      <c r="JF58" s="442"/>
      <c r="JG58" s="442"/>
      <c r="JH58" s="442"/>
      <c r="JI58" s="442"/>
      <c r="JJ58" s="442"/>
      <c r="JK58" s="442"/>
      <c r="JL58" s="442"/>
      <c r="JM58" s="442"/>
      <c r="JN58" s="442"/>
      <c r="JO58" s="442"/>
      <c r="JP58" s="442"/>
      <c r="JQ58" s="442"/>
      <c r="JR58" s="442"/>
      <c r="JS58" s="442"/>
      <c r="JT58" s="442"/>
      <c r="JU58" s="442"/>
      <c r="JV58" s="442"/>
      <c r="JW58" s="442"/>
      <c r="JX58" s="442"/>
      <c r="JY58" s="442"/>
      <c r="JZ58" s="442"/>
      <c r="KA58" s="442"/>
      <c r="KB58" s="442"/>
      <c r="KC58" s="442"/>
      <c r="KD58" s="442"/>
      <c r="KE58" s="442"/>
      <c r="KF58" s="442"/>
      <c r="KG58" s="442"/>
      <c r="KH58" s="442"/>
      <c r="KI58" s="442"/>
      <c r="KJ58" s="442"/>
      <c r="KK58" s="442"/>
      <c r="KL58" s="442"/>
      <c r="KM58" s="442"/>
      <c r="KN58" s="442"/>
      <c r="KO58" s="442"/>
      <c r="KP58" s="442"/>
      <c r="KQ58" s="442"/>
      <c r="KR58" s="442"/>
      <c r="KS58" s="442"/>
      <c r="KT58" s="442"/>
      <c r="KU58" s="442"/>
      <c r="KV58" s="442"/>
      <c r="KW58" s="442"/>
      <c r="KX58" s="442"/>
      <c r="KY58" s="442"/>
      <c r="KZ58" s="442"/>
      <c r="LA58" s="442"/>
      <c r="LB58" s="442"/>
      <c r="LC58" s="442"/>
      <c r="LD58" s="442"/>
      <c r="LE58" s="442"/>
      <c r="LF58" s="442"/>
      <c r="LG58" s="442"/>
      <c r="LH58" s="442"/>
      <c r="LI58" s="442"/>
      <c r="LJ58" s="442"/>
      <c r="LK58" s="442"/>
      <c r="LL58" s="442"/>
      <c r="LM58" s="442"/>
      <c r="LN58" s="442"/>
      <c r="LO58" s="442"/>
      <c r="LP58" s="442"/>
      <c r="LQ58" s="442"/>
      <c r="LR58" s="442"/>
      <c r="LS58" s="442"/>
      <c r="LT58" s="442"/>
      <c r="LU58" s="442"/>
      <c r="LV58" s="442"/>
      <c r="LW58" s="442"/>
      <c r="LX58" s="442"/>
      <c r="LY58" s="442"/>
      <c r="LZ58" s="442"/>
      <c r="MA58" s="442"/>
      <c r="MB58" s="442"/>
      <c r="MC58" s="442"/>
      <c r="MD58" s="442"/>
      <c r="ME58" s="442"/>
      <c r="MF58" s="442"/>
      <c r="MG58" s="442"/>
      <c r="MH58" s="442"/>
      <c r="MI58" s="442"/>
      <c r="MJ58" s="442"/>
      <c r="MK58" s="442"/>
      <c r="ML58" s="442"/>
      <c r="MM58" s="442"/>
      <c r="MN58" s="442"/>
      <c r="MO58" s="442"/>
      <c r="MP58" s="442"/>
      <c r="MQ58" s="442"/>
      <c r="MR58" s="442"/>
      <c r="MS58" s="442"/>
      <c r="MT58" s="442"/>
      <c r="MU58" s="442"/>
      <c r="MV58" s="442"/>
      <c r="MW58" s="442"/>
      <c r="MX58" s="442"/>
      <c r="MY58" s="442"/>
      <c r="MZ58" s="442"/>
      <c r="NA58" s="442"/>
      <c r="NB58" s="442"/>
      <c r="NC58" s="442"/>
      <c r="NT58" s="149" t="s">
        <v>23</v>
      </c>
      <c r="NU58" s="149">
        <v>0</v>
      </c>
      <c r="NV58" s="149">
        <v>0</v>
      </c>
      <c r="NX58" s="149" t="s">
        <v>23</v>
      </c>
      <c r="NY58" s="182">
        <f>(-W17-2.5)/100</f>
        <v>-0.125</v>
      </c>
      <c r="NZ58" s="182">
        <f>NY58</f>
        <v>-0.125</v>
      </c>
    </row>
    <row r="59" spans="1:401" ht="14.1" customHeight="1" x14ac:dyDescent="0.2">
      <c r="A59" s="156"/>
      <c r="B59" s="236"/>
      <c r="C59" s="236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156"/>
      <c r="CP59" s="156"/>
      <c r="CQ59" s="156"/>
      <c r="CR59" s="156"/>
      <c r="CS59" s="156"/>
      <c r="CT59" s="156"/>
      <c r="CU59" s="156"/>
      <c r="CV59" s="156"/>
      <c r="CW59" s="156"/>
      <c r="CX59" s="156"/>
      <c r="CY59" s="156"/>
      <c r="CZ59" s="156"/>
      <c r="DA59" s="156"/>
      <c r="DB59" s="156"/>
      <c r="DC59" s="156"/>
      <c r="DD59" s="156"/>
      <c r="DE59" s="156"/>
      <c r="DF59" s="156"/>
      <c r="DG59" s="156"/>
      <c r="DH59" s="156"/>
      <c r="DI59" s="156"/>
      <c r="DJ59" s="156"/>
      <c r="DK59" s="156"/>
      <c r="DL59" s="156"/>
      <c r="DM59" s="156"/>
      <c r="DN59" s="156"/>
      <c r="DO59" s="156"/>
      <c r="DP59" s="156"/>
      <c r="DQ59" s="156"/>
      <c r="DR59" s="156"/>
      <c r="DS59" s="156"/>
      <c r="DT59" s="156"/>
      <c r="DU59" s="156"/>
      <c r="DV59" s="156"/>
      <c r="DW59" s="156"/>
      <c r="DX59" s="156"/>
      <c r="DY59" s="156"/>
      <c r="DZ59" s="156"/>
      <c r="EA59" s="156"/>
      <c r="EB59" s="156"/>
      <c r="EC59" s="156"/>
      <c r="ED59" s="156"/>
      <c r="EE59" s="156"/>
      <c r="EF59" s="156"/>
      <c r="EG59" s="156"/>
      <c r="EH59" s="156"/>
      <c r="EI59" s="156"/>
      <c r="EJ59" s="156"/>
      <c r="EK59" s="156"/>
      <c r="EL59" s="156"/>
      <c r="EM59" s="156"/>
      <c r="EN59" s="156"/>
      <c r="EO59" s="156"/>
      <c r="EP59" s="156"/>
      <c r="EQ59" s="156"/>
      <c r="ER59" s="156"/>
      <c r="ES59" s="156"/>
      <c r="ET59" s="156"/>
      <c r="EU59" s="156"/>
      <c r="EV59" s="156"/>
      <c r="EW59" s="156"/>
      <c r="EX59" s="156"/>
      <c r="EY59" s="156"/>
      <c r="EZ59" s="156"/>
      <c r="FA59" s="156"/>
      <c r="FB59" s="156"/>
      <c r="FC59" s="156"/>
      <c r="FD59" s="156"/>
      <c r="FE59" s="156"/>
      <c r="FF59" s="156"/>
      <c r="FG59" s="156"/>
      <c r="FH59" s="156"/>
      <c r="FI59" s="156"/>
      <c r="FJ59" s="156"/>
      <c r="FK59" s="156"/>
      <c r="FL59" s="156"/>
      <c r="FM59" s="156"/>
      <c r="FN59" s="156"/>
      <c r="FO59" s="156"/>
      <c r="FP59" s="156"/>
      <c r="FQ59" s="156"/>
      <c r="FR59" s="156"/>
      <c r="FS59" s="242"/>
      <c r="FT59" s="268"/>
      <c r="FU59" s="268"/>
      <c r="FV59" s="268"/>
      <c r="FW59" s="268"/>
      <c r="FX59" s="265"/>
      <c r="FY59" s="265"/>
      <c r="FZ59" s="265"/>
      <c r="GA59" s="265"/>
      <c r="GB59" s="265"/>
      <c r="GC59" s="265"/>
      <c r="GD59" s="265"/>
      <c r="GE59" s="265"/>
      <c r="GF59" s="265"/>
      <c r="GG59" s="265"/>
      <c r="GH59" s="265"/>
      <c r="GI59" s="265"/>
      <c r="GJ59" s="268"/>
      <c r="GK59" s="268"/>
      <c r="GL59" s="268"/>
      <c r="GM59" s="268"/>
      <c r="GN59" s="50"/>
      <c r="GO59" s="242"/>
      <c r="GP59" s="242"/>
      <c r="GQ59" s="242"/>
      <c r="GR59" s="242"/>
      <c r="GS59" s="50"/>
      <c r="GT59" s="50"/>
      <c r="GU59" s="50"/>
      <c r="GV59" s="50"/>
      <c r="GW59" s="50"/>
      <c r="GX59" s="50"/>
      <c r="GY59" s="50"/>
      <c r="GZ59" s="50"/>
      <c r="HA59" s="50"/>
      <c r="HB59" s="50"/>
      <c r="HC59" s="50"/>
      <c r="HD59" s="242"/>
      <c r="HE59" s="242"/>
      <c r="HF59" s="242"/>
      <c r="HG59" s="242"/>
      <c r="HH59" s="242"/>
      <c r="HI59" s="242"/>
      <c r="HJ59" s="242"/>
      <c r="HK59" s="242"/>
      <c r="HL59" s="242"/>
      <c r="HM59" s="442"/>
      <c r="HN59" s="442"/>
      <c r="HO59" s="442"/>
      <c r="HP59" s="31"/>
      <c r="HQ59" s="142"/>
      <c r="HR59" s="142"/>
      <c r="HS59" s="142"/>
      <c r="HT59" s="219"/>
      <c r="HU59" s="219"/>
      <c r="HV59" s="219"/>
      <c r="HW59" s="219"/>
      <c r="HX59" s="219"/>
      <c r="HY59" s="219"/>
      <c r="HZ59" s="219"/>
      <c r="IA59" s="219"/>
      <c r="IB59" s="219"/>
      <c r="IC59" s="104"/>
      <c r="ID59" s="187"/>
      <c r="IE59" s="529">
        <f>'Calculation OW'!V30</f>
        <v>6.4</v>
      </c>
      <c r="IF59" s="529"/>
      <c r="IG59" s="442"/>
      <c r="IH59" s="32"/>
      <c r="II59" s="186"/>
      <c r="IJ59" s="186"/>
      <c r="IK59" s="442"/>
      <c r="IL59" s="442"/>
      <c r="IM59" s="442"/>
      <c r="IN59" s="141">
        <v>25</v>
      </c>
      <c r="IO59" s="37"/>
      <c r="IP59" s="13">
        <v>0.27500000000000002</v>
      </c>
      <c r="IQ59" s="13"/>
      <c r="IR59" s="442"/>
      <c r="IS59" s="442">
        <v>500</v>
      </c>
      <c r="IT59" s="442"/>
      <c r="IU59" s="11">
        <v>350</v>
      </c>
      <c r="IV59" s="442"/>
      <c r="IW59" s="442">
        <v>350</v>
      </c>
      <c r="IX59" s="442"/>
      <c r="IY59" s="442"/>
      <c r="IZ59" s="442"/>
      <c r="JA59" s="442"/>
      <c r="JB59" s="442"/>
      <c r="JC59" s="442"/>
      <c r="JD59" s="442"/>
      <c r="JE59" s="442"/>
      <c r="JF59" s="442"/>
      <c r="JG59" s="442"/>
      <c r="JH59" s="442"/>
      <c r="JI59" s="442"/>
      <c r="JJ59" s="442"/>
      <c r="JK59" s="442"/>
      <c r="JL59" s="442"/>
      <c r="JM59" s="442"/>
      <c r="JN59" s="442"/>
      <c r="JO59" s="442"/>
      <c r="JP59" s="442"/>
      <c r="JQ59" s="442"/>
      <c r="JR59" s="442"/>
      <c r="JS59" s="442"/>
      <c r="JT59" s="442"/>
      <c r="JU59" s="442"/>
      <c r="JV59" s="442"/>
      <c r="JW59" s="442"/>
      <c r="JX59" s="442"/>
      <c r="JY59" s="442"/>
      <c r="JZ59" s="442"/>
      <c r="KA59" s="442"/>
      <c r="KB59" s="442"/>
      <c r="KC59" s="442"/>
      <c r="KD59" s="442"/>
      <c r="KE59" s="442"/>
      <c r="KF59" s="442"/>
      <c r="KG59" s="442"/>
      <c r="KH59" s="442"/>
      <c r="KI59" s="442"/>
      <c r="KJ59" s="442"/>
      <c r="KK59" s="442"/>
      <c r="KL59" s="442"/>
      <c r="KM59" s="442"/>
      <c r="KN59" s="442"/>
      <c r="KO59" s="442"/>
      <c r="KP59" s="442"/>
      <c r="KQ59" s="442"/>
      <c r="KR59" s="442"/>
      <c r="KS59" s="442"/>
      <c r="KT59" s="442"/>
      <c r="KU59" s="442"/>
      <c r="KV59" s="442"/>
      <c r="KW59" s="442"/>
      <c r="KX59" s="442"/>
      <c r="KY59" s="442"/>
      <c r="KZ59" s="442"/>
      <c r="LA59" s="442"/>
      <c r="LB59" s="442"/>
      <c r="LC59" s="442"/>
      <c r="LD59" s="442"/>
      <c r="LE59" s="442"/>
      <c r="LF59" s="442"/>
      <c r="LG59" s="442"/>
      <c r="LH59" s="442"/>
      <c r="LI59" s="442"/>
      <c r="LJ59" s="442"/>
      <c r="LK59" s="442"/>
      <c r="LL59" s="442"/>
      <c r="LM59" s="442"/>
      <c r="LN59" s="442"/>
      <c r="LO59" s="442"/>
      <c r="LP59" s="442"/>
      <c r="LQ59" s="442"/>
      <c r="LR59" s="442"/>
      <c r="LS59" s="442"/>
      <c r="LT59" s="442"/>
      <c r="LU59" s="442"/>
      <c r="LV59" s="442"/>
      <c r="LW59" s="442"/>
      <c r="LX59" s="442"/>
      <c r="LY59" s="442"/>
      <c r="LZ59" s="442"/>
      <c r="MA59" s="442"/>
      <c r="MB59" s="442"/>
      <c r="MC59" s="442"/>
      <c r="MD59" s="442"/>
      <c r="ME59" s="442"/>
      <c r="MF59" s="442"/>
      <c r="MG59" s="442"/>
      <c r="MH59" s="442"/>
      <c r="MI59" s="442"/>
      <c r="MJ59" s="442"/>
      <c r="MK59" s="442"/>
      <c r="ML59" s="442"/>
      <c r="MM59" s="442"/>
      <c r="MN59" s="442"/>
      <c r="MO59" s="442"/>
      <c r="MP59" s="442"/>
      <c r="MQ59" s="442"/>
      <c r="MR59" s="442"/>
      <c r="MS59" s="442"/>
      <c r="MT59" s="442"/>
      <c r="MU59" s="442"/>
      <c r="MV59" s="442"/>
      <c r="MW59" s="442"/>
      <c r="MX59" s="442"/>
      <c r="MY59" s="442"/>
      <c r="MZ59" s="442"/>
      <c r="NA59" s="442"/>
      <c r="NB59" s="442"/>
      <c r="NC59" s="442"/>
      <c r="NT59" s="149" t="s">
        <v>152</v>
      </c>
    </row>
    <row r="60" spans="1:401" ht="14.1" customHeight="1" x14ac:dyDescent="0.2">
      <c r="A60" s="156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156"/>
      <c r="R60" s="156"/>
      <c r="S60" s="156"/>
      <c r="T60" s="156"/>
      <c r="U60" s="156"/>
      <c r="V60" s="156"/>
      <c r="W60" s="156"/>
      <c r="X60" s="156"/>
      <c r="Y60" s="156"/>
      <c r="Z60" s="156"/>
      <c r="AA60" s="156"/>
      <c r="AB60" s="156"/>
      <c r="AC60" s="156"/>
      <c r="AD60" s="156"/>
      <c r="AE60" s="156"/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156"/>
      <c r="CP60" s="156"/>
      <c r="CQ60" s="156"/>
      <c r="CR60" s="156"/>
      <c r="CS60" s="156"/>
      <c r="CT60" s="156"/>
      <c r="CU60" s="156"/>
      <c r="CV60" s="156"/>
      <c r="CW60" s="156"/>
      <c r="CX60" s="156"/>
      <c r="CY60" s="156"/>
      <c r="CZ60" s="156"/>
      <c r="DA60" s="156"/>
      <c r="DB60" s="156"/>
      <c r="DC60" s="156"/>
      <c r="DD60" s="156"/>
      <c r="DE60" s="156"/>
      <c r="DF60" s="156"/>
      <c r="DG60" s="156"/>
      <c r="DH60" s="156"/>
      <c r="DI60" s="156"/>
      <c r="DJ60" s="156"/>
      <c r="DK60" s="156"/>
      <c r="DL60" s="156"/>
      <c r="DM60" s="156"/>
      <c r="DN60" s="156"/>
      <c r="DO60" s="156"/>
      <c r="DP60" s="156"/>
      <c r="DQ60" s="156"/>
      <c r="DR60" s="156"/>
      <c r="DS60" s="156"/>
      <c r="DT60" s="156"/>
      <c r="DU60" s="156"/>
      <c r="DV60" s="156"/>
      <c r="DW60" s="156"/>
      <c r="DX60" s="156"/>
      <c r="DY60" s="156"/>
      <c r="DZ60" s="156"/>
      <c r="EA60" s="156"/>
      <c r="EB60" s="156"/>
      <c r="EC60" s="156"/>
      <c r="ED60" s="156"/>
      <c r="EE60" s="156"/>
      <c r="EF60" s="156"/>
      <c r="EG60" s="156"/>
      <c r="EH60" s="156"/>
      <c r="EI60" s="156"/>
      <c r="EJ60" s="156"/>
      <c r="EK60" s="156"/>
      <c r="EL60" s="156"/>
      <c r="EM60" s="156"/>
      <c r="EN60" s="156"/>
      <c r="EO60" s="156"/>
      <c r="EP60" s="156"/>
      <c r="EQ60" s="156"/>
      <c r="ER60" s="156"/>
      <c r="ES60" s="156"/>
      <c r="ET60" s="156"/>
      <c r="EU60" s="156"/>
      <c r="EV60" s="156"/>
      <c r="EW60" s="156"/>
      <c r="EX60" s="156"/>
      <c r="EY60" s="156"/>
      <c r="EZ60" s="156"/>
      <c r="FA60" s="156"/>
      <c r="FB60" s="156"/>
      <c r="FC60" s="156"/>
      <c r="FD60" s="156"/>
      <c r="FE60" s="156"/>
      <c r="FF60" s="156"/>
      <c r="FG60" s="156"/>
      <c r="FH60" s="156"/>
      <c r="FI60" s="156"/>
      <c r="FJ60" s="156"/>
      <c r="FK60" s="156"/>
      <c r="FL60" s="156"/>
      <c r="FM60" s="156"/>
      <c r="FN60" s="156"/>
      <c r="FO60" s="156"/>
      <c r="FP60" s="156"/>
      <c r="FQ60" s="156"/>
      <c r="FR60" s="156"/>
      <c r="FS60" s="242"/>
      <c r="FT60" s="222"/>
      <c r="FU60" s="222"/>
      <c r="FV60" s="222"/>
      <c r="FW60" s="222"/>
      <c r="FX60" s="222"/>
      <c r="FY60" s="222"/>
      <c r="FZ60" s="222"/>
      <c r="GA60" s="222"/>
      <c r="GB60" s="222"/>
      <c r="GC60" s="222"/>
      <c r="GD60" s="222"/>
      <c r="GE60" s="222"/>
      <c r="GF60" s="222"/>
      <c r="GG60" s="222"/>
      <c r="GH60" s="222"/>
      <c r="GI60" s="222"/>
      <c r="GJ60" s="222"/>
      <c r="GK60" s="222"/>
      <c r="GL60" s="222"/>
      <c r="GM60" s="222"/>
      <c r="GN60" s="50"/>
      <c r="GO60" s="242"/>
      <c r="GP60" s="281"/>
      <c r="GQ60" s="281"/>
      <c r="GR60" s="242"/>
      <c r="GS60" s="50"/>
      <c r="GT60" s="50"/>
      <c r="GU60" s="50"/>
      <c r="GV60" s="50"/>
      <c r="GW60" s="50"/>
      <c r="GX60" s="50"/>
      <c r="GY60" s="50"/>
      <c r="GZ60" s="50"/>
      <c r="HA60" s="50"/>
      <c r="HB60" s="50"/>
      <c r="HC60" s="50"/>
      <c r="HD60" s="242"/>
      <c r="HE60" s="242"/>
      <c r="HF60" s="242"/>
      <c r="HG60" s="242"/>
      <c r="HH60" s="242"/>
      <c r="HI60" s="242"/>
      <c r="HJ60" s="242"/>
      <c r="HK60" s="242"/>
      <c r="HL60" s="242"/>
      <c r="HM60" s="442"/>
      <c r="HN60" s="442"/>
      <c r="HO60" s="442"/>
      <c r="HP60" s="31"/>
      <c r="HQ60" s="142"/>
      <c r="HR60" s="142"/>
      <c r="HS60" s="142"/>
      <c r="HT60" s="219"/>
      <c r="HU60" s="219"/>
      <c r="HV60" s="219"/>
      <c r="HW60" s="219"/>
      <c r="HX60" s="219"/>
      <c r="HY60" s="219"/>
      <c r="HZ60" s="219"/>
      <c r="IA60" s="219"/>
      <c r="IB60" s="219"/>
      <c r="IC60" s="104"/>
      <c r="ID60" s="187"/>
      <c r="IE60" s="187"/>
      <c r="IF60" s="187"/>
      <c r="IG60" s="188"/>
      <c r="IH60" s="188"/>
      <c r="II60" s="188"/>
      <c r="IJ60" s="188"/>
      <c r="IK60" s="188"/>
      <c r="IL60" s="188"/>
      <c r="IM60" s="188"/>
      <c r="IN60" s="141">
        <v>27.5</v>
      </c>
      <c r="IO60" s="188"/>
      <c r="IP60" s="13">
        <v>0.3</v>
      </c>
      <c r="IQ60" s="13"/>
      <c r="IR60" s="442"/>
      <c r="IS60" s="442">
        <v>600</v>
      </c>
      <c r="IT60" s="442"/>
      <c r="IU60" s="11">
        <v>380</v>
      </c>
      <c r="IV60" s="442"/>
      <c r="IW60" s="442">
        <v>400</v>
      </c>
      <c r="IX60" s="442"/>
      <c r="IY60" s="442"/>
      <c r="IZ60" s="442"/>
      <c r="JA60" s="442"/>
      <c r="JB60" s="442"/>
      <c r="JC60" s="442"/>
      <c r="JD60" s="442"/>
      <c r="JE60" s="442"/>
      <c r="JF60" s="442"/>
      <c r="JG60" s="442"/>
      <c r="JH60" s="442"/>
      <c r="JI60" s="442"/>
      <c r="JJ60" s="442"/>
      <c r="JK60" s="442"/>
      <c r="JL60" s="442"/>
      <c r="JM60" s="442"/>
      <c r="JN60" s="442"/>
      <c r="JO60" s="442"/>
      <c r="JP60" s="442"/>
      <c r="JQ60" s="442"/>
      <c r="JR60" s="442"/>
      <c r="JS60" s="442"/>
      <c r="JT60" s="442"/>
      <c r="JU60" s="442"/>
      <c r="JV60" s="442"/>
      <c r="JW60" s="442"/>
      <c r="JX60" s="442"/>
      <c r="JY60" s="442"/>
      <c r="JZ60" s="442"/>
      <c r="KA60" s="442"/>
      <c r="KB60" s="442"/>
      <c r="KC60" s="442"/>
      <c r="KD60" s="442"/>
      <c r="KE60" s="442"/>
      <c r="KF60" s="442"/>
      <c r="KG60" s="442"/>
      <c r="KH60" s="442"/>
      <c r="KI60" s="442"/>
      <c r="KJ60" s="442"/>
      <c r="KK60" s="442"/>
      <c r="KL60" s="442"/>
      <c r="KM60" s="442"/>
      <c r="KN60" s="442"/>
      <c r="KO60" s="442"/>
      <c r="KP60" s="442"/>
      <c r="KQ60" s="442"/>
      <c r="KR60" s="442"/>
      <c r="KS60" s="442"/>
      <c r="KT60" s="442"/>
      <c r="KU60" s="442"/>
      <c r="KV60" s="442"/>
      <c r="KW60" s="442"/>
      <c r="KX60" s="442"/>
      <c r="KY60" s="442"/>
      <c r="KZ60" s="442"/>
      <c r="LA60" s="442"/>
      <c r="LB60" s="442"/>
      <c r="LC60" s="442"/>
      <c r="LD60" s="442"/>
      <c r="LE60" s="442"/>
      <c r="LF60" s="442"/>
      <c r="LG60" s="442"/>
      <c r="LH60" s="442"/>
      <c r="LI60" s="442"/>
      <c r="LJ60" s="442"/>
      <c r="LK60" s="442"/>
      <c r="LL60" s="442"/>
      <c r="LM60" s="442"/>
      <c r="LN60" s="442"/>
      <c r="LO60" s="442"/>
      <c r="LP60" s="442"/>
      <c r="LQ60" s="442"/>
      <c r="LR60" s="442"/>
      <c r="LS60" s="442"/>
      <c r="LT60" s="442"/>
      <c r="LU60" s="442"/>
      <c r="LV60" s="442"/>
      <c r="LW60" s="442"/>
      <c r="LX60" s="442"/>
      <c r="LY60" s="442"/>
      <c r="LZ60" s="442"/>
      <c r="MA60" s="442"/>
      <c r="MB60" s="442"/>
      <c r="MC60" s="442"/>
      <c r="MD60" s="442"/>
      <c r="ME60" s="442"/>
      <c r="MF60" s="442"/>
      <c r="MG60" s="442"/>
      <c r="MH60" s="442"/>
      <c r="MI60" s="442"/>
      <c r="MJ60" s="442"/>
      <c r="MK60" s="442"/>
      <c r="ML60" s="442"/>
      <c r="MM60" s="442"/>
      <c r="MN60" s="442"/>
      <c r="MO60" s="442"/>
      <c r="MP60" s="442"/>
      <c r="MQ60" s="442"/>
      <c r="MR60" s="442"/>
      <c r="MS60" s="442"/>
      <c r="MT60" s="442"/>
      <c r="MU60" s="442"/>
      <c r="MV60" s="442"/>
      <c r="MW60" s="442"/>
      <c r="MX60" s="442"/>
      <c r="MY60" s="442"/>
      <c r="MZ60" s="442"/>
      <c r="NA60" s="442"/>
      <c r="NB60" s="442"/>
      <c r="NC60" s="442"/>
      <c r="NT60" s="149" t="s">
        <v>22</v>
      </c>
      <c r="NU60" s="149">
        <v>-0.14000000000000001</v>
      </c>
      <c r="NV60" s="149">
        <v>2.14</v>
      </c>
      <c r="NX60" s="149">
        <f>NU60</f>
        <v>-0.14000000000000001</v>
      </c>
      <c r="NY60" s="149">
        <f>NX60</f>
        <v>-0.14000000000000001</v>
      </c>
      <c r="OA60" s="149">
        <f>NV60</f>
        <v>2.14</v>
      </c>
      <c r="OB60" s="149">
        <f>OA60</f>
        <v>2.14</v>
      </c>
      <c r="OD60" s="189">
        <v>-0.14000000000000001</v>
      </c>
      <c r="OE60" s="189">
        <v>2.14</v>
      </c>
      <c r="OF60" s="189"/>
      <c r="OG60" s="189">
        <f>OD60</f>
        <v>-0.14000000000000001</v>
      </c>
      <c r="OH60" s="189">
        <f>OG60</f>
        <v>-0.14000000000000001</v>
      </c>
      <c r="OI60" s="189"/>
      <c r="OJ60" s="189">
        <f>OE60</f>
        <v>2.14</v>
      </c>
      <c r="OK60" s="189">
        <f>OJ60</f>
        <v>2.14</v>
      </c>
    </row>
    <row r="61" spans="1:401" ht="14.1" customHeight="1" x14ac:dyDescent="0.2">
      <c r="A61" s="156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156"/>
      <c r="CP61" s="156"/>
      <c r="CQ61" s="156"/>
      <c r="CR61" s="156"/>
      <c r="CS61" s="156"/>
      <c r="CT61" s="156"/>
      <c r="CU61" s="156"/>
      <c r="CV61" s="156"/>
      <c r="CW61" s="156"/>
      <c r="CX61" s="156"/>
      <c r="CY61" s="156"/>
      <c r="CZ61" s="156"/>
      <c r="DA61" s="156"/>
      <c r="DB61" s="156"/>
      <c r="DC61" s="156"/>
      <c r="DD61" s="156"/>
      <c r="DE61" s="156"/>
      <c r="DF61" s="156"/>
      <c r="DG61" s="156"/>
      <c r="DH61" s="156"/>
      <c r="DI61" s="156"/>
      <c r="DJ61" s="156"/>
      <c r="DK61" s="156"/>
      <c r="DL61" s="156"/>
      <c r="DM61" s="156"/>
      <c r="DN61" s="156"/>
      <c r="DO61" s="156"/>
      <c r="DP61" s="156"/>
      <c r="DQ61" s="156"/>
      <c r="DR61" s="156"/>
      <c r="DS61" s="156"/>
      <c r="DT61" s="156"/>
      <c r="DU61" s="156"/>
      <c r="DV61" s="156"/>
      <c r="DW61" s="156"/>
      <c r="DX61" s="156"/>
      <c r="DY61" s="156"/>
      <c r="DZ61" s="156"/>
      <c r="EA61" s="156"/>
      <c r="EB61" s="156"/>
      <c r="EC61" s="156"/>
      <c r="ED61" s="156"/>
      <c r="EE61" s="156"/>
      <c r="EF61" s="156"/>
      <c r="EG61" s="156"/>
      <c r="EH61" s="156"/>
      <c r="EI61" s="156"/>
      <c r="EJ61" s="156"/>
      <c r="EK61" s="156"/>
      <c r="EL61" s="156"/>
      <c r="EM61" s="156"/>
      <c r="EN61" s="156"/>
      <c r="EO61" s="156"/>
      <c r="EP61" s="156"/>
      <c r="EQ61" s="156"/>
      <c r="ER61" s="156"/>
      <c r="ES61" s="156"/>
      <c r="ET61" s="156"/>
      <c r="EU61" s="156"/>
      <c r="EV61" s="156"/>
      <c r="EW61" s="156"/>
      <c r="EX61" s="156"/>
      <c r="EY61" s="156"/>
      <c r="EZ61" s="156"/>
      <c r="FA61" s="156"/>
      <c r="FB61" s="156"/>
      <c r="FC61" s="156"/>
      <c r="FD61" s="156"/>
      <c r="FE61" s="156"/>
      <c r="FF61" s="156"/>
      <c r="FG61" s="156"/>
      <c r="FH61" s="156"/>
      <c r="FI61" s="156"/>
      <c r="FJ61" s="156"/>
      <c r="FK61" s="156"/>
      <c r="FL61" s="156"/>
      <c r="FM61" s="156"/>
      <c r="FN61" s="156"/>
      <c r="FO61" s="156"/>
      <c r="FP61" s="156"/>
      <c r="FQ61" s="156"/>
      <c r="FR61" s="156"/>
      <c r="FS61" s="242"/>
      <c r="FT61" s="268"/>
      <c r="FU61" s="268"/>
      <c r="FV61" s="268"/>
      <c r="FW61" s="268"/>
      <c r="FX61" s="275"/>
      <c r="FY61" s="275"/>
      <c r="FZ61" s="275"/>
      <c r="GA61" s="275"/>
      <c r="GB61" s="275"/>
      <c r="GC61" s="275"/>
      <c r="GD61" s="275"/>
      <c r="GE61" s="275"/>
      <c r="GF61" s="275"/>
      <c r="GG61" s="275"/>
      <c r="GH61" s="275"/>
      <c r="GI61" s="275"/>
      <c r="GJ61" s="222"/>
      <c r="GK61" s="222"/>
      <c r="GL61" s="222"/>
      <c r="GM61" s="222"/>
      <c r="GN61" s="50"/>
      <c r="GO61" s="242"/>
      <c r="GP61" s="242"/>
      <c r="GQ61" s="242"/>
      <c r="GR61" s="242"/>
      <c r="GS61" s="50"/>
      <c r="GT61" s="50"/>
      <c r="GU61" s="50"/>
      <c r="GV61" s="50"/>
      <c r="GW61" s="50"/>
      <c r="GX61" s="50"/>
      <c r="GY61" s="50"/>
      <c r="GZ61" s="50"/>
      <c r="HA61" s="50"/>
      <c r="HB61" s="50"/>
      <c r="HC61" s="50"/>
      <c r="HD61" s="242"/>
      <c r="HE61" s="242"/>
      <c r="HF61" s="242"/>
      <c r="HG61" s="242"/>
      <c r="HH61" s="242"/>
      <c r="HI61" s="242"/>
      <c r="HJ61" s="242"/>
      <c r="HK61" s="242"/>
      <c r="HL61" s="242"/>
      <c r="HM61" s="442"/>
      <c r="HN61" s="442"/>
      <c r="HO61" s="442"/>
      <c r="HP61" s="31"/>
      <c r="HQ61" s="142"/>
      <c r="HR61" s="142"/>
      <c r="HS61" s="142"/>
      <c r="HT61" s="219"/>
      <c r="HU61" s="219"/>
      <c r="HV61" s="219"/>
      <c r="HW61" s="219"/>
      <c r="HX61" s="219"/>
      <c r="HY61" s="219"/>
      <c r="HZ61" s="219"/>
      <c r="IA61" s="219"/>
      <c r="IB61" s="219"/>
      <c r="IC61" s="104"/>
      <c r="ID61" s="187"/>
      <c r="IE61" s="32">
        <v>6</v>
      </c>
      <c r="IF61" s="442"/>
      <c r="IG61" s="32">
        <v>10</v>
      </c>
      <c r="IH61" s="190"/>
      <c r="II61" s="191">
        <f t="shared" ref="II61:II67" si="3">IF($H$4&gt;=3000,IG61,IE61)</f>
        <v>10</v>
      </c>
      <c r="IJ61" s="442"/>
      <c r="IK61" s="191">
        <f>IF(H6&gt;=3000,IG61,IE61)</f>
        <v>6</v>
      </c>
      <c r="IL61" s="188"/>
      <c r="IM61" s="188"/>
      <c r="IN61" s="141">
        <v>30</v>
      </c>
      <c r="IO61" s="188"/>
      <c r="IP61" s="13">
        <v>0.32500000000000001</v>
      </c>
      <c r="IQ61" s="13"/>
      <c r="IR61" s="442"/>
      <c r="IS61" s="442">
        <v>800</v>
      </c>
      <c r="IT61" s="442"/>
      <c r="IU61" s="9">
        <v>400</v>
      </c>
      <c r="IV61" s="442"/>
      <c r="IW61" s="442">
        <v>450</v>
      </c>
      <c r="IX61" s="442"/>
      <c r="IY61" s="442"/>
      <c r="IZ61" s="442"/>
      <c r="JA61" s="442"/>
      <c r="JB61" s="442"/>
      <c r="JC61" s="442"/>
      <c r="JD61" s="442"/>
      <c r="JE61" s="442"/>
      <c r="JF61" s="442"/>
      <c r="JG61" s="442"/>
      <c r="JH61" s="442"/>
      <c r="JI61" s="442"/>
      <c r="JJ61" s="442"/>
      <c r="JK61" s="442"/>
      <c r="JL61" s="442"/>
      <c r="JM61" s="442"/>
      <c r="JN61" s="442"/>
      <c r="JO61" s="442"/>
      <c r="JP61" s="442"/>
      <c r="JQ61" s="442"/>
      <c r="JR61" s="442"/>
      <c r="JS61" s="442"/>
      <c r="JT61" s="442"/>
      <c r="JU61" s="442"/>
      <c r="JV61" s="442"/>
      <c r="JW61" s="442"/>
      <c r="JX61" s="442"/>
      <c r="JY61" s="442"/>
      <c r="JZ61" s="442"/>
      <c r="KA61" s="442"/>
      <c r="KB61" s="442"/>
      <c r="KC61" s="442"/>
      <c r="KD61" s="442"/>
      <c r="KE61" s="442"/>
      <c r="KF61" s="442"/>
      <c r="KG61" s="442"/>
      <c r="KH61" s="442"/>
      <c r="KI61" s="442"/>
      <c r="KJ61" s="442"/>
      <c r="KK61" s="442"/>
      <c r="KL61" s="442"/>
      <c r="KM61" s="442"/>
      <c r="KN61" s="442"/>
      <c r="KO61" s="442"/>
      <c r="KP61" s="442"/>
      <c r="KQ61" s="442"/>
      <c r="KR61" s="442"/>
      <c r="KS61" s="442"/>
      <c r="KT61" s="442"/>
      <c r="KU61" s="442"/>
      <c r="KV61" s="442"/>
      <c r="KW61" s="442"/>
      <c r="KX61" s="442"/>
      <c r="KY61" s="442"/>
      <c r="KZ61" s="442"/>
      <c r="LA61" s="442"/>
      <c r="LB61" s="442"/>
      <c r="LC61" s="442"/>
      <c r="LD61" s="442"/>
      <c r="LE61" s="442"/>
      <c r="LF61" s="442"/>
      <c r="LG61" s="442"/>
      <c r="LH61" s="442"/>
      <c r="LI61" s="442"/>
      <c r="LJ61" s="442"/>
      <c r="LK61" s="442"/>
      <c r="LL61" s="442"/>
      <c r="LM61" s="442"/>
      <c r="LN61" s="442"/>
      <c r="LO61" s="442"/>
      <c r="LP61" s="442"/>
      <c r="LQ61" s="442"/>
      <c r="LR61" s="442"/>
      <c r="LS61" s="442"/>
      <c r="LT61" s="442"/>
      <c r="LU61" s="442"/>
      <c r="LV61" s="442"/>
      <c r="LW61" s="442"/>
      <c r="LX61" s="442"/>
      <c r="LY61" s="442"/>
      <c r="LZ61" s="442"/>
      <c r="MA61" s="442"/>
      <c r="MB61" s="442"/>
      <c r="MC61" s="442"/>
      <c r="MD61" s="442"/>
      <c r="ME61" s="442"/>
      <c r="MF61" s="442"/>
      <c r="MG61" s="442"/>
      <c r="MH61" s="442"/>
      <c r="MI61" s="442"/>
      <c r="MJ61" s="442"/>
      <c r="MK61" s="442"/>
      <c r="ML61" s="442"/>
      <c r="MM61" s="442"/>
      <c r="MN61" s="442"/>
      <c r="MO61" s="442"/>
      <c r="MP61" s="442"/>
      <c r="MQ61" s="442"/>
      <c r="MR61" s="442"/>
      <c r="MS61" s="442"/>
      <c r="MT61" s="442"/>
      <c r="MU61" s="442"/>
      <c r="MV61" s="442"/>
      <c r="MW61" s="442"/>
      <c r="MX61" s="442"/>
      <c r="MY61" s="442"/>
      <c r="MZ61" s="442"/>
      <c r="NA61" s="442"/>
      <c r="NB61" s="442"/>
      <c r="NC61" s="442"/>
      <c r="NT61" s="149" t="s">
        <v>23</v>
      </c>
      <c r="NU61" s="149">
        <f>-(W17-H30+2.5)/100</f>
        <v>-9.5000000000000001E-2</v>
      </c>
      <c r="NV61" s="149">
        <f>NU61</f>
        <v>-9.5000000000000001E-2</v>
      </c>
      <c r="NX61" s="149">
        <f>NU61</f>
        <v>-9.5000000000000001E-2</v>
      </c>
      <c r="NY61" s="149">
        <f>NX61+0.04</f>
        <v>-5.5E-2</v>
      </c>
      <c r="OA61" s="149">
        <f>NV61</f>
        <v>-9.5000000000000001E-2</v>
      </c>
      <c r="OB61" s="149">
        <f>OA61+0.04</f>
        <v>-5.5E-2</v>
      </c>
      <c r="OD61" s="189">
        <f>-(H28-H30+2.5-1.5)/100</f>
        <v>-0.08</v>
      </c>
      <c r="OE61" s="189">
        <f>OD61</f>
        <v>-0.08</v>
      </c>
      <c r="OF61" s="189"/>
      <c r="OG61" s="189">
        <f>OD61</f>
        <v>-0.08</v>
      </c>
      <c r="OH61" s="189">
        <f>OG61+0.03</f>
        <v>-0.05</v>
      </c>
      <c r="OI61" s="189"/>
      <c r="OJ61" s="189">
        <f>OE61</f>
        <v>-0.08</v>
      </c>
      <c r="OK61" s="189">
        <f>OJ61+0.03</f>
        <v>-0.05</v>
      </c>
    </row>
    <row r="62" spans="1:401" ht="14.1" customHeight="1" x14ac:dyDescent="0.2">
      <c r="A62" s="156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156"/>
      <c r="R62" s="156"/>
      <c r="S62" s="156"/>
      <c r="T62" s="156"/>
      <c r="U62" s="156"/>
      <c r="V62" s="156"/>
      <c r="W62" s="156"/>
      <c r="X62" s="156"/>
      <c r="Y62" s="156"/>
      <c r="Z62" s="156"/>
      <c r="AA62" s="156"/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156"/>
      <c r="CP62" s="50"/>
      <c r="CQ62" s="237"/>
      <c r="CR62" s="237"/>
      <c r="CS62" s="237"/>
      <c r="CT62" s="237"/>
      <c r="CU62" s="237"/>
      <c r="CV62" s="50"/>
      <c r="CW62" s="50"/>
      <c r="CX62" s="156"/>
      <c r="CY62" s="156"/>
      <c r="CZ62" s="156"/>
      <c r="DA62" s="156"/>
      <c r="DB62" s="156"/>
      <c r="DC62" s="156"/>
      <c r="DD62" s="156"/>
      <c r="DE62" s="156"/>
      <c r="DF62" s="156"/>
      <c r="DG62" s="156"/>
      <c r="DH62" s="156"/>
      <c r="DI62" s="156"/>
      <c r="DJ62" s="156"/>
      <c r="DK62" s="156"/>
      <c r="DL62" s="156"/>
      <c r="DM62" s="156"/>
      <c r="DN62" s="156"/>
      <c r="DO62" s="156"/>
      <c r="DP62" s="156"/>
      <c r="DQ62" s="156"/>
      <c r="DR62" s="156"/>
      <c r="DS62" s="156"/>
      <c r="DT62" s="156"/>
      <c r="DU62" s="156"/>
      <c r="DV62" s="156"/>
      <c r="DW62" s="156"/>
      <c r="DX62" s="156"/>
      <c r="DY62" s="156"/>
      <c r="DZ62" s="156"/>
      <c r="EA62" s="156"/>
      <c r="EB62" s="156"/>
      <c r="EC62" s="156"/>
      <c r="ED62" s="156"/>
      <c r="EE62" s="156"/>
      <c r="EF62" s="156"/>
      <c r="EG62" s="156"/>
      <c r="EH62" s="156"/>
      <c r="EI62" s="156"/>
      <c r="EJ62" s="156"/>
      <c r="EK62" s="156"/>
      <c r="EL62" s="156"/>
      <c r="EM62" s="156"/>
      <c r="EN62" s="156"/>
      <c r="EO62" s="156"/>
      <c r="EP62" s="156"/>
      <c r="EQ62" s="156"/>
      <c r="ER62" s="156"/>
      <c r="ES62" s="156"/>
      <c r="ET62" s="156"/>
      <c r="EU62" s="156"/>
      <c r="EV62" s="156"/>
      <c r="EW62" s="156"/>
      <c r="EX62" s="156"/>
      <c r="EY62" s="156"/>
      <c r="EZ62" s="156"/>
      <c r="FA62" s="156"/>
      <c r="FB62" s="156"/>
      <c r="FC62" s="156"/>
      <c r="FD62" s="156"/>
      <c r="FE62" s="156"/>
      <c r="FF62" s="156"/>
      <c r="FG62" s="156"/>
      <c r="FH62" s="156"/>
      <c r="FI62" s="156"/>
      <c r="FJ62" s="156"/>
      <c r="FK62" s="156"/>
      <c r="FL62" s="156"/>
      <c r="FM62" s="156"/>
      <c r="FN62" s="156"/>
      <c r="FO62" s="50"/>
      <c r="FP62" s="50"/>
      <c r="FQ62" s="50"/>
      <c r="FR62" s="50"/>
      <c r="FS62" s="242"/>
      <c r="FT62" s="268"/>
      <c r="FU62" s="268"/>
      <c r="FV62" s="268"/>
      <c r="FW62" s="268"/>
      <c r="FX62" s="268"/>
      <c r="FY62" s="268"/>
      <c r="FZ62" s="268"/>
      <c r="GA62" s="268"/>
      <c r="GB62" s="268"/>
      <c r="GC62" s="268"/>
      <c r="GD62" s="268"/>
      <c r="GE62" s="268"/>
      <c r="GF62" s="268"/>
      <c r="GG62" s="268"/>
      <c r="GH62" s="268"/>
      <c r="GI62" s="268"/>
      <c r="GJ62" s="268"/>
      <c r="GK62" s="268"/>
      <c r="GL62" s="268"/>
      <c r="GM62" s="268"/>
      <c r="GN62" s="50"/>
      <c r="GO62" s="242"/>
      <c r="GP62" s="281"/>
      <c r="GQ62" s="281"/>
      <c r="GR62" s="242"/>
      <c r="GS62" s="50"/>
      <c r="GT62" s="50"/>
      <c r="GU62" s="50"/>
      <c r="GV62" s="50"/>
      <c r="GW62" s="50"/>
      <c r="GX62" s="50"/>
      <c r="GY62" s="50"/>
      <c r="GZ62" s="50"/>
      <c r="HA62" s="50"/>
      <c r="HB62" s="50"/>
      <c r="HC62" s="50"/>
      <c r="HD62" s="242"/>
      <c r="HE62" s="242"/>
      <c r="HF62" s="242"/>
      <c r="HG62" s="242"/>
      <c r="HH62" s="242"/>
      <c r="HI62" s="242"/>
      <c r="HJ62" s="242"/>
      <c r="HK62" s="242"/>
      <c r="HL62" s="242"/>
      <c r="HM62" s="442"/>
      <c r="HN62" s="442"/>
      <c r="HO62" s="442"/>
      <c r="HP62" s="31"/>
      <c r="HQ62" s="142"/>
      <c r="HR62" s="142"/>
      <c r="HS62" s="142"/>
      <c r="HT62" s="219"/>
      <c r="HU62" s="219"/>
      <c r="HV62" s="219"/>
      <c r="HW62" s="219"/>
      <c r="HX62" s="219"/>
      <c r="HY62" s="219"/>
      <c r="HZ62" s="219"/>
      <c r="IA62" s="219"/>
      <c r="IB62" s="219"/>
      <c r="IC62" s="104"/>
      <c r="ID62" s="187"/>
      <c r="IE62" s="32">
        <v>9</v>
      </c>
      <c r="IF62" s="442"/>
      <c r="IG62" s="32">
        <v>12</v>
      </c>
      <c r="IH62" s="190"/>
      <c r="II62" s="191">
        <f t="shared" si="3"/>
        <v>12</v>
      </c>
      <c r="IJ62" s="442"/>
      <c r="IK62" s="191">
        <f>IF(H6&gt;=3000,IG62,IE62)</f>
        <v>9</v>
      </c>
      <c r="IL62" s="188"/>
      <c r="IM62" s="188"/>
      <c r="IN62" s="188"/>
      <c r="IO62" s="188"/>
      <c r="IP62" s="13">
        <v>0.35</v>
      </c>
      <c r="IQ62" s="13"/>
      <c r="IR62" s="442"/>
      <c r="IS62" s="442"/>
      <c r="IT62" s="442"/>
      <c r="IU62" s="9">
        <v>420</v>
      </c>
      <c r="IV62" s="442"/>
      <c r="IW62" s="442">
        <v>500</v>
      </c>
      <c r="IX62" s="442"/>
      <c r="IY62" s="442"/>
      <c r="IZ62" s="442"/>
      <c r="JA62" s="442"/>
      <c r="JB62" s="442"/>
      <c r="JC62" s="442"/>
      <c r="JD62" s="442"/>
      <c r="JE62" s="442"/>
      <c r="JF62" s="442"/>
      <c r="JG62" s="442"/>
      <c r="JH62" s="442"/>
      <c r="JI62" s="442"/>
      <c r="JJ62" s="442"/>
      <c r="JK62" s="442"/>
      <c r="JL62" s="442"/>
      <c r="JM62" s="442"/>
      <c r="JN62" s="442"/>
      <c r="JO62" s="442"/>
      <c r="JP62" s="442"/>
      <c r="JQ62" s="442"/>
      <c r="JR62" s="442"/>
      <c r="JS62" s="442"/>
      <c r="JT62" s="442"/>
      <c r="JU62" s="442"/>
      <c r="JV62" s="442"/>
      <c r="JW62" s="442"/>
      <c r="JX62" s="442"/>
      <c r="JY62" s="442"/>
      <c r="JZ62" s="442"/>
      <c r="KA62" s="442"/>
      <c r="KB62" s="442"/>
      <c r="KC62" s="442"/>
      <c r="KD62" s="442"/>
      <c r="KE62" s="442"/>
      <c r="KF62" s="442"/>
      <c r="KG62" s="442"/>
      <c r="KH62" s="442"/>
      <c r="KI62" s="442"/>
      <c r="KJ62" s="442"/>
      <c r="KK62" s="442"/>
      <c r="KL62" s="442"/>
      <c r="KM62" s="442"/>
      <c r="KN62" s="442"/>
      <c r="KO62" s="442"/>
      <c r="KP62" s="442"/>
      <c r="KQ62" s="442"/>
      <c r="KR62" s="442"/>
      <c r="KS62" s="442"/>
      <c r="KT62" s="442"/>
      <c r="KU62" s="442"/>
      <c r="KV62" s="442"/>
      <c r="KW62" s="442"/>
      <c r="KX62" s="442"/>
      <c r="KY62" s="442"/>
      <c r="KZ62" s="442"/>
      <c r="LA62" s="442"/>
      <c r="LB62" s="442"/>
      <c r="LC62" s="442"/>
      <c r="LD62" s="442"/>
      <c r="LE62" s="442"/>
      <c r="LF62" s="442"/>
      <c r="LG62" s="442"/>
      <c r="LH62" s="442"/>
      <c r="LI62" s="442"/>
      <c r="LJ62" s="442"/>
      <c r="LK62" s="442"/>
      <c r="LL62" s="442"/>
      <c r="LM62" s="442"/>
      <c r="LN62" s="442"/>
      <c r="LO62" s="442"/>
      <c r="LP62" s="442"/>
      <c r="LQ62" s="442"/>
      <c r="LR62" s="442"/>
      <c r="LS62" s="442"/>
      <c r="LT62" s="442"/>
      <c r="LU62" s="442"/>
      <c r="LV62" s="442"/>
      <c r="LW62" s="442"/>
      <c r="LX62" s="442"/>
      <c r="LY62" s="442"/>
      <c r="LZ62" s="442"/>
      <c r="MA62" s="442"/>
      <c r="MB62" s="442"/>
      <c r="MC62" s="442"/>
      <c r="MD62" s="442"/>
      <c r="ME62" s="442"/>
      <c r="MF62" s="442"/>
      <c r="MG62" s="442"/>
      <c r="MH62" s="442"/>
      <c r="MI62" s="442"/>
      <c r="MJ62" s="442"/>
      <c r="MK62" s="442"/>
      <c r="ML62" s="442"/>
      <c r="MM62" s="442"/>
      <c r="MN62" s="442"/>
      <c r="MO62" s="442"/>
      <c r="MP62" s="442"/>
      <c r="MQ62" s="442"/>
      <c r="MR62" s="442"/>
      <c r="MS62" s="442"/>
      <c r="MT62" s="442"/>
      <c r="MU62" s="442"/>
      <c r="MV62" s="442"/>
      <c r="MW62" s="442"/>
      <c r="MX62" s="442"/>
      <c r="MY62" s="442"/>
      <c r="MZ62" s="442"/>
      <c r="NA62" s="442"/>
      <c r="NB62" s="442"/>
      <c r="NC62" s="442"/>
      <c r="NT62" s="149" t="s">
        <v>153</v>
      </c>
    </row>
    <row r="63" spans="1:401" ht="14.1" customHeight="1" x14ac:dyDescent="0.2">
      <c r="A63" s="156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156"/>
      <c r="R63" s="156"/>
      <c r="S63" s="156"/>
      <c r="T63" s="156"/>
      <c r="U63" s="156"/>
      <c r="V63" s="156"/>
      <c r="W63" s="156"/>
      <c r="X63" s="156"/>
      <c r="Y63" s="156"/>
      <c r="Z63" s="156"/>
      <c r="AA63" s="156"/>
      <c r="AB63" s="156"/>
      <c r="AC63" s="156"/>
      <c r="AD63" s="156"/>
      <c r="AE63" s="156"/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156"/>
      <c r="CP63" s="50"/>
      <c r="CQ63" s="221"/>
      <c r="CR63" s="50"/>
      <c r="CS63" s="50"/>
      <c r="CT63" s="50"/>
      <c r="CU63" s="50"/>
      <c r="CV63" s="50"/>
      <c r="CW63" s="50"/>
      <c r="CX63" s="156"/>
      <c r="CY63" s="156"/>
      <c r="CZ63" s="156"/>
      <c r="DA63" s="156"/>
      <c r="DB63" s="156"/>
      <c r="DC63" s="156"/>
      <c r="DD63" s="156"/>
      <c r="DE63" s="156"/>
      <c r="DF63" s="156"/>
      <c r="DG63" s="156"/>
      <c r="DH63" s="156"/>
      <c r="DI63" s="156"/>
      <c r="DJ63" s="156"/>
      <c r="DK63" s="156"/>
      <c r="DL63" s="156"/>
      <c r="DM63" s="156"/>
      <c r="DN63" s="156"/>
      <c r="DO63" s="156"/>
      <c r="DP63" s="156"/>
      <c r="DQ63" s="156"/>
      <c r="DR63" s="156"/>
      <c r="DS63" s="156"/>
      <c r="DT63" s="156"/>
      <c r="DU63" s="156"/>
      <c r="DV63" s="156"/>
      <c r="DW63" s="156"/>
      <c r="DX63" s="156"/>
      <c r="DY63" s="156"/>
      <c r="DZ63" s="156"/>
      <c r="EA63" s="156"/>
      <c r="EB63" s="156"/>
      <c r="EC63" s="156"/>
      <c r="ED63" s="156"/>
      <c r="EE63" s="156"/>
      <c r="EF63" s="156"/>
      <c r="EG63" s="156"/>
      <c r="EH63" s="156"/>
      <c r="EI63" s="156"/>
      <c r="EJ63" s="156"/>
      <c r="EK63" s="156"/>
      <c r="EL63" s="156"/>
      <c r="EM63" s="156"/>
      <c r="EN63" s="156"/>
      <c r="EO63" s="156"/>
      <c r="EP63" s="156"/>
      <c r="EQ63" s="156"/>
      <c r="ER63" s="156"/>
      <c r="ES63" s="156"/>
      <c r="ET63" s="156"/>
      <c r="EU63" s="156"/>
      <c r="EV63" s="156"/>
      <c r="EW63" s="156"/>
      <c r="EX63" s="156"/>
      <c r="EY63" s="156"/>
      <c r="EZ63" s="156"/>
      <c r="FA63" s="156"/>
      <c r="FB63" s="156"/>
      <c r="FC63" s="156"/>
      <c r="FD63" s="156"/>
      <c r="FE63" s="156"/>
      <c r="FF63" s="156"/>
      <c r="FG63" s="156"/>
      <c r="FH63" s="156"/>
      <c r="FI63" s="156"/>
      <c r="FJ63" s="156"/>
      <c r="FK63" s="156"/>
      <c r="FL63" s="156"/>
      <c r="FM63" s="156"/>
      <c r="FN63" s="156"/>
      <c r="FO63" s="50"/>
      <c r="FP63" s="50"/>
      <c r="FQ63" s="50"/>
      <c r="FR63" s="50"/>
      <c r="FS63" s="242"/>
      <c r="FT63" s="268"/>
      <c r="FU63" s="268"/>
      <c r="FV63" s="268"/>
      <c r="FW63" s="268"/>
      <c r="FX63" s="279"/>
      <c r="FY63" s="279"/>
      <c r="FZ63" s="279"/>
      <c r="GA63" s="279"/>
      <c r="GB63" s="279"/>
      <c r="GC63" s="279"/>
      <c r="GD63" s="279"/>
      <c r="GE63" s="279"/>
      <c r="GF63" s="279"/>
      <c r="GG63" s="279"/>
      <c r="GH63" s="279"/>
      <c r="GI63" s="279"/>
      <c r="GJ63" s="268"/>
      <c r="GK63" s="268"/>
      <c r="GL63" s="268"/>
      <c r="GM63" s="268"/>
      <c r="GN63" s="50"/>
      <c r="GO63" s="242"/>
      <c r="GP63" s="242"/>
      <c r="GQ63" s="242"/>
      <c r="GR63" s="242"/>
      <c r="GS63" s="50"/>
      <c r="GT63" s="50"/>
      <c r="GU63" s="50"/>
      <c r="GV63" s="50"/>
      <c r="GW63" s="50"/>
      <c r="GX63" s="50"/>
      <c r="GY63" s="50"/>
      <c r="GZ63" s="50"/>
      <c r="HA63" s="50"/>
      <c r="HB63" s="50"/>
      <c r="HC63" s="50"/>
      <c r="HD63" s="242"/>
      <c r="HE63" s="242"/>
      <c r="HF63" s="242"/>
      <c r="HG63" s="242"/>
      <c r="HH63" s="242"/>
      <c r="HI63" s="242"/>
      <c r="HJ63" s="242"/>
      <c r="HK63" s="242"/>
      <c r="HL63" s="242"/>
      <c r="HM63" s="442"/>
      <c r="HN63" s="442"/>
      <c r="HO63" s="442"/>
      <c r="HP63" s="31"/>
      <c r="HQ63" s="142"/>
      <c r="HR63" s="142"/>
      <c r="HS63" s="142"/>
      <c r="HT63" s="219"/>
      <c r="HU63" s="219"/>
      <c r="HV63" s="219"/>
      <c r="HW63" s="219"/>
      <c r="HX63" s="219"/>
      <c r="HY63" s="219"/>
      <c r="HZ63" s="219"/>
      <c r="IA63" s="219"/>
      <c r="IB63" s="219"/>
      <c r="IC63" s="104"/>
      <c r="ID63" s="187"/>
      <c r="IE63" s="32">
        <v>12</v>
      </c>
      <c r="IF63" s="442"/>
      <c r="IG63" s="32">
        <v>16</v>
      </c>
      <c r="IH63" s="190"/>
      <c r="II63" s="191">
        <f t="shared" si="3"/>
        <v>16</v>
      </c>
      <c r="IJ63" s="442"/>
      <c r="IK63" s="191">
        <f>IF(H6&gt;=3000,IG63,IE63)</f>
        <v>12</v>
      </c>
      <c r="IL63" s="188"/>
      <c r="IM63" s="188"/>
      <c r="IN63" s="188"/>
      <c r="IO63" s="188"/>
      <c r="IP63" s="13">
        <v>0.375</v>
      </c>
      <c r="IQ63" s="13"/>
      <c r="IR63" s="442"/>
      <c r="IS63" s="442"/>
      <c r="IT63" s="442"/>
      <c r="IU63" s="9">
        <v>450</v>
      </c>
      <c r="IV63" s="442"/>
      <c r="IW63" s="442"/>
      <c r="IX63" s="442"/>
      <c r="IY63" s="442"/>
      <c r="IZ63" s="442"/>
      <c r="JA63" s="442"/>
      <c r="JB63" s="442"/>
      <c r="JC63" s="442"/>
      <c r="JD63" s="442"/>
      <c r="JE63" s="442"/>
      <c r="JF63" s="442"/>
      <c r="JG63" s="442"/>
      <c r="JH63" s="442"/>
      <c r="JI63" s="442"/>
      <c r="JJ63" s="442"/>
      <c r="JK63" s="442"/>
      <c r="JL63" s="442"/>
      <c r="JM63" s="442"/>
      <c r="JN63" s="442"/>
      <c r="JO63" s="442"/>
      <c r="JP63" s="442"/>
      <c r="JQ63" s="442"/>
      <c r="JR63" s="442"/>
      <c r="JS63" s="442"/>
      <c r="JT63" s="442"/>
      <c r="JU63" s="442"/>
      <c r="JV63" s="442"/>
      <c r="JW63" s="442"/>
      <c r="JX63" s="442"/>
      <c r="JY63" s="442"/>
      <c r="JZ63" s="442"/>
      <c r="KA63" s="442"/>
      <c r="KB63" s="442"/>
      <c r="KC63" s="442"/>
      <c r="KD63" s="442"/>
      <c r="KE63" s="442"/>
      <c r="KF63" s="442"/>
      <c r="KG63" s="442"/>
      <c r="KH63" s="442"/>
      <c r="KI63" s="442"/>
      <c r="KJ63" s="442"/>
      <c r="KK63" s="442"/>
      <c r="KL63" s="442"/>
      <c r="KM63" s="442"/>
      <c r="KN63" s="442"/>
      <c r="KO63" s="442"/>
      <c r="KP63" s="442"/>
      <c r="KQ63" s="442"/>
      <c r="KR63" s="442"/>
      <c r="KS63" s="442"/>
      <c r="KT63" s="442"/>
      <c r="KU63" s="442"/>
      <c r="KV63" s="442"/>
      <c r="KW63" s="442"/>
      <c r="KX63" s="442"/>
      <c r="KY63" s="442"/>
      <c r="KZ63" s="442"/>
      <c r="LA63" s="442"/>
      <c r="LB63" s="442"/>
      <c r="LC63" s="442"/>
      <c r="LD63" s="442"/>
      <c r="LE63" s="442"/>
      <c r="LF63" s="442"/>
      <c r="LG63" s="442"/>
      <c r="LH63" s="442"/>
      <c r="LI63" s="442"/>
      <c r="LJ63" s="442"/>
      <c r="LK63" s="442"/>
      <c r="LL63" s="442"/>
      <c r="LM63" s="442"/>
      <c r="LN63" s="442"/>
      <c r="LO63" s="442"/>
      <c r="LP63" s="442"/>
      <c r="LQ63" s="442"/>
      <c r="LR63" s="442"/>
      <c r="LS63" s="442"/>
      <c r="LT63" s="442"/>
      <c r="LU63" s="442"/>
      <c r="LV63" s="442"/>
      <c r="LW63" s="442"/>
      <c r="LX63" s="442"/>
      <c r="LY63" s="442"/>
      <c r="LZ63" s="442"/>
      <c r="MA63" s="442"/>
      <c r="MB63" s="442"/>
      <c r="MC63" s="442"/>
      <c r="MD63" s="442"/>
      <c r="ME63" s="442"/>
      <c r="MF63" s="442"/>
      <c r="MG63" s="442"/>
      <c r="MH63" s="442"/>
      <c r="MI63" s="442"/>
      <c r="MJ63" s="442"/>
      <c r="MK63" s="442"/>
      <c r="ML63" s="442"/>
      <c r="MM63" s="442"/>
      <c r="MN63" s="442"/>
      <c r="MO63" s="442"/>
      <c r="MP63" s="442"/>
      <c r="MQ63" s="442"/>
      <c r="MR63" s="442"/>
      <c r="MS63" s="442"/>
      <c r="MT63" s="442"/>
      <c r="MU63" s="442"/>
      <c r="MV63" s="442"/>
      <c r="MW63" s="442"/>
      <c r="MX63" s="442"/>
      <c r="MY63" s="442"/>
      <c r="MZ63" s="442"/>
      <c r="NA63" s="442"/>
      <c r="NB63" s="442"/>
      <c r="NC63" s="442"/>
      <c r="NT63" s="149" t="s">
        <v>22</v>
      </c>
      <c r="NU63" s="149">
        <v>-0.17</v>
      </c>
      <c r="NV63" s="149">
        <v>0.5</v>
      </c>
      <c r="NX63" s="149">
        <f>NU63</f>
        <v>-0.17</v>
      </c>
      <c r="NY63" s="149">
        <f>NU63</f>
        <v>-0.17</v>
      </c>
      <c r="OA63" s="189"/>
      <c r="OD63" s="189">
        <v>-0.17</v>
      </c>
      <c r="OE63" s="189">
        <v>0.5</v>
      </c>
      <c r="OF63" s="189"/>
      <c r="OG63" s="189">
        <f>OD63</f>
        <v>-0.17</v>
      </c>
      <c r="OH63" s="189">
        <f>OD63</f>
        <v>-0.17</v>
      </c>
      <c r="OJ63" s="149">
        <v>0.2</v>
      </c>
      <c r="OK63" s="149">
        <v>0.2</v>
      </c>
    </row>
    <row r="64" spans="1:401" ht="14.1" customHeight="1" x14ac:dyDescent="0.2">
      <c r="A64" s="156"/>
      <c r="B64" s="236"/>
      <c r="C64" s="68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156"/>
      <c r="CP64" s="50"/>
      <c r="CQ64" s="221"/>
      <c r="CR64" s="50"/>
      <c r="CS64" s="50"/>
      <c r="CT64" s="50"/>
      <c r="CU64" s="50"/>
      <c r="CV64" s="50"/>
      <c r="CW64" s="50"/>
      <c r="CX64" s="156"/>
      <c r="CY64" s="156"/>
      <c r="CZ64" s="156"/>
      <c r="DA64" s="156"/>
      <c r="DB64" s="156"/>
      <c r="DC64" s="156"/>
      <c r="DD64" s="156"/>
      <c r="DE64" s="156"/>
      <c r="DF64" s="156"/>
      <c r="DG64" s="156"/>
      <c r="DH64" s="156"/>
      <c r="DI64" s="156"/>
      <c r="DJ64" s="156"/>
      <c r="DK64" s="156"/>
      <c r="DL64" s="156"/>
      <c r="DM64" s="156"/>
      <c r="DN64" s="156"/>
      <c r="DO64" s="156"/>
      <c r="DP64" s="156"/>
      <c r="DQ64" s="156"/>
      <c r="DR64" s="156"/>
      <c r="DS64" s="156"/>
      <c r="DT64" s="156"/>
      <c r="DU64" s="156"/>
      <c r="DV64" s="156"/>
      <c r="DW64" s="156"/>
      <c r="DX64" s="156"/>
      <c r="DY64" s="156"/>
      <c r="DZ64" s="156"/>
      <c r="EA64" s="156"/>
      <c r="EB64" s="156"/>
      <c r="EC64" s="156"/>
      <c r="ED64" s="156"/>
      <c r="EE64" s="156"/>
      <c r="EF64" s="156"/>
      <c r="EG64" s="156"/>
      <c r="EH64" s="156"/>
      <c r="EI64" s="156"/>
      <c r="EJ64" s="156"/>
      <c r="EK64" s="156"/>
      <c r="EL64" s="156"/>
      <c r="EM64" s="156"/>
      <c r="EN64" s="156"/>
      <c r="EO64" s="156"/>
      <c r="EP64" s="156"/>
      <c r="EQ64" s="156"/>
      <c r="ER64" s="156"/>
      <c r="ES64" s="156"/>
      <c r="ET64" s="156"/>
      <c r="EU64" s="156"/>
      <c r="EV64" s="156"/>
      <c r="EW64" s="156"/>
      <c r="EX64" s="156"/>
      <c r="EY64" s="156"/>
      <c r="EZ64" s="156"/>
      <c r="FA64" s="156"/>
      <c r="FB64" s="156"/>
      <c r="FC64" s="156"/>
      <c r="FD64" s="156"/>
      <c r="FE64" s="156"/>
      <c r="FF64" s="156"/>
      <c r="FG64" s="156"/>
      <c r="FH64" s="156"/>
      <c r="FI64" s="156"/>
      <c r="FJ64" s="156"/>
      <c r="FK64" s="156"/>
      <c r="FL64" s="156"/>
      <c r="FM64" s="156"/>
      <c r="FN64" s="156"/>
      <c r="FO64" s="50"/>
      <c r="FP64" s="50"/>
      <c r="FQ64" s="50"/>
      <c r="FR64" s="50"/>
      <c r="FS64" s="242"/>
      <c r="FT64" s="268"/>
      <c r="FU64" s="268"/>
      <c r="FV64" s="268"/>
      <c r="FW64" s="268"/>
      <c r="FX64" s="286"/>
      <c r="FY64" s="286"/>
      <c r="FZ64" s="286"/>
      <c r="GA64" s="286"/>
      <c r="GB64" s="286"/>
      <c r="GC64" s="286"/>
      <c r="GD64" s="286"/>
      <c r="GE64" s="286"/>
      <c r="GF64" s="286"/>
      <c r="GG64" s="286"/>
      <c r="GH64" s="286"/>
      <c r="GI64" s="286"/>
      <c r="GJ64" s="268"/>
      <c r="GK64" s="268"/>
      <c r="GL64" s="268"/>
      <c r="GM64" s="268"/>
      <c r="GN64" s="50"/>
      <c r="GO64" s="242"/>
      <c r="GP64" s="281"/>
      <c r="GQ64" s="281"/>
      <c r="GR64" s="242"/>
      <c r="GS64" s="50"/>
      <c r="GT64" s="50"/>
      <c r="GU64" s="50"/>
      <c r="GV64" s="50"/>
      <c r="GW64" s="50"/>
      <c r="GX64" s="50"/>
      <c r="GY64" s="50"/>
      <c r="GZ64" s="50"/>
      <c r="HA64" s="50"/>
      <c r="HB64" s="50"/>
      <c r="HC64" s="50"/>
      <c r="HD64" s="242"/>
      <c r="HE64" s="242"/>
      <c r="HF64" s="242"/>
      <c r="HG64" s="242"/>
      <c r="HH64" s="242"/>
      <c r="HI64" s="242"/>
      <c r="HJ64" s="242"/>
      <c r="HK64" s="242"/>
      <c r="HL64" s="242"/>
      <c r="HM64" s="442"/>
      <c r="HN64" s="442"/>
      <c r="HO64" s="442"/>
      <c r="HP64" s="31"/>
      <c r="HQ64" s="142"/>
      <c r="HR64" s="142"/>
      <c r="HS64" s="142"/>
      <c r="HT64" s="219"/>
      <c r="HU64" s="219"/>
      <c r="HV64" s="219"/>
      <c r="HW64" s="219"/>
      <c r="HX64" s="219"/>
      <c r="HY64" s="219"/>
      <c r="HZ64" s="219"/>
      <c r="IA64" s="219"/>
      <c r="IB64" s="219"/>
      <c r="IC64" s="104"/>
      <c r="ID64" s="187"/>
      <c r="IE64" s="32">
        <v>15</v>
      </c>
      <c r="IF64" s="442"/>
      <c r="IG64" s="32">
        <v>20</v>
      </c>
      <c r="IH64" s="190"/>
      <c r="II64" s="191">
        <f t="shared" si="3"/>
        <v>20</v>
      </c>
      <c r="IJ64" s="442"/>
      <c r="IK64" s="191">
        <f>IF(H6&gt;=3000,IG64,IE64)</f>
        <v>15</v>
      </c>
      <c r="IL64" s="188"/>
      <c r="IM64" s="188"/>
      <c r="IN64" s="188"/>
      <c r="IO64" s="188"/>
      <c r="IP64" s="13">
        <v>0.4</v>
      </c>
      <c r="IQ64" s="13"/>
      <c r="IR64" s="442"/>
      <c r="IS64" s="442"/>
      <c r="IT64" s="442"/>
      <c r="IU64" s="442"/>
      <c r="IV64" s="442"/>
      <c r="IW64" s="442"/>
      <c r="IX64" s="442"/>
      <c r="IY64" s="442"/>
      <c r="IZ64" s="442"/>
      <c r="JA64" s="442"/>
      <c r="JB64" s="442"/>
      <c r="JC64" s="442"/>
      <c r="JD64" s="442"/>
      <c r="JE64" s="442"/>
      <c r="JF64" s="442"/>
      <c r="JG64" s="442"/>
      <c r="JH64" s="442"/>
      <c r="JI64" s="442"/>
      <c r="JJ64" s="442"/>
      <c r="JK64" s="442"/>
      <c r="JL64" s="442"/>
      <c r="JM64" s="442"/>
      <c r="JN64" s="442"/>
      <c r="JO64" s="442"/>
      <c r="JP64" s="442"/>
      <c r="JQ64" s="442"/>
      <c r="JR64" s="442"/>
      <c r="JS64" s="442"/>
      <c r="JT64" s="442"/>
      <c r="JU64" s="442"/>
      <c r="JV64" s="442"/>
      <c r="JW64" s="442"/>
      <c r="JX64" s="442"/>
      <c r="JY64" s="442"/>
      <c r="JZ64" s="442"/>
      <c r="KA64" s="442"/>
      <c r="KB64" s="442"/>
      <c r="KC64" s="442"/>
      <c r="KD64" s="442"/>
      <c r="KE64" s="442"/>
      <c r="KF64" s="442"/>
      <c r="KG64" s="442"/>
      <c r="KH64" s="442"/>
      <c r="KI64" s="442"/>
      <c r="KJ64" s="442"/>
      <c r="KK64" s="442"/>
      <c r="KL64" s="442"/>
      <c r="KM64" s="442"/>
      <c r="KN64" s="442"/>
      <c r="KO64" s="442"/>
      <c r="KP64" s="442"/>
      <c r="KQ64" s="442"/>
      <c r="KR64" s="442"/>
      <c r="KS64" s="442"/>
      <c r="KT64" s="442"/>
      <c r="KU64" s="442"/>
      <c r="KV64" s="442"/>
      <c r="KW64" s="442"/>
      <c r="KX64" s="442"/>
      <c r="KY64" s="442"/>
      <c r="KZ64" s="442"/>
      <c r="LA64" s="442"/>
      <c r="LB64" s="442"/>
      <c r="LC64" s="442"/>
      <c r="LD64" s="442"/>
      <c r="LE64" s="442"/>
      <c r="LF64" s="442"/>
      <c r="LG64" s="442"/>
      <c r="LH64" s="442"/>
      <c r="LI64" s="442"/>
      <c r="LJ64" s="442"/>
      <c r="LK64" s="442"/>
      <c r="LL64" s="442"/>
      <c r="LM64" s="442"/>
      <c r="LN64" s="442"/>
      <c r="LO64" s="442"/>
      <c r="LP64" s="442"/>
      <c r="LQ64" s="442"/>
      <c r="LR64" s="442"/>
      <c r="LS64" s="442"/>
      <c r="LT64" s="442"/>
      <c r="LU64" s="442"/>
      <c r="LV64" s="442"/>
      <c r="LW64" s="442"/>
      <c r="LX64" s="442"/>
      <c r="LY64" s="442"/>
      <c r="LZ64" s="442"/>
      <c r="MA64" s="442"/>
      <c r="MB64" s="442"/>
      <c r="MC64" s="442"/>
      <c r="MD64" s="442"/>
      <c r="ME64" s="442"/>
      <c r="MF64" s="442"/>
      <c r="MG64" s="442"/>
      <c r="MH64" s="442"/>
      <c r="MI64" s="442"/>
      <c r="MJ64" s="442"/>
      <c r="MK64" s="442"/>
      <c r="ML64" s="442"/>
      <c r="MM64" s="442"/>
      <c r="MN64" s="442"/>
      <c r="MO64" s="442"/>
      <c r="MP64" s="442"/>
      <c r="MQ64" s="442"/>
      <c r="MR64" s="442"/>
      <c r="MS64" s="442"/>
      <c r="MT64" s="442"/>
      <c r="MU64" s="442"/>
      <c r="MV64" s="442"/>
      <c r="MW64" s="442"/>
      <c r="MX64" s="442"/>
      <c r="MY64" s="442"/>
      <c r="MZ64" s="442"/>
      <c r="NA64" s="442"/>
      <c r="NB64" s="442"/>
      <c r="NC64" s="442"/>
      <c r="NT64" s="149" t="s">
        <v>23</v>
      </c>
      <c r="NU64" s="149">
        <f>-H30/100</f>
        <v>-0.03</v>
      </c>
      <c r="NV64" s="149">
        <f>NU64</f>
        <v>-0.03</v>
      </c>
      <c r="NX64" s="149">
        <f>NU64</f>
        <v>-0.03</v>
      </c>
      <c r="NY64" s="149">
        <f>NX64-0.25</f>
        <v>-0.28000000000000003</v>
      </c>
      <c r="OA64" s="189"/>
      <c r="OD64" s="189">
        <f>(-H30-1.5)/100</f>
        <v>-4.4999999999999998E-2</v>
      </c>
      <c r="OE64" s="189">
        <f>OD64</f>
        <v>-4.4999999999999998E-2</v>
      </c>
      <c r="OF64" s="189"/>
      <c r="OG64" s="189">
        <f>OD64</f>
        <v>-4.4999999999999998E-2</v>
      </c>
      <c r="OH64" s="189">
        <f>OG64-0.25</f>
        <v>-0.29499999999999998</v>
      </c>
      <c r="OJ64" s="149">
        <v>0</v>
      </c>
      <c r="OK64" s="149">
        <v>1.5</v>
      </c>
    </row>
    <row r="65" spans="1:407" ht="14.1" customHeight="1" x14ac:dyDescent="0.2">
      <c r="A65" s="156"/>
      <c r="B65" s="236"/>
      <c r="C65" s="68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156"/>
      <c r="R65" s="156"/>
      <c r="S65" s="156"/>
      <c r="T65" s="156"/>
      <c r="U65" s="156"/>
      <c r="V65" s="156"/>
      <c r="W65" s="156"/>
      <c r="X65" s="156"/>
      <c r="Y65" s="156"/>
      <c r="Z65" s="156"/>
      <c r="AA65" s="156"/>
      <c r="AB65" s="156"/>
      <c r="AC65" s="156"/>
      <c r="AD65" s="156"/>
      <c r="AE65" s="156"/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156"/>
      <c r="CP65" s="50"/>
      <c r="CQ65" s="238"/>
      <c r="CR65" s="50"/>
      <c r="CS65" s="50"/>
      <c r="CT65" s="50"/>
      <c r="CU65" s="50"/>
      <c r="CV65" s="50"/>
      <c r="CW65" s="50"/>
      <c r="CX65" s="156"/>
      <c r="CY65" s="156"/>
      <c r="CZ65" s="156"/>
      <c r="DA65" s="156"/>
      <c r="DB65" s="156"/>
      <c r="DC65" s="156"/>
      <c r="DD65" s="156"/>
      <c r="DE65" s="156"/>
      <c r="DF65" s="156"/>
      <c r="DG65" s="156"/>
      <c r="DH65" s="156"/>
      <c r="DI65" s="156"/>
      <c r="DJ65" s="156"/>
      <c r="DK65" s="156"/>
      <c r="DL65" s="156"/>
      <c r="DM65" s="156"/>
      <c r="DN65" s="156"/>
      <c r="DO65" s="156"/>
      <c r="DP65" s="156"/>
      <c r="DQ65" s="156"/>
      <c r="DR65" s="156"/>
      <c r="DS65" s="156"/>
      <c r="DT65" s="156"/>
      <c r="DU65" s="156"/>
      <c r="DV65" s="156"/>
      <c r="DW65" s="156"/>
      <c r="DX65" s="156"/>
      <c r="DY65" s="156"/>
      <c r="DZ65" s="156"/>
      <c r="EA65" s="156"/>
      <c r="EB65" s="156"/>
      <c r="EC65" s="156"/>
      <c r="ED65" s="156"/>
      <c r="EE65" s="156"/>
      <c r="EF65" s="156"/>
      <c r="EG65" s="156"/>
      <c r="EH65" s="156"/>
      <c r="EI65" s="156"/>
      <c r="EJ65" s="156"/>
      <c r="EK65" s="156"/>
      <c r="EL65" s="156"/>
      <c r="EM65" s="156"/>
      <c r="EN65" s="156"/>
      <c r="EO65" s="156"/>
      <c r="EP65" s="156"/>
      <c r="EQ65" s="156"/>
      <c r="ER65" s="156"/>
      <c r="ES65" s="156"/>
      <c r="ET65" s="156"/>
      <c r="EU65" s="156"/>
      <c r="EV65" s="156"/>
      <c r="EW65" s="156"/>
      <c r="EX65" s="156"/>
      <c r="EY65" s="156"/>
      <c r="EZ65" s="156"/>
      <c r="FA65" s="156"/>
      <c r="FB65" s="156"/>
      <c r="FC65" s="156"/>
      <c r="FD65" s="156"/>
      <c r="FE65" s="156"/>
      <c r="FF65" s="156"/>
      <c r="FG65" s="156"/>
      <c r="FH65" s="156"/>
      <c r="FI65" s="156"/>
      <c r="FJ65" s="156"/>
      <c r="FK65" s="156"/>
      <c r="FL65" s="156"/>
      <c r="FM65" s="156"/>
      <c r="FN65" s="156"/>
      <c r="FO65" s="50"/>
      <c r="FP65" s="50"/>
      <c r="FQ65" s="50"/>
      <c r="FR65" s="50"/>
      <c r="FS65" s="242"/>
      <c r="FT65" s="268"/>
      <c r="FU65" s="268"/>
      <c r="FV65" s="268"/>
      <c r="FW65" s="268"/>
      <c r="FX65" s="265"/>
      <c r="FY65" s="265"/>
      <c r="FZ65" s="265"/>
      <c r="GA65" s="265"/>
      <c r="GB65" s="265"/>
      <c r="GC65" s="265"/>
      <c r="GD65" s="265"/>
      <c r="GE65" s="265"/>
      <c r="GF65" s="265"/>
      <c r="GG65" s="265"/>
      <c r="GH65" s="265"/>
      <c r="GI65" s="265"/>
      <c r="GJ65" s="268"/>
      <c r="GK65" s="268"/>
      <c r="GL65" s="268"/>
      <c r="GM65" s="268"/>
      <c r="GN65" s="50"/>
      <c r="GO65" s="242"/>
      <c r="GP65" s="242"/>
      <c r="GQ65" s="242"/>
      <c r="GR65" s="242"/>
      <c r="GS65" s="50"/>
      <c r="GT65" s="50"/>
      <c r="GU65" s="50"/>
      <c r="GV65" s="50"/>
      <c r="GW65" s="50"/>
      <c r="GX65" s="50"/>
      <c r="GY65" s="50"/>
      <c r="GZ65" s="50"/>
      <c r="HA65" s="50"/>
      <c r="HB65" s="50"/>
      <c r="HC65" s="50"/>
      <c r="HD65" s="242"/>
      <c r="HE65" s="242"/>
      <c r="HF65" s="242"/>
      <c r="HG65" s="242"/>
      <c r="HH65" s="242"/>
      <c r="HI65" s="242"/>
      <c r="HJ65" s="242"/>
      <c r="HK65" s="242"/>
      <c r="HL65" s="242"/>
      <c r="HM65" s="442"/>
      <c r="HN65" s="442"/>
      <c r="HO65" s="442"/>
      <c r="HP65" s="31"/>
      <c r="HQ65" s="142"/>
      <c r="HR65" s="142"/>
      <c r="HS65" s="142"/>
      <c r="HT65" s="219"/>
      <c r="HU65" s="219"/>
      <c r="HV65" s="219"/>
      <c r="HW65" s="219"/>
      <c r="HX65" s="219"/>
      <c r="HY65" s="219"/>
      <c r="HZ65" s="219"/>
      <c r="IA65" s="219"/>
      <c r="IB65" s="219"/>
      <c r="IC65" s="104"/>
      <c r="ID65" s="187"/>
      <c r="IE65" s="32">
        <v>19</v>
      </c>
      <c r="IF65" s="442"/>
      <c r="IG65" s="32">
        <v>25</v>
      </c>
      <c r="IH65" s="190"/>
      <c r="II65" s="191">
        <f t="shared" si="3"/>
        <v>25</v>
      </c>
      <c r="IJ65" s="442"/>
      <c r="IK65" s="191">
        <f>IF(H6&gt;=3000,IG65,IE65)</f>
        <v>19</v>
      </c>
      <c r="IL65" s="188"/>
      <c r="IM65" s="188"/>
      <c r="IN65" s="188"/>
      <c r="IO65" s="188"/>
      <c r="IP65" s="13">
        <v>0.42499999999999999</v>
      </c>
      <c r="IQ65" s="13"/>
      <c r="IR65" s="442"/>
      <c r="IS65" s="442"/>
      <c r="IT65" s="442"/>
      <c r="IU65" s="442"/>
      <c r="IV65" s="442"/>
      <c r="IW65" s="442"/>
      <c r="IX65" s="442"/>
      <c r="IY65" s="442"/>
      <c r="IZ65" s="442"/>
      <c r="JA65" s="442"/>
      <c r="JB65" s="442"/>
      <c r="JC65" s="442"/>
      <c r="JD65" s="442"/>
      <c r="JE65" s="442"/>
      <c r="JF65" s="442"/>
      <c r="JG65" s="442"/>
      <c r="JH65" s="442"/>
      <c r="JI65" s="442"/>
      <c r="JJ65" s="442"/>
      <c r="JK65" s="442"/>
      <c r="JL65" s="442"/>
      <c r="JM65" s="442"/>
      <c r="JN65" s="442"/>
      <c r="JO65" s="442"/>
      <c r="JP65" s="442"/>
      <c r="JQ65" s="442"/>
      <c r="JR65" s="442"/>
      <c r="JS65" s="442"/>
      <c r="JT65" s="442"/>
      <c r="JU65" s="442"/>
      <c r="JV65" s="442"/>
      <c r="JW65" s="442"/>
      <c r="JX65" s="442"/>
      <c r="JY65" s="442"/>
      <c r="JZ65" s="442"/>
      <c r="KA65" s="442"/>
      <c r="KB65" s="442"/>
      <c r="KC65" s="442"/>
      <c r="KD65" s="442"/>
      <c r="KE65" s="442"/>
      <c r="KF65" s="442"/>
      <c r="KG65" s="442"/>
      <c r="KH65" s="442"/>
      <c r="KI65" s="442"/>
      <c r="KJ65" s="442"/>
      <c r="KK65" s="442"/>
      <c r="KL65" s="442"/>
      <c r="KM65" s="442"/>
      <c r="KN65" s="442"/>
      <c r="KO65" s="442"/>
      <c r="KP65" s="442"/>
      <c r="KQ65" s="442"/>
      <c r="KR65" s="442"/>
      <c r="KS65" s="442"/>
      <c r="KT65" s="442"/>
      <c r="KU65" s="442"/>
      <c r="KV65" s="442"/>
      <c r="KW65" s="442"/>
      <c r="KX65" s="442"/>
      <c r="KY65" s="442"/>
      <c r="KZ65" s="442"/>
      <c r="LA65" s="442"/>
      <c r="LB65" s="442"/>
      <c r="LC65" s="442"/>
      <c r="LD65" s="442"/>
      <c r="LE65" s="442"/>
      <c r="LF65" s="442"/>
      <c r="LG65" s="442"/>
      <c r="LH65" s="442"/>
      <c r="LI65" s="442"/>
      <c r="LJ65" s="442"/>
      <c r="LK65" s="442"/>
      <c r="LL65" s="442"/>
      <c r="LM65" s="442"/>
      <c r="LN65" s="442"/>
      <c r="LO65" s="442"/>
      <c r="LP65" s="442"/>
      <c r="LQ65" s="442"/>
      <c r="LR65" s="442"/>
      <c r="LS65" s="442"/>
      <c r="LT65" s="442"/>
      <c r="LU65" s="442"/>
      <c r="LV65" s="442"/>
      <c r="LW65" s="442"/>
      <c r="LX65" s="442"/>
      <c r="LY65" s="442"/>
      <c r="LZ65" s="442"/>
      <c r="MA65" s="442"/>
      <c r="MB65" s="442"/>
      <c r="MC65" s="442"/>
      <c r="MD65" s="442"/>
      <c r="ME65" s="442"/>
      <c r="MF65" s="442"/>
      <c r="MG65" s="442"/>
      <c r="MH65" s="442"/>
      <c r="MI65" s="442"/>
      <c r="MJ65" s="442"/>
      <c r="MK65" s="442"/>
      <c r="ML65" s="442"/>
      <c r="MM65" s="442"/>
      <c r="MN65" s="442"/>
      <c r="MO65" s="442"/>
      <c r="MP65" s="442"/>
      <c r="MQ65" s="442"/>
      <c r="MR65" s="442"/>
      <c r="MS65" s="442"/>
      <c r="MT65" s="442"/>
      <c r="MU65" s="442"/>
      <c r="MV65" s="442"/>
      <c r="MW65" s="442"/>
      <c r="MX65" s="442"/>
      <c r="MY65" s="442"/>
      <c r="MZ65" s="442"/>
      <c r="NA65" s="442"/>
      <c r="NB65" s="442"/>
      <c r="NC65" s="442"/>
      <c r="NT65" s="149" t="s">
        <v>154</v>
      </c>
    </row>
    <row r="66" spans="1:407" ht="14.1" customHeight="1" x14ac:dyDescent="0.2">
      <c r="A66" s="156"/>
      <c r="B66" s="236"/>
      <c r="C66" s="68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  <c r="AC66" s="156"/>
      <c r="AD66" s="156"/>
      <c r="AE66" s="156"/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156"/>
      <c r="CP66" s="50"/>
      <c r="CQ66" s="50"/>
      <c r="CR66" s="50"/>
      <c r="CS66" s="50"/>
      <c r="CT66" s="50"/>
      <c r="CU66" s="50"/>
      <c r="CV66" s="50"/>
      <c r="CW66" s="50"/>
      <c r="CX66" s="156"/>
      <c r="CY66" s="156"/>
      <c r="CZ66" s="156"/>
      <c r="DA66" s="156"/>
      <c r="DB66" s="156"/>
      <c r="DC66" s="156"/>
      <c r="DD66" s="156"/>
      <c r="DE66" s="156"/>
      <c r="DF66" s="156"/>
      <c r="DG66" s="156"/>
      <c r="DH66" s="156"/>
      <c r="DI66" s="156"/>
      <c r="DJ66" s="156"/>
      <c r="DK66" s="156"/>
      <c r="DL66" s="156"/>
      <c r="DM66" s="156"/>
      <c r="DN66" s="156"/>
      <c r="DO66" s="156"/>
      <c r="DP66" s="156"/>
      <c r="DQ66" s="156"/>
      <c r="DR66" s="156"/>
      <c r="DS66" s="156"/>
      <c r="DT66" s="156"/>
      <c r="DU66" s="156"/>
      <c r="DV66" s="156"/>
      <c r="DW66" s="156"/>
      <c r="DX66" s="156"/>
      <c r="DY66" s="156"/>
      <c r="DZ66" s="156"/>
      <c r="EA66" s="156"/>
      <c r="EB66" s="156"/>
      <c r="EC66" s="156"/>
      <c r="ED66" s="156"/>
      <c r="EE66" s="156"/>
      <c r="EF66" s="156"/>
      <c r="EG66" s="156"/>
      <c r="EH66" s="156"/>
      <c r="EI66" s="156"/>
      <c r="EJ66" s="156"/>
      <c r="EK66" s="156"/>
      <c r="EL66" s="156"/>
      <c r="EM66" s="156"/>
      <c r="EN66" s="156"/>
      <c r="EO66" s="156"/>
      <c r="EP66" s="156"/>
      <c r="EQ66" s="156"/>
      <c r="ER66" s="156"/>
      <c r="ES66" s="156"/>
      <c r="ET66" s="156"/>
      <c r="EU66" s="156"/>
      <c r="EV66" s="156"/>
      <c r="EW66" s="156"/>
      <c r="EX66" s="156"/>
      <c r="EY66" s="156"/>
      <c r="EZ66" s="156"/>
      <c r="FA66" s="156"/>
      <c r="FB66" s="156"/>
      <c r="FC66" s="156"/>
      <c r="FD66" s="156"/>
      <c r="FE66" s="156"/>
      <c r="FF66" s="156"/>
      <c r="FG66" s="156"/>
      <c r="FH66" s="156"/>
      <c r="FI66" s="156"/>
      <c r="FJ66" s="156"/>
      <c r="FK66" s="156"/>
      <c r="FL66" s="156"/>
      <c r="FM66" s="156"/>
      <c r="FN66" s="156"/>
      <c r="FO66" s="50"/>
      <c r="FP66" s="50"/>
      <c r="FQ66" s="50"/>
      <c r="FR66" s="50"/>
      <c r="FS66" s="242"/>
      <c r="FT66" s="242"/>
      <c r="FU66" s="242"/>
      <c r="FV66" s="242"/>
      <c r="FW66" s="242"/>
      <c r="FX66" s="242"/>
      <c r="FY66" s="242"/>
      <c r="FZ66" s="242"/>
      <c r="GA66" s="242"/>
      <c r="GB66" s="242"/>
      <c r="GC66" s="242"/>
      <c r="GD66" s="242"/>
      <c r="GE66" s="242"/>
      <c r="GF66" s="242"/>
      <c r="GG66" s="242"/>
      <c r="GH66" s="242"/>
      <c r="GI66" s="242"/>
      <c r="GJ66" s="242"/>
      <c r="GK66" s="242"/>
      <c r="GL66" s="242"/>
      <c r="GM66" s="242"/>
      <c r="GN66" s="242"/>
      <c r="GO66" s="242"/>
      <c r="GP66" s="242"/>
      <c r="GQ66" s="242"/>
      <c r="GR66" s="242"/>
      <c r="GS66" s="242"/>
      <c r="GT66" s="242"/>
      <c r="GU66" s="242"/>
      <c r="GV66" s="242"/>
      <c r="GW66" s="242"/>
      <c r="GX66" s="242"/>
      <c r="GY66" s="242"/>
      <c r="GZ66" s="242"/>
      <c r="HA66" s="242"/>
      <c r="HB66" s="242"/>
      <c r="HC66" s="242"/>
      <c r="HD66" s="242"/>
      <c r="HE66" s="242"/>
      <c r="HF66" s="242"/>
      <c r="HG66" s="242"/>
      <c r="HH66" s="242"/>
      <c r="HI66" s="242"/>
      <c r="HJ66" s="242"/>
      <c r="HK66" s="242"/>
      <c r="HL66" s="242"/>
      <c r="HM66" s="442"/>
      <c r="HN66" s="442"/>
      <c r="HO66" s="442"/>
      <c r="HP66" s="31"/>
      <c r="HQ66" s="142"/>
      <c r="HR66" s="142"/>
      <c r="HS66" s="142"/>
      <c r="HT66" s="219"/>
      <c r="HU66" s="219"/>
      <c r="HV66" s="219"/>
      <c r="HW66" s="219"/>
      <c r="HX66" s="219"/>
      <c r="HY66" s="219"/>
      <c r="HZ66" s="219"/>
      <c r="IA66" s="219"/>
      <c r="IB66" s="219"/>
      <c r="IC66" s="104"/>
      <c r="ID66" s="187"/>
      <c r="IE66" s="32" t="s">
        <v>0</v>
      </c>
      <c r="IF66" s="442"/>
      <c r="IG66" s="32">
        <v>28</v>
      </c>
      <c r="IH66" s="190"/>
      <c r="II66" s="191">
        <f t="shared" si="3"/>
        <v>28</v>
      </c>
      <c r="IJ66" s="442"/>
      <c r="IK66" s="191" t="str">
        <f>IF(H6&gt;=3000,IG66,IE66)</f>
        <v>-</v>
      </c>
      <c r="IL66" s="188"/>
      <c r="IM66" s="188"/>
      <c r="IN66" s="188"/>
      <c r="IO66" s="188"/>
      <c r="IP66" s="13">
        <v>0.45</v>
      </c>
      <c r="IQ66" s="13"/>
      <c r="IR66" s="442"/>
      <c r="IS66" s="442"/>
      <c r="IT66" s="442"/>
      <c r="IU66" s="442"/>
      <c r="IV66" s="442"/>
      <c r="IW66" s="442"/>
      <c r="IX66" s="442"/>
      <c r="IY66" s="442"/>
      <c r="IZ66" s="442"/>
      <c r="JA66" s="442"/>
      <c r="JB66" s="442"/>
      <c r="JC66" s="442"/>
      <c r="JD66" s="442"/>
      <c r="JE66" s="442"/>
      <c r="JF66" s="442"/>
      <c r="JG66" s="442"/>
      <c r="JH66" s="442"/>
      <c r="JI66" s="442"/>
      <c r="JJ66" s="442"/>
      <c r="JK66" s="442"/>
      <c r="JL66" s="442"/>
      <c r="JM66" s="442"/>
      <c r="JN66" s="442"/>
      <c r="JO66" s="442"/>
      <c r="JP66" s="442"/>
      <c r="JQ66" s="442"/>
      <c r="JR66" s="442"/>
      <c r="JS66" s="442"/>
      <c r="JT66" s="442"/>
      <c r="JU66" s="442"/>
      <c r="JV66" s="442"/>
      <c r="JW66" s="442"/>
      <c r="JX66" s="442"/>
      <c r="JY66" s="442"/>
      <c r="JZ66" s="442"/>
      <c r="KA66" s="442"/>
      <c r="KB66" s="442"/>
      <c r="KC66" s="442"/>
      <c r="KD66" s="442"/>
      <c r="KE66" s="442"/>
      <c r="KF66" s="442"/>
      <c r="KG66" s="442"/>
      <c r="KH66" s="442"/>
      <c r="KI66" s="442"/>
      <c r="KJ66" s="442"/>
      <c r="KK66" s="442"/>
      <c r="KL66" s="442"/>
      <c r="KM66" s="442"/>
      <c r="KN66" s="442"/>
      <c r="KO66" s="442"/>
      <c r="KP66" s="442"/>
      <c r="KQ66" s="442"/>
      <c r="KR66" s="442"/>
      <c r="KS66" s="442"/>
      <c r="KT66" s="442"/>
      <c r="KU66" s="442"/>
      <c r="KV66" s="442"/>
      <c r="KW66" s="442"/>
      <c r="KX66" s="442"/>
      <c r="KY66" s="442"/>
      <c r="KZ66" s="442"/>
      <c r="LA66" s="442"/>
      <c r="LB66" s="442"/>
      <c r="LC66" s="442"/>
      <c r="LD66" s="442"/>
      <c r="LE66" s="442"/>
      <c r="LF66" s="442"/>
      <c r="LG66" s="442"/>
      <c r="LH66" s="442"/>
      <c r="LI66" s="442"/>
      <c r="LJ66" s="442"/>
      <c r="LK66" s="442"/>
      <c r="LL66" s="442"/>
      <c r="LM66" s="442"/>
      <c r="LN66" s="442"/>
      <c r="LO66" s="442"/>
      <c r="LP66" s="442"/>
      <c r="LQ66" s="442"/>
      <c r="LR66" s="442"/>
      <c r="LS66" s="442"/>
      <c r="LT66" s="442"/>
      <c r="LU66" s="442"/>
      <c r="LV66" s="442"/>
      <c r="LW66" s="442"/>
      <c r="LX66" s="442"/>
      <c r="LY66" s="442"/>
      <c r="LZ66" s="442"/>
      <c r="MA66" s="442"/>
      <c r="MB66" s="442"/>
      <c r="MC66" s="442"/>
      <c r="MD66" s="442"/>
      <c r="ME66" s="442"/>
      <c r="MF66" s="442"/>
      <c r="MG66" s="442"/>
      <c r="MH66" s="442"/>
      <c r="MI66" s="442"/>
      <c r="MJ66" s="442"/>
      <c r="MK66" s="442"/>
      <c r="ML66" s="442"/>
      <c r="MM66" s="442"/>
      <c r="MN66" s="442"/>
      <c r="MO66" s="442"/>
      <c r="MP66" s="442"/>
      <c r="MQ66" s="442"/>
      <c r="MR66" s="442"/>
      <c r="MS66" s="442"/>
      <c r="MT66" s="442"/>
      <c r="MU66" s="442"/>
      <c r="MV66" s="442"/>
      <c r="MW66" s="442"/>
      <c r="MX66" s="442"/>
      <c r="MY66" s="442"/>
      <c r="MZ66" s="442"/>
      <c r="NA66" s="442"/>
      <c r="NB66" s="442"/>
      <c r="NC66" s="442"/>
      <c r="NT66" s="149" t="s">
        <v>22</v>
      </c>
      <c r="NU66" s="149">
        <v>1.5</v>
      </c>
      <c r="NV66" s="149">
        <f>2+0.17</f>
        <v>2.17</v>
      </c>
      <c r="NX66" s="149">
        <f>NV66</f>
        <v>2.17</v>
      </c>
      <c r="NY66" s="149">
        <f>NV66</f>
        <v>2.17</v>
      </c>
      <c r="OD66" s="189">
        <v>1.5</v>
      </c>
      <c r="OE66" s="189">
        <f>2+0.17</f>
        <v>2.17</v>
      </c>
      <c r="OF66" s="189"/>
      <c r="OG66" s="189">
        <f>OE66</f>
        <v>2.17</v>
      </c>
      <c r="OH66" s="189">
        <f>OE66</f>
        <v>2.17</v>
      </c>
    </row>
    <row r="67" spans="1:407" ht="14.1" customHeight="1" x14ac:dyDescent="0.2">
      <c r="A67" s="156"/>
      <c r="B67" s="156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156"/>
      <c r="R67" s="156"/>
      <c r="S67" s="156"/>
      <c r="T67" s="156"/>
      <c r="U67" s="156"/>
      <c r="V67" s="156"/>
      <c r="W67" s="156"/>
      <c r="X67" s="156"/>
      <c r="Y67" s="156"/>
      <c r="Z67" s="156"/>
      <c r="AA67" s="156"/>
      <c r="AB67" s="156"/>
      <c r="AC67" s="156"/>
      <c r="AD67" s="156"/>
      <c r="AE67" s="156"/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156"/>
      <c r="CP67" s="50"/>
      <c r="CQ67" s="239"/>
      <c r="CR67" s="50"/>
      <c r="CS67" s="50"/>
      <c r="CT67" s="50"/>
      <c r="CU67" s="50"/>
      <c r="CV67" s="50"/>
      <c r="CW67" s="50"/>
      <c r="CX67" s="156"/>
      <c r="CY67" s="156"/>
      <c r="CZ67" s="156"/>
      <c r="DA67" s="156"/>
      <c r="DB67" s="156"/>
      <c r="DC67" s="156"/>
      <c r="DD67" s="156"/>
      <c r="DE67" s="156"/>
      <c r="DF67" s="156"/>
      <c r="DG67" s="156"/>
      <c r="DH67" s="156"/>
      <c r="DI67" s="156"/>
      <c r="DJ67" s="156"/>
      <c r="DK67" s="156"/>
      <c r="DL67" s="156"/>
      <c r="DM67" s="156"/>
      <c r="DN67" s="156"/>
      <c r="DO67" s="156"/>
      <c r="DP67" s="156"/>
      <c r="DQ67" s="156"/>
      <c r="DR67" s="156"/>
      <c r="DS67" s="156"/>
      <c r="DT67" s="156"/>
      <c r="DU67" s="156"/>
      <c r="DV67" s="156"/>
      <c r="DW67" s="156"/>
      <c r="DX67" s="156"/>
      <c r="DY67" s="156"/>
      <c r="DZ67" s="156"/>
      <c r="EA67" s="156"/>
      <c r="EB67" s="156"/>
      <c r="EC67" s="156"/>
      <c r="ED67" s="156"/>
      <c r="EE67" s="156"/>
      <c r="EF67" s="156"/>
      <c r="EG67" s="156"/>
      <c r="EH67" s="156"/>
      <c r="EI67" s="156"/>
      <c r="EJ67" s="156"/>
      <c r="EK67" s="156"/>
      <c r="EL67" s="156"/>
      <c r="EM67" s="156"/>
      <c r="EN67" s="156"/>
      <c r="EO67" s="156"/>
      <c r="EP67" s="156"/>
      <c r="EQ67" s="156"/>
      <c r="ER67" s="156"/>
      <c r="ES67" s="156"/>
      <c r="ET67" s="156"/>
      <c r="EU67" s="156"/>
      <c r="EV67" s="156"/>
      <c r="EW67" s="156"/>
      <c r="EX67" s="156"/>
      <c r="EY67" s="156"/>
      <c r="EZ67" s="156"/>
      <c r="FA67" s="156"/>
      <c r="FB67" s="156"/>
      <c r="FC67" s="156"/>
      <c r="FD67" s="156"/>
      <c r="FE67" s="156"/>
      <c r="FF67" s="156"/>
      <c r="FG67" s="156"/>
      <c r="FH67" s="156"/>
      <c r="FI67" s="156"/>
      <c r="FJ67" s="156"/>
      <c r="FK67" s="156"/>
      <c r="FL67" s="156"/>
      <c r="FM67" s="156"/>
      <c r="FN67" s="156"/>
      <c r="FO67" s="50"/>
      <c r="FP67" s="50"/>
      <c r="FQ67" s="50"/>
      <c r="FR67" s="50"/>
      <c r="FS67" s="242"/>
      <c r="FT67" s="50"/>
      <c r="FU67" s="50"/>
      <c r="FV67" s="50"/>
      <c r="FW67" s="50"/>
      <c r="FX67" s="50"/>
      <c r="FY67" s="50"/>
      <c r="FZ67" s="156"/>
      <c r="GA67" s="156"/>
      <c r="GB67" s="156"/>
      <c r="GC67" s="156"/>
      <c r="GD67" s="156"/>
      <c r="GE67" s="156"/>
      <c r="GF67" s="156"/>
      <c r="GG67" s="156"/>
      <c r="GH67" s="156"/>
      <c r="GI67" s="156"/>
      <c r="GJ67" s="156"/>
      <c r="GK67" s="156"/>
      <c r="GL67" s="156"/>
      <c r="GM67" s="156"/>
      <c r="GN67" s="287"/>
      <c r="GO67" s="287"/>
      <c r="GP67" s="287"/>
      <c r="GQ67" s="156"/>
      <c r="GR67" s="156"/>
      <c r="GS67" s="156"/>
      <c r="GT67" s="287"/>
      <c r="GU67" s="287"/>
      <c r="GV67" s="287"/>
      <c r="GW67" s="156"/>
      <c r="GX67" s="156"/>
      <c r="GY67" s="156"/>
      <c r="GZ67" s="287"/>
      <c r="HA67" s="287"/>
      <c r="HB67" s="287"/>
      <c r="HC67" s="242"/>
      <c r="HD67" s="242"/>
      <c r="HE67" s="242"/>
      <c r="HF67" s="242"/>
      <c r="HG67" s="242"/>
      <c r="HH67" s="242"/>
      <c r="HI67" s="242"/>
      <c r="HJ67" s="242"/>
      <c r="HK67" s="242"/>
      <c r="HL67" s="242"/>
      <c r="HM67" s="442"/>
      <c r="HN67" s="442"/>
      <c r="HO67" s="442"/>
      <c r="HP67" s="31"/>
      <c r="HQ67" s="142"/>
      <c r="HR67" s="142"/>
      <c r="HS67" s="142"/>
      <c r="HT67" s="219"/>
      <c r="HU67" s="219"/>
      <c r="HV67" s="219"/>
      <c r="HW67" s="219"/>
      <c r="HX67" s="219"/>
      <c r="HY67" s="219"/>
      <c r="HZ67" s="219"/>
      <c r="IA67" s="219"/>
      <c r="IB67" s="219"/>
      <c r="IC67" s="104"/>
      <c r="ID67" s="187"/>
      <c r="IE67" s="32" t="s">
        <v>0</v>
      </c>
      <c r="IF67" s="442"/>
      <c r="IG67" s="32">
        <v>32</v>
      </c>
      <c r="IH67" s="193"/>
      <c r="II67" s="191">
        <f t="shared" si="3"/>
        <v>32</v>
      </c>
      <c r="IJ67" s="442"/>
      <c r="IK67" s="191" t="str">
        <f>IF(H6&gt;=3000,IG67,IE67)</f>
        <v>-</v>
      </c>
      <c r="IL67" s="188"/>
      <c r="IM67" s="188"/>
      <c r="IN67" s="188"/>
      <c r="IO67" s="188"/>
      <c r="IP67" s="442"/>
      <c r="IQ67" s="442"/>
      <c r="IR67" s="442"/>
      <c r="IS67" s="442"/>
      <c r="IT67" s="442"/>
      <c r="IU67" s="442"/>
      <c r="IV67" s="442"/>
      <c r="IW67" s="442"/>
      <c r="IX67" s="442"/>
      <c r="IY67" s="442"/>
      <c r="IZ67" s="442"/>
      <c r="JA67" s="442"/>
      <c r="JB67" s="442"/>
      <c r="JC67" s="442"/>
      <c r="JD67" s="442"/>
      <c r="JE67" s="442"/>
      <c r="JF67" s="442"/>
      <c r="JG67" s="442"/>
      <c r="JH67" s="442"/>
      <c r="JI67" s="442"/>
      <c r="JJ67" s="442"/>
      <c r="JK67" s="442"/>
      <c r="JL67" s="442"/>
      <c r="JM67" s="442"/>
      <c r="JN67" s="442"/>
      <c r="JO67" s="442"/>
      <c r="JP67" s="442"/>
      <c r="JQ67" s="442"/>
      <c r="JR67" s="442"/>
      <c r="JS67" s="442"/>
      <c r="JT67" s="442"/>
      <c r="JU67" s="442"/>
      <c r="JV67" s="442"/>
      <c r="JW67" s="442"/>
      <c r="JX67" s="442"/>
      <c r="JY67" s="442"/>
      <c r="JZ67" s="442"/>
      <c r="KA67" s="442"/>
      <c r="KB67" s="442"/>
      <c r="KC67" s="442"/>
      <c r="KD67" s="442"/>
      <c r="KE67" s="442"/>
      <c r="KF67" s="442"/>
      <c r="KG67" s="442"/>
      <c r="KH67" s="442"/>
      <c r="KI67" s="442"/>
      <c r="KJ67" s="442"/>
      <c r="KK67" s="442"/>
      <c r="KL67" s="442"/>
      <c r="KM67" s="442"/>
      <c r="KN67" s="442"/>
      <c r="KO67" s="442"/>
      <c r="KP67" s="442"/>
      <c r="KQ67" s="442"/>
      <c r="KR67" s="442"/>
      <c r="KS67" s="442"/>
      <c r="KT67" s="442"/>
      <c r="KU67" s="442"/>
      <c r="KV67" s="442"/>
      <c r="KW67" s="442"/>
      <c r="KX67" s="442"/>
      <c r="KY67" s="442"/>
      <c r="KZ67" s="442"/>
      <c r="LA67" s="442"/>
      <c r="LB67" s="442"/>
      <c r="LC67" s="442"/>
      <c r="LD67" s="442"/>
      <c r="LE67" s="442"/>
      <c r="LF67" s="442"/>
      <c r="LG67" s="442"/>
      <c r="LH67" s="442"/>
      <c r="LI67" s="442"/>
      <c r="LJ67" s="442"/>
      <c r="LK67" s="442"/>
      <c r="LL67" s="442"/>
      <c r="LM67" s="442"/>
      <c r="LN67" s="442"/>
      <c r="LO67" s="442"/>
      <c r="LP67" s="442"/>
      <c r="LQ67" s="442"/>
      <c r="LR67" s="442"/>
      <c r="LS67" s="442"/>
      <c r="LT67" s="442"/>
      <c r="LU67" s="442"/>
      <c r="LV67" s="442"/>
      <c r="LW67" s="442"/>
      <c r="LX67" s="442"/>
      <c r="LY67" s="442"/>
      <c r="LZ67" s="442"/>
      <c r="MA67" s="442"/>
      <c r="MB67" s="442"/>
      <c r="MC67" s="442"/>
      <c r="MD67" s="442"/>
      <c r="ME67" s="442"/>
      <c r="MF67" s="442"/>
      <c r="MG67" s="442"/>
      <c r="MH67" s="442"/>
      <c r="MI67" s="442"/>
      <c r="MJ67" s="442"/>
      <c r="MK67" s="442"/>
      <c r="ML67" s="442"/>
      <c r="MM67" s="442"/>
      <c r="MN67" s="442"/>
      <c r="MO67" s="442"/>
      <c r="MP67" s="442"/>
      <c r="MQ67" s="442"/>
      <c r="MR67" s="442"/>
      <c r="MS67" s="442"/>
      <c r="MT67" s="442"/>
      <c r="MU67" s="442"/>
      <c r="MV67" s="442"/>
      <c r="MW67" s="442"/>
      <c r="MX67" s="442"/>
      <c r="MY67" s="442"/>
      <c r="MZ67" s="442"/>
      <c r="NA67" s="442"/>
      <c r="NB67" s="442"/>
      <c r="NC67" s="442"/>
      <c r="NT67" s="149" t="s">
        <v>23</v>
      </c>
      <c r="NU67" s="149">
        <f>NU64</f>
        <v>-0.03</v>
      </c>
      <c r="NV67" s="149">
        <f>NU67</f>
        <v>-0.03</v>
      </c>
      <c r="NX67" s="149">
        <f>NU67</f>
        <v>-0.03</v>
      </c>
      <c r="NY67" s="149">
        <f>NX67-0.25</f>
        <v>-0.28000000000000003</v>
      </c>
      <c r="OD67" s="189">
        <f>OD64</f>
        <v>-4.4999999999999998E-2</v>
      </c>
      <c r="OE67" s="189">
        <f>OD67</f>
        <v>-4.4999999999999998E-2</v>
      </c>
      <c r="OF67" s="189"/>
      <c r="OG67" s="189">
        <f>OD67</f>
        <v>-4.4999999999999998E-2</v>
      </c>
      <c r="OH67" s="189">
        <f>OG67-0.25</f>
        <v>-0.29499999999999998</v>
      </c>
    </row>
    <row r="68" spans="1:407" ht="14.1" customHeight="1" x14ac:dyDescent="0.2">
      <c r="A68" s="156"/>
      <c r="B68" s="156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156"/>
      <c r="R68" s="156"/>
      <c r="S68" s="156"/>
      <c r="T68" s="156"/>
      <c r="U68" s="156"/>
      <c r="V68" s="156"/>
      <c r="W68" s="156"/>
      <c r="X68" s="156"/>
      <c r="Y68" s="156"/>
      <c r="Z68" s="156"/>
      <c r="AA68" s="156"/>
      <c r="AB68" s="156"/>
      <c r="AC68" s="156"/>
      <c r="AD68" s="156"/>
      <c r="AE68" s="156"/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156"/>
      <c r="CP68" s="50"/>
      <c r="CQ68" s="239"/>
      <c r="CR68" s="50"/>
      <c r="CS68" s="50"/>
      <c r="CT68" s="50"/>
      <c r="CU68" s="50"/>
      <c r="CV68" s="50"/>
      <c r="CW68" s="50"/>
      <c r="CX68" s="156"/>
      <c r="CY68" s="156"/>
      <c r="CZ68" s="156"/>
      <c r="DA68" s="156"/>
      <c r="DB68" s="156"/>
      <c r="DC68" s="156"/>
      <c r="DD68" s="156"/>
      <c r="DE68" s="156"/>
      <c r="DF68" s="156"/>
      <c r="DG68" s="156"/>
      <c r="DH68" s="156"/>
      <c r="DI68" s="156"/>
      <c r="DJ68" s="156"/>
      <c r="DK68" s="156"/>
      <c r="DL68" s="156"/>
      <c r="DM68" s="156"/>
      <c r="DN68" s="156"/>
      <c r="DO68" s="156"/>
      <c r="DP68" s="156"/>
      <c r="DQ68" s="156"/>
      <c r="DR68" s="156"/>
      <c r="DS68" s="156"/>
      <c r="DT68" s="156"/>
      <c r="DU68" s="156"/>
      <c r="DV68" s="156"/>
      <c r="DW68" s="156"/>
      <c r="DX68" s="156"/>
      <c r="DY68" s="156"/>
      <c r="DZ68" s="156"/>
      <c r="EA68" s="156"/>
      <c r="EB68" s="156"/>
      <c r="EC68" s="156"/>
      <c r="ED68" s="156"/>
      <c r="EE68" s="156"/>
      <c r="EF68" s="156"/>
      <c r="EG68" s="156"/>
      <c r="EH68" s="156"/>
      <c r="EI68" s="156"/>
      <c r="EJ68" s="156"/>
      <c r="EK68" s="156"/>
      <c r="EL68" s="156"/>
      <c r="EM68" s="156"/>
      <c r="EN68" s="156"/>
      <c r="EO68" s="156"/>
      <c r="EP68" s="156"/>
      <c r="EQ68" s="156"/>
      <c r="ER68" s="156"/>
      <c r="ES68" s="156"/>
      <c r="ET68" s="156"/>
      <c r="EU68" s="156"/>
      <c r="EV68" s="156"/>
      <c r="EW68" s="156"/>
      <c r="EX68" s="156"/>
      <c r="EY68" s="156"/>
      <c r="EZ68" s="156"/>
      <c r="FA68" s="156"/>
      <c r="FB68" s="156"/>
      <c r="FC68" s="156"/>
      <c r="FD68" s="156"/>
      <c r="FE68" s="156"/>
      <c r="FF68" s="156"/>
      <c r="FG68" s="156"/>
      <c r="FH68" s="156"/>
      <c r="FI68" s="156"/>
      <c r="FJ68" s="156"/>
      <c r="FK68" s="156"/>
      <c r="FL68" s="156"/>
      <c r="FM68" s="156"/>
      <c r="FN68" s="156"/>
      <c r="FO68" s="50"/>
      <c r="FP68" s="50"/>
      <c r="FQ68" s="50"/>
      <c r="FR68" s="50"/>
      <c r="FS68" s="242"/>
      <c r="FT68" s="50"/>
      <c r="FU68" s="50"/>
      <c r="FV68" s="50"/>
      <c r="FW68" s="50"/>
      <c r="FX68" s="50"/>
      <c r="FY68" s="50"/>
      <c r="FZ68" s="156"/>
      <c r="GA68" s="156"/>
      <c r="GB68" s="156"/>
      <c r="GC68" s="156"/>
      <c r="GD68" s="156"/>
      <c r="GE68" s="156"/>
      <c r="GF68" s="156"/>
      <c r="GG68" s="156"/>
      <c r="GH68" s="156"/>
      <c r="GI68" s="156"/>
      <c r="GJ68" s="156"/>
      <c r="GK68" s="156"/>
      <c r="GL68" s="279"/>
      <c r="GM68" s="279"/>
      <c r="GN68" s="430"/>
      <c r="GO68" s="430"/>
      <c r="GP68" s="288"/>
      <c r="GQ68" s="156"/>
      <c r="GR68" s="279"/>
      <c r="GS68" s="279"/>
      <c r="GT68" s="430"/>
      <c r="GU68" s="430"/>
      <c r="GV68" s="288"/>
      <c r="GW68" s="156"/>
      <c r="GX68" s="279"/>
      <c r="GY68" s="279"/>
      <c r="GZ68" s="430"/>
      <c r="HA68" s="430"/>
      <c r="HB68" s="288"/>
      <c r="HC68" s="242"/>
      <c r="HD68" s="242"/>
      <c r="HE68" s="242"/>
      <c r="HF68" s="242"/>
      <c r="HG68" s="242"/>
      <c r="HH68" s="242"/>
      <c r="HI68" s="242"/>
      <c r="HJ68" s="242"/>
      <c r="HK68" s="242"/>
      <c r="HL68" s="242"/>
      <c r="HM68" s="442"/>
      <c r="HN68" s="442"/>
      <c r="HO68" s="442"/>
      <c r="HP68" s="31"/>
      <c r="HQ68" s="142"/>
      <c r="HR68" s="142"/>
      <c r="HS68" s="142"/>
      <c r="HT68" s="219"/>
      <c r="HU68" s="219"/>
      <c r="HV68" s="219"/>
      <c r="HW68" s="219"/>
      <c r="HX68" s="219"/>
      <c r="HY68" s="219"/>
      <c r="HZ68" s="219"/>
      <c r="IA68" s="219"/>
      <c r="IB68" s="219"/>
      <c r="IC68" s="104"/>
      <c r="ID68" s="187"/>
      <c r="IE68" s="32"/>
      <c r="IF68" s="187"/>
      <c r="IG68" s="188"/>
      <c r="IH68" s="188"/>
      <c r="II68" s="191"/>
      <c r="IJ68" s="188"/>
      <c r="IK68" s="191"/>
      <c r="IL68" s="188"/>
      <c r="IM68" s="188"/>
      <c r="IN68" s="188"/>
      <c r="IO68" s="188"/>
      <c r="IP68" s="442"/>
      <c r="IQ68" s="442"/>
      <c r="IR68" s="442"/>
      <c r="IS68" s="442"/>
      <c r="IT68" s="442"/>
      <c r="IU68" s="442"/>
      <c r="IV68" s="442"/>
      <c r="IW68" s="442"/>
      <c r="IX68" s="442"/>
      <c r="IY68" s="442"/>
      <c r="IZ68" s="442"/>
      <c r="JA68" s="442"/>
      <c r="JB68" s="442"/>
      <c r="JC68" s="442"/>
      <c r="JD68" s="442"/>
      <c r="JE68" s="442"/>
      <c r="JF68" s="442"/>
      <c r="JG68" s="442"/>
      <c r="JH68" s="442"/>
      <c r="JI68" s="442"/>
      <c r="JJ68" s="442"/>
      <c r="JK68" s="442"/>
      <c r="JL68" s="442"/>
      <c r="JM68" s="442"/>
      <c r="JN68" s="442"/>
      <c r="JO68" s="442"/>
      <c r="JP68" s="442"/>
      <c r="JQ68" s="442"/>
      <c r="JR68" s="442"/>
      <c r="JS68" s="442"/>
      <c r="JT68" s="442"/>
      <c r="JU68" s="442"/>
      <c r="JV68" s="442"/>
      <c r="JW68" s="442"/>
      <c r="JX68" s="442"/>
      <c r="JY68" s="442"/>
      <c r="JZ68" s="442"/>
      <c r="KA68" s="442"/>
      <c r="KB68" s="442"/>
      <c r="KC68" s="442"/>
      <c r="KD68" s="442"/>
      <c r="KE68" s="442"/>
      <c r="KF68" s="442"/>
      <c r="KG68" s="442"/>
      <c r="KH68" s="442"/>
      <c r="KI68" s="442"/>
      <c r="KJ68" s="442"/>
      <c r="KK68" s="442"/>
      <c r="KL68" s="442"/>
      <c r="KM68" s="442"/>
      <c r="KN68" s="442"/>
      <c r="KO68" s="442"/>
      <c r="KP68" s="442"/>
      <c r="KQ68" s="442"/>
      <c r="KR68" s="442"/>
      <c r="KS68" s="442"/>
      <c r="KT68" s="442"/>
      <c r="KU68" s="442"/>
      <c r="KV68" s="442"/>
      <c r="KW68" s="442"/>
      <c r="KX68" s="442"/>
      <c r="KY68" s="442"/>
      <c r="KZ68" s="442"/>
      <c r="LA68" s="442"/>
      <c r="LB68" s="442"/>
      <c r="LC68" s="442"/>
      <c r="LD68" s="442"/>
      <c r="LE68" s="442"/>
      <c r="LF68" s="442"/>
      <c r="LG68" s="442"/>
      <c r="LH68" s="442"/>
      <c r="LI68" s="442"/>
      <c r="LJ68" s="442"/>
      <c r="LK68" s="442"/>
      <c r="LL68" s="442"/>
      <c r="LM68" s="442"/>
      <c r="LN68" s="442"/>
      <c r="LO68" s="442"/>
      <c r="LP68" s="442"/>
      <c r="LQ68" s="442"/>
      <c r="LR68" s="442"/>
      <c r="LS68" s="442"/>
      <c r="LT68" s="442"/>
      <c r="LU68" s="442"/>
      <c r="LV68" s="442"/>
      <c r="LW68" s="442"/>
      <c r="LX68" s="442"/>
      <c r="LY68" s="442"/>
      <c r="LZ68" s="442"/>
      <c r="MA68" s="442"/>
      <c r="MB68" s="442"/>
      <c r="MC68" s="442"/>
      <c r="MD68" s="442"/>
      <c r="ME68" s="442"/>
      <c r="MF68" s="442"/>
      <c r="MG68" s="442"/>
      <c r="MH68" s="442"/>
      <c r="MI68" s="442"/>
      <c r="MJ68" s="442"/>
      <c r="MK68" s="442"/>
      <c r="ML68" s="442"/>
      <c r="MM68" s="442"/>
      <c r="MN68" s="442"/>
      <c r="MO68" s="442"/>
      <c r="MP68" s="442"/>
      <c r="MQ68" s="442"/>
      <c r="MR68" s="442"/>
      <c r="MS68" s="442"/>
      <c r="MT68" s="442"/>
      <c r="MU68" s="442"/>
      <c r="MV68" s="442"/>
      <c r="MW68" s="442"/>
      <c r="MX68" s="442"/>
      <c r="MY68" s="442"/>
      <c r="MZ68" s="442"/>
      <c r="NA68" s="442"/>
      <c r="NB68" s="442"/>
      <c r="NC68" s="442"/>
      <c r="NT68" s="149" t="s">
        <v>155</v>
      </c>
    </row>
    <row r="69" spans="1:407" ht="14.1" customHeight="1" x14ac:dyDescent="0.2">
      <c r="A69" s="156"/>
      <c r="B69" s="156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156"/>
      <c r="R69" s="156"/>
      <c r="S69" s="156"/>
      <c r="T69" s="156"/>
      <c r="U69" s="156"/>
      <c r="V69" s="156"/>
      <c r="W69" s="156"/>
      <c r="X69" s="156"/>
      <c r="Y69" s="156"/>
      <c r="Z69" s="156"/>
      <c r="AA69" s="156"/>
      <c r="AB69" s="156"/>
      <c r="AC69" s="156"/>
      <c r="AD69" s="156"/>
      <c r="AE69" s="156"/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156"/>
      <c r="CP69" s="50"/>
      <c r="CQ69" s="447"/>
      <c r="CR69" s="50"/>
      <c r="CS69" s="50"/>
      <c r="CT69" s="50"/>
      <c r="CU69" s="50"/>
      <c r="CV69" s="50"/>
      <c r="CW69" s="50"/>
      <c r="CX69" s="156"/>
      <c r="CY69" s="156"/>
      <c r="CZ69" s="156"/>
      <c r="DA69" s="156"/>
      <c r="DB69" s="156"/>
      <c r="DC69" s="156"/>
      <c r="DD69" s="156"/>
      <c r="DE69" s="156"/>
      <c r="DF69" s="156"/>
      <c r="DG69" s="156"/>
      <c r="DH69" s="156"/>
      <c r="DI69" s="156"/>
      <c r="DJ69" s="156"/>
      <c r="DK69" s="156"/>
      <c r="DL69" s="156"/>
      <c r="DM69" s="156"/>
      <c r="DN69" s="156"/>
      <c r="DO69" s="156"/>
      <c r="DP69" s="156"/>
      <c r="DQ69" s="156"/>
      <c r="DR69" s="156"/>
      <c r="DS69" s="156"/>
      <c r="DT69" s="156"/>
      <c r="DU69" s="156"/>
      <c r="DV69" s="156"/>
      <c r="DW69" s="156"/>
      <c r="DX69" s="156"/>
      <c r="DY69" s="156"/>
      <c r="DZ69" s="156"/>
      <c r="EA69" s="156"/>
      <c r="EB69" s="156"/>
      <c r="EC69" s="156"/>
      <c r="ED69" s="156"/>
      <c r="EE69" s="156"/>
      <c r="EF69" s="156"/>
      <c r="EG69" s="156"/>
      <c r="EH69" s="156"/>
      <c r="EI69" s="156"/>
      <c r="EJ69" s="156"/>
      <c r="EK69" s="156"/>
      <c r="EL69" s="156"/>
      <c r="EM69" s="156"/>
      <c r="EN69" s="156"/>
      <c r="EO69" s="156"/>
      <c r="EP69" s="156"/>
      <c r="EQ69" s="156"/>
      <c r="ER69" s="156"/>
      <c r="ES69" s="156"/>
      <c r="ET69" s="156"/>
      <c r="EU69" s="156"/>
      <c r="EV69" s="156"/>
      <c r="EW69" s="156"/>
      <c r="EX69" s="156"/>
      <c r="EY69" s="156"/>
      <c r="EZ69" s="156"/>
      <c r="FA69" s="156"/>
      <c r="FB69" s="156"/>
      <c r="FC69" s="156"/>
      <c r="FD69" s="156"/>
      <c r="FE69" s="156"/>
      <c r="FF69" s="156"/>
      <c r="FG69" s="156"/>
      <c r="FH69" s="156"/>
      <c r="FI69" s="156"/>
      <c r="FJ69" s="156"/>
      <c r="FK69" s="156"/>
      <c r="FL69" s="156"/>
      <c r="FM69" s="156"/>
      <c r="FN69" s="156"/>
      <c r="FO69" s="50"/>
      <c r="FP69" s="50"/>
      <c r="FQ69" s="50"/>
      <c r="FR69" s="50"/>
      <c r="FS69" s="242"/>
      <c r="FT69" s="50"/>
      <c r="FU69" s="50"/>
      <c r="FV69" s="50"/>
      <c r="FW69" s="50"/>
      <c r="FX69" s="50"/>
      <c r="FY69" s="50"/>
      <c r="FZ69" s="156"/>
      <c r="GA69" s="156"/>
      <c r="GB69" s="156"/>
      <c r="GC69" s="156"/>
      <c r="GD69" s="156"/>
      <c r="GE69" s="156"/>
      <c r="GF69" s="156"/>
      <c r="GG69" s="156"/>
      <c r="GH69" s="156"/>
      <c r="GI69" s="156"/>
      <c r="GJ69" s="156"/>
      <c r="GK69" s="156"/>
      <c r="GL69" s="279"/>
      <c r="GM69" s="279"/>
      <c r="GN69" s="430"/>
      <c r="GO69" s="430"/>
      <c r="GP69" s="288"/>
      <c r="GQ69" s="156"/>
      <c r="GR69" s="279"/>
      <c r="GS69" s="279"/>
      <c r="GT69" s="430"/>
      <c r="GU69" s="430"/>
      <c r="GV69" s="288"/>
      <c r="GW69" s="156"/>
      <c r="GX69" s="279"/>
      <c r="GY69" s="279"/>
      <c r="GZ69" s="430"/>
      <c r="HA69" s="430"/>
      <c r="HB69" s="288"/>
      <c r="HC69" s="242"/>
      <c r="HD69" s="242"/>
      <c r="HE69" s="242"/>
      <c r="HF69" s="242"/>
      <c r="HG69" s="242"/>
      <c r="HH69" s="242"/>
      <c r="HI69" s="242"/>
      <c r="HJ69" s="242"/>
      <c r="HK69" s="242"/>
      <c r="HL69" s="242"/>
      <c r="HM69" s="442"/>
      <c r="HN69" s="442"/>
      <c r="HO69" s="442"/>
      <c r="HP69" s="216" t="s">
        <v>177</v>
      </c>
      <c r="HQ69" s="442"/>
      <c r="HR69" s="442"/>
      <c r="HS69" s="442"/>
      <c r="HT69" s="561" t="str">
        <f>IF(H38=3,IL85,IF(H38=2,IL86,IL87))</f>
        <v>Both ends continuous.</v>
      </c>
      <c r="HU69" s="561"/>
      <c r="HV69" s="561"/>
      <c r="HW69" s="561"/>
      <c r="HX69" s="561"/>
      <c r="HY69" s="561"/>
      <c r="HZ69" s="561"/>
      <c r="IA69" s="442"/>
      <c r="IJ69" s="188"/>
      <c r="IK69" s="188"/>
      <c r="IL69" s="173" t="s">
        <v>180</v>
      </c>
      <c r="IM69" s="173"/>
      <c r="IN69" s="173"/>
      <c r="IO69" s="173"/>
      <c r="IP69" s="173"/>
      <c r="IQ69" s="173"/>
      <c r="IR69" s="173"/>
      <c r="IS69" s="445" t="s">
        <v>1</v>
      </c>
      <c r="IT69" s="176" t="s">
        <v>181</v>
      </c>
      <c r="IU69" s="173"/>
      <c r="IV69" s="173"/>
      <c r="IW69" s="445" t="s">
        <v>1</v>
      </c>
      <c r="IX69" s="553">
        <f>(HT73*100)/20</f>
        <v>7.5</v>
      </c>
      <c r="IY69" s="553"/>
      <c r="IZ69" s="553"/>
      <c r="JA69" s="173"/>
      <c r="JB69" s="553">
        <f>IX69*JB73</f>
        <v>6.2142857142857135</v>
      </c>
      <c r="JC69" s="553"/>
      <c r="JD69" s="553"/>
      <c r="JE69" s="559">
        <f>IF(IS84=0,JB69,IF(IS84=1,JB70,IF(IS84=2,JB71)))</f>
        <v>4.4387755102040813</v>
      </c>
      <c r="JF69" s="559"/>
      <c r="JG69" s="559"/>
      <c r="JH69" s="173"/>
      <c r="JI69" s="36"/>
      <c r="JJ69" s="442"/>
      <c r="JK69" s="442"/>
      <c r="JL69" s="442"/>
      <c r="JM69" s="442"/>
      <c r="JN69" s="442"/>
      <c r="JO69" s="442"/>
      <c r="JP69" s="442"/>
      <c r="JQ69" s="442"/>
      <c r="JR69" s="442"/>
      <c r="JS69" s="442"/>
      <c r="JT69" s="442"/>
      <c r="JU69" s="442"/>
      <c r="JV69" s="442"/>
      <c r="JW69" s="442"/>
      <c r="JX69" s="442"/>
      <c r="JY69" s="442"/>
      <c r="JZ69" s="442"/>
      <c r="KA69" s="442"/>
      <c r="KB69" s="442"/>
      <c r="KC69" s="442"/>
      <c r="KD69" s="442"/>
      <c r="KE69" s="442"/>
      <c r="KF69" s="442"/>
      <c r="KG69" s="442"/>
      <c r="KH69" s="442"/>
      <c r="KI69" s="442"/>
      <c r="KJ69" s="442"/>
      <c r="KK69" s="442"/>
      <c r="KL69" s="442"/>
      <c r="KM69" s="442"/>
      <c r="KN69" s="442"/>
      <c r="KO69" s="442"/>
      <c r="KP69" s="442"/>
      <c r="KQ69" s="442"/>
      <c r="KR69" s="442"/>
      <c r="KS69" s="442"/>
      <c r="KT69" s="442"/>
      <c r="KU69" s="442"/>
      <c r="KV69" s="442"/>
      <c r="KW69" s="442"/>
      <c r="KX69" s="442"/>
      <c r="KY69" s="442"/>
      <c r="KZ69" s="442"/>
      <c r="LA69" s="442"/>
      <c r="LB69" s="442"/>
      <c r="LC69" s="442"/>
      <c r="LD69" s="442"/>
      <c r="LE69" s="442"/>
      <c r="LF69" s="442"/>
      <c r="LG69" s="442"/>
      <c r="LH69" s="442"/>
      <c r="LI69" s="442"/>
      <c r="LJ69" s="442"/>
      <c r="LK69" s="442"/>
      <c r="LL69" s="442"/>
      <c r="LM69" s="442"/>
      <c r="LN69" s="442"/>
      <c r="LO69" s="442"/>
      <c r="LP69" s="442"/>
      <c r="LQ69" s="442"/>
      <c r="LR69" s="442"/>
      <c r="LS69" s="442"/>
      <c r="LT69" s="442"/>
      <c r="LU69" s="442"/>
      <c r="LV69" s="442"/>
      <c r="LW69" s="442"/>
      <c r="LX69" s="442"/>
      <c r="LY69" s="442"/>
      <c r="LZ69" s="442"/>
      <c r="MA69" s="442"/>
      <c r="MB69" s="442"/>
      <c r="MC69" s="442"/>
      <c r="MD69" s="442"/>
      <c r="ME69" s="442"/>
      <c r="MF69" s="442"/>
      <c r="MG69" s="442"/>
      <c r="MH69" s="442"/>
      <c r="MI69" s="442"/>
      <c r="MJ69" s="442"/>
      <c r="MK69" s="442"/>
      <c r="ML69" s="442"/>
      <c r="MM69" s="442"/>
      <c r="MN69" s="442"/>
      <c r="MO69" s="442"/>
      <c r="MP69" s="442"/>
      <c r="MQ69" s="442"/>
      <c r="MR69" s="442"/>
      <c r="MS69" s="442"/>
      <c r="MT69" s="442"/>
      <c r="MU69" s="442"/>
      <c r="MV69" s="442"/>
      <c r="MW69" s="442"/>
      <c r="MX69" s="442"/>
      <c r="MY69" s="442"/>
      <c r="MZ69" s="442"/>
      <c r="NA69" s="442"/>
      <c r="NB69" s="442"/>
      <c r="NC69" s="442"/>
      <c r="NT69" s="149" t="s">
        <v>22</v>
      </c>
      <c r="NU69" s="149">
        <v>0</v>
      </c>
      <c r="NV69" s="149">
        <v>0.2</v>
      </c>
      <c r="NW69" s="149">
        <v>0.4</v>
      </c>
      <c r="NX69" s="149">
        <v>0.6</v>
      </c>
      <c r="NY69" s="149">
        <v>0.8</v>
      </c>
      <c r="NZ69" s="149">
        <v>1</v>
      </c>
      <c r="OA69" s="149">
        <v>1.2</v>
      </c>
      <c r="OB69" s="149">
        <v>1.4</v>
      </c>
      <c r="OC69" s="149">
        <v>1.6</v>
      </c>
      <c r="OD69" s="149">
        <v>1.8</v>
      </c>
      <c r="OE69" s="149">
        <v>2</v>
      </c>
      <c r="OG69" s="189">
        <v>0</v>
      </c>
      <c r="OH69" s="189">
        <v>0.2</v>
      </c>
      <c r="OI69" s="189">
        <v>0.4</v>
      </c>
      <c r="OJ69" s="189">
        <v>0.6</v>
      </c>
      <c r="OK69" s="189">
        <v>0.8</v>
      </c>
      <c r="OL69" s="189">
        <v>1</v>
      </c>
      <c r="OM69" s="189">
        <v>1.2</v>
      </c>
      <c r="ON69" s="189">
        <v>1.4</v>
      </c>
      <c r="OO69" s="189">
        <v>1.6</v>
      </c>
      <c r="OP69" s="189">
        <v>1.8</v>
      </c>
      <c r="OQ69" s="189">
        <v>2</v>
      </c>
    </row>
    <row r="70" spans="1:407" ht="14.1" customHeight="1" x14ac:dyDescent="0.2">
      <c r="A70" s="156"/>
      <c r="B70" s="156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156"/>
      <c r="R70" s="156"/>
      <c r="S70" s="156"/>
      <c r="T70" s="156"/>
      <c r="U70" s="156"/>
      <c r="V70" s="156"/>
      <c r="W70" s="156"/>
      <c r="X70" s="156"/>
      <c r="Y70" s="156"/>
      <c r="Z70" s="156"/>
      <c r="AA70" s="156"/>
      <c r="AB70" s="156"/>
      <c r="AC70" s="156"/>
      <c r="AD70" s="156"/>
      <c r="AE70" s="156"/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156"/>
      <c r="CP70" s="50"/>
      <c r="CQ70" s="50"/>
      <c r="CR70" s="50"/>
      <c r="CS70" s="50"/>
      <c r="CT70" s="50"/>
      <c r="CU70" s="50"/>
      <c r="CV70" s="50"/>
      <c r="CW70" s="50"/>
      <c r="CX70" s="156"/>
      <c r="CY70" s="156"/>
      <c r="CZ70" s="156"/>
      <c r="DA70" s="156"/>
      <c r="DB70" s="156"/>
      <c r="DC70" s="156"/>
      <c r="DD70" s="156"/>
      <c r="DE70" s="156"/>
      <c r="DF70" s="156"/>
      <c r="DG70" s="156"/>
      <c r="DH70" s="156"/>
      <c r="DI70" s="156"/>
      <c r="DJ70" s="156"/>
      <c r="DK70" s="156"/>
      <c r="DL70" s="156"/>
      <c r="DM70" s="156"/>
      <c r="DN70" s="156"/>
      <c r="DO70" s="156"/>
      <c r="DP70" s="156"/>
      <c r="DQ70" s="156"/>
      <c r="DR70" s="156"/>
      <c r="DS70" s="156"/>
      <c r="DT70" s="156"/>
      <c r="DU70" s="156"/>
      <c r="DV70" s="156"/>
      <c r="DW70" s="156"/>
      <c r="DX70" s="156"/>
      <c r="DY70" s="156"/>
      <c r="DZ70" s="156"/>
      <c r="EA70" s="156"/>
      <c r="EB70" s="156"/>
      <c r="EC70" s="156"/>
      <c r="ED70" s="156"/>
      <c r="EE70" s="156"/>
      <c r="EF70" s="156"/>
      <c r="EG70" s="156"/>
      <c r="EH70" s="156"/>
      <c r="EI70" s="156"/>
      <c r="EJ70" s="156"/>
      <c r="EK70" s="156"/>
      <c r="EL70" s="156"/>
      <c r="EM70" s="156"/>
      <c r="EN70" s="156"/>
      <c r="EO70" s="156"/>
      <c r="EP70" s="156"/>
      <c r="EQ70" s="156"/>
      <c r="ER70" s="156"/>
      <c r="ES70" s="156"/>
      <c r="ET70" s="156"/>
      <c r="EU70" s="156"/>
      <c r="EV70" s="156"/>
      <c r="EW70" s="156"/>
      <c r="EX70" s="156"/>
      <c r="EY70" s="156"/>
      <c r="EZ70" s="156"/>
      <c r="FA70" s="156"/>
      <c r="FB70" s="156"/>
      <c r="FC70" s="156"/>
      <c r="FD70" s="156"/>
      <c r="FE70" s="156"/>
      <c r="FF70" s="156"/>
      <c r="FG70" s="156"/>
      <c r="FH70" s="156"/>
      <c r="FI70" s="156"/>
      <c r="FJ70" s="156"/>
      <c r="FK70" s="156"/>
      <c r="FL70" s="156"/>
      <c r="FM70" s="156"/>
      <c r="FN70" s="156"/>
      <c r="FO70" s="50"/>
      <c r="FP70" s="50"/>
      <c r="FQ70" s="50"/>
      <c r="FR70" s="50"/>
      <c r="FS70" s="242"/>
      <c r="FT70" s="50"/>
      <c r="FU70" s="50"/>
      <c r="FV70" s="50"/>
      <c r="FW70" s="50"/>
      <c r="FX70" s="50"/>
      <c r="FY70" s="50"/>
      <c r="FZ70" s="156"/>
      <c r="GA70" s="156"/>
      <c r="GB70" s="156"/>
      <c r="GC70" s="156"/>
      <c r="GD70" s="156"/>
      <c r="GE70" s="156"/>
      <c r="GF70" s="156"/>
      <c r="GG70" s="156"/>
      <c r="GH70" s="156"/>
      <c r="GI70" s="156"/>
      <c r="GJ70" s="156"/>
      <c r="GK70" s="156"/>
      <c r="GL70" s="279"/>
      <c r="GM70" s="279"/>
      <c r="GN70" s="430"/>
      <c r="GO70" s="430"/>
      <c r="GP70" s="288"/>
      <c r="GQ70" s="156"/>
      <c r="GR70" s="279"/>
      <c r="GS70" s="279"/>
      <c r="GT70" s="430"/>
      <c r="GU70" s="430"/>
      <c r="GV70" s="288"/>
      <c r="GW70" s="156"/>
      <c r="GX70" s="279"/>
      <c r="GY70" s="279"/>
      <c r="GZ70" s="430"/>
      <c r="HA70" s="430"/>
      <c r="HB70" s="288"/>
      <c r="HC70" s="242"/>
      <c r="HD70" s="242"/>
      <c r="HE70" s="242"/>
      <c r="HF70" s="242"/>
      <c r="HG70" s="242"/>
      <c r="HH70" s="242"/>
      <c r="HI70" s="242"/>
      <c r="HJ70" s="242"/>
      <c r="HK70" s="242"/>
      <c r="HL70" s="242"/>
      <c r="HM70" s="442"/>
      <c r="HN70" s="442"/>
      <c r="HO70" s="442"/>
      <c r="HP70" s="442" t="s">
        <v>3</v>
      </c>
      <c r="HQ70" s="442"/>
      <c r="HR70" s="442"/>
      <c r="HS70" s="442" t="s">
        <v>1</v>
      </c>
      <c r="HT70" s="531">
        <f>H8</f>
        <v>150</v>
      </c>
      <c r="HU70" s="531"/>
      <c r="HV70" s="531"/>
      <c r="HW70" s="441" t="s">
        <v>2</v>
      </c>
      <c r="HX70" s="442"/>
      <c r="HY70" s="442"/>
      <c r="HZ70" s="442"/>
      <c r="IA70" s="442"/>
      <c r="IB70" s="460" t="s">
        <v>12</v>
      </c>
      <c r="IE70" s="149" t="s">
        <v>1</v>
      </c>
      <c r="IF70" s="560">
        <f>2400*(W17/100)</f>
        <v>240</v>
      </c>
      <c r="IG70" s="560"/>
      <c r="IH70" s="560"/>
      <c r="IJ70" s="14"/>
      <c r="IK70" s="14"/>
      <c r="IL70" s="173" t="s">
        <v>182</v>
      </c>
      <c r="IM70" s="173"/>
      <c r="IN70" s="173"/>
      <c r="IO70" s="173"/>
      <c r="IP70" s="173"/>
      <c r="IQ70" s="173"/>
      <c r="IR70" s="173"/>
      <c r="IS70" s="445" t="s">
        <v>1</v>
      </c>
      <c r="IT70" s="176" t="s">
        <v>183</v>
      </c>
      <c r="IU70" s="173"/>
      <c r="IV70" s="173"/>
      <c r="IW70" s="445" t="s">
        <v>1</v>
      </c>
      <c r="IX70" s="553">
        <f>(HT73*100)/24</f>
        <v>6.25</v>
      </c>
      <c r="IY70" s="553"/>
      <c r="IZ70" s="553"/>
      <c r="JA70" s="173"/>
      <c r="JB70" s="553">
        <f>IX70*JB73</f>
        <v>5.1785714285714279</v>
      </c>
      <c r="JC70" s="553"/>
      <c r="JD70" s="553"/>
      <c r="JE70" s="173"/>
      <c r="JF70" s="173"/>
      <c r="JG70" s="173"/>
      <c r="JH70" s="173"/>
      <c r="JI70" s="36"/>
      <c r="JJ70" s="442"/>
      <c r="JK70" s="442"/>
      <c r="JL70" s="442"/>
      <c r="JM70" s="442"/>
      <c r="JN70" s="442"/>
      <c r="JO70" s="442"/>
      <c r="JP70" s="442"/>
      <c r="JQ70" s="442"/>
      <c r="JR70" s="442"/>
      <c r="JS70" s="442"/>
      <c r="JT70" s="442"/>
      <c r="JU70" s="442"/>
      <c r="JV70" s="442"/>
      <c r="JW70" s="442"/>
      <c r="JX70" s="442"/>
      <c r="JY70" s="442"/>
      <c r="JZ70" s="442"/>
      <c r="KA70" s="442"/>
      <c r="KB70" s="442"/>
      <c r="KC70" s="442"/>
      <c r="KD70" s="442"/>
      <c r="KE70" s="442"/>
      <c r="KF70" s="442"/>
      <c r="KG70" s="442"/>
      <c r="KH70" s="442"/>
      <c r="KI70" s="442"/>
      <c r="KJ70" s="442"/>
      <c r="KK70" s="442"/>
      <c r="KL70" s="442"/>
      <c r="KM70" s="442"/>
      <c r="KN70" s="442"/>
      <c r="KO70" s="442"/>
      <c r="KP70" s="442"/>
      <c r="KQ70" s="442"/>
      <c r="KR70" s="442"/>
      <c r="KS70" s="442"/>
      <c r="KT70" s="442"/>
      <c r="KU70" s="442"/>
      <c r="KV70" s="442"/>
      <c r="KW70" s="442"/>
      <c r="KX70" s="442"/>
      <c r="KY70" s="442"/>
      <c r="KZ70" s="442"/>
      <c r="LA70" s="442"/>
      <c r="LB70" s="442"/>
      <c r="LC70" s="442"/>
      <c r="LD70" s="442"/>
      <c r="LE70" s="442"/>
      <c r="LF70" s="442"/>
      <c r="LG70" s="442"/>
      <c r="LH70" s="442"/>
      <c r="LI70" s="442"/>
      <c r="LJ70" s="442"/>
      <c r="LK70" s="442"/>
      <c r="LL70" s="442"/>
      <c r="LM70" s="442"/>
      <c r="LN70" s="442"/>
      <c r="LO70" s="442"/>
      <c r="LP70" s="442"/>
      <c r="LQ70" s="442"/>
      <c r="LR70" s="442"/>
      <c r="LS70" s="442"/>
      <c r="LT70" s="442"/>
      <c r="LU70" s="442"/>
      <c r="LV70" s="442"/>
      <c r="LW70" s="442"/>
      <c r="LX70" s="442"/>
      <c r="LY70" s="442"/>
      <c r="LZ70" s="442"/>
      <c r="MA70" s="442"/>
      <c r="MB70" s="442"/>
      <c r="MC70" s="442"/>
      <c r="MD70" s="442"/>
      <c r="ME70" s="442"/>
      <c r="MF70" s="442"/>
      <c r="MG70" s="442"/>
      <c r="MH70" s="442"/>
      <c r="MI70" s="442"/>
      <c r="MJ70" s="442"/>
      <c r="MK70" s="442"/>
      <c r="ML70" s="442"/>
      <c r="MM70" s="442"/>
      <c r="MN70" s="442"/>
      <c r="MO70" s="442"/>
      <c r="MP70" s="442"/>
      <c r="MQ70" s="442"/>
      <c r="MR70" s="442"/>
      <c r="MS70" s="442"/>
      <c r="MT70" s="442"/>
      <c r="MU70" s="442"/>
      <c r="MV70" s="442"/>
      <c r="MW70" s="442"/>
      <c r="MX70" s="442"/>
      <c r="MY70" s="442"/>
      <c r="MZ70" s="442"/>
      <c r="NA70" s="442"/>
      <c r="NB70" s="442"/>
      <c r="NC70" s="442"/>
      <c r="NT70" s="149" t="s">
        <v>23</v>
      </c>
      <c r="NU70" s="149">
        <f>(-W17+H30-2.5+1.5)/100</f>
        <v>-0.08</v>
      </c>
      <c r="NV70" s="149">
        <f>NU70</f>
        <v>-0.08</v>
      </c>
      <c r="NW70" s="149">
        <f>NU70</f>
        <v>-0.08</v>
      </c>
      <c r="NX70" s="149">
        <f>NU70</f>
        <v>-0.08</v>
      </c>
      <c r="NY70" s="149">
        <f>NU70</f>
        <v>-0.08</v>
      </c>
      <c r="NZ70" s="149">
        <f>NU70</f>
        <v>-0.08</v>
      </c>
      <c r="OA70" s="149">
        <f>NU70</f>
        <v>-0.08</v>
      </c>
      <c r="OB70" s="149">
        <f>NU70</f>
        <v>-0.08</v>
      </c>
      <c r="OC70" s="149">
        <f>NU70</f>
        <v>-0.08</v>
      </c>
      <c r="OD70" s="149">
        <f>NU70</f>
        <v>-0.08</v>
      </c>
      <c r="OE70" s="149">
        <f>NU70</f>
        <v>-0.08</v>
      </c>
      <c r="OG70" s="189">
        <f>(-H28+H30-2.5)/100</f>
        <v>-9.5000000000000001E-2</v>
      </c>
      <c r="OH70" s="189">
        <f>OG70</f>
        <v>-9.5000000000000001E-2</v>
      </c>
      <c r="OI70" s="189">
        <f>OG70</f>
        <v>-9.5000000000000001E-2</v>
      </c>
      <c r="OJ70" s="189">
        <f>OG70</f>
        <v>-9.5000000000000001E-2</v>
      </c>
      <c r="OK70" s="189">
        <f>OG70</f>
        <v>-9.5000000000000001E-2</v>
      </c>
      <c r="OL70" s="189">
        <f>OG70</f>
        <v>-9.5000000000000001E-2</v>
      </c>
      <c r="OM70" s="189">
        <f>OG70</f>
        <v>-9.5000000000000001E-2</v>
      </c>
      <c r="ON70" s="189">
        <f>OG70</f>
        <v>-9.5000000000000001E-2</v>
      </c>
      <c r="OO70" s="189">
        <f>OG70</f>
        <v>-9.5000000000000001E-2</v>
      </c>
      <c r="OP70" s="189">
        <f>OG70</f>
        <v>-9.5000000000000001E-2</v>
      </c>
      <c r="OQ70" s="189">
        <f>OG70</f>
        <v>-9.5000000000000001E-2</v>
      </c>
    </row>
    <row r="71" spans="1:407" ht="14.1" customHeight="1" x14ac:dyDescent="0.2">
      <c r="A71" s="156"/>
      <c r="B71" s="156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156"/>
      <c r="R71" s="156"/>
      <c r="S71" s="156"/>
      <c r="T71" s="156"/>
      <c r="U71" s="156"/>
      <c r="V71" s="156"/>
      <c r="W71" s="156"/>
      <c r="X71" s="156"/>
      <c r="Y71" s="156"/>
      <c r="Z71" s="156"/>
      <c r="AA71" s="156"/>
      <c r="AB71" s="156"/>
      <c r="AC71" s="156"/>
      <c r="AD71" s="156"/>
      <c r="AE71" s="156"/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156"/>
      <c r="CP71" s="156"/>
      <c r="CQ71" s="156"/>
      <c r="CR71" s="156"/>
      <c r="CS71" s="156"/>
      <c r="CT71" s="156"/>
      <c r="CU71" s="156"/>
      <c r="CV71" s="156"/>
      <c r="CW71" s="156"/>
      <c r="CX71" s="156"/>
      <c r="CY71" s="156"/>
      <c r="CZ71" s="156"/>
      <c r="DA71" s="156"/>
      <c r="DB71" s="156"/>
      <c r="DC71" s="156"/>
      <c r="DD71" s="156"/>
      <c r="DE71" s="156"/>
      <c r="DF71" s="156"/>
      <c r="DG71" s="156"/>
      <c r="DH71" s="156"/>
      <c r="DI71" s="156"/>
      <c r="DJ71" s="156"/>
      <c r="DK71" s="156"/>
      <c r="DL71" s="156"/>
      <c r="DM71" s="156"/>
      <c r="DN71" s="156"/>
      <c r="DO71" s="156"/>
      <c r="DP71" s="156"/>
      <c r="DQ71" s="156"/>
      <c r="DR71" s="156"/>
      <c r="DS71" s="156"/>
      <c r="DT71" s="156"/>
      <c r="DU71" s="156"/>
      <c r="DV71" s="156"/>
      <c r="DW71" s="156"/>
      <c r="DX71" s="156"/>
      <c r="DY71" s="156"/>
      <c r="DZ71" s="156"/>
      <c r="EA71" s="156"/>
      <c r="EB71" s="156"/>
      <c r="EC71" s="156"/>
      <c r="ED71" s="156"/>
      <c r="EE71" s="156"/>
      <c r="EF71" s="156"/>
      <c r="EG71" s="156"/>
      <c r="EH71" s="156"/>
      <c r="EI71" s="156"/>
      <c r="EJ71" s="156"/>
      <c r="EK71" s="156"/>
      <c r="EL71" s="156"/>
      <c r="EM71" s="156"/>
      <c r="EN71" s="156"/>
      <c r="EO71" s="156"/>
      <c r="EP71" s="156"/>
      <c r="EQ71" s="156"/>
      <c r="ER71" s="156"/>
      <c r="ES71" s="156"/>
      <c r="ET71" s="156"/>
      <c r="EU71" s="156"/>
      <c r="EV71" s="156"/>
      <c r="EW71" s="156"/>
      <c r="EX71" s="156"/>
      <c r="EY71" s="156"/>
      <c r="EZ71" s="156"/>
      <c r="FA71" s="156"/>
      <c r="FB71" s="156"/>
      <c r="FC71" s="156"/>
      <c r="FD71" s="156"/>
      <c r="FE71" s="156"/>
      <c r="FF71" s="156"/>
      <c r="FG71" s="156"/>
      <c r="FH71" s="156"/>
      <c r="FI71" s="156"/>
      <c r="FJ71" s="156"/>
      <c r="FK71" s="156"/>
      <c r="FL71" s="156"/>
      <c r="FM71" s="156"/>
      <c r="FN71" s="156"/>
      <c r="FO71" s="156"/>
      <c r="FP71" s="156"/>
      <c r="FQ71" s="156"/>
      <c r="FR71" s="156"/>
      <c r="FS71" s="242"/>
      <c r="FT71" s="156"/>
      <c r="FU71" s="156"/>
      <c r="FV71" s="156"/>
      <c r="FW71" s="156"/>
      <c r="FX71" s="156"/>
      <c r="FY71" s="156"/>
      <c r="FZ71" s="156"/>
      <c r="GA71" s="156"/>
      <c r="GB71" s="156"/>
      <c r="GC71" s="156"/>
      <c r="GD71" s="156"/>
      <c r="GE71" s="156"/>
      <c r="GF71" s="156"/>
      <c r="GG71" s="156"/>
      <c r="GH71" s="156"/>
      <c r="GI71" s="156"/>
      <c r="GJ71" s="156"/>
      <c r="GK71" s="156"/>
      <c r="GL71" s="279"/>
      <c r="GM71" s="279"/>
      <c r="GN71" s="430"/>
      <c r="GO71" s="430"/>
      <c r="GP71" s="288"/>
      <c r="GQ71" s="156"/>
      <c r="GR71" s="279"/>
      <c r="GS71" s="279"/>
      <c r="GT71" s="430"/>
      <c r="GU71" s="430"/>
      <c r="GV71" s="288"/>
      <c r="GW71" s="156"/>
      <c r="GX71" s="279"/>
      <c r="GY71" s="279"/>
      <c r="GZ71" s="430"/>
      <c r="HA71" s="430"/>
      <c r="HB71" s="288"/>
      <c r="HC71" s="242"/>
      <c r="HD71" s="242"/>
      <c r="HE71" s="242"/>
      <c r="HF71" s="242"/>
      <c r="HG71" s="242"/>
      <c r="HH71" s="242"/>
      <c r="HI71" s="242"/>
      <c r="HJ71" s="242"/>
      <c r="HK71" s="242"/>
      <c r="HL71" s="242"/>
      <c r="HM71" s="442"/>
      <c r="HN71" s="442"/>
      <c r="HO71" s="442"/>
      <c r="HP71" s="37" t="s">
        <v>184</v>
      </c>
      <c r="HQ71" s="442"/>
      <c r="HR71" s="442"/>
      <c r="HS71" s="442" t="s">
        <v>1</v>
      </c>
      <c r="HT71" s="531">
        <f>H4</f>
        <v>3000</v>
      </c>
      <c r="HU71" s="531"/>
      <c r="HV71" s="531"/>
      <c r="HW71" s="441" t="s">
        <v>2</v>
      </c>
      <c r="HX71" s="442"/>
      <c r="HY71" s="442"/>
      <c r="HZ71" s="442"/>
      <c r="IA71" s="442"/>
      <c r="IB71" s="442" t="s">
        <v>56</v>
      </c>
      <c r="IE71" s="149" t="s">
        <v>1</v>
      </c>
      <c r="IF71" s="558">
        <f>IF(H20="1.7DL + 2.0LL",1.7,IF(H20="1.4DL + 1.7LL",1.4,IF(H20="LL",0,1)))</f>
        <v>1.7</v>
      </c>
      <c r="IG71" s="558"/>
      <c r="IH71" s="558"/>
      <c r="IJ71" s="14"/>
      <c r="IK71" s="14"/>
      <c r="IL71" s="173" t="s">
        <v>185</v>
      </c>
      <c r="IM71" s="173"/>
      <c r="IN71" s="173"/>
      <c r="IO71" s="173"/>
      <c r="IP71" s="173"/>
      <c r="IQ71" s="173"/>
      <c r="IR71" s="173"/>
      <c r="IS71" s="445" t="s">
        <v>1</v>
      </c>
      <c r="IT71" s="176" t="s">
        <v>186</v>
      </c>
      <c r="IU71" s="173"/>
      <c r="IV71" s="173"/>
      <c r="IW71" s="445" t="s">
        <v>1</v>
      </c>
      <c r="IX71" s="553">
        <f>(HT73*100)/28</f>
        <v>5.3571428571428568</v>
      </c>
      <c r="IY71" s="553"/>
      <c r="IZ71" s="553"/>
      <c r="JA71" s="173"/>
      <c r="JB71" s="553">
        <f>IX71*JB73</f>
        <v>4.4387755102040813</v>
      </c>
      <c r="JC71" s="553"/>
      <c r="JD71" s="553"/>
      <c r="JE71" s="173"/>
      <c r="JF71" s="173"/>
      <c r="JG71" s="173"/>
      <c r="JH71" s="173"/>
      <c r="JI71" s="36"/>
      <c r="JJ71" s="442"/>
      <c r="JK71" s="442"/>
      <c r="JL71" s="442"/>
      <c r="JM71" s="442"/>
      <c r="JN71" s="442"/>
      <c r="JO71" s="442"/>
      <c r="JP71" s="442"/>
      <c r="JQ71" s="442"/>
      <c r="JR71" s="442"/>
      <c r="JS71" s="442"/>
      <c r="JT71" s="442"/>
      <c r="JU71" s="442"/>
      <c r="JV71" s="442"/>
      <c r="JW71" s="442"/>
      <c r="JX71" s="442"/>
      <c r="JY71" s="442"/>
      <c r="JZ71" s="442"/>
      <c r="KA71" s="442"/>
      <c r="KB71" s="442"/>
      <c r="KC71" s="442"/>
      <c r="KD71" s="442"/>
      <c r="KE71" s="442"/>
      <c r="KF71" s="442"/>
      <c r="KG71" s="442"/>
      <c r="KH71" s="442"/>
      <c r="KI71" s="442"/>
      <c r="KJ71" s="442"/>
      <c r="KK71" s="442"/>
      <c r="KL71" s="442"/>
      <c r="KM71" s="442"/>
      <c r="KN71" s="442"/>
      <c r="KO71" s="442"/>
      <c r="KP71" s="442"/>
      <c r="KQ71" s="442"/>
      <c r="KR71" s="442"/>
      <c r="KS71" s="442"/>
      <c r="KT71" s="442"/>
      <c r="KU71" s="442"/>
      <c r="KV71" s="442"/>
      <c r="KW71" s="442"/>
      <c r="KX71" s="442"/>
      <c r="KY71" s="442"/>
      <c r="KZ71" s="442"/>
      <c r="LA71" s="442"/>
      <c r="LB71" s="442"/>
      <c r="LC71" s="442"/>
      <c r="LD71" s="442"/>
      <c r="LE71" s="442"/>
      <c r="LF71" s="442"/>
      <c r="LG71" s="442"/>
      <c r="LH71" s="442"/>
      <c r="LI71" s="442"/>
      <c r="LJ71" s="442"/>
      <c r="LK71" s="442"/>
      <c r="LL71" s="442"/>
      <c r="LM71" s="442"/>
      <c r="LN71" s="442"/>
      <c r="LO71" s="442"/>
      <c r="LP71" s="442"/>
      <c r="LQ71" s="442"/>
      <c r="LR71" s="442"/>
      <c r="LS71" s="442"/>
      <c r="LT71" s="442"/>
      <c r="LU71" s="442"/>
      <c r="LV71" s="442"/>
      <c r="LW71" s="442"/>
      <c r="LX71" s="442"/>
      <c r="LY71" s="442"/>
      <c r="LZ71" s="442"/>
      <c r="MA71" s="442"/>
      <c r="MB71" s="442"/>
      <c r="MC71" s="442"/>
      <c r="MD71" s="442"/>
      <c r="ME71" s="442"/>
      <c r="MF71" s="442"/>
      <c r="MG71" s="442"/>
      <c r="MH71" s="442"/>
      <c r="MI71" s="442"/>
      <c r="MJ71" s="442"/>
      <c r="MK71" s="442"/>
      <c r="ML71" s="442"/>
      <c r="MM71" s="442"/>
      <c r="MN71" s="442"/>
      <c r="MO71" s="442"/>
      <c r="MP71" s="442"/>
      <c r="MQ71" s="442"/>
      <c r="MR71" s="442"/>
      <c r="MS71" s="442"/>
      <c r="MT71" s="442"/>
      <c r="MU71" s="442"/>
      <c r="MV71" s="442"/>
      <c r="MW71" s="442"/>
      <c r="MX71" s="442"/>
      <c r="MY71" s="442"/>
      <c r="MZ71" s="442"/>
      <c r="NA71" s="442"/>
      <c r="NB71" s="442"/>
      <c r="NC71" s="442"/>
      <c r="NT71" s="149" t="s">
        <v>156</v>
      </c>
    </row>
    <row r="72" spans="1:407" ht="14.1" customHeight="1" x14ac:dyDescent="0.2">
      <c r="A72" s="156"/>
      <c r="B72" s="156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156"/>
      <c r="R72" s="156"/>
      <c r="S72" s="156"/>
      <c r="T72" s="156"/>
      <c r="U72" s="156"/>
      <c r="V72" s="156"/>
      <c r="W72" s="156"/>
      <c r="X72" s="156"/>
      <c r="Y72" s="156"/>
      <c r="Z72" s="156"/>
      <c r="AA72" s="156"/>
      <c r="AB72" s="156"/>
      <c r="AC72" s="156"/>
      <c r="AD72" s="156"/>
      <c r="AE72" s="156"/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156"/>
      <c r="CP72" s="156"/>
      <c r="CQ72" s="156"/>
      <c r="CR72" s="156"/>
      <c r="CS72" s="156"/>
      <c r="CT72" s="156"/>
      <c r="CU72" s="156"/>
      <c r="CV72" s="156"/>
      <c r="CW72" s="156"/>
      <c r="CX72" s="156"/>
      <c r="CY72" s="156"/>
      <c r="CZ72" s="156"/>
      <c r="DA72" s="156"/>
      <c r="DB72" s="156"/>
      <c r="DC72" s="156"/>
      <c r="DD72" s="156"/>
      <c r="DE72" s="156"/>
      <c r="DF72" s="156"/>
      <c r="DG72" s="156"/>
      <c r="DH72" s="156"/>
      <c r="DI72" s="156"/>
      <c r="DJ72" s="156"/>
      <c r="DK72" s="156"/>
      <c r="DL72" s="156"/>
      <c r="DM72" s="156"/>
      <c r="DN72" s="156"/>
      <c r="DO72" s="156"/>
      <c r="DP72" s="156"/>
      <c r="DQ72" s="156"/>
      <c r="DR72" s="156"/>
      <c r="DS72" s="156"/>
      <c r="DT72" s="156"/>
      <c r="DU72" s="156"/>
      <c r="DV72" s="156"/>
      <c r="DW72" s="156"/>
      <c r="DX72" s="156"/>
      <c r="DY72" s="156"/>
      <c r="DZ72" s="156"/>
      <c r="EA72" s="156"/>
      <c r="EB72" s="156"/>
      <c r="EC72" s="156"/>
      <c r="ED72" s="156"/>
      <c r="EE72" s="156"/>
      <c r="EF72" s="156"/>
      <c r="EG72" s="156"/>
      <c r="EH72" s="156"/>
      <c r="EI72" s="156"/>
      <c r="EJ72" s="156"/>
      <c r="EK72" s="156"/>
      <c r="EL72" s="156"/>
      <c r="EM72" s="156"/>
      <c r="EN72" s="156"/>
      <c r="EO72" s="156"/>
      <c r="EP72" s="156"/>
      <c r="EQ72" s="156"/>
      <c r="ER72" s="156"/>
      <c r="ES72" s="156"/>
      <c r="ET72" s="156"/>
      <c r="EU72" s="156"/>
      <c r="EV72" s="156"/>
      <c r="EW72" s="156"/>
      <c r="EX72" s="156"/>
      <c r="EY72" s="156"/>
      <c r="EZ72" s="156"/>
      <c r="FA72" s="156"/>
      <c r="FB72" s="156"/>
      <c r="FC72" s="156"/>
      <c r="FD72" s="156"/>
      <c r="FE72" s="156"/>
      <c r="FF72" s="156"/>
      <c r="FG72" s="156"/>
      <c r="FH72" s="156"/>
      <c r="FI72" s="156"/>
      <c r="FJ72" s="156"/>
      <c r="FK72" s="156"/>
      <c r="FL72" s="156"/>
      <c r="FM72" s="156"/>
      <c r="FN72" s="156"/>
      <c r="FO72" s="156"/>
      <c r="FP72" s="156"/>
      <c r="FQ72" s="156"/>
      <c r="FR72" s="156"/>
      <c r="FS72" s="242"/>
      <c r="FT72" s="156"/>
      <c r="FU72" s="156"/>
      <c r="FV72" s="156"/>
      <c r="FW72" s="156"/>
      <c r="FX72" s="156"/>
      <c r="FY72" s="156"/>
      <c r="FZ72" s="156"/>
      <c r="GA72" s="156"/>
      <c r="GB72" s="156"/>
      <c r="GC72" s="156"/>
      <c r="GD72" s="156"/>
      <c r="GE72" s="156"/>
      <c r="GF72" s="156"/>
      <c r="GG72" s="156"/>
      <c r="GH72" s="156"/>
      <c r="GI72" s="156"/>
      <c r="GJ72" s="156"/>
      <c r="GK72" s="156"/>
      <c r="GL72" s="279"/>
      <c r="GM72" s="279"/>
      <c r="GN72" s="430"/>
      <c r="GO72" s="430"/>
      <c r="GP72" s="288"/>
      <c r="GQ72" s="156"/>
      <c r="GR72" s="279"/>
      <c r="GS72" s="279"/>
      <c r="GT72" s="430"/>
      <c r="GU72" s="430"/>
      <c r="GV72" s="288"/>
      <c r="GW72" s="156"/>
      <c r="GX72" s="279"/>
      <c r="GY72" s="279"/>
      <c r="GZ72" s="430"/>
      <c r="HA72" s="430"/>
      <c r="HB72" s="288"/>
      <c r="HC72" s="242"/>
      <c r="HD72" s="242"/>
      <c r="HE72" s="242"/>
      <c r="HF72" s="242"/>
      <c r="HG72" s="242"/>
      <c r="HH72" s="242"/>
      <c r="HI72" s="242"/>
      <c r="HJ72" s="242"/>
      <c r="HK72" s="242"/>
      <c r="HL72" s="242"/>
      <c r="HM72" s="442"/>
      <c r="HN72" s="442"/>
      <c r="HO72" s="442"/>
      <c r="HP72" s="37" t="s">
        <v>55</v>
      </c>
      <c r="HQ72" s="442"/>
      <c r="HR72" s="442"/>
      <c r="HS72" s="442" t="s">
        <v>1</v>
      </c>
      <c r="HT72" s="531">
        <f>H6</f>
        <v>2400</v>
      </c>
      <c r="HU72" s="531"/>
      <c r="HV72" s="531"/>
      <c r="HW72" s="441" t="s">
        <v>2</v>
      </c>
      <c r="HX72" s="442"/>
      <c r="HY72" s="442"/>
      <c r="HZ72" s="442"/>
      <c r="IA72" s="442"/>
      <c r="IB72" s="442" t="s">
        <v>58</v>
      </c>
      <c r="IE72" s="149" t="s">
        <v>1</v>
      </c>
      <c r="IF72" s="558">
        <f>IF(H20="1.7DL + 2.0LL",2,IF(H20="1.4DL + 1.7LL",1.7,IF(H20="DL",0,1)))</f>
        <v>2</v>
      </c>
      <c r="IG72" s="558"/>
      <c r="IH72" s="558"/>
      <c r="IJ72" s="14"/>
      <c r="IK72" s="14"/>
      <c r="IL72" s="173" t="s">
        <v>187</v>
      </c>
      <c r="IM72" s="173"/>
      <c r="IN72" s="173"/>
      <c r="IO72" s="173"/>
      <c r="IP72" s="173"/>
      <c r="IQ72" s="173"/>
      <c r="IR72" s="173"/>
      <c r="IS72" s="445" t="s">
        <v>1</v>
      </c>
      <c r="IT72" s="176" t="s">
        <v>188</v>
      </c>
      <c r="IU72" s="173"/>
      <c r="IV72" s="173"/>
      <c r="IW72" s="445" t="s">
        <v>1</v>
      </c>
      <c r="IX72" s="553">
        <f>(HT73*100)/10</f>
        <v>15</v>
      </c>
      <c r="IY72" s="553"/>
      <c r="IZ72" s="553"/>
      <c r="JA72" s="173"/>
      <c r="JB72" s="553">
        <f>IX72*JB73</f>
        <v>12.428571428571427</v>
      </c>
      <c r="JC72" s="553"/>
      <c r="JD72" s="553"/>
      <c r="JE72" s="173"/>
      <c r="JF72" s="173"/>
      <c r="JG72" s="173"/>
      <c r="JH72" s="173"/>
      <c r="JI72" s="36"/>
      <c r="JJ72" s="442"/>
      <c r="JK72" s="442"/>
      <c r="JL72" s="442"/>
      <c r="JM72" s="442"/>
      <c r="JN72" s="442"/>
      <c r="JO72" s="442"/>
      <c r="JP72" s="442"/>
      <c r="JQ72" s="442"/>
      <c r="JR72" s="442"/>
      <c r="JS72" s="442"/>
      <c r="JT72" s="442"/>
      <c r="JU72" s="442"/>
      <c r="JV72" s="442"/>
      <c r="JW72" s="442"/>
      <c r="JX72" s="442"/>
      <c r="JY72" s="442"/>
      <c r="JZ72" s="442"/>
      <c r="KA72" s="442"/>
      <c r="KB72" s="442"/>
      <c r="KC72" s="442"/>
      <c r="KD72" s="442"/>
      <c r="KE72" s="442"/>
      <c r="KF72" s="442"/>
      <c r="KG72" s="442"/>
      <c r="KH72" s="442"/>
      <c r="KI72" s="442"/>
      <c r="KJ72" s="442"/>
      <c r="KK72" s="442"/>
      <c r="KL72" s="442"/>
      <c r="KM72" s="442"/>
      <c r="KN72" s="442"/>
      <c r="KO72" s="442"/>
      <c r="KP72" s="442"/>
      <c r="KQ72" s="442"/>
      <c r="KR72" s="442"/>
      <c r="KS72" s="442"/>
      <c r="KT72" s="442"/>
      <c r="KU72" s="442"/>
      <c r="KV72" s="442"/>
      <c r="KW72" s="442"/>
      <c r="KX72" s="442"/>
      <c r="KY72" s="442"/>
      <c r="KZ72" s="442"/>
      <c r="LA72" s="442"/>
      <c r="LB72" s="442"/>
      <c r="LC72" s="442"/>
      <c r="LD72" s="442"/>
      <c r="LE72" s="442"/>
      <c r="LF72" s="442"/>
      <c r="LG72" s="442"/>
      <c r="LH72" s="442"/>
      <c r="LI72" s="442"/>
      <c r="LJ72" s="442"/>
      <c r="LK72" s="442"/>
      <c r="LL72" s="442"/>
      <c r="LM72" s="442"/>
      <c r="LN72" s="442"/>
      <c r="LO72" s="442"/>
      <c r="LP72" s="442"/>
      <c r="LQ72" s="442"/>
      <c r="LR72" s="442"/>
      <c r="LS72" s="442"/>
      <c r="LT72" s="442"/>
      <c r="LU72" s="442"/>
      <c r="LV72" s="442"/>
      <c r="LW72" s="442"/>
      <c r="LX72" s="442"/>
      <c r="LY72" s="442"/>
      <c r="LZ72" s="442"/>
      <c r="MA72" s="442"/>
      <c r="MB72" s="442"/>
      <c r="MC72" s="442"/>
      <c r="MD72" s="442"/>
      <c r="ME72" s="442"/>
      <c r="MF72" s="442"/>
      <c r="MG72" s="442"/>
      <c r="MH72" s="442"/>
      <c r="MI72" s="442"/>
      <c r="MJ72" s="442"/>
      <c r="MK72" s="442"/>
      <c r="ML72" s="442"/>
      <c r="MM72" s="442"/>
      <c r="MN72" s="442"/>
      <c r="MO72" s="442"/>
      <c r="MP72" s="442"/>
      <c r="MQ72" s="442"/>
      <c r="MR72" s="442"/>
      <c r="MS72" s="442"/>
      <c r="MT72" s="442"/>
      <c r="MU72" s="442"/>
      <c r="MV72" s="442"/>
      <c r="MW72" s="442"/>
      <c r="MX72" s="442"/>
      <c r="MY72" s="442"/>
      <c r="MZ72" s="442"/>
      <c r="NA72" s="442"/>
      <c r="NB72" s="442"/>
      <c r="NC72" s="442"/>
      <c r="NT72" s="149" t="s">
        <v>22</v>
      </c>
      <c r="NU72" s="149">
        <f>NU69</f>
        <v>0</v>
      </c>
      <c r="NV72" s="149">
        <f>NV69</f>
        <v>0.2</v>
      </c>
      <c r="NW72" s="149">
        <f>NW69</f>
        <v>0.4</v>
      </c>
      <c r="NX72" s="149">
        <f>OC69</f>
        <v>1.6</v>
      </c>
      <c r="NY72" s="149">
        <f>OD69</f>
        <v>1.8</v>
      </c>
      <c r="NZ72" s="149">
        <f>OE69</f>
        <v>2</v>
      </c>
      <c r="OD72" s="189">
        <f>OG69</f>
        <v>0</v>
      </c>
      <c r="OE72" s="189">
        <f>OH69</f>
        <v>0.2</v>
      </c>
      <c r="OF72" s="189">
        <f>OI69</f>
        <v>0.4</v>
      </c>
      <c r="OG72" s="189">
        <f>OO69</f>
        <v>1.6</v>
      </c>
      <c r="OH72" s="189">
        <f>OP69</f>
        <v>1.8</v>
      </c>
      <c r="OI72" s="189">
        <f>OQ69</f>
        <v>2</v>
      </c>
    </row>
    <row r="73" spans="1:407" ht="14.1" customHeight="1" x14ac:dyDescent="0.2">
      <c r="A73" s="156"/>
      <c r="B73" s="156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156"/>
      <c r="R73" s="156"/>
      <c r="S73" s="156"/>
      <c r="T73" s="156"/>
      <c r="U73" s="156"/>
      <c r="V73" s="156"/>
      <c r="W73" s="156"/>
      <c r="X73" s="156"/>
      <c r="Y73" s="156"/>
      <c r="Z73" s="156"/>
      <c r="AA73" s="156"/>
      <c r="AB73" s="156"/>
      <c r="AC73" s="156"/>
      <c r="AD73" s="156"/>
      <c r="AE73" s="156"/>
      <c r="AF73" s="156"/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50"/>
      <c r="BD73" s="156"/>
      <c r="BE73" s="156"/>
      <c r="BF73" s="156"/>
      <c r="BG73" s="156"/>
      <c r="BH73" s="156"/>
      <c r="BI73" s="156"/>
      <c r="BJ73" s="156"/>
      <c r="BK73" s="156"/>
      <c r="BL73" s="156"/>
      <c r="BM73" s="156"/>
      <c r="BN73" s="156"/>
      <c r="BO73" s="156"/>
      <c r="BP73" s="156"/>
      <c r="BQ73" s="156"/>
      <c r="BR73" s="156"/>
      <c r="BS73" s="156"/>
      <c r="BT73" s="156"/>
      <c r="BU73" s="156"/>
      <c r="BV73" s="156"/>
      <c r="BW73" s="156"/>
      <c r="BX73" s="156"/>
      <c r="BY73" s="156"/>
      <c r="BZ73" s="156"/>
      <c r="CA73" s="156"/>
      <c r="CB73" s="156"/>
      <c r="CC73" s="156"/>
      <c r="CD73" s="156"/>
      <c r="CE73" s="156"/>
      <c r="CF73" s="156"/>
      <c r="CG73" s="156"/>
      <c r="CH73" s="156"/>
      <c r="CI73" s="156"/>
      <c r="CJ73" s="156"/>
      <c r="CK73" s="156"/>
      <c r="CL73" s="156"/>
      <c r="CM73" s="156"/>
      <c r="CN73" s="156"/>
      <c r="CO73" s="156"/>
      <c r="CP73" s="156"/>
      <c r="CQ73" s="156"/>
      <c r="CR73" s="156"/>
      <c r="CS73" s="156"/>
      <c r="CT73" s="156"/>
      <c r="CU73" s="156"/>
      <c r="CV73" s="156"/>
      <c r="CW73" s="156"/>
      <c r="CX73" s="156"/>
      <c r="CY73" s="156"/>
      <c r="CZ73" s="156"/>
      <c r="DA73" s="156"/>
      <c r="DB73" s="156"/>
      <c r="DC73" s="156"/>
      <c r="DD73" s="156"/>
      <c r="DE73" s="156"/>
      <c r="DF73" s="156"/>
      <c r="DG73" s="156"/>
      <c r="DH73" s="156"/>
      <c r="DI73" s="156"/>
      <c r="DJ73" s="156"/>
      <c r="DK73" s="156"/>
      <c r="DL73" s="156"/>
      <c r="DM73" s="156"/>
      <c r="DN73" s="156"/>
      <c r="DO73" s="156"/>
      <c r="DP73" s="156"/>
      <c r="DQ73" s="156"/>
      <c r="DR73" s="156"/>
      <c r="DS73" s="156"/>
      <c r="DT73" s="156"/>
      <c r="DU73" s="156"/>
      <c r="DV73" s="156"/>
      <c r="DW73" s="156"/>
      <c r="DX73" s="156"/>
      <c r="DY73" s="156"/>
      <c r="DZ73" s="156"/>
      <c r="EA73" s="156"/>
      <c r="EB73" s="156"/>
      <c r="EC73" s="156"/>
      <c r="ED73" s="156"/>
      <c r="EE73" s="156"/>
      <c r="EF73" s="156"/>
      <c r="EG73" s="156"/>
      <c r="EH73" s="156"/>
      <c r="EI73" s="156"/>
      <c r="EJ73" s="156"/>
      <c r="EK73" s="156"/>
      <c r="EL73" s="156"/>
      <c r="EM73" s="156"/>
      <c r="EN73" s="156"/>
      <c r="EO73" s="156"/>
      <c r="EP73" s="156"/>
      <c r="EQ73" s="156"/>
      <c r="ER73" s="156"/>
      <c r="ES73" s="156"/>
      <c r="ET73" s="156"/>
      <c r="EU73" s="156"/>
      <c r="EV73" s="156"/>
      <c r="EW73" s="156"/>
      <c r="EX73" s="156"/>
      <c r="EY73" s="156"/>
      <c r="EZ73" s="156"/>
      <c r="FA73" s="156"/>
      <c r="FB73" s="156"/>
      <c r="FC73" s="156"/>
      <c r="FD73" s="156"/>
      <c r="FE73" s="156"/>
      <c r="FF73" s="156"/>
      <c r="FG73" s="156"/>
      <c r="FH73" s="156"/>
      <c r="FI73" s="156"/>
      <c r="FJ73" s="156"/>
      <c r="FK73" s="156"/>
      <c r="FL73" s="156"/>
      <c r="FM73" s="156"/>
      <c r="FN73" s="156"/>
      <c r="FO73" s="156"/>
      <c r="FP73" s="156"/>
      <c r="FQ73" s="156"/>
      <c r="FR73" s="156"/>
      <c r="FS73" s="242"/>
      <c r="FT73" s="156"/>
      <c r="FU73" s="156"/>
      <c r="FV73" s="156"/>
      <c r="FW73" s="156"/>
      <c r="FX73" s="156"/>
      <c r="FY73" s="156"/>
      <c r="FZ73" s="156"/>
      <c r="GA73" s="156"/>
      <c r="GB73" s="156"/>
      <c r="GC73" s="156"/>
      <c r="GD73" s="156"/>
      <c r="GE73" s="156"/>
      <c r="GF73" s="156"/>
      <c r="GG73" s="156"/>
      <c r="GH73" s="156"/>
      <c r="GI73" s="156"/>
      <c r="GJ73" s="156"/>
      <c r="GK73" s="156"/>
      <c r="GL73" s="279"/>
      <c r="GM73" s="279"/>
      <c r="GN73" s="430"/>
      <c r="GO73" s="430"/>
      <c r="GP73" s="288"/>
      <c r="GQ73" s="156"/>
      <c r="GR73" s="279"/>
      <c r="GS73" s="279"/>
      <c r="GT73" s="430"/>
      <c r="GU73" s="430"/>
      <c r="GV73" s="288"/>
      <c r="GW73" s="156"/>
      <c r="GX73" s="279"/>
      <c r="GY73" s="279"/>
      <c r="GZ73" s="430"/>
      <c r="HA73" s="430"/>
      <c r="HB73" s="288"/>
      <c r="HC73" s="242"/>
      <c r="HD73" s="242"/>
      <c r="HE73" s="242"/>
      <c r="HF73" s="242"/>
      <c r="HG73" s="242"/>
      <c r="HH73" s="242"/>
      <c r="HI73" s="242"/>
      <c r="HJ73" s="242"/>
      <c r="HK73" s="242"/>
      <c r="HL73" s="242"/>
      <c r="HM73" s="442"/>
      <c r="HN73" s="442"/>
      <c r="HO73" s="442"/>
      <c r="HP73" s="460" t="s">
        <v>140</v>
      </c>
      <c r="HQ73" s="442"/>
      <c r="HR73" s="442" t="s">
        <v>189</v>
      </c>
      <c r="HS73" s="442" t="s">
        <v>1</v>
      </c>
      <c r="HT73" s="557">
        <f>H24</f>
        <v>1.5</v>
      </c>
      <c r="HU73" s="557"/>
      <c r="HV73" s="557"/>
      <c r="HW73" s="441" t="s">
        <v>13</v>
      </c>
      <c r="HX73" s="442"/>
      <c r="HY73" s="442"/>
      <c r="HZ73" s="442"/>
      <c r="IA73" s="442"/>
      <c r="IJ73" s="195"/>
      <c r="IK73" s="195"/>
      <c r="IL73" s="173" t="s">
        <v>190</v>
      </c>
      <c r="IM73" s="173"/>
      <c r="IN73" s="173"/>
      <c r="IO73" s="173"/>
      <c r="IP73" s="173"/>
      <c r="IQ73" s="173"/>
      <c r="IR73" s="173"/>
      <c r="IS73" s="173"/>
      <c r="IT73" s="173"/>
      <c r="IU73" s="173"/>
      <c r="IV73" s="173"/>
      <c r="IW73" s="173"/>
      <c r="IX73" s="173"/>
      <c r="IY73" s="173"/>
      <c r="IZ73" s="173"/>
      <c r="JA73" s="445" t="s">
        <v>1</v>
      </c>
      <c r="JB73" s="553">
        <f>IF(HT71=4000,1,0.4+(HT71/7000))</f>
        <v>0.82857142857142851</v>
      </c>
      <c r="JC73" s="553"/>
      <c r="JD73" s="553"/>
      <c r="JE73" s="173"/>
      <c r="JF73" s="173"/>
      <c r="JG73" s="173"/>
      <c r="JH73" s="173"/>
      <c r="JI73" s="36"/>
      <c r="JJ73" s="442"/>
      <c r="JK73" s="442"/>
      <c r="JL73" s="442"/>
      <c r="JM73" s="442"/>
      <c r="JN73" s="442"/>
      <c r="JO73" s="442"/>
      <c r="JP73" s="442"/>
      <c r="JQ73" s="442"/>
      <c r="JR73" s="442"/>
      <c r="JS73" s="442"/>
      <c r="JT73" s="442"/>
      <c r="JU73" s="442"/>
      <c r="JV73" s="442"/>
      <c r="JW73" s="442"/>
      <c r="JX73" s="442"/>
      <c r="JY73" s="442"/>
      <c r="JZ73" s="442"/>
      <c r="KA73" s="442"/>
      <c r="KB73" s="442"/>
      <c r="KC73" s="442"/>
      <c r="KD73" s="442"/>
      <c r="KE73" s="442"/>
      <c r="KF73" s="442"/>
      <c r="KG73" s="442"/>
      <c r="KH73" s="442"/>
      <c r="KI73" s="442"/>
      <c r="KJ73" s="442"/>
      <c r="KK73" s="442"/>
      <c r="KL73" s="442"/>
      <c r="KM73" s="442"/>
      <c r="KN73" s="442"/>
      <c r="KO73" s="442"/>
      <c r="KP73" s="442"/>
      <c r="KQ73" s="442"/>
      <c r="KR73" s="442"/>
      <c r="KS73" s="442"/>
      <c r="KT73" s="442"/>
      <c r="KU73" s="442"/>
      <c r="KV73" s="442"/>
      <c r="KW73" s="442"/>
      <c r="KX73" s="442"/>
      <c r="KY73" s="442"/>
      <c r="KZ73" s="442"/>
      <c r="LA73" s="442"/>
      <c r="LB73" s="442"/>
      <c r="LC73" s="442"/>
      <c r="LD73" s="442"/>
      <c r="LE73" s="442"/>
      <c r="LF73" s="442"/>
      <c r="LG73" s="442"/>
      <c r="LH73" s="442"/>
      <c r="LI73" s="442"/>
      <c r="LJ73" s="442"/>
      <c r="LK73" s="442"/>
      <c r="LL73" s="442"/>
      <c r="LM73" s="442"/>
      <c r="LN73" s="442"/>
      <c r="LO73" s="442"/>
      <c r="LP73" s="442"/>
      <c r="LQ73" s="442"/>
      <c r="LR73" s="442"/>
      <c r="LS73" s="442"/>
      <c r="LT73" s="442"/>
      <c r="LU73" s="442"/>
      <c r="LV73" s="442"/>
      <c r="LW73" s="442"/>
      <c r="LX73" s="442"/>
      <c r="LY73" s="442"/>
      <c r="LZ73" s="442"/>
      <c r="MA73" s="442"/>
      <c r="MB73" s="442"/>
      <c r="MC73" s="442"/>
      <c r="MD73" s="442"/>
      <c r="ME73" s="442"/>
      <c r="MF73" s="442"/>
      <c r="MG73" s="442"/>
      <c r="MH73" s="442"/>
      <c r="MI73" s="442"/>
      <c r="MJ73" s="442"/>
      <c r="MK73" s="442"/>
      <c r="ML73" s="442"/>
      <c r="MM73" s="442"/>
      <c r="MN73" s="442"/>
      <c r="MO73" s="442"/>
      <c r="MP73" s="442"/>
      <c r="MQ73" s="442"/>
      <c r="MR73" s="442"/>
      <c r="MS73" s="442"/>
      <c r="MT73" s="442"/>
      <c r="MU73" s="442"/>
      <c r="MV73" s="442"/>
      <c r="MW73" s="442"/>
      <c r="MX73" s="442"/>
      <c r="MY73" s="442"/>
      <c r="MZ73" s="442"/>
      <c r="NA73" s="442"/>
      <c r="NB73" s="442"/>
      <c r="NC73" s="442"/>
      <c r="NT73" s="149" t="s">
        <v>23</v>
      </c>
      <c r="NU73" s="149">
        <f>(-H30-1.5)/100</f>
        <v>-4.4999999999999998E-2</v>
      </c>
      <c r="NV73" s="149">
        <f>NU73</f>
        <v>-4.4999999999999998E-2</v>
      </c>
      <c r="NW73" s="149">
        <f>NU73</f>
        <v>-4.4999999999999998E-2</v>
      </c>
      <c r="NX73" s="149">
        <f>NU73</f>
        <v>-4.4999999999999998E-2</v>
      </c>
      <c r="NY73" s="149">
        <f>NU73</f>
        <v>-4.4999999999999998E-2</v>
      </c>
      <c r="NZ73" s="149">
        <f>NU73</f>
        <v>-4.4999999999999998E-2</v>
      </c>
      <c r="OD73" s="189">
        <f>(-H30)/100</f>
        <v>-0.03</v>
      </c>
      <c r="OE73" s="189">
        <f>OD73</f>
        <v>-0.03</v>
      </c>
      <c r="OF73" s="189">
        <f>OD73</f>
        <v>-0.03</v>
      </c>
      <c r="OG73" s="189">
        <f>OD73</f>
        <v>-0.03</v>
      </c>
      <c r="OH73" s="189">
        <f>OD73</f>
        <v>-0.03</v>
      </c>
      <c r="OI73" s="189">
        <f>OD73</f>
        <v>-0.03</v>
      </c>
    </row>
    <row r="74" spans="1:407" ht="14.1" customHeight="1" x14ac:dyDescent="0.2">
      <c r="A74" s="156"/>
      <c r="B74" s="156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156"/>
      <c r="R74" s="156"/>
      <c r="S74" s="156"/>
      <c r="T74" s="156"/>
      <c r="U74" s="156"/>
      <c r="V74" s="156"/>
      <c r="W74" s="156"/>
      <c r="X74" s="156"/>
      <c r="Y74" s="156"/>
      <c r="Z74" s="156"/>
      <c r="AA74" s="156"/>
      <c r="AB74" s="156"/>
      <c r="AC74" s="156"/>
      <c r="AD74" s="156"/>
      <c r="AE74" s="156"/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50"/>
      <c r="BD74" s="156"/>
      <c r="BE74" s="156"/>
      <c r="BF74" s="156"/>
      <c r="BG74" s="156"/>
      <c r="BH74" s="156"/>
      <c r="BI74" s="156"/>
      <c r="BJ74" s="156"/>
      <c r="BK74" s="156"/>
      <c r="BL74" s="156"/>
      <c r="BM74" s="156"/>
      <c r="BN74" s="156"/>
      <c r="BO74" s="156"/>
      <c r="BP74" s="156"/>
      <c r="BQ74" s="156"/>
      <c r="BR74" s="156"/>
      <c r="BS74" s="156"/>
      <c r="BT74" s="156"/>
      <c r="BU74" s="156"/>
      <c r="BV74" s="156"/>
      <c r="BW74" s="156"/>
      <c r="BX74" s="156"/>
      <c r="BY74" s="156"/>
      <c r="BZ74" s="156"/>
      <c r="CA74" s="156"/>
      <c r="CB74" s="156"/>
      <c r="CC74" s="156"/>
      <c r="CD74" s="156"/>
      <c r="CE74" s="156"/>
      <c r="CF74" s="156"/>
      <c r="CG74" s="156"/>
      <c r="CH74" s="156"/>
      <c r="CI74" s="156"/>
      <c r="CJ74" s="156"/>
      <c r="CK74" s="156"/>
      <c r="CL74" s="156"/>
      <c r="CM74" s="156"/>
      <c r="CN74" s="156"/>
      <c r="CO74" s="156"/>
      <c r="CP74" s="156"/>
      <c r="CQ74" s="156"/>
      <c r="CR74" s="156"/>
      <c r="CS74" s="156"/>
      <c r="CT74" s="156"/>
      <c r="CU74" s="156"/>
      <c r="CV74" s="156"/>
      <c r="CW74" s="156"/>
      <c r="CX74" s="156"/>
      <c r="CY74" s="156"/>
      <c r="CZ74" s="156"/>
      <c r="DA74" s="156"/>
      <c r="DB74" s="156"/>
      <c r="DC74" s="156"/>
      <c r="DD74" s="156"/>
      <c r="DE74" s="156"/>
      <c r="DF74" s="156"/>
      <c r="DG74" s="156"/>
      <c r="DH74" s="156"/>
      <c r="DI74" s="156"/>
      <c r="DJ74" s="156"/>
      <c r="DK74" s="156"/>
      <c r="DL74" s="156"/>
      <c r="DM74" s="156"/>
      <c r="DN74" s="156"/>
      <c r="DO74" s="156"/>
      <c r="DP74" s="156"/>
      <c r="DQ74" s="156"/>
      <c r="DR74" s="156"/>
      <c r="DS74" s="156"/>
      <c r="DT74" s="156"/>
      <c r="DU74" s="156"/>
      <c r="DV74" s="156"/>
      <c r="DW74" s="156"/>
      <c r="DX74" s="156"/>
      <c r="DY74" s="156"/>
      <c r="DZ74" s="156"/>
      <c r="EA74" s="156"/>
      <c r="EB74" s="156"/>
      <c r="EC74" s="156"/>
      <c r="ED74" s="156"/>
      <c r="EE74" s="156"/>
      <c r="EF74" s="156"/>
      <c r="EG74" s="156"/>
      <c r="EH74" s="156"/>
      <c r="EI74" s="156"/>
      <c r="EJ74" s="156"/>
      <c r="EK74" s="156"/>
      <c r="EL74" s="156"/>
      <c r="EM74" s="156"/>
      <c r="EN74" s="156"/>
      <c r="EO74" s="156"/>
      <c r="EP74" s="156"/>
      <c r="EQ74" s="156"/>
      <c r="ER74" s="156"/>
      <c r="ES74" s="156"/>
      <c r="ET74" s="156"/>
      <c r="EU74" s="156"/>
      <c r="EV74" s="156"/>
      <c r="EW74" s="156"/>
      <c r="EX74" s="156"/>
      <c r="EY74" s="156"/>
      <c r="EZ74" s="156"/>
      <c r="FA74" s="156"/>
      <c r="FB74" s="156"/>
      <c r="FC74" s="156"/>
      <c r="FD74" s="156"/>
      <c r="FE74" s="156"/>
      <c r="FF74" s="156"/>
      <c r="FG74" s="156"/>
      <c r="FH74" s="156"/>
      <c r="FI74" s="156"/>
      <c r="FJ74" s="156"/>
      <c r="FK74" s="156"/>
      <c r="FL74" s="156"/>
      <c r="FM74" s="156"/>
      <c r="FN74" s="156"/>
      <c r="FO74" s="156"/>
      <c r="FP74" s="156"/>
      <c r="FQ74" s="156"/>
      <c r="FR74" s="156"/>
      <c r="FS74" s="242"/>
      <c r="FT74" s="156"/>
      <c r="FU74" s="156"/>
      <c r="FV74" s="156"/>
      <c r="FW74" s="156"/>
      <c r="FX74" s="156"/>
      <c r="FY74" s="156"/>
      <c r="FZ74" s="156"/>
      <c r="GA74" s="156"/>
      <c r="GB74" s="156"/>
      <c r="GC74" s="156"/>
      <c r="GD74" s="156"/>
      <c r="GE74" s="156"/>
      <c r="GF74" s="156"/>
      <c r="GG74" s="156"/>
      <c r="GH74" s="156"/>
      <c r="GI74" s="156"/>
      <c r="GJ74" s="156"/>
      <c r="GK74" s="156"/>
      <c r="GL74" s="279"/>
      <c r="GM74" s="279"/>
      <c r="GN74" s="430"/>
      <c r="GO74" s="430"/>
      <c r="GP74" s="288"/>
      <c r="GQ74" s="156"/>
      <c r="GR74" s="279"/>
      <c r="GS74" s="279"/>
      <c r="GT74" s="430"/>
      <c r="GU74" s="430"/>
      <c r="GV74" s="288"/>
      <c r="GW74" s="156"/>
      <c r="GX74" s="279"/>
      <c r="GY74" s="279"/>
      <c r="GZ74" s="430"/>
      <c r="HA74" s="430"/>
      <c r="HB74" s="288"/>
      <c r="HC74" s="242"/>
      <c r="HD74" s="242"/>
      <c r="HE74" s="242"/>
      <c r="HF74" s="242"/>
      <c r="HG74" s="242"/>
      <c r="HH74" s="242"/>
      <c r="HI74" s="242"/>
      <c r="HJ74" s="242"/>
      <c r="HK74" s="242"/>
      <c r="HL74" s="242"/>
      <c r="HM74" s="442"/>
      <c r="HN74" s="442"/>
      <c r="HO74" s="442"/>
      <c r="HP74" s="460" t="s">
        <v>141</v>
      </c>
      <c r="HQ74" s="442"/>
      <c r="HR74" s="442" t="s">
        <v>191</v>
      </c>
      <c r="HS74" s="442" t="s">
        <v>1</v>
      </c>
      <c r="HT74" s="557">
        <f>H26</f>
        <v>4</v>
      </c>
      <c r="HU74" s="557"/>
      <c r="HV74" s="557"/>
      <c r="HW74" s="441" t="s">
        <v>13</v>
      </c>
      <c r="HX74" s="442"/>
      <c r="HY74" s="442"/>
      <c r="HZ74" s="442"/>
      <c r="IA74" s="442"/>
      <c r="IJ74" s="197"/>
      <c r="IK74" s="195"/>
      <c r="IL74" s="173"/>
      <c r="IM74" s="173"/>
      <c r="IN74" s="173"/>
      <c r="IO74" s="173"/>
      <c r="IP74" s="173"/>
      <c r="IQ74" s="173"/>
      <c r="IR74" s="173"/>
      <c r="IS74" s="173"/>
      <c r="IT74" s="173"/>
      <c r="IU74" s="173" t="str">
        <f>IF(HT71&lt;4000,"(0.40+(fy/7000))","")</f>
        <v>(0.40+(fy/7000))</v>
      </c>
      <c r="IV74" s="173"/>
      <c r="IW74" s="173"/>
      <c r="IX74" s="173"/>
      <c r="IY74" s="173"/>
      <c r="IZ74" s="173"/>
      <c r="JA74" s="173"/>
      <c r="JB74" s="173"/>
      <c r="JC74" s="173"/>
      <c r="JD74" s="173"/>
      <c r="JE74" s="173"/>
      <c r="JF74" s="173"/>
      <c r="JG74" s="173"/>
      <c r="JH74" s="173"/>
      <c r="JI74" s="36"/>
      <c r="JJ74" s="442"/>
      <c r="JK74" s="442"/>
      <c r="JL74" s="442"/>
      <c r="JM74" s="442"/>
      <c r="JN74" s="442"/>
      <c r="JO74" s="442"/>
      <c r="JP74" s="442"/>
      <c r="JQ74" s="442"/>
      <c r="JR74" s="442"/>
      <c r="JS74" s="442"/>
      <c r="JT74" s="442"/>
      <c r="JU74" s="442"/>
      <c r="JV74" s="442"/>
      <c r="JW74" s="442"/>
      <c r="JX74" s="442"/>
      <c r="JY74" s="442"/>
      <c r="JZ74" s="442"/>
      <c r="KA74" s="442"/>
      <c r="KB74" s="442"/>
      <c r="KC74" s="442"/>
      <c r="KD74" s="442"/>
      <c r="KE74" s="442"/>
      <c r="KF74" s="442"/>
      <c r="KG74" s="442"/>
      <c r="KH74" s="442"/>
      <c r="KI74" s="442"/>
      <c r="KJ74" s="442"/>
      <c r="KK74" s="442"/>
      <c r="KL74" s="442"/>
      <c r="KM74" s="442"/>
      <c r="KN74" s="442"/>
      <c r="KO74" s="442"/>
      <c r="KP74" s="442"/>
      <c r="KQ74" s="442"/>
      <c r="KR74" s="442"/>
      <c r="KS74" s="442"/>
      <c r="KT74" s="442"/>
      <c r="KU74" s="442"/>
      <c r="KV74" s="442"/>
      <c r="KW74" s="442"/>
      <c r="KX74" s="442"/>
      <c r="KY74" s="442"/>
      <c r="KZ74" s="442"/>
      <c r="LA74" s="442"/>
      <c r="LB74" s="442"/>
      <c r="LC74" s="442"/>
      <c r="LD74" s="442"/>
      <c r="LE74" s="442"/>
      <c r="LF74" s="442"/>
      <c r="LG74" s="442"/>
      <c r="LH74" s="442"/>
      <c r="LI74" s="442"/>
      <c r="LJ74" s="442"/>
      <c r="LK74" s="442"/>
      <c r="LL74" s="442"/>
      <c r="LM74" s="442"/>
      <c r="LN74" s="442"/>
      <c r="LO74" s="442"/>
      <c r="LP74" s="442"/>
      <c r="LQ74" s="442"/>
      <c r="LR74" s="442"/>
      <c r="LS74" s="442"/>
      <c r="LT74" s="442"/>
      <c r="LU74" s="442"/>
      <c r="LV74" s="442"/>
      <c r="LW74" s="442"/>
      <c r="LX74" s="442"/>
      <c r="LY74" s="442"/>
      <c r="LZ74" s="442"/>
      <c r="MA74" s="442"/>
      <c r="MB74" s="442"/>
      <c r="MC74" s="442"/>
      <c r="MD74" s="442"/>
      <c r="ME74" s="442"/>
      <c r="MF74" s="442"/>
      <c r="MG74" s="442"/>
      <c r="MH74" s="442"/>
      <c r="MI74" s="442"/>
      <c r="MJ74" s="442"/>
      <c r="MK74" s="442"/>
      <c r="ML74" s="442"/>
      <c r="MM74" s="442"/>
      <c r="MN74" s="442"/>
      <c r="MO74" s="442"/>
      <c r="MP74" s="442"/>
      <c r="MQ74" s="442"/>
      <c r="MR74" s="442"/>
      <c r="MS74" s="442"/>
      <c r="MT74" s="442"/>
      <c r="MU74" s="442"/>
      <c r="MV74" s="442"/>
      <c r="MW74" s="442"/>
      <c r="MX74" s="442"/>
      <c r="MY74" s="442"/>
      <c r="MZ74" s="442"/>
      <c r="NA74" s="442"/>
      <c r="NB74" s="442"/>
      <c r="NC74" s="442"/>
      <c r="NT74" s="149" t="s">
        <v>157</v>
      </c>
      <c r="NX74" s="149" t="s">
        <v>158</v>
      </c>
    </row>
    <row r="75" spans="1:407" ht="14.1" customHeight="1" x14ac:dyDescent="0.2">
      <c r="A75" s="156"/>
      <c r="B75" s="236"/>
      <c r="C75" s="68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156"/>
      <c r="R75" s="156"/>
      <c r="S75" s="156"/>
      <c r="T75" s="156"/>
      <c r="U75" s="156"/>
      <c r="V75" s="156"/>
      <c r="W75" s="156"/>
      <c r="X75" s="156"/>
      <c r="Y75" s="156"/>
      <c r="Z75" s="156"/>
      <c r="AA75" s="156"/>
      <c r="AB75" s="156"/>
      <c r="AC75" s="156"/>
      <c r="AD75" s="156"/>
      <c r="AE75" s="156"/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50"/>
      <c r="BD75" s="156"/>
      <c r="BE75" s="156"/>
      <c r="BF75" s="156"/>
      <c r="BG75" s="156"/>
      <c r="BH75" s="156"/>
      <c r="BI75" s="156"/>
      <c r="BJ75" s="156"/>
      <c r="BK75" s="156"/>
      <c r="BL75" s="156"/>
      <c r="BM75" s="156"/>
      <c r="BN75" s="156"/>
      <c r="BO75" s="156"/>
      <c r="BP75" s="156"/>
      <c r="BQ75" s="156"/>
      <c r="BR75" s="156"/>
      <c r="BS75" s="156"/>
      <c r="BT75" s="156"/>
      <c r="BU75" s="156"/>
      <c r="BV75" s="156"/>
      <c r="BW75" s="156"/>
      <c r="BX75" s="156"/>
      <c r="BY75" s="156"/>
      <c r="BZ75" s="156"/>
      <c r="CA75" s="156"/>
      <c r="CB75" s="156"/>
      <c r="CC75" s="156"/>
      <c r="CD75" s="156"/>
      <c r="CE75" s="156"/>
      <c r="CF75" s="156"/>
      <c r="CG75" s="156"/>
      <c r="CH75" s="156"/>
      <c r="CI75" s="156"/>
      <c r="CJ75" s="156"/>
      <c r="CK75" s="156"/>
      <c r="CL75" s="156"/>
      <c r="CM75" s="156"/>
      <c r="CN75" s="156"/>
      <c r="CO75" s="156"/>
      <c r="CP75" s="156"/>
      <c r="CQ75" s="156"/>
      <c r="CR75" s="156"/>
      <c r="CS75" s="156"/>
      <c r="CT75" s="156"/>
      <c r="CU75" s="156"/>
      <c r="CV75" s="156"/>
      <c r="CW75" s="156"/>
      <c r="CX75" s="156"/>
      <c r="CY75" s="156"/>
      <c r="CZ75" s="156"/>
      <c r="DA75" s="156"/>
      <c r="DB75" s="156"/>
      <c r="DC75" s="156"/>
      <c r="DD75" s="156"/>
      <c r="DE75" s="156"/>
      <c r="DF75" s="156"/>
      <c r="DG75" s="156"/>
      <c r="DH75" s="156"/>
      <c r="DI75" s="156"/>
      <c r="DJ75" s="156"/>
      <c r="DK75" s="156"/>
      <c r="DL75" s="156"/>
      <c r="DM75" s="156"/>
      <c r="DN75" s="156"/>
      <c r="DO75" s="156"/>
      <c r="DP75" s="156"/>
      <c r="DQ75" s="156"/>
      <c r="DR75" s="156"/>
      <c r="DS75" s="156"/>
      <c r="DT75" s="156"/>
      <c r="DU75" s="156"/>
      <c r="DV75" s="156"/>
      <c r="DW75" s="156"/>
      <c r="DX75" s="156"/>
      <c r="DY75" s="156"/>
      <c r="DZ75" s="156"/>
      <c r="EA75" s="156"/>
      <c r="EB75" s="156"/>
      <c r="EC75" s="156"/>
      <c r="ED75" s="156"/>
      <c r="EE75" s="156"/>
      <c r="EF75" s="156"/>
      <c r="EG75" s="156"/>
      <c r="EH75" s="156"/>
      <c r="EI75" s="156"/>
      <c r="EJ75" s="156"/>
      <c r="EK75" s="156"/>
      <c r="EL75" s="156"/>
      <c r="EM75" s="156"/>
      <c r="EN75" s="156"/>
      <c r="EO75" s="156"/>
      <c r="EP75" s="156"/>
      <c r="EQ75" s="156"/>
      <c r="ER75" s="156"/>
      <c r="ES75" s="156"/>
      <c r="ET75" s="156"/>
      <c r="EU75" s="156"/>
      <c r="EV75" s="156"/>
      <c r="EW75" s="156"/>
      <c r="EX75" s="156"/>
      <c r="EY75" s="156"/>
      <c r="EZ75" s="156"/>
      <c r="FA75" s="156"/>
      <c r="FB75" s="156"/>
      <c r="FC75" s="156"/>
      <c r="FD75" s="156"/>
      <c r="FE75" s="156"/>
      <c r="FF75" s="156"/>
      <c r="FG75" s="156"/>
      <c r="FH75" s="156"/>
      <c r="FI75" s="156"/>
      <c r="FJ75" s="156"/>
      <c r="FK75" s="156"/>
      <c r="FL75" s="156"/>
      <c r="FM75" s="156"/>
      <c r="FN75" s="156"/>
      <c r="FO75" s="156"/>
      <c r="FP75" s="156"/>
      <c r="FQ75" s="156"/>
      <c r="FR75" s="156"/>
      <c r="FS75" s="242"/>
      <c r="FT75" s="156"/>
      <c r="FU75" s="156"/>
      <c r="FV75" s="156"/>
      <c r="FW75" s="156"/>
      <c r="FX75" s="156"/>
      <c r="FY75" s="156"/>
      <c r="FZ75" s="156"/>
      <c r="GA75" s="156"/>
      <c r="GB75" s="156"/>
      <c r="GC75" s="156"/>
      <c r="GD75" s="156"/>
      <c r="GE75" s="156"/>
      <c r="GF75" s="156"/>
      <c r="GG75" s="156"/>
      <c r="GH75" s="156"/>
      <c r="GI75" s="156"/>
      <c r="GJ75" s="156"/>
      <c r="GK75" s="156"/>
      <c r="GL75" s="279"/>
      <c r="GM75" s="279"/>
      <c r="GN75" s="430"/>
      <c r="GO75" s="430"/>
      <c r="GP75" s="288"/>
      <c r="GQ75" s="156"/>
      <c r="GR75" s="279"/>
      <c r="GS75" s="279"/>
      <c r="GT75" s="430"/>
      <c r="GU75" s="430"/>
      <c r="GV75" s="288"/>
      <c r="GW75" s="156"/>
      <c r="GX75" s="279"/>
      <c r="GY75" s="279"/>
      <c r="GZ75" s="430"/>
      <c r="HA75" s="430"/>
      <c r="HB75" s="288"/>
      <c r="HC75" s="242"/>
      <c r="HD75" s="242"/>
      <c r="HE75" s="242"/>
      <c r="HF75" s="242"/>
      <c r="HG75" s="242"/>
      <c r="HH75" s="242"/>
      <c r="HI75" s="242"/>
      <c r="HJ75" s="242"/>
      <c r="HK75" s="242"/>
      <c r="HL75" s="242"/>
      <c r="HM75" s="442"/>
      <c r="HN75" s="442"/>
      <c r="HO75" s="442"/>
      <c r="HP75" s="460" t="s">
        <v>59</v>
      </c>
      <c r="HQ75" s="442"/>
      <c r="HR75" s="442"/>
      <c r="HS75" s="442" t="s">
        <v>1</v>
      </c>
      <c r="HT75" s="529">
        <f>HT73/HT74</f>
        <v>0.375</v>
      </c>
      <c r="HU75" s="529"/>
      <c r="HV75" s="529"/>
      <c r="HW75" s="442" t="s">
        <v>0</v>
      </c>
      <c r="HX75" s="38" t="s">
        <v>179</v>
      </c>
      <c r="HY75" s="442"/>
      <c r="HZ75" s="32" t="str">
        <f>IF(HT75&lt;0.5,"Ok","Not Ok")</f>
        <v>Ok</v>
      </c>
      <c r="IA75" s="442"/>
      <c r="IJ75" s="196"/>
      <c r="IK75" s="195"/>
      <c r="IL75" s="175" t="s">
        <v>62</v>
      </c>
      <c r="IM75" s="445" t="s">
        <v>1</v>
      </c>
      <c r="IN75" s="556">
        <v>0.85</v>
      </c>
      <c r="IO75" s="556"/>
      <c r="IP75" s="173"/>
      <c r="IQ75" s="173"/>
      <c r="IR75" s="173"/>
      <c r="IS75" s="173"/>
      <c r="IT75" s="173"/>
      <c r="IU75" s="173"/>
      <c r="IV75" s="173"/>
      <c r="IW75" s="176" t="s">
        <v>63</v>
      </c>
      <c r="IX75" s="173"/>
      <c r="IY75" s="173"/>
      <c r="IZ75" s="173"/>
      <c r="JA75" s="173"/>
      <c r="JB75" s="173"/>
      <c r="JC75" s="173"/>
      <c r="JD75" s="445" t="s">
        <v>3</v>
      </c>
      <c r="JE75" s="445" t="s">
        <v>64</v>
      </c>
      <c r="JF75" s="552">
        <v>280</v>
      </c>
      <c r="JG75" s="552"/>
      <c r="JH75" s="176" t="s">
        <v>2</v>
      </c>
      <c r="JI75" s="36"/>
      <c r="JJ75" s="442"/>
      <c r="JK75" s="442"/>
      <c r="JL75" s="442"/>
      <c r="JM75" s="442"/>
      <c r="JN75" s="442"/>
      <c r="JO75" s="442"/>
      <c r="JP75" s="442"/>
      <c r="JQ75" s="442"/>
      <c r="JR75" s="442"/>
      <c r="JS75" s="442"/>
      <c r="JT75" s="442"/>
      <c r="JU75" s="442"/>
      <c r="JV75" s="442"/>
      <c r="JW75" s="442"/>
      <c r="JX75" s="442"/>
      <c r="JY75" s="442"/>
      <c r="JZ75" s="442"/>
      <c r="KA75" s="442"/>
      <c r="KB75" s="442"/>
      <c r="KC75" s="442"/>
      <c r="KD75" s="442"/>
      <c r="KE75" s="442"/>
      <c r="KF75" s="442"/>
      <c r="KG75" s="442"/>
      <c r="KH75" s="442"/>
      <c r="KI75" s="442"/>
      <c r="KJ75" s="442"/>
      <c r="KK75" s="442"/>
      <c r="KL75" s="442"/>
      <c r="KM75" s="442"/>
      <c r="KN75" s="442"/>
      <c r="KO75" s="442"/>
      <c r="KP75" s="442"/>
      <c r="KQ75" s="442"/>
      <c r="KR75" s="442"/>
      <c r="KS75" s="442"/>
      <c r="KT75" s="442"/>
      <c r="KU75" s="442"/>
      <c r="KV75" s="442"/>
      <c r="KW75" s="442"/>
      <c r="KX75" s="442"/>
      <c r="KY75" s="442"/>
      <c r="KZ75" s="442"/>
      <c r="LA75" s="442"/>
      <c r="LB75" s="442"/>
      <c r="LC75" s="442"/>
      <c r="LD75" s="442"/>
      <c r="LE75" s="442"/>
      <c r="LF75" s="442"/>
      <c r="LG75" s="442"/>
      <c r="LH75" s="442"/>
      <c r="LI75" s="442"/>
      <c r="LJ75" s="442"/>
      <c r="LK75" s="442"/>
      <c r="LL75" s="442"/>
      <c r="LM75" s="442"/>
      <c r="LN75" s="442"/>
      <c r="LO75" s="442"/>
      <c r="LP75" s="442"/>
      <c r="LQ75" s="442"/>
      <c r="LR75" s="442"/>
      <c r="LS75" s="442"/>
      <c r="LT75" s="442"/>
      <c r="LU75" s="442"/>
      <c r="LV75" s="442"/>
      <c r="LW75" s="442"/>
      <c r="LX75" s="442"/>
      <c r="LY75" s="442"/>
      <c r="LZ75" s="442"/>
      <c r="MA75" s="442"/>
      <c r="MB75" s="442"/>
      <c r="MC75" s="442"/>
      <c r="MD75" s="442"/>
      <c r="ME75" s="442"/>
      <c r="MF75" s="442"/>
      <c r="MG75" s="442"/>
      <c r="MH75" s="442"/>
      <c r="MI75" s="442"/>
      <c r="MJ75" s="442"/>
      <c r="MK75" s="442"/>
      <c r="ML75" s="442"/>
      <c r="MM75" s="442"/>
      <c r="MN75" s="442"/>
      <c r="MO75" s="442"/>
      <c r="MP75" s="442"/>
      <c r="MQ75" s="442"/>
      <c r="MR75" s="442"/>
      <c r="MS75" s="442"/>
      <c r="MT75" s="442"/>
      <c r="MU75" s="442"/>
      <c r="MV75" s="174"/>
      <c r="MW75" s="442"/>
      <c r="MX75" s="442"/>
      <c r="MY75" s="442"/>
      <c r="MZ75" s="442"/>
      <c r="NA75" s="442"/>
      <c r="NB75" s="442"/>
      <c r="NC75" s="442"/>
      <c r="NT75" s="149" t="s">
        <v>22</v>
      </c>
      <c r="NU75" s="149">
        <f>1-0.015</f>
        <v>0.98499999999999999</v>
      </c>
      <c r="NV75" s="149">
        <f>NU75</f>
        <v>0.98499999999999999</v>
      </c>
      <c r="NX75" s="149" t="s">
        <v>22</v>
      </c>
      <c r="NY75" s="149">
        <f>1+0.015</f>
        <v>1.0149999999999999</v>
      </c>
      <c r="NZ75" s="149">
        <f>NY75</f>
        <v>1.0149999999999999</v>
      </c>
    </row>
    <row r="76" spans="1:407" ht="14.1" customHeight="1" x14ac:dyDescent="0.2">
      <c r="A76" s="156"/>
      <c r="B76" s="236"/>
      <c r="C76" s="68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156"/>
      <c r="R76" s="156"/>
      <c r="S76" s="156"/>
      <c r="T76" s="156"/>
      <c r="U76" s="156"/>
      <c r="V76" s="156"/>
      <c r="W76" s="156"/>
      <c r="X76" s="156"/>
      <c r="Y76" s="156"/>
      <c r="Z76" s="156"/>
      <c r="AA76" s="156"/>
      <c r="AB76" s="156"/>
      <c r="AC76" s="156"/>
      <c r="AD76" s="156"/>
      <c r="AE76" s="156"/>
      <c r="AF76" s="156"/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50"/>
      <c r="BD76" s="156"/>
      <c r="BE76" s="156"/>
      <c r="BF76" s="156"/>
      <c r="BG76" s="156"/>
      <c r="BH76" s="156"/>
      <c r="BI76" s="156"/>
      <c r="BJ76" s="156"/>
      <c r="BK76" s="156"/>
      <c r="BL76" s="156"/>
      <c r="BM76" s="156"/>
      <c r="BN76" s="156"/>
      <c r="BO76" s="156"/>
      <c r="BP76" s="156"/>
      <c r="BQ76" s="156"/>
      <c r="BR76" s="156"/>
      <c r="BS76" s="156"/>
      <c r="BT76" s="156"/>
      <c r="BU76" s="156"/>
      <c r="BV76" s="156"/>
      <c r="BW76" s="156"/>
      <c r="BX76" s="156"/>
      <c r="BY76" s="156"/>
      <c r="BZ76" s="156"/>
      <c r="CA76" s="156"/>
      <c r="CB76" s="156"/>
      <c r="CC76" s="156"/>
      <c r="CD76" s="156"/>
      <c r="CE76" s="156"/>
      <c r="CF76" s="156"/>
      <c r="CG76" s="156"/>
      <c r="CH76" s="156"/>
      <c r="CI76" s="156"/>
      <c r="CJ76" s="156"/>
      <c r="CK76" s="156"/>
      <c r="CL76" s="156"/>
      <c r="CM76" s="156"/>
      <c r="CN76" s="156"/>
      <c r="CO76" s="156"/>
      <c r="CP76" s="156"/>
      <c r="CQ76" s="156"/>
      <c r="CR76" s="156"/>
      <c r="CS76" s="156"/>
      <c r="CT76" s="156"/>
      <c r="CU76" s="156"/>
      <c r="CV76" s="156"/>
      <c r="CW76" s="156"/>
      <c r="CX76" s="156"/>
      <c r="CY76" s="156"/>
      <c r="CZ76" s="156"/>
      <c r="DA76" s="156"/>
      <c r="DB76" s="156"/>
      <c r="DC76" s="156"/>
      <c r="DD76" s="156"/>
      <c r="DE76" s="156"/>
      <c r="DF76" s="156"/>
      <c r="DG76" s="156"/>
      <c r="DH76" s="156"/>
      <c r="DI76" s="156"/>
      <c r="DJ76" s="156"/>
      <c r="DK76" s="156"/>
      <c r="DL76" s="156"/>
      <c r="DM76" s="156"/>
      <c r="DN76" s="156"/>
      <c r="DO76" s="156"/>
      <c r="DP76" s="156"/>
      <c r="DQ76" s="156"/>
      <c r="DR76" s="156"/>
      <c r="DS76" s="156"/>
      <c r="DT76" s="156"/>
      <c r="DU76" s="156"/>
      <c r="DV76" s="156"/>
      <c r="DW76" s="156"/>
      <c r="DX76" s="156"/>
      <c r="DY76" s="156"/>
      <c r="DZ76" s="156"/>
      <c r="EA76" s="156"/>
      <c r="EB76" s="156"/>
      <c r="EC76" s="156"/>
      <c r="ED76" s="156"/>
      <c r="EE76" s="156"/>
      <c r="EF76" s="156"/>
      <c r="EG76" s="156"/>
      <c r="EH76" s="156"/>
      <c r="EI76" s="156"/>
      <c r="EJ76" s="156"/>
      <c r="EK76" s="156"/>
      <c r="EL76" s="156"/>
      <c r="EM76" s="156"/>
      <c r="EN76" s="156"/>
      <c r="EO76" s="156"/>
      <c r="EP76" s="156"/>
      <c r="EQ76" s="156"/>
      <c r="ER76" s="156"/>
      <c r="ES76" s="156"/>
      <c r="ET76" s="156"/>
      <c r="EU76" s="156"/>
      <c r="EV76" s="156"/>
      <c r="EW76" s="156"/>
      <c r="EX76" s="156"/>
      <c r="EY76" s="156"/>
      <c r="EZ76" s="156"/>
      <c r="FA76" s="156"/>
      <c r="FB76" s="156"/>
      <c r="FC76" s="156"/>
      <c r="FD76" s="156"/>
      <c r="FE76" s="156"/>
      <c r="FF76" s="156"/>
      <c r="FG76" s="156"/>
      <c r="FH76" s="156"/>
      <c r="FI76" s="156"/>
      <c r="FJ76" s="156"/>
      <c r="FK76" s="156"/>
      <c r="FL76" s="156"/>
      <c r="FM76" s="156"/>
      <c r="FN76" s="156"/>
      <c r="FO76" s="156"/>
      <c r="FP76" s="156"/>
      <c r="FQ76" s="156"/>
      <c r="FR76" s="156"/>
      <c r="FS76" s="242"/>
      <c r="FT76" s="156"/>
      <c r="FU76" s="156"/>
      <c r="FV76" s="156"/>
      <c r="FW76" s="156"/>
      <c r="FX76" s="156"/>
      <c r="FY76" s="156"/>
      <c r="FZ76" s="156"/>
      <c r="GA76" s="156"/>
      <c r="GB76" s="156"/>
      <c r="GC76" s="156"/>
      <c r="GD76" s="156"/>
      <c r="GE76" s="156"/>
      <c r="GF76" s="156"/>
      <c r="GG76" s="156"/>
      <c r="GH76" s="156"/>
      <c r="GI76" s="156"/>
      <c r="GJ76" s="156"/>
      <c r="GK76" s="156"/>
      <c r="GL76" s="279"/>
      <c r="GM76" s="279"/>
      <c r="GN76" s="430"/>
      <c r="GO76" s="430"/>
      <c r="GP76" s="288"/>
      <c r="GQ76" s="156"/>
      <c r="GR76" s="279"/>
      <c r="GS76" s="279"/>
      <c r="GT76" s="430"/>
      <c r="GU76" s="430"/>
      <c r="GV76" s="288"/>
      <c r="GW76" s="156"/>
      <c r="GX76" s="279"/>
      <c r="GY76" s="279"/>
      <c r="GZ76" s="430"/>
      <c r="HA76" s="430"/>
      <c r="HB76" s="288"/>
      <c r="HC76" s="242"/>
      <c r="HD76" s="242"/>
      <c r="HE76" s="242"/>
      <c r="HF76" s="242"/>
      <c r="HG76" s="242"/>
      <c r="HH76" s="242"/>
      <c r="HI76" s="242"/>
      <c r="HJ76" s="242"/>
      <c r="HK76" s="242"/>
      <c r="HL76" s="242"/>
      <c r="HM76" s="442"/>
      <c r="HN76" s="442"/>
      <c r="HO76" s="442"/>
      <c r="HP76" s="24" t="s">
        <v>41</v>
      </c>
      <c r="HQ76" s="442"/>
      <c r="HR76" s="442"/>
      <c r="HS76" s="442" t="s">
        <v>1</v>
      </c>
      <c r="HT76" s="557">
        <f>H30</f>
        <v>3</v>
      </c>
      <c r="HU76" s="557"/>
      <c r="HV76" s="557"/>
      <c r="HW76" s="441" t="s">
        <v>18</v>
      </c>
      <c r="HX76" s="442"/>
      <c r="HY76" s="442"/>
      <c r="HZ76" s="442"/>
      <c r="IA76" s="442"/>
      <c r="IJ76" s="198"/>
      <c r="IK76" s="198"/>
      <c r="IL76" s="175" t="s">
        <v>62</v>
      </c>
      <c r="IM76" s="445" t="s">
        <v>1</v>
      </c>
      <c r="IN76" s="176" t="s">
        <v>70</v>
      </c>
      <c r="IO76" s="176"/>
      <c r="IP76" s="173"/>
      <c r="IQ76" s="173"/>
      <c r="IR76" s="173"/>
      <c r="IS76" s="173"/>
      <c r="IT76" s="173"/>
      <c r="IU76" s="173"/>
      <c r="IV76" s="173"/>
      <c r="IW76" s="176" t="s">
        <v>63</v>
      </c>
      <c r="IX76" s="173"/>
      <c r="IY76" s="552">
        <v>280</v>
      </c>
      <c r="IZ76" s="552"/>
      <c r="JA76" s="176" t="s">
        <v>2</v>
      </c>
      <c r="JB76" s="173"/>
      <c r="JC76" s="176" t="s">
        <v>71</v>
      </c>
      <c r="JD76" s="445" t="s">
        <v>3</v>
      </c>
      <c r="JE76" s="445" t="s">
        <v>64</v>
      </c>
      <c r="JF76" s="552">
        <v>560</v>
      </c>
      <c r="JG76" s="552"/>
      <c r="JH76" s="176" t="s">
        <v>2</v>
      </c>
      <c r="JI76" s="36"/>
      <c r="JJ76" s="442"/>
      <c r="JK76" s="442"/>
      <c r="JL76" s="442"/>
      <c r="JM76" s="442"/>
      <c r="JN76" s="442"/>
      <c r="JO76" s="442"/>
      <c r="JP76" s="442"/>
      <c r="JQ76" s="442"/>
      <c r="JR76" s="442"/>
      <c r="JS76" s="442"/>
      <c r="JT76" s="442"/>
      <c r="JU76" s="442"/>
      <c r="JV76" s="442"/>
      <c r="JW76" s="442"/>
      <c r="JX76" s="442"/>
      <c r="JY76" s="442"/>
      <c r="JZ76" s="442"/>
      <c r="KA76" s="442"/>
      <c r="KB76" s="442"/>
      <c r="KC76" s="442"/>
      <c r="KD76" s="442"/>
      <c r="KE76" s="442"/>
      <c r="KF76" s="442"/>
      <c r="KG76" s="442"/>
      <c r="KH76" s="442"/>
      <c r="KI76" s="442"/>
      <c r="KJ76" s="442"/>
      <c r="KK76" s="442"/>
      <c r="KL76" s="442"/>
      <c r="KM76" s="442"/>
      <c r="KN76" s="442"/>
      <c r="KO76" s="442"/>
      <c r="KP76" s="442"/>
      <c r="KQ76" s="442"/>
      <c r="KR76" s="442"/>
      <c r="KS76" s="442"/>
      <c r="KT76" s="442"/>
      <c r="KU76" s="442"/>
      <c r="KV76" s="442"/>
      <c r="KW76" s="442"/>
      <c r="KX76" s="442"/>
      <c r="KY76" s="442"/>
      <c r="KZ76" s="442"/>
      <c r="LA76" s="442"/>
      <c r="LB76" s="442"/>
      <c r="LC76" s="442"/>
      <c r="LD76" s="442"/>
      <c r="LE76" s="442"/>
      <c r="LF76" s="442"/>
      <c r="LG76" s="442"/>
      <c r="LH76" s="442"/>
      <c r="LI76" s="442"/>
      <c r="LJ76" s="442"/>
      <c r="LK76" s="442"/>
      <c r="LL76" s="442"/>
      <c r="LM76" s="442"/>
      <c r="LN76" s="442"/>
      <c r="LO76" s="442"/>
      <c r="LP76" s="442"/>
      <c r="LQ76" s="442"/>
      <c r="LR76" s="442"/>
      <c r="LS76" s="442"/>
      <c r="LT76" s="442"/>
      <c r="LU76" s="442"/>
      <c r="LV76" s="442"/>
      <c r="LW76" s="442"/>
      <c r="LX76" s="442"/>
      <c r="LY76" s="442"/>
      <c r="LZ76" s="442"/>
      <c r="MA76" s="442"/>
      <c r="MB76" s="442"/>
      <c r="MC76" s="442"/>
      <c r="MD76" s="442"/>
      <c r="ME76" s="442"/>
      <c r="MF76" s="442"/>
      <c r="MG76" s="442"/>
      <c r="MH76" s="442"/>
      <c r="MI76" s="442"/>
      <c r="MJ76" s="442"/>
      <c r="MK76" s="442"/>
      <c r="ML76" s="442"/>
      <c r="MM76" s="442"/>
      <c r="MN76" s="442"/>
      <c r="MO76" s="442"/>
      <c r="MP76" s="442"/>
      <c r="MQ76" s="442"/>
      <c r="MR76" s="442"/>
      <c r="MS76" s="442"/>
      <c r="MT76" s="442"/>
      <c r="MU76" s="442"/>
      <c r="MV76" s="442"/>
      <c r="MW76" s="442"/>
      <c r="MX76" s="442"/>
      <c r="MY76" s="442"/>
      <c r="MZ76" s="442"/>
      <c r="NA76" s="442"/>
      <c r="NB76" s="442"/>
      <c r="NC76" s="442"/>
      <c r="NT76" s="149" t="s">
        <v>23</v>
      </c>
      <c r="NU76" s="149">
        <v>0.05</v>
      </c>
      <c r="NV76" s="149">
        <f>(-H28-2.5-5)/100</f>
        <v>-0.17499999999999999</v>
      </c>
      <c r="NX76" s="149" t="s">
        <v>23</v>
      </c>
      <c r="NY76" s="149">
        <f>NU76</f>
        <v>0.05</v>
      </c>
      <c r="NZ76" s="149">
        <f>NV76</f>
        <v>-0.17499999999999999</v>
      </c>
    </row>
    <row r="77" spans="1:407" ht="14.1" customHeight="1" x14ac:dyDescent="0.2">
      <c r="A77" s="156"/>
      <c r="B77" s="236"/>
      <c r="C77" s="68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  <c r="AC77" s="156"/>
      <c r="AD77" s="156"/>
      <c r="AE77" s="156"/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50"/>
      <c r="BD77" s="156"/>
      <c r="BE77" s="156"/>
      <c r="BF77" s="156"/>
      <c r="BG77" s="156"/>
      <c r="BH77" s="156"/>
      <c r="BI77" s="156"/>
      <c r="BJ77" s="156"/>
      <c r="BK77" s="156"/>
      <c r="BL77" s="156"/>
      <c r="BM77" s="156"/>
      <c r="BN77" s="156"/>
      <c r="BO77" s="156"/>
      <c r="BP77" s="156"/>
      <c r="BQ77" s="156"/>
      <c r="BR77" s="156"/>
      <c r="BS77" s="156"/>
      <c r="BT77" s="156"/>
      <c r="BU77" s="156"/>
      <c r="BV77" s="156"/>
      <c r="BW77" s="156"/>
      <c r="BX77" s="156"/>
      <c r="BY77" s="156"/>
      <c r="BZ77" s="156"/>
      <c r="CA77" s="156"/>
      <c r="CB77" s="156"/>
      <c r="CC77" s="156"/>
      <c r="CD77" s="156"/>
      <c r="CE77" s="156"/>
      <c r="CF77" s="156"/>
      <c r="CG77" s="156"/>
      <c r="CH77" s="156"/>
      <c r="CI77" s="156"/>
      <c r="CJ77" s="156"/>
      <c r="CK77" s="156"/>
      <c r="CL77" s="156"/>
      <c r="CM77" s="156"/>
      <c r="CN77" s="156"/>
      <c r="CO77" s="156"/>
      <c r="CP77" s="156"/>
      <c r="CQ77" s="156"/>
      <c r="CR77" s="156"/>
      <c r="CS77" s="156"/>
      <c r="CT77" s="156"/>
      <c r="CU77" s="156"/>
      <c r="CV77" s="156"/>
      <c r="CW77" s="156"/>
      <c r="CX77" s="156"/>
      <c r="CY77" s="156"/>
      <c r="CZ77" s="156"/>
      <c r="DA77" s="156"/>
      <c r="DB77" s="156"/>
      <c r="DC77" s="156"/>
      <c r="DD77" s="156"/>
      <c r="DE77" s="156"/>
      <c r="DF77" s="156"/>
      <c r="DG77" s="156"/>
      <c r="DH77" s="156"/>
      <c r="DI77" s="156"/>
      <c r="DJ77" s="156"/>
      <c r="DK77" s="156"/>
      <c r="DL77" s="156"/>
      <c r="DM77" s="156"/>
      <c r="DN77" s="156"/>
      <c r="DO77" s="156"/>
      <c r="DP77" s="156"/>
      <c r="DQ77" s="156"/>
      <c r="DR77" s="156"/>
      <c r="DS77" s="156"/>
      <c r="DT77" s="156"/>
      <c r="DU77" s="156"/>
      <c r="DV77" s="156"/>
      <c r="DW77" s="156"/>
      <c r="DX77" s="156"/>
      <c r="DY77" s="156"/>
      <c r="DZ77" s="156"/>
      <c r="EA77" s="156"/>
      <c r="EB77" s="156"/>
      <c r="EC77" s="156"/>
      <c r="ED77" s="156"/>
      <c r="EE77" s="156"/>
      <c r="EF77" s="156"/>
      <c r="EG77" s="156"/>
      <c r="EH77" s="156"/>
      <c r="EI77" s="156"/>
      <c r="EJ77" s="156"/>
      <c r="EK77" s="156"/>
      <c r="EL77" s="156"/>
      <c r="EM77" s="156"/>
      <c r="EN77" s="156"/>
      <c r="EO77" s="156"/>
      <c r="EP77" s="156"/>
      <c r="EQ77" s="156"/>
      <c r="ER77" s="156"/>
      <c r="ES77" s="156"/>
      <c r="ET77" s="156"/>
      <c r="EU77" s="156"/>
      <c r="EV77" s="156"/>
      <c r="EW77" s="156"/>
      <c r="EX77" s="156"/>
      <c r="EY77" s="156"/>
      <c r="EZ77" s="156"/>
      <c r="FA77" s="156"/>
      <c r="FB77" s="156"/>
      <c r="FC77" s="156"/>
      <c r="FD77" s="156"/>
      <c r="FE77" s="156"/>
      <c r="FF77" s="156"/>
      <c r="FG77" s="156"/>
      <c r="FH77" s="156"/>
      <c r="FI77" s="156"/>
      <c r="FJ77" s="156"/>
      <c r="FK77" s="156"/>
      <c r="FL77" s="156"/>
      <c r="FM77" s="156"/>
      <c r="FN77" s="156"/>
      <c r="FO77" s="156"/>
      <c r="FP77" s="156"/>
      <c r="FQ77" s="156"/>
      <c r="FR77" s="156"/>
      <c r="FS77" s="242"/>
      <c r="FT77" s="156"/>
      <c r="FU77" s="156"/>
      <c r="FV77" s="156"/>
      <c r="FW77" s="156"/>
      <c r="FX77" s="156"/>
      <c r="FY77" s="156"/>
      <c r="FZ77" s="156"/>
      <c r="GA77" s="156"/>
      <c r="GB77" s="156"/>
      <c r="GC77" s="156"/>
      <c r="GD77" s="156"/>
      <c r="GE77" s="156"/>
      <c r="GF77" s="156"/>
      <c r="GG77" s="156"/>
      <c r="GH77" s="156"/>
      <c r="GI77" s="156"/>
      <c r="GJ77" s="156"/>
      <c r="GK77" s="156"/>
      <c r="GL77" s="279"/>
      <c r="GM77" s="279"/>
      <c r="GN77" s="430"/>
      <c r="GO77" s="430"/>
      <c r="GP77" s="288"/>
      <c r="GQ77" s="156"/>
      <c r="GR77" s="279"/>
      <c r="GS77" s="279"/>
      <c r="GT77" s="430"/>
      <c r="GU77" s="430"/>
      <c r="GV77" s="288"/>
      <c r="GW77" s="156"/>
      <c r="GX77" s="279"/>
      <c r="GY77" s="279"/>
      <c r="GZ77" s="430"/>
      <c r="HA77" s="430"/>
      <c r="HB77" s="288"/>
      <c r="HC77" s="242"/>
      <c r="HD77" s="242"/>
      <c r="HE77" s="242"/>
      <c r="HF77" s="242"/>
      <c r="HG77" s="242"/>
      <c r="HH77" s="242"/>
      <c r="HI77" s="242"/>
      <c r="HJ77" s="242"/>
      <c r="HK77" s="242"/>
      <c r="HL77" s="242"/>
      <c r="HM77" s="442"/>
      <c r="HN77" s="442"/>
      <c r="HO77" s="442"/>
      <c r="HP77" s="442" t="s">
        <v>192</v>
      </c>
      <c r="HQ77" s="442"/>
      <c r="HR77" s="442"/>
      <c r="HS77" s="442" t="s">
        <v>1</v>
      </c>
      <c r="HT77" s="529">
        <f>JE69</f>
        <v>4.4387755102040813</v>
      </c>
      <c r="HU77" s="529"/>
      <c r="HV77" s="529"/>
      <c r="HW77" s="441" t="s">
        <v>18</v>
      </c>
      <c r="HX77" s="442"/>
      <c r="HY77" s="442"/>
      <c r="HZ77" s="442"/>
      <c r="IA77" s="442"/>
      <c r="IJ77" s="198"/>
      <c r="IK77" s="198"/>
      <c r="IL77" s="175" t="s">
        <v>62</v>
      </c>
      <c r="IM77" s="445" t="s">
        <v>1</v>
      </c>
      <c r="IN77" s="556">
        <v>0.65</v>
      </c>
      <c r="IO77" s="556"/>
      <c r="IP77" s="173"/>
      <c r="IQ77" s="173"/>
      <c r="IR77" s="173"/>
      <c r="IS77" s="173"/>
      <c r="IT77" s="173"/>
      <c r="IU77" s="173"/>
      <c r="IV77" s="173"/>
      <c r="IW77" s="176" t="s">
        <v>63</v>
      </c>
      <c r="IX77" s="173"/>
      <c r="IY77" s="173"/>
      <c r="IZ77" s="173"/>
      <c r="JA77" s="173"/>
      <c r="JB77" s="173"/>
      <c r="JC77" s="173"/>
      <c r="JD77" s="445" t="s">
        <v>3</v>
      </c>
      <c r="JE77" s="445" t="s">
        <v>74</v>
      </c>
      <c r="JF77" s="552">
        <v>560</v>
      </c>
      <c r="JG77" s="552"/>
      <c r="JH77" s="176" t="s">
        <v>2</v>
      </c>
      <c r="JI77" s="36"/>
      <c r="JJ77" s="442"/>
      <c r="JK77" s="442"/>
      <c r="JL77" s="442"/>
      <c r="JM77" s="442"/>
      <c r="JN77" s="442"/>
      <c r="JO77" s="442"/>
      <c r="JP77" s="442"/>
      <c r="JQ77" s="442"/>
      <c r="JR77" s="442"/>
      <c r="JS77" s="442"/>
      <c r="JT77" s="442"/>
      <c r="JU77" s="442"/>
      <c r="JV77" s="442"/>
      <c r="JW77" s="442"/>
      <c r="JX77" s="442"/>
      <c r="JY77" s="442"/>
      <c r="JZ77" s="442"/>
      <c r="KA77" s="442"/>
      <c r="KB77" s="442"/>
      <c r="KC77" s="442"/>
      <c r="KD77" s="442"/>
      <c r="KE77" s="442"/>
      <c r="KF77" s="442"/>
      <c r="KG77" s="442"/>
      <c r="KH77" s="442"/>
      <c r="KI77" s="442"/>
      <c r="KJ77" s="442"/>
      <c r="KK77" s="442"/>
      <c r="KL77" s="442"/>
      <c r="KM77" s="442"/>
      <c r="KN77" s="442"/>
      <c r="KO77" s="442"/>
      <c r="KP77" s="442"/>
      <c r="KQ77" s="442"/>
      <c r="KR77" s="442"/>
      <c r="KS77" s="442"/>
      <c r="KT77" s="442"/>
      <c r="KU77" s="442"/>
      <c r="KV77" s="442"/>
      <c r="KW77" s="442"/>
      <c r="KX77" s="442"/>
      <c r="KY77" s="442"/>
      <c r="KZ77" s="442"/>
      <c r="LA77" s="442"/>
      <c r="LB77" s="442"/>
      <c r="LC77" s="442"/>
      <c r="LD77" s="442"/>
      <c r="LE77" s="442"/>
      <c r="LF77" s="442"/>
      <c r="LG77" s="442"/>
      <c r="LH77" s="442"/>
      <c r="LI77" s="442"/>
      <c r="LJ77" s="442"/>
      <c r="LK77" s="442"/>
      <c r="LL77" s="442"/>
      <c r="LM77" s="442"/>
      <c r="LN77" s="442"/>
      <c r="LO77" s="442"/>
      <c r="LP77" s="442"/>
      <c r="LQ77" s="442"/>
      <c r="LR77" s="442"/>
      <c r="LS77" s="442"/>
      <c r="LT77" s="442"/>
      <c r="LU77" s="442"/>
      <c r="LV77" s="442"/>
      <c r="LW77" s="442"/>
      <c r="LX77" s="442"/>
      <c r="LY77" s="442"/>
      <c r="LZ77" s="442"/>
      <c r="MA77" s="442"/>
      <c r="MB77" s="442"/>
      <c r="MC77" s="442"/>
      <c r="MD77" s="442"/>
      <c r="ME77" s="442"/>
      <c r="MF77" s="442"/>
      <c r="MG77" s="442"/>
      <c r="MH77" s="442"/>
      <c r="MI77" s="442"/>
      <c r="MJ77" s="442"/>
      <c r="MK77" s="442"/>
      <c r="ML77" s="442"/>
      <c r="MM77" s="442"/>
      <c r="MN77" s="442"/>
      <c r="MO77" s="442"/>
      <c r="MP77" s="442"/>
      <c r="MQ77" s="442"/>
      <c r="MR77" s="442"/>
      <c r="MS77" s="442"/>
      <c r="MT77" s="442"/>
      <c r="MU77" s="442"/>
      <c r="MV77" s="442"/>
      <c r="MW77" s="442"/>
      <c r="MX77" s="442"/>
      <c r="MY77" s="442"/>
      <c r="MZ77" s="442"/>
      <c r="NA77" s="442"/>
      <c r="NB77" s="442"/>
      <c r="NC77" s="442"/>
      <c r="NT77" s="149" t="s">
        <v>159</v>
      </c>
      <c r="NX77" s="149" t="s">
        <v>160</v>
      </c>
      <c r="OA77" s="149" t="s">
        <v>161</v>
      </c>
      <c r="OD77" s="544">
        <f>W17/100</f>
        <v>0.1</v>
      </c>
      <c r="OE77" s="544"/>
    </row>
    <row r="78" spans="1:407" ht="14.1" customHeight="1" x14ac:dyDescent="0.2">
      <c r="A78" s="156"/>
      <c r="B78" s="236"/>
      <c r="C78" s="68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156"/>
      <c r="R78" s="156"/>
      <c r="S78" s="156"/>
      <c r="T78" s="156"/>
      <c r="U78" s="156"/>
      <c r="V78" s="156"/>
      <c r="W78" s="156"/>
      <c r="X78" s="156"/>
      <c r="Y78" s="156"/>
      <c r="Z78" s="156"/>
      <c r="AA78" s="156"/>
      <c r="AB78" s="156"/>
      <c r="AC78" s="156"/>
      <c r="AD78" s="156"/>
      <c r="AE78" s="156"/>
      <c r="AF78" s="156"/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50"/>
      <c r="BD78" s="156"/>
      <c r="BE78" s="156"/>
      <c r="BF78" s="156"/>
      <c r="BG78" s="156"/>
      <c r="BH78" s="156"/>
      <c r="BI78" s="156"/>
      <c r="BJ78" s="156"/>
      <c r="BK78" s="156"/>
      <c r="BL78" s="156"/>
      <c r="BM78" s="156"/>
      <c r="BN78" s="156"/>
      <c r="BO78" s="156"/>
      <c r="BP78" s="156"/>
      <c r="BQ78" s="156"/>
      <c r="BR78" s="156"/>
      <c r="BS78" s="156"/>
      <c r="BT78" s="156"/>
      <c r="BU78" s="156"/>
      <c r="BV78" s="156"/>
      <c r="BW78" s="156"/>
      <c r="BX78" s="156"/>
      <c r="BY78" s="156"/>
      <c r="BZ78" s="156"/>
      <c r="CA78" s="156"/>
      <c r="CB78" s="156"/>
      <c r="CC78" s="156"/>
      <c r="CD78" s="156"/>
      <c r="CE78" s="156"/>
      <c r="CF78" s="156"/>
      <c r="CG78" s="156"/>
      <c r="CH78" s="156"/>
      <c r="CI78" s="156"/>
      <c r="CJ78" s="156"/>
      <c r="CK78" s="156"/>
      <c r="CL78" s="156"/>
      <c r="CM78" s="156"/>
      <c r="CN78" s="156"/>
      <c r="CO78" s="156"/>
      <c r="CP78" s="156"/>
      <c r="CQ78" s="156"/>
      <c r="CR78" s="156"/>
      <c r="CS78" s="156"/>
      <c r="CT78" s="156"/>
      <c r="CU78" s="156"/>
      <c r="CV78" s="156"/>
      <c r="CW78" s="156"/>
      <c r="CX78" s="156"/>
      <c r="CY78" s="156"/>
      <c r="CZ78" s="156"/>
      <c r="DA78" s="156"/>
      <c r="DB78" s="156"/>
      <c r="DC78" s="156"/>
      <c r="DD78" s="156"/>
      <c r="DE78" s="156"/>
      <c r="DF78" s="156"/>
      <c r="DG78" s="156"/>
      <c r="DH78" s="156"/>
      <c r="DI78" s="156"/>
      <c r="DJ78" s="156"/>
      <c r="DK78" s="156"/>
      <c r="DL78" s="156"/>
      <c r="DM78" s="156"/>
      <c r="DN78" s="156"/>
      <c r="DO78" s="156"/>
      <c r="DP78" s="156"/>
      <c r="DQ78" s="156"/>
      <c r="DR78" s="156"/>
      <c r="DS78" s="156"/>
      <c r="DT78" s="156"/>
      <c r="DU78" s="156"/>
      <c r="DV78" s="156"/>
      <c r="DW78" s="156"/>
      <c r="DX78" s="156"/>
      <c r="DY78" s="156"/>
      <c r="DZ78" s="156"/>
      <c r="EA78" s="156"/>
      <c r="EB78" s="156"/>
      <c r="EC78" s="156"/>
      <c r="ED78" s="156"/>
      <c r="EE78" s="156"/>
      <c r="EF78" s="156"/>
      <c r="EG78" s="156"/>
      <c r="EH78" s="156"/>
      <c r="EI78" s="156"/>
      <c r="EJ78" s="156"/>
      <c r="EK78" s="156"/>
      <c r="EL78" s="156"/>
      <c r="EM78" s="156"/>
      <c r="EN78" s="156"/>
      <c r="EO78" s="156"/>
      <c r="EP78" s="156"/>
      <c r="EQ78" s="156"/>
      <c r="ER78" s="156"/>
      <c r="ES78" s="156"/>
      <c r="ET78" s="156"/>
      <c r="EU78" s="156"/>
      <c r="EV78" s="156"/>
      <c r="EW78" s="156"/>
      <c r="EX78" s="156"/>
      <c r="EY78" s="156"/>
      <c r="EZ78" s="156"/>
      <c r="FA78" s="156"/>
      <c r="FB78" s="156"/>
      <c r="FC78" s="156"/>
      <c r="FD78" s="156"/>
      <c r="FE78" s="156"/>
      <c r="FF78" s="156"/>
      <c r="FG78" s="156"/>
      <c r="FH78" s="156"/>
      <c r="FI78" s="156"/>
      <c r="FJ78" s="156"/>
      <c r="FK78" s="156"/>
      <c r="FL78" s="156"/>
      <c r="FM78" s="156"/>
      <c r="FN78" s="156"/>
      <c r="FO78" s="156"/>
      <c r="FP78" s="156"/>
      <c r="FQ78" s="156"/>
      <c r="FR78" s="156"/>
      <c r="FS78" s="242"/>
      <c r="FT78" s="156"/>
      <c r="FU78" s="156"/>
      <c r="FV78" s="156"/>
      <c r="FW78" s="156"/>
      <c r="FX78" s="156"/>
      <c r="FY78" s="156"/>
      <c r="FZ78" s="156"/>
      <c r="GA78" s="156"/>
      <c r="GB78" s="156"/>
      <c r="GC78" s="156"/>
      <c r="GD78" s="156"/>
      <c r="GE78" s="156"/>
      <c r="GF78" s="156"/>
      <c r="GG78" s="156"/>
      <c r="GH78" s="156"/>
      <c r="GI78" s="156"/>
      <c r="GJ78" s="156"/>
      <c r="GK78" s="156"/>
      <c r="GL78" s="279"/>
      <c r="GM78" s="279"/>
      <c r="GN78" s="430"/>
      <c r="GO78" s="430"/>
      <c r="GP78" s="288"/>
      <c r="GQ78" s="156"/>
      <c r="GR78" s="279"/>
      <c r="GS78" s="279"/>
      <c r="GT78" s="430"/>
      <c r="GU78" s="430"/>
      <c r="GV78" s="288"/>
      <c r="GW78" s="156"/>
      <c r="GX78" s="279"/>
      <c r="GY78" s="279"/>
      <c r="GZ78" s="430"/>
      <c r="HA78" s="430"/>
      <c r="HB78" s="288"/>
      <c r="HC78" s="242"/>
      <c r="HD78" s="242"/>
      <c r="HE78" s="242"/>
      <c r="HF78" s="242"/>
      <c r="HG78" s="242"/>
      <c r="HH78" s="242"/>
      <c r="HI78" s="242"/>
      <c r="HJ78" s="242"/>
      <c r="HK78" s="242"/>
      <c r="HL78" s="242"/>
      <c r="HM78" s="442"/>
      <c r="HN78" s="442"/>
      <c r="HO78" s="442"/>
      <c r="HP78" s="460" t="s">
        <v>67</v>
      </c>
      <c r="HQ78" s="442"/>
      <c r="HR78" s="442" t="s">
        <v>68</v>
      </c>
      <c r="HS78" s="442" t="s">
        <v>1</v>
      </c>
      <c r="HT78" s="557">
        <f>W17</f>
        <v>10</v>
      </c>
      <c r="HU78" s="557"/>
      <c r="HV78" s="557"/>
      <c r="HW78" s="441" t="s">
        <v>18</v>
      </c>
      <c r="HX78" s="38" t="s">
        <v>179</v>
      </c>
      <c r="HY78" s="442"/>
      <c r="HZ78" s="210" t="str">
        <f>IF(HT78&gt;=HT77,"Ok","Not Ok")</f>
        <v>Ok</v>
      </c>
      <c r="IA78" s="113"/>
      <c r="IB78" s="113"/>
      <c r="IC78" s="113"/>
      <c r="ID78" s="113"/>
      <c r="IE78" s="113"/>
      <c r="IF78" s="113"/>
      <c r="IG78" s="113"/>
      <c r="IH78" s="113"/>
      <c r="II78" s="113"/>
      <c r="IJ78" s="188"/>
      <c r="IK78" s="188"/>
      <c r="IL78" s="556">
        <f>ROUND((IF(HT70&lt;=280,0.85,IF(HT70&gt;560,0.65,0.85-(0.05*((HT70-280)/70))))),2)</f>
        <v>0.85</v>
      </c>
      <c r="IM78" s="556"/>
      <c r="IN78" s="172"/>
      <c r="IO78" s="173"/>
      <c r="IP78" s="173"/>
      <c r="IQ78" s="173"/>
      <c r="IR78" s="173"/>
      <c r="IS78" s="173"/>
      <c r="IT78" s="173"/>
      <c r="IU78" s="173"/>
      <c r="IV78" s="173"/>
      <c r="IW78" s="173"/>
      <c r="IX78" s="173"/>
      <c r="IY78" s="173"/>
      <c r="IZ78" s="173"/>
      <c r="JA78" s="173"/>
      <c r="JB78" s="173"/>
      <c r="JC78" s="173"/>
      <c r="JD78" s="173"/>
      <c r="JE78" s="173"/>
      <c r="JF78" s="173"/>
      <c r="JG78" s="173"/>
      <c r="JH78" s="173"/>
      <c r="JI78" s="36"/>
      <c r="JJ78" s="442"/>
      <c r="JK78" s="442"/>
      <c r="JL78" s="442"/>
      <c r="JM78" s="442"/>
      <c r="JN78" s="442"/>
      <c r="JO78" s="442"/>
      <c r="JP78" s="442"/>
      <c r="JQ78" s="442"/>
      <c r="JR78" s="442"/>
      <c r="JS78" s="442"/>
      <c r="JT78" s="442"/>
      <c r="JU78" s="442"/>
      <c r="JV78" s="442"/>
      <c r="JW78" s="442"/>
      <c r="JX78" s="442"/>
      <c r="JY78" s="442"/>
      <c r="JZ78" s="442"/>
      <c r="KA78" s="442"/>
      <c r="KB78" s="442"/>
      <c r="KC78" s="442"/>
      <c r="KD78" s="442"/>
      <c r="KE78" s="442"/>
      <c r="KF78" s="442"/>
      <c r="KG78" s="442"/>
      <c r="KH78" s="442"/>
      <c r="KI78" s="442"/>
      <c r="KJ78" s="442"/>
      <c r="KK78" s="442"/>
      <c r="KL78" s="442"/>
      <c r="KM78" s="442"/>
      <c r="KN78" s="442"/>
      <c r="KO78" s="442"/>
      <c r="KP78" s="442"/>
      <c r="KQ78" s="442"/>
      <c r="KR78" s="442"/>
      <c r="KS78" s="442"/>
      <c r="KT78" s="442"/>
      <c r="KU78" s="442"/>
      <c r="KV78" s="442"/>
      <c r="KW78" s="442"/>
      <c r="KX78" s="442"/>
      <c r="KY78" s="442"/>
      <c r="KZ78" s="442"/>
      <c r="LA78" s="442"/>
      <c r="LB78" s="442"/>
      <c r="LC78" s="442"/>
      <c r="LD78" s="442"/>
      <c r="LE78" s="442"/>
      <c r="LF78" s="442"/>
      <c r="LG78" s="442"/>
      <c r="LH78" s="442"/>
      <c r="LI78" s="442"/>
      <c r="LJ78" s="442"/>
      <c r="LK78" s="442"/>
      <c r="LL78" s="442"/>
      <c r="LM78" s="442"/>
      <c r="LN78" s="442"/>
      <c r="LO78" s="442"/>
      <c r="LP78" s="442"/>
      <c r="LQ78" s="442"/>
      <c r="LR78" s="442"/>
      <c r="LS78" s="442"/>
      <c r="LT78" s="442"/>
      <c r="LU78" s="442"/>
      <c r="LV78" s="442"/>
      <c r="LW78" s="442"/>
      <c r="LX78" s="442"/>
      <c r="LY78" s="442"/>
      <c r="LZ78" s="442"/>
      <c r="MA78" s="442"/>
      <c r="MB78" s="442"/>
      <c r="MC78" s="442"/>
      <c r="MD78" s="442"/>
      <c r="ME78" s="442"/>
      <c r="MF78" s="442"/>
      <c r="MG78" s="442"/>
      <c r="MH78" s="442"/>
      <c r="MI78" s="442"/>
      <c r="MJ78" s="442"/>
      <c r="MK78" s="442"/>
      <c r="ML78" s="442"/>
      <c r="MM78" s="442"/>
      <c r="MN78" s="442"/>
      <c r="MO78" s="442"/>
      <c r="MP78" s="442"/>
      <c r="MQ78" s="442"/>
      <c r="MR78" s="442"/>
      <c r="MS78" s="442"/>
      <c r="MT78" s="442"/>
      <c r="MU78" s="442"/>
      <c r="MV78" s="442"/>
      <c r="MW78" s="442"/>
      <c r="MX78" s="442"/>
      <c r="MY78" s="442"/>
      <c r="MZ78" s="442"/>
      <c r="NA78" s="442"/>
      <c r="NB78" s="442"/>
      <c r="NC78" s="442"/>
      <c r="NT78" s="149" t="s">
        <v>22</v>
      </c>
      <c r="NU78" s="149">
        <v>-0.28999999999999998</v>
      </c>
      <c r="NV78" s="149">
        <f>-0.37</f>
        <v>-0.37</v>
      </c>
      <c r="NX78" s="149">
        <f>NU78</f>
        <v>-0.28999999999999998</v>
      </c>
      <c r="NY78" s="149">
        <f>NV78</f>
        <v>-0.37</v>
      </c>
      <c r="OA78" s="149">
        <v>-0.33</v>
      </c>
      <c r="OB78" s="149">
        <f>OA78</f>
        <v>-0.33</v>
      </c>
      <c r="OD78" s="189">
        <f>OA78</f>
        <v>-0.33</v>
      </c>
    </row>
    <row r="79" spans="1:407" ht="14.1" customHeight="1" x14ac:dyDescent="0.2">
      <c r="A79" s="156"/>
      <c r="B79" s="236"/>
      <c r="C79" s="68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156"/>
      <c r="R79" s="156"/>
      <c r="S79" s="156"/>
      <c r="T79" s="156"/>
      <c r="U79" s="156"/>
      <c r="V79" s="156"/>
      <c r="W79" s="156"/>
      <c r="X79" s="156"/>
      <c r="Y79" s="156"/>
      <c r="Z79" s="156"/>
      <c r="AA79" s="156"/>
      <c r="AB79" s="156"/>
      <c r="AC79" s="156"/>
      <c r="AD79" s="156"/>
      <c r="AE79" s="156"/>
      <c r="AF79" s="156"/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50"/>
      <c r="BD79" s="156"/>
      <c r="BE79" s="156"/>
      <c r="BF79" s="156"/>
      <c r="BG79" s="156"/>
      <c r="BH79" s="156"/>
      <c r="BI79" s="156"/>
      <c r="BJ79" s="156"/>
      <c r="BK79" s="156"/>
      <c r="BL79" s="156"/>
      <c r="BM79" s="156"/>
      <c r="BN79" s="156"/>
      <c r="BO79" s="156"/>
      <c r="BP79" s="156"/>
      <c r="BQ79" s="156"/>
      <c r="BR79" s="156"/>
      <c r="BS79" s="156"/>
      <c r="BT79" s="156"/>
      <c r="BU79" s="156"/>
      <c r="BV79" s="156"/>
      <c r="BW79" s="156"/>
      <c r="BX79" s="156"/>
      <c r="BY79" s="156"/>
      <c r="BZ79" s="156"/>
      <c r="CA79" s="156"/>
      <c r="CB79" s="156"/>
      <c r="CC79" s="156"/>
      <c r="CD79" s="156"/>
      <c r="CE79" s="156"/>
      <c r="CF79" s="156"/>
      <c r="CG79" s="156"/>
      <c r="CH79" s="156"/>
      <c r="CI79" s="156"/>
      <c r="CJ79" s="156"/>
      <c r="CK79" s="156"/>
      <c r="CL79" s="156"/>
      <c r="CM79" s="156"/>
      <c r="CN79" s="156"/>
      <c r="CO79" s="156"/>
      <c r="CP79" s="156"/>
      <c r="CQ79" s="156"/>
      <c r="CR79" s="156"/>
      <c r="CS79" s="156"/>
      <c r="CT79" s="156"/>
      <c r="CU79" s="156"/>
      <c r="CV79" s="156"/>
      <c r="CW79" s="156"/>
      <c r="CX79" s="156"/>
      <c r="CY79" s="156"/>
      <c r="CZ79" s="156"/>
      <c r="DA79" s="156"/>
      <c r="DB79" s="156"/>
      <c r="DC79" s="156"/>
      <c r="DD79" s="156"/>
      <c r="DE79" s="156"/>
      <c r="DF79" s="156"/>
      <c r="DG79" s="156"/>
      <c r="DH79" s="156"/>
      <c r="DI79" s="156"/>
      <c r="DJ79" s="156"/>
      <c r="DK79" s="156"/>
      <c r="DL79" s="156"/>
      <c r="DM79" s="156"/>
      <c r="DN79" s="156"/>
      <c r="DO79" s="156"/>
      <c r="DP79" s="156"/>
      <c r="DQ79" s="156"/>
      <c r="DR79" s="156"/>
      <c r="DS79" s="156"/>
      <c r="DT79" s="156"/>
      <c r="DU79" s="156"/>
      <c r="DV79" s="156"/>
      <c r="DW79" s="156"/>
      <c r="DX79" s="156"/>
      <c r="DY79" s="156"/>
      <c r="DZ79" s="156"/>
      <c r="EA79" s="156"/>
      <c r="EB79" s="156"/>
      <c r="EC79" s="156"/>
      <c r="ED79" s="156"/>
      <c r="EE79" s="156"/>
      <c r="EF79" s="156"/>
      <c r="EG79" s="156"/>
      <c r="EH79" s="156"/>
      <c r="EI79" s="156"/>
      <c r="EJ79" s="156"/>
      <c r="EK79" s="156"/>
      <c r="EL79" s="156"/>
      <c r="EM79" s="156"/>
      <c r="EN79" s="156"/>
      <c r="EO79" s="156"/>
      <c r="EP79" s="156"/>
      <c r="EQ79" s="156"/>
      <c r="ER79" s="156"/>
      <c r="ES79" s="156"/>
      <c r="ET79" s="156"/>
      <c r="EU79" s="156"/>
      <c r="EV79" s="156"/>
      <c r="EW79" s="156"/>
      <c r="EX79" s="156"/>
      <c r="EY79" s="156"/>
      <c r="EZ79" s="156"/>
      <c r="FA79" s="156"/>
      <c r="FB79" s="156"/>
      <c r="FC79" s="156"/>
      <c r="FD79" s="156"/>
      <c r="FE79" s="156"/>
      <c r="FF79" s="156"/>
      <c r="FG79" s="156"/>
      <c r="FH79" s="156"/>
      <c r="FI79" s="156"/>
      <c r="FJ79" s="156"/>
      <c r="FK79" s="156"/>
      <c r="FL79" s="156"/>
      <c r="FM79" s="156"/>
      <c r="FN79" s="156"/>
      <c r="FO79" s="156"/>
      <c r="FP79" s="156"/>
      <c r="FQ79" s="156"/>
      <c r="FR79" s="156"/>
      <c r="FS79" s="242"/>
      <c r="FT79" s="156"/>
      <c r="FU79" s="156"/>
      <c r="FV79" s="156"/>
      <c r="FW79" s="156"/>
      <c r="FX79" s="156"/>
      <c r="FY79" s="156"/>
      <c r="FZ79" s="156"/>
      <c r="GA79" s="156"/>
      <c r="GB79" s="156"/>
      <c r="GC79" s="156"/>
      <c r="GD79" s="156"/>
      <c r="GE79" s="156"/>
      <c r="GF79" s="156"/>
      <c r="GG79" s="156"/>
      <c r="GH79" s="156"/>
      <c r="GI79" s="156"/>
      <c r="GJ79" s="156"/>
      <c r="GK79" s="156"/>
      <c r="GL79" s="279"/>
      <c r="GM79" s="279"/>
      <c r="GN79" s="430"/>
      <c r="GO79" s="430"/>
      <c r="GP79" s="288"/>
      <c r="GQ79" s="156"/>
      <c r="GR79" s="279"/>
      <c r="GS79" s="279"/>
      <c r="GT79" s="430"/>
      <c r="GU79" s="430"/>
      <c r="GV79" s="288"/>
      <c r="GW79" s="156"/>
      <c r="GX79" s="279"/>
      <c r="GY79" s="279"/>
      <c r="GZ79" s="430"/>
      <c r="HA79" s="430"/>
      <c r="HB79" s="288"/>
      <c r="HC79" s="242"/>
      <c r="HD79" s="242"/>
      <c r="HE79" s="242"/>
      <c r="HF79" s="242"/>
      <c r="HG79" s="242"/>
      <c r="HH79" s="242"/>
      <c r="HI79" s="242"/>
      <c r="HJ79" s="242"/>
      <c r="HK79" s="242"/>
      <c r="HL79" s="242"/>
      <c r="HM79" s="442"/>
      <c r="HN79" s="442"/>
      <c r="HO79" s="442"/>
      <c r="HP79" s="460" t="s">
        <v>146</v>
      </c>
      <c r="HQ79" s="442"/>
      <c r="HR79" s="442"/>
      <c r="HS79" s="442" t="s">
        <v>1</v>
      </c>
      <c r="HT79" s="529">
        <f>W24</f>
        <v>1012</v>
      </c>
      <c r="HU79" s="529"/>
      <c r="HV79" s="529"/>
      <c r="HW79" s="442" t="s">
        <v>51</v>
      </c>
      <c r="HX79" s="442"/>
      <c r="HY79" s="442"/>
      <c r="HZ79" s="442"/>
      <c r="IA79" s="442"/>
      <c r="IB79" s="442"/>
      <c r="IC79" s="143"/>
      <c r="ID79" s="442"/>
      <c r="IE79" s="442"/>
      <c r="IJ79" s="188"/>
      <c r="IK79" s="188"/>
      <c r="IL79" s="173" t="s">
        <v>193</v>
      </c>
      <c r="IM79" s="173"/>
      <c r="IN79" s="173"/>
      <c r="IO79" s="173"/>
      <c r="IP79" s="173"/>
      <c r="IQ79" s="173"/>
      <c r="IR79" s="173"/>
      <c r="IS79" s="445" t="s">
        <v>1</v>
      </c>
      <c r="IT79" s="552">
        <f>IF(IS84=0,1/24,IF(IS84=1,1/24,IF(IS84=2,1/11)))</f>
        <v>9.0909090909090912E-2</v>
      </c>
      <c r="IU79" s="552"/>
      <c r="IV79" s="552"/>
      <c r="IW79" s="173"/>
      <c r="IX79" s="173" t="s">
        <v>194</v>
      </c>
      <c r="IY79" s="445" t="s">
        <v>1</v>
      </c>
      <c r="IZ79" s="553">
        <f>HT78-HT76-(IP120/20)</f>
        <v>6.4</v>
      </c>
      <c r="JA79" s="553"/>
      <c r="JB79" s="176" t="s">
        <v>18</v>
      </c>
      <c r="JC79" s="176"/>
      <c r="JD79" s="554">
        <f>MIN(HT93:IE93)</f>
        <v>6.4</v>
      </c>
      <c r="JE79" s="554"/>
      <c r="JF79" s="181"/>
      <c r="JG79" s="181"/>
      <c r="JH79" s="173"/>
      <c r="JI79" s="36"/>
      <c r="JJ79" s="442"/>
      <c r="JK79" s="442"/>
      <c r="JL79" s="442"/>
      <c r="JM79" s="442"/>
      <c r="JN79" s="442"/>
      <c r="JO79" s="442"/>
      <c r="JP79" s="442"/>
      <c r="JQ79" s="442"/>
      <c r="JR79" s="442"/>
      <c r="JS79" s="442"/>
      <c r="JT79" s="442"/>
      <c r="JU79" s="442"/>
      <c r="JV79" s="442"/>
      <c r="JW79" s="442"/>
      <c r="JX79" s="442"/>
      <c r="JY79" s="442"/>
      <c r="JZ79" s="442"/>
      <c r="KA79" s="442"/>
      <c r="KB79" s="442"/>
      <c r="KC79" s="442"/>
      <c r="KD79" s="442"/>
      <c r="KE79" s="442"/>
      <c r="KF79" s="442"/>
      <c r="KG79" s="442"/>
      <c r="KH79" s="442"/>
      <c r="KI79" s="442"/>
      <c r="KJ79" s="442"/>
      <c r="KK79" s="442"/>
      <c r="KL79" s="442"/>
      <c r="KM79" s="442"/>
      <c r="KN79" s="442"/>
      <c r="KO79" s="442"/>
      <c r="KP79" s="442"/>
      <c r="KQ79" s="442"/>
      <c r="KR79" s="442"/>
      <c r="KS79" s="442"/>
      <c r="KT79" s="442"/>
      <c r="KU79" s="442"/>
      <c r="KV79" s="442"/>
      <c r="KW79" s="442"/>
      <c r="KX79" s="442"/>
      <c r="KY79" s="442"/>
      <c r="KZ79" s="442"/>
      <c r="LA79" s="442"/>
      <c r="LB79" s="442"/>
      <c r="LC79" s="442"/>
      <c r="LD79" s="442"/>
      <c r="LE79" s="442"/>
      <c r="LF79" s="442"/>
      <c r="LG79" s="442"/>
      <c r="LH79" s="442"/>
      <c r="LI79" s="442"/>
      <c r="LJ79" s="442"/>
      <c r="LK79" s="442"/>
      <c r="LL79" s="442"/>
      <c r="LM79" s="442"/>
      <c r="LN79" s="442"/>
      <c r="LO79" s="442"/>
      <c r="LP79" s="442"/>
      <c r="LQ79" s="442"/>
      <c r="LR79" s="442"/>
      <c r="LS79" s="442"/>
      <c r="LT79" s="442"/>
      <c r="LU79" s="442"/>
      <c r="LV79" s="442"/>
      <c r="LW79" s="442"/>
      <c r="LX79" s="442"/>
      <c r="LY79" s="442"/>
      <c r="LZ79" s="442"/>
      <c r="MA79" s="442"/>
      <c r="MB79" s="442"/>
      <c r="MC79" s="442"/>
      <c r="MD79" s="442"/>
      <c r="ME79" s="442"/>
      <c r="MF79" s="442"/>
      <c r="MG79" s="442"/>
      <c r="MH79" s="442"/>
      <c r="MI79" s="442"/>
      <c r="MJ79" s="442"/>
      <c r="MK79" s="442"/>
      <c r="ML79" s="442"/>
      <c r="MM79" s="442"/>
      <c r="MN79" s="442"/>
      <c r="MO79" s="442"/>
      <c r="MP79" s="442"/>
      <c r="MQ79" s="442"/>
      <c r="MR79" s="442"/>
      <c r="MS79" s="442"/>
      <c r="MT79" s="442"/>
      <c r="MU79" s="442"/>
      <c r="MV79" s="442"/>
      <c r="MW79" s="442"/>
      <c r="MX79" s="442"/>
      <c r="MY79" s="442"/>
      <c r="MZ79" s="442"/>
      <c r="NA79" s="442"/>
      <c r="NB79" s="442"/>
      <c r="NC79" s="442"/>
      <c r="NT79" s="149" t="s">
        <v>23</v>
      </c>
      <c r="NU79" s="149">
        <v>0</v>
      </c>
      <c r="NV79" s="149">
        <v>0</v>
      </c>
      <c r="NX79" s="149">
        <f>NY58</f>
        <v>-0.125</v>
      </c>
      <c r="NY79" s="149">
        <f>NX79</f>
        <v>-0.125</v>
      </c>
      <c r="OA79" s="149">
        <f>0</f>
        <v>0</v>
      </c>
      <c r="OB79" s="149">
        <f>NX79</f>
        <v>-0.125</v>
      </c>
      <c r="OD79" s="189">
        <f>OB79/2</f>
        <v>-6.25E-2</v>
      </c>
    </row>
    <row r="80" spans="1:407" ht="14.1" customHeight="1" x14ac:dyDescent="0.2">
      <c r="A80" s="156"/>
      <c r="B80" s="236"/>
      <c r="C80" s="68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156"/>
      <c r="R80" s="156"/>
      <c r="S80" s="156"/>
      <c r="T80" s="156"/>
      <c r="U80" s="156"/>
      <c r="V80" s="156"/>
      <c r="W80" s="156"/>
      <c r="X80" s="156"/>
      <c r="Y80" s="156"/>
      <c r="Z80" s="156"/>
      <c r="AA80" s="156"/>
      <c r="AB80" s="156"/>
      <c r="AC80" s="156"/>
      <c r="AD80" s="156"/>
      <c r="AE80" s="156"/>
      <c r="AF80" s="156"/>
      <c r="AG80" s="156"/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50"/>
      <c r="BD80" s="156"/>
      <c r="BE80" s="156"/>
      <c r="BF80" s="156"/>
      <c r="BG80" s="156"/>
      <c r="BH80" s="156"/>
      <c r="BI80" s="156"/>
      <c r="BJ80" s="156"/>
      <c r="BK80" s="156"/>
      <c r="BL80" s="156"/>
      <c r="BM80" s="156"/>
      <c r="BN80" s="156"/>
      <c r="BO80" s="156"/>
      <c r="BP80" s="156"/>
      <c r="BQ80" s="156"/>
      <c r="BR80" s="156"/>
      <c r="BS80" s="156"/>
      <c r="BT80" s="156"/>
      <c r="BU80" s="156"/>
      <c r="BV80" s="156"/>
      <c r="BW80" s="156"/>
      <c r="BX80" s="156"/>
      <c r="BY80" s="156"/>
      <c r="BZ80" s="156"/>
      <c r="CA80" s="156"/>
      <c r="CB80" s="156"/>
      <c r="CC80" s="156"/>
      <c r="CD80" s="156"/>
      <c r="CE80" s="156"/>
      <c r="CF80" s="156"/>
      <c r="CG80" s="156"/>
      <c r="CH80" s="156"/>
      <c r="CI80" s="156"/>
      <c r="CJ80" s="156"/>
      <c r="CK80" s="156"/>
      <c r="CL80" s="156"/>
      <c r="CM80" s="156"/>
      <c r="CN80" s="156"/>
      <c r="CO80" s="156"/>
      <c r="CP80" s="156"/>
      <c r="CQ80" s="156"/>
      <c r="CR80" s="156"/>
      <c r="CS80" s="156"/>
      <c r="CT80" s="156"/>
      <c r="CU80" s="156"/>
      <c r="CV80" s="156"/>
      <c r="CW80" s="156"/>
      <c r="CX80" s="156"/>
      <c r="CY80" s="156"/>
      <c r="CZ80" s="156"/>
      <c r="DA80" s="156"/>
      <c r="DB80" s="156"/>
      <c r="DC80" s="156"/>
      <c r="DD80" s="156"/>
      <c r="DE80" s="156"/>
      <c r="DF80" s="156"/>
      <c r="DG80" s="156"/>
      <c r="DH80" s="156"/>
      <c r="DI80" s="156"/>
      <c r="DJ80" s="156"/>
      <c r="DK80" s="156"/>
      <c r="DL80" s="156"/>
      <c r="DM80" s="156"/>
      <c r="DN80" s="156"/>
      <c r="DO80" s="156"/>
      <c r="DP80" s="156"/>
      <c r="DQ80" s="156"/>
      <c r="DR80" s="156"/>
      <c r="DS80" s="156"/>
      <c r="DT80" s="156"/>
      <c r="DU80" s="156"/>
      <c r="DV80" s="156"/>
      <c r="DW80" s="156"/>
      <c r="DX80" s="156"/>
      <c r="DY80" s="156"/>
      <c r="DZ80" s="156"/>
      <c r="EA80" s="156"/>
      <c r="EB80" s="156"/>
      <c r="EC80" s="156"/>
      <c r="ED80" s="156"/>
      <c r="EE80" s="156"/>
      <c r="EF80" s="156"/>
      <c r="EG80" s="156"/>
      <c r="EH80" s="156"/>
      <c r="EI80" s="156"/>
      <c r="EJ80" s="156"/>
      <c r="EK80" s="156"/>
      <c r="EL80" s="156"/>
      <c r="EM80" s="156"/>
      <c r="EN80" s="156"/>
      <c r="EO80" s="156"/>
      <c r="EP80" s="156"/>
      <c r="EQ80" s="156"/>
      <c r="ER80" s="156"/>
      <c r="ES80" s="156"/>
      <c r="ET80" s="156"/>
      <c r="EU80" s="156"/>
      <c r="EV80" s="156"/>
      <c r="EW80" s="156"/>
      <c r="EX80" s="156"/>
      <c r="EY80" s="156"/>
      <c r="EZ80" s="156"/>
      <c r="FA80" s="156"/>
      <c r="FB80" s="156"/>
      <c r="FC80" s="156"/>
      <c r="FD80" s="156"/>
      <c r="FE80" s="156"/>
      <c r="FF80" s="156"/>
      <c r="FG80" s="156"/>
      <c r="FH80" s="156"/>
      <c r="FI80" s="156"/>
      <c r="FJ80" s="156"/>
      <c r="FK80" s="156"/>
      <c r="FL80" s="156"/>
      <c r="FM80" s="156"/>
      <c r="FN80" s="156"/>
      <c r="FO80" s="156"/>
      <c r="FP80" s="156"/>
      <c r="FQ80" s="156"/>
      <c r="FR80" s="156"/>
      <c r="FS80" s="242"/>
      <c r="FT80" s="156"/>
      <c r="FU80" s="156"/>
      <c r="FV80" s="156"/>
      <c r="FW80" s="156"/>
      <c r="FX80" s="156"/>
      <c r="FY80" s="156"/>
      <c r="FZ80" s="156"/>
      <c r="GA80" s="156"/>
      <c r="GB80" s="156"/>
      <c r="GC80" s="156"/>
      <c r="GD80" s="156"/>
      <c r="GE80" s="156"/>
      <c r="GF80" s="156"/>
      <c r="GG80" s="156"/>
      <c r="GH80" s="156"/>
      <c r="GI80" s="156"/>
      <c r="GJ80" s="156"/>
      <c r="GK80" s="156"/>
      <c r="GL80" s="279"/>
      <c r="GM80" s="279"/>
      <c r="GN80" s="430"/>
      <c r="GO80" s="430"/>
      <c r="GP80" s="288"/>
      <c r="GQ80" s="156"/>
      <c r="GR80" s="279"/>
      <c r="GS80" s="279"/>
      <c r="GT80" s="430"/>
      <c r="GU80" s="430"/>
      <c r="GV80" s="288"/>
      <c r="GW80" s="156"/>
      <c r="GX80" s="279"/>
      <c r="GY80" s="279"/>
      <c r="GZ80" s="430"/>
      <c r="HA80" s="430"/>
      <c r="HB80" s="288"/>
      <c r="HC80" s="242"/>
      <c r="HD80" s="242"/>
      <c r="HE80" s="242"/>
      <c r="HF80" s="242"/>
      <c r="HG80" s="242"/>
      <c r="HH80" s="242"/>
      <c r="HI80" s="242"/>
      <c r="HJ80" s="242"/>
      <c r="HK80" s="242"/>
      <c r="HL80" s="242"/>
      <c r="HM80" s="442"/>
      <c r="HN80" s="442"/>
      <c r="HO80" s="442"/>
      <c r="HP80" s="2" t="s">
        <v>30</v>
      </c>
      <c r="HQ80" s="442"/>
      <c r="HR80" s="442"/>
      <c r="HS80" s="442" t="s">
        <v>1</v>
      </c>
      <c r="HT80" s="555">
        <f>ROUND(0.85*IL78*(HT70/HT71)*(6120/(6120+HT71)),4)</f>
        <v>2.4199999999999999E-2</v>
      </c>
      <c r="HU80" s="555"/>
      <c r="HV80" s="555"/>
      <c r="HW80" s="34" t="s">
        <v>0</v>
      </c>
      <c r="HX80" s="442"/>
      <c r="HY80" s="442"/>
      <c r="HZ80" s="442"/>
      <c r="IA80" s="166"/>
      <c r="IB80" s="166"/>
      <c r="IC80" s="166"/>
      <c r="ID80" s="166"/>
      <c r="IE80" s="166"/>
      <c r="IL80" s="173" t="s">
        <v>195</v>
      </c>
      <c r="IM80" s="173"/>
      <c r="IN80" s="173"/>
      <c r="IO80" s="173"/>
      <c r="IP80" s="173"/>
      <c r="IQ80" s="173"/>
      <c r="IR80" s="173"/>
      <c r="IS80" s="445" t="s">
        <v>1</v>
      </c>
      <c r="IT80" s="552">
        <f>IF(IS84=0,1/8,IF(IS84=1,1/14,IF(IS84=2,1/16)))</f>
        <v>6.25E-2</v>
      </c>
      <c r="IU80" s="552"/>
      <c r="IV80" s="552"/>
      <c r="IW80" s="173"/>
      <c r="IX80" s="173" t="s">
        <v>196</v>
      </c>
      <c r="IY80" s="445" t="s">
        <v>1</v>
      </c>
      <c r="IZ80" s="553">
        <f>HT78-HT76-(IS120/20)</f>
        <v>6.4</v>
      </c>
      <c r="JA80" s="553"/>
      <c r="JB80" s="176" t="s">
        <v>18</v>
      </c>
      <c r="JC80" s="176"/>
      <c r="JD80" s="554">
        <f>IF(HT93=JD79,IZ79,IF(HX93=JD79,IZ80,IF(IB93=JD79,IZ81)))</f>
        <v>6.4</v>
      </c>
      <c r="JE80" s="554"/>
      <c r="JF80" s="173"/>
      <c r="JG80" s="173"/>
      <c r="JH80" s="173"/>
      <c r="JI80" s="36"/>
      <c r="JJ80" s="442"/>
      <c r="JK80" s="442"/>
      <c r="JL80" s="442"/>
      <c r="JM80" s="442"/>
      <c r="JN80" s="442"/>
      <c r="JO80" s="442"/>
      <c r="JP80" s="442"/>
      <c r="JQ80" s="442"/>
      <c r="JR80" s="442"/>
      <c r="JS80" s="442"/>
      <c r="JT80" s="442"/>
      <c r="JU80" s="442"/>
      <c r="JV80" s="442"/>
      <c r="JW80" s="442"/>
      <c r="JX80" s="442"/>
      <c r="JY80" s="442"/>
      <c r="JZ80" s="442"/>
      <c r="KA80" s="442"/>
      <c r="KB80" s="442"/>
      <c r="KC80" s="442"/>
      <c r="KD80" s="442"/>
      <c r="KE80" s="442"/>
      <c r="KF80" s="442"/>
      <c r="KG80" s="442"/>
      <c r="KH80" s="442"/>
      <c r="KI80" s="442"/>
      <c r="KJ80" s="442"/>
      <c r="KK80" s="442"/>
      <c r="KL80" s="442"/>
      <c r="KM80" s="442"/>
      <c r="KN80" s="442"/>
      <c r="KO80" s="442"/>
      <c r="KP80" s="442"/>
      <c r="KQ80" s="442"/>
      <c r="KR80" s="442"/>
      <c r="KS80" s="442"/>
      <c r="KT80" s="442"/>
      <c r="KU80" s="442"/>
      <c r="KV80" s="442"/>
      <c r="KW80" s="442"/>
      <c r="KX80" s="442"/>
      <c r="KY80" s="442"/>
      <c r="KZ80" s="442"/>
      <c r="LA80" s="442"/>
      <c r="LB80" s="442"/>
      <c r="LC80" s="442"/>
      <c r="LD80" s="442"/>
      <c r="LE80" s="442"/>
      <c r="LF80" s="442"/>
      <c r="LG80" s="442"/>
      <c r="LH80" s="442"/>
      <c r="LI80" s="442"/>
      <c r="LJ80" s="442"/>
      <c r="LK80" s="442"/>
      <c r="LL80" s="442"/>
      <c r="LM80" s="442"/>
      <c r="LN80" s="442"/>
      <c r="LO80" s="442"/>
      <c r="LP80" s="442"/>
      <c r="LQ80" s="442"/>
      <c r="LR80" s="442"/>
      <c r="LS80" s="442"/>
      <c r="LT80" s="442"/>
      <c r="LU80" s="442"/>
      <c r="LV80" s="442"/>
      <c r="LW80" s="442"/>
      <c r="LX80" s="442"/>
      <c r="LY80" s="442"/>
      <c r="LZ80" s="442"/>
      <c r="MA80" s="442"/>
      <c r="MB80" s="442"/>
      <c r="MC80" s="442"/>
      <c r="MD80" s="442"/>
      <c r="ME80" s="442"/>
      <c r="MF80" s="442"/>
      <c r="MG80" s="442"/>
      <c r="MH80" s="442"/>
      <c r="MI80" s="442"/>
      <c r="MJ80" s="442"/>
      <c r="MK80" s="442"/>
      <c r="ML80" s="442"/>
      <c r="MM80" s="442"/>
      <c r="MN80" s="442"/>
      <c r="MO80" s="442"/>
      <c r="MP80" s="442"/>
      <c r="MQ80" s="442"/>
      <c r="MR80" s="442"/>
      <c r="MS80" s="442"/>
      <c r="MT80" s="442"/>
      <c r="MU80" s="442"/>
      <c r="MV80" s="442"/>
      <c r="MW80" s="442"/>
      <c r="MX80" s="442"/>
      <c r="MY80" s="442"/>
      <c r="MZ80" s="442"/>
      <c r="NA80" s="442"/>
      <c r="NB80" s="442"/>
      <c r="NC80" s="442"/>
      <c r="NT80" s="149" t="s">
        <v>162</v>
      </c>
      <c r="NX80" s="149" t="s">
        <v>163</v>
      </c>
      <c r="OA80" s="149" t="s">
        <v>164</v>
      </c>
      <c r="OD80" s="550">
        <f>H24</f>
        <v>1.5</v>
      </c>
      <c r="OE80" s="550"/>
      <c r="OF80" s="550">
        <f>H26</f>
        <v>4</v>
      </c>
      <c r="OG80" s="550"/>
    </row>
    <row r="81" spans="1:399" ht="14.1" customHeight="1" x14ac:dyDescent="0.2">
      <c r="A81" s="156"/>
      <c r="B81" s="236"/>
      <c r="C81" s="68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156"/>
      <c r="R81" s="156"/>
      <c r="S81" s="156"/>
      <c r="T81" s="156"/>
      <c r="U81" s="156"/>
      <c r="V81" s="156"/>
      <c r="W81" s="156"/>
      <c r="X81" s="156"/>
      <c r="Y81" s="156"/>
      <c r="Z81" s="156"/>
      <c r="AA81" s="156"/>
      <c r="AB81" s="156"/>
      <c r="AC81" s="156"/>
      <c r="AD81" s="156"/>
      <c r="AE81" s="156"/>
      <c r="AF81" s="156"/>
      <c r="AG81" s="156"/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50"/>
      <c r="BD81" s="156"/>
      <c r="BE81" s="156"/>
      <c r="BF81" s="156"/>
      <c r="BG81" s="156"/>
      <c r="BH81" s="156"/>
      <c r="BI81" s="156"/>
      <c r="BJ81" s="156"/>
      <c r="BK81" s="156"/>
      <c r="BL81" s="156"/>
      <c r="BM81" s="156"/>
      <c r="BN81" s="156"/>
      <c r="BO81" s="156"/>
      <c r="BP81" s="156"/>
      <c r="BQ81" s="156"/>
      <c r="BR81" s="156"/>
      <c r="BS81" s="156"/>
      <c r="BT81" s="156"/>
      <c r="BU81" s="156"/>
      <c r="BV81" s="156"/>
      <c r="BW81" s="156"/>
      <c r="BX81" s="156"/>
      <c r="BY81" s="156"/>
      <c r="BZ81" s="156"/>
      <c r="CA81" s="156"/>
      <c r="CB81" s="156"/>
      <c r="CC81" s="156"/>
      <c r="CD81" s="156"/>
      <c r="CE81" s="156"/>
      <c r="CF81" s="156"/>
      <c r="CG81" s="156"/>
      <c r="CH81" s="156"/>
      <c r="CI81" s="156"/>
      <c r="CJ81" s="156"/>
      <c r="CK81" s="156"/>
      <c r="CL81" s="156"/>
      <c r="CM81" s="156"/>
      <c r="CN81" s="156"/>
      <c r="CO81" s="156"/>
      <c r="CP81" s="156"/>
      <c r="CQ81" s="156"/>
      <c r="CR81" s="156"/>
      <c r="CS81" s="156"/>
      <c r="CT81" s="156"/>
      <c r="CU81" s="156"/>
      <c r="CV81" s="156"/>
      <c r="CW81" s="156"/>
      <c r="CX81" s="156"/>
      <c r="CY81" s="156"/>
      <c r="CZ81" s="156"/>
      <c r="DA81" s="156"/>
      <c r="DB81" s="156"/>
      <c r="DC81" s="156"/>
      <c r="DD81" s="156"/>
      <c r="DE81" s="156"/>
      <c r="DF81" s="156"/>
      <c r="DG81" s="156"/>
      <c r="DH81" s="156"/>
      <c r="DI81" s="156"/>
      <c r="DJ81" s="156"/>
      <c r="DK81" s="156"/>
      <c r="DL81" s="156"/>
      <c r="DM81" s="156"/>
      <c r="DN81" s="156"/>
      <c r="DO81" s="156"/>
      <c r="DP81" s="156"/>
      <c r="DQ81" s="156"/>
      <c r="DR81" s="156"/>
      <c r="DS81" s="156"/>
      <c r="DT81" s="156"/>
      <c r="DU81" s="156"/>
      <c r="DV81" s="156"/>
      <c r="DW81" s="156"/>
      <c r="DX81" s="156"/>
      <c r="DY81" s="156"/>
      <c r="DZ81" s="156"/>
      <c r="EA81" s="156"/>
      <c r="EB81" s="156"/>
      <c r="EC81" s="156"/>
      <c r="ED81" s="156"/>
      <c r="EE81" s="156"/>
      <c r="EF81" s="156"/>
      <c r="EG81" s="156"/>
      <c r="EH81" s="156"/>
      <c r="EI81" s="156"/>
      <c r="EJ81" s="156"/>
      <c r="EK81" s="156"/>
      <c r="EL81" s="156"/>
      <c r="EM81" s="156"/>
      <c r="EN81" s="156"/>
      <c r="EO81" s="156"/>
      <c r="EP81" s="156"/>
      <c r="EQ81" s="156"/>
      <c r="ER81" s="156"/>
      <c r="ES81" s="156"/>
      <c r="ET81" s="156"/>
      <c r="EU81" s="156"/>
      <c r="EV81" s="156"/>
      <c r="EW81" s="156"/>
      <c r="EX81" s="156"/>
      <c r="EY81" s="156"/>
      <c r="EZ81" s="156"/>
      <c r="FA81" s="156"/>
      <c r="FB81" s="156"/>
      <c r="FC81" s="156"/>
      <c r="FD81" s="156"/>
      <c r="FE81" s="156"/>
      <c r="FF81" s="156"/>
      <c r="FG81" s="156"/>
      <c r="FH81" s="156"/>
      <c r="FI81" s="156"/>
      <c r="FJ81" s="156"/>
      <c r="FK81" s="156"/>
      <c r="FL81" s="156"/>
      <c r="FM81" s="156"/>
      <c r="FN81" s="156"/>
      <c r="FO81" s="156"/>
      <c r="FP81" s="156"/>
      <c r="FQ81" s="156"/>
      <c r="FR81" s="156"/>
      <c r="FS81" s="242"/>
      <c r="FT81" s="156"/>
      <c r="FU81" s="156"/>
      <c r="FV81" s="156"/>
      <c r="FW81" s="156"/>
      <c r="FX81" s="156"/>
      <c r="FY81" s="156"/>
      <c r="FZ81" s="156"/>
      <c r="GA81" s="156"/>
      <c r="GB81" s="156"/>
      <c r="GC81" s="156"/>
      <c r="GD81" s="156"/>
      <c r="GE81" s="156"/>
      <c r="GF81" s="156"/>
      <c r="GG81" s="156"/>
      <c r="GH81" s="156"/>
      <c r="GI81" s="156"/>
      <c r="GJ81" s="156"/>
      <c r="GK81" s="156"/>
      <c r="GL81" s="279"/>
      <c r="GM81" s="279"/>
      <c r="GN81" s="430"/>
      <c r="GO81" s="430"/>
      <c r="GP81" s="288"/>
      <c r="GQ81" s="156"/>
      <c r="GR81" s="279"/>
      <c r="GS81" s="279"/>
      <c r="GT81" s="430"/>
      <c r="GU81" s="430"/>
      <c r="GV81" s="288"/>
      <c r="GW81" s="156"/>
      <c r="GX81" s="279"/>
      <c r="GY81" s="279"/>
      <c r="GZ81" s="430"/>
      <c r="HA81" s="430"/>
      <c r="HB81" s="288"/>
      <c r="HC81" s="242"/>
      <c r="HD81" s="242"/>
      <c r="HE81" s="242"/>
      <c r="HF81" s="242"/>
      <c r="HG81" s="242"/>
      <c r="HH81" s="242"/>
      <c r="HI81" s="242"/>
      <c r="HJ81" s="242"/>
      <c r="HK81" s="242"/>
      <c r="HL81" s="242"/>
      <c r="HM81" s="442"/>
      <c r="HN81" s="442"/>
      <c r="HO81" s="442"/>
      <c r="HP81" s="2" t="s">
        <v>31</v>
      </c>
      <c r="HQ81" s="442"/>
      <c r="HR81" s="442"/>
      <c r="HS81" s="442" t="s">
        <v>1</v>
      </c>
      <c r="HT81" s="548">
        <f>ROUND(0.75*HT80,4)</f>
        <v>1.8200000000000001E-2</v>
      </c>
      <c r="HU81" s="548"/>
      <c r="HV81" s="548"/>
      <c r="HW81" s="442" t="s">
        <v>0</v>
      </c>
      <c r="HX81" s="442"/>
      <c r="HY81" s="442"/>
      <c r="HZ81" s="442"/>
      <c r="IA81" s="24"/>
      <c r="IB81" s="24"/>
      <c r="IC81" s="24"/>
      <c r="ID81" s="442"/>
      <c r="IE81" s="24"/>
      <c r="IL81" s="173" t="s">
        <v>197</v>
      </c>
      <c r="IM81" s="173"/>
      <c r="IN81" s="173"/>
      <c r="IO81" s="173"/>
      <c r="IP81" s="173"/>
      <c r="IQ81" s="173"/>
      <c r="IR81" s="173"/>
      <c r="IS81" s="445" t="s">
        <v>1</v>
      </c>
      <c r="IT81" s="552">
        <f>IF(IS84=0,1/24,IF(IS84=1,1/9,IF(IS84=2,1/11)))</f>
        <v>9.0909090909090912E-2</v>
      </c>
      <c r="IU81" s="552"/>
      <c r="IV81" s="552"/>
      <c r="IW81" s="173"/>
      <c r="IX81" s="173" t="s">
        <v>198</v>
      </c>
      <c r="IY81" s="445" t="s">
        <v>1</v>
      </c>
      <c r="IZ81" s="553">
        <f>HT78-HT76-(IV120/20)</f>
        <v>6.4</v>
      </c>
      <c r="JA81" s="553"/>
      <c r="JB81" s="176" t="s">
        <v>18</v>
      </c>
      <c r="JC81" s="176"/>
      <c r="JD81" s="176"/>
      <c r="JE81" s="173"/>
      <c r="JF81" s="173"/>
      <c r="JG81" s="173"/>
      <c r="JH81" s="173"/>
      <c r="JI81" s="36"/>
      <c r="JJ81" s="442"/>
      <c r="JK81" s="442"/>
      <c r="JL81" s="442"/>
      <c r="JM81" s="442"/>
      <c r="JN81" s="442"/>
      <c r="JO81" s="442"/>
      <c r="JP81" s="442"/>
      <c r="JQ81" s="442"/>
      <c r="JR81" s="442"/>
      <c r="JS81" s="442"/>
      <c r="JT81" s="442"/>
      <c r="JU81" s="442"/>
      <c r="JV81" s="442"/>
      <c r="JW81" s="442"/>
      <c r="JX81" s="442"/>
      <c r="JY81" s="442"/>
      <c r="JZ81" s="442"/>
      <c r="KA81" s="442"/>
      <c r="KB81" s="442"/>
      <c r="KC81" s="442"/>
      <c r="KD81" s="442"/>
      <c r="KE81" s="442"/>
      <c r="KF81" s="442"/>
      <c r="KG81" s="442"/>
      <c r="KH81" s="442"/>
      <c r="KI81" s="442"/>
      <c r="KJ81" s="442"/>
      <c r="KK81" s="442"/>
      <c r="KL81" s="442"/>
      <c r="KM81" s="442"/>
      <c r="KN81" s="442"/>
      <c r="KO81" s="442"/>
      <c r="KP81" s="442"/>
      <c r="KQ81" s="442"/>
      <c r="KR81" s="442"/>
      <c r="KS81" s="442"/>
      <c r="KT81" s="442"/>
      <c r="KU81" s="442"/>
      <c r="KV81" s="442"/>
      <c r="KW81" s="442"/>
      <c r="KX81" s="442"/>
      <c r="KY81" s="442"/>
      <c r="KZ81" s="442"/>
      <c r="LA81" s="442"/>
      <c r="LB81" s="442"/>
      <c r="LC81" s="442"/>
      <c r="LD81" s="442"/>
      <c r="LE81" s="442"/>
      <c r="LF81" s="442"/>
      <c r="LG81" s="442"/>
      <c r="LH81" s="442"/>
      <c r="LI81" s="442"/>
      <c r="LJ81" s="442"/>
      <c r="LK81" s="442"/>
      <c r="LL81" s="442"/>
      <c r="LM81" s="442"/>
      <c r="LN81" s="442"/>
      <c r="LO81" s="442"/>
      <c r="LP81" s="442"/>
      <c r="LQ81" s="442"/>
      <c r="LR81" s="442"/>
      <c r="LS81" s="442"/>
      <c r="LT81" s="442"/>
      <c r="LU81" s="442"/>
      <c r="LV81" s="442"/>
      <c r="LW81" s="442"/>
      <c r="LX81" s="442"/>
      <c r="LY81" s="442"/>
      <c r="LZ81" s="442"/>
      <c r="MA81" s="442"/>
      <c r="MB81" s="442"/>
      <c r="MC81" s="442"/>
      <c r="MD81" s="442"/>
      <c r="ME81" s="442"/>
      <c r="MF81" s="442"/>
      <c r="MG81" s="442"/>
      <c r="MH81" s="442"/>
      <c r="MI81" s="442"/>
      <c r="MJ81" s="442"/>
      <c r="MK81" s="442"/>
      <c r="ML81" s="442"/>
      <c r="MM81" s="442"/>
      <c r="MN81" s="442"/>
      <c r="MO81" s="442"/>
      <c r="MP81" s="442"/>
      <c r="MQ81" s="442"/>
      <c r="MR81" s="442"/>
      <c r="MS81" s="442"/>
      <c r="MT81" s="442"/>
      <c r="MU81" s="442"/>
      <c r="MV81" s="442"/>
      <c r="MW81" s="442"/>
      <c r="MX81" s="442"/>
      <c r="MY81" s="442"/>
      <c r="MZ81" s="442"/>
      <c r="NA81" s="442"/>
      <c r="NB81" s="442"/>
      <c r="NC81" s="442"/>
      <c r="NT81" s="149" t="s">
        <v>22</v>
      </c>
      <c r="NU81" s="149">
        <v>-0.1</v>
      </c>
      <c r="NV81" s="149">
        <f>NU81</f>
        <v>-0.1</v>
      </c>
      <c r="NX81" s="149">
        <f>NU81+2.2</f>
        <v>2.1</v>
      </c>
      <c r="NY81" s="149">
        <f>NX81</f>
        <v>2.1</v>
      </c>
      <c r="OA81" s="149">
        <f>NU81</f>
        <v>-0.1</v>
      </c>
      <c r="OB81" s="149">
        <f>NX81</f>
        <v>2.1</v>
      </c>
      <c r="OD81" s="189">
        <v>1</v>
      </c>
    </row>
    <row r="82" spans="1:399" ht="14.1" customHeight="1" x14ac:dyDescent="0.2">
      <c r="A82" s="156"/>
      <c r="B82" s="236"/>
      <c r="C82" s="68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156"/>
      <c r="R82" s="156"/>
      <c r="S82" s="156"/>
      <c r="T82" s="156"/>
      <c r="U82" s="156"/>
      <c r="V82" s="156"/>
      <c r="W82" s="156"/>
      <c r="X82" s="156"/>
      <c r="Y82" s="156"/>
      <c r="Z82" s="156"/>
      <c r="AA82" s="156"/>
      <c r="AB82" s="156"/>
      <c r="AC82" s="156"/>
      <c r="AD82" s="156"/>
      <c r="AE82" s="156"/>
      <c r="AF82" s="156"/>
      <c r="AG82" s="156"/>
      <c r="AH82" s="156"/>
      <c r="AI82" s="156"/>
      <c r="AJ82" s="156"/>
      <c r="AK82" s="156"/>
      <c r="AL82" s="156"/>
      <c r="AM82" s="156"/>
      <c r="AN82" s="156"/>
      <c r="AO82" s="156"/>
      <c r="AP82" s="156"/>
      <c r="AQ82" s="156"/>
      <c r="AR82" s="156"/>
      <c r="AS82" s="156"/>
      <c r="AT82" s="156"/>
      <c r="AU82" s="156"/>
      <c r="AV82" s="156"/>
      <c r="AW82" s="156"/>
      <c r="AX82" s="156"/>
      <c r="AY82" s="156"/>
      <c r="AZ82" s="156"/>
      <c r="BA82" s="156"/>
      <c r="BB82" s="156"/>
      <c r="BC82" s="50"/>
      <c r="BD82" s="156"/>
      <c r="BE82" s="156"/>
      <c r="BF82" s="156"/>
      <c r="BG82" s="156"/>
      <c r="BH82" s="156"/>
      <c r="BI82" s="156"/>
      <c r="BJ82" s="156"/>
      <c r="BK82" s="156"/>
      <c r="BL82" s="156"/>
      <c r="BM82" s="156"/>
      <c r="BN82" s="156"/>
      <c r="BO82" s="156"/>
      <c r="BP82" s="156"/>
      <c r="BQ82" s="156"/>
      <c r="BR82" s="156"/>
      <c r="BS82" s="156"/>
      <c r="BT82" s="156"/>
      <c r="BU82" s="156"/>
      <c r="BV82" s="156"/>
      <c r="BW82" s="156"/>
      <c r="BX82" s="156"/>
      <c r="BY82" s="156"/>
      <c r="BZ82" s="156"/>
      <c r="CA82" s="156"/>
      <c r="CB82" s="156"/>
      <c r="CC82" s="156"/>
      <c r="CD82" s="156"/>
      <c r="CE82" s="156"/>
      <c r="CF82" s="156"/>
      <c r="CG82" s="156"/>
      <c r="CH82" s="156"/>
      <c r="CI82" s="156"/>
      <c r="CJ82" s="156"/>
      <c r="CK82" s="156"/>
      <c r="CL82" s="156"/>
      <c r="CM82" s="156"/>
      <c r="CN82" s="156"/>
      <c r="CO82" s="156"/>
      <c r="CP82" s="156"/>
      <c r="CQ82" s="156"/>
      <c r="CR82" s="156"/>
      <c r="CS82" s="156"/>
      <c r="CT82" s="156"/>
      <c r="CU82" s="156"/>
      <c r="CV82" s="156"/>
      <c r="CW82" s="156"/>
      <c r="CX82" s="156"/>
      <c r="CY82" s="156"/>
      <c r="CZ82" s="156"/>
      <c r="DA82" s="156"/>
      <c r="DB82" s="156"/>
      <c r="DC82" s="156"/>
      <c r="DD82" s="156"/>
      <c r="DE82" s="156"/>
      <c r="DF82" s="156"/>
      <c r="DG82" s="156"/>
      <c r="DH82" s="156"/>
      <c r="DI82" s="156"/>
      <c r="DJ82" s="156"/>
      <c r="DK82" s="156"/>
      <c r="DL82" s="156"/>
      <c r="DM82" s="156"/>
      <c r="DN82" s="156"/>
      <c r="DO82" s="156"/>
      <c r="DP82" s="156"/>
      <c r="DQ82" s="156"/>
      <c r="DR82" s="156"/>
      <c r="DS82" s="156"/>
      <c r="DT82" s="156"/>
      <c r="DU82" s="156"/>
      <c r="DV82" s="156"/>
      <c r="DW82" s="156"/>
      <c r="DX82" s="156"/>
      <c r="DY82" s="156"/>
      <c r="DZ82" s="156"/>
      <c r="EA82" s="156"/>
      <c r="EB82" s="156"/>
      <c r="EC82" s="156"/>
      <c r="ED82" s="156"/>
      <c r="EE82" s="156"/>
      <c r="EF82" s="156"/>
      <c r="EG82" s="156"/>
      <c r="EH82" s="156"/>
      <c r="EI82" s="156"/>
      <c r="EJ82" s="156"/>
      <c r="EK82" s="156"/>
      <c r="EL82" s="156"/>
      <c r="EM82" s="156"/>
      <c r="EN82" s="156"/>
      <c r="EO82" s="156"/>
      <c r="EP82" s="156"/>
      <c r="EQ82" s="156"/>
      <c r="ER82" s="156"/>
      <c r="ES82" s="156"/>
      <c r="ET82" s="156"/>
      <c r="EU82" s="156"/>
      <c r="EV82" s="156"/>
      <c r="EW82" s="156"/>
      <c r="EX82" s="156"/>
      <c r="EY82" s="156"/>
      <c r="EZ82" s="156"/>
      <c r="FA82" s="156"/>
      <c r="FB82" s="156"/>
      <c r="FC82" s="156"/>
      <c r="FD82" s="156"/>
      <c r="FE82" s="156"/>
      <c r="FF82" s="156"/>
      <c r="FG82" s="156"/>
      <c r="FH82" s="156"/>
      <c r="FI82" s="156"/>
      <c r="FJ82" s="156"/>
      <c r="FK82" s="156"/>
      <c r="FL82" s="156"/>
      <c r="FM82" s="156"/>
      <c r="FN82" s="156"/>
      <c r="FO82" s="156"/>
      <c r="FP82" s="156"/>
      <c r="FQ82" s="156"/>
      <c r="FR82" s="156"/>
      <c r="FS82" s="242"/>
      <c r="FT82" s="156"/>
      <c r="FU82" s="156"/>
      <c r="FV82" s="156"/>
      <c r="FW82" s="156"/>
      <c r="FX82" s="156"/>
      <c r="FY82" s="156"/>
      <c r="FZ82" s="156"/>
      <c r="GA82" s="156"/>
      <c r="GB82" s="156"/>
      <c r="GC82" s="156"/>
      <c r="GD82" s="156"/>
      <c r="GE82" s="156"/>
      <c r="GF82" s="156"/>
      <c r="GG82" s="156"/>
      <c r="GH82" s="156"/>
      <c r="GI82" s="156"/>
      <c r="GJ82" s="156"/>
      <c r="GK82" s="156"/>
      <c r="GL82" s="279"/>
      <c r="GM82" s="279"/>
      <c r="GN82" s="430"/>
      <c r="GO82" s="430"/>
      <c r="GP82" s="288"/>
      <c r="GQ82" s="156"/>
      <c r="GR82" s="279"/>
      <c r="GS82" s="279"/>
      <c r="GT82" s="430"/>
      <c r="GU82" s="430"/>
      <c r="GV82" s="288"/>
      <c r="GW82" s="156"/>
      <c r="GX82" s="279"/>
      <c r="GY82" s="279"/>
      <c r="GZ82" s="430"/>
      <c r="HA82" s="430"/>
      <c r="HB82" s="288"/>
      <c r="HC82" s="242"/>
      <c r="HD82" s="242"/>
      <c r="HE82" s="242"/>
      <c r="HF82" s="242"/>
      <c r="HG82" s="242"/>
      <c r="HH82" s="242"/>
      <c r="HI82" s="242"/>
      <c r="HJ82" s="242"/>
      <c r="HK82" s="242"/>
      <c r="HL82" s="242"/>
      <c r="HM82" s="442"/>
      <c r="HN82" s="442"/>
      <c r="HO82" s="442"/>
      <c r="HP82" s="21" t="s">
        <v>32</v>
      </c>
      <c r="HQ82" s="442"/>
      <c r="HR82" s="442"/>
      <c r="HS82" s="442" t="s">
        <v>1</v>
      </c>
      <c r="HT82" s="522">
        <f>ROUND(14/HT71,4)</f>
        <v>4.7000000000000002E-3</v>
      </c>
      <c r="HU82" s="522"/>
      <c r="HV82" s="522"/>
      <c r="HW82" s="442" t="s">
        <v>0</v>
      </c>
      <c r="HX82" s="442"/>
      <c r="HY82" s="442"/>
      <c r="HZ82" s="442"/>
      <c r="IA82" s="37"/>
      <c r="IB82" s="143"/>
      <c r="IC82" s="143"/>
      <c r="ID82" s="442"/>
      <c r="IE82" s="143"/>
      <c r="IL82" s="444" t="s">
        <v>71</v>
      </c>
      <c r="IM82" s="444" t="s">
        <v>88</v>
      </c>
      <c r="IN82" s="32"/>
      <c r="IO82" s="32"/>
      <c r="IP82" s="32"/>
      <c r="IQ82" s="32"/>
      <c r="IR82" s="32"/>
      <c r="IS82" s="32"/>
      <c r="IT82" s="32"/>
      <c r="IU82" s="32"/>
      <c r="IV82" s="32"/>
      <c r="IW82" s="32"/>
      <c r="IX82" s="32"/>
      <c r="IY82" s="32"/>
      <c r="IZ82" s="32"/>
      <c r="JA82" s="32"/>
      <c r="JB82" s="32"/>
      <c r="JC82" s="32"/>
      <c r="JD82" s="32"/>
      <c r="JE82" s="32"/>
      <c r="JF82" s="32"/>
      <c r="JG82" s="32"/>
      <c r="JH82" s="32"/>
      <c r="JI82" s="442"/>
      <c r="JJ82" s="442"/>
      <c r="JK82" s="442"/>
      <c r="JL82" s="442"/>
      <c r="JM82" s="442"/>
      <c r="JN82" s="442"/>
      <c r="JO82" s="442"/>
      <c r="JP82" s="442"/>
      <c r="JQ82" s="442"/>
      <c r="JR82" s="442"/>
      <c r="JS82" s="442"/>
      <c r="JT82" s="442"/>
      <c r="JU82" s="442"/>
      <c r="JV82" s="442"/>
      <c r="JW82" s="442"/>
      <c r="JX82" s="442"/>
      <c r="JY82" s="442"/>
      <c r="JZ82" s="442"/>
      <c r="KA82" s="442"/>
      <c r="KB82" s="442"/>
      <c r="KC82" s="442"/>
      <c r="KD82" s="442"/>
      <c r="KE82" s="442"/>
      <c r="KF82" s="442"/>
      <c r="KG82" s="442"/>
      <c r="KH82" s="442"/>
      <c r="KI82" s="442"/>
      <c r="KJ82" s="442"/>
      <c r="KK82" s="442"/>
      <c r="KL82" s="442"/>
      <c r="KM82" s="442"/>
      <c r="KN82" s="442"/>
      <c r="KO82" s="442"/>
      <c r="KP82" s="442"/>
      <c r="KQ82" s="442"/>
      <c r="KR82" s="442"/>
      <c r="KS82" s="442"/>
      <c r="KT82" s="442"/>
      <c r="KU82" s="442"/>
      <c r="KV82" s="442"/>
      <c r="KW82" s="442"/>
      <c r="KX82" s="442"/>
      <c r="KY82" s="442"/>
      <c r="KZ82" s="442"/>
      <c r="LA82" s="442"/>
      <c r="LB82" s="442"/>
      <c r="LC82" s="442"/>
      <c r="LD82" s="442"/>
      <c r="LE82" s="442"/>
      <c r="LF82" s="442"/>
      <c r="LG82" s="442"/>
      <c r="LH82" s="442"/>
      <c r="LI82" s="442"/>
      <c r="LJ82" s="442"/>
      <c r="LK82" s="442"/>
      <c r="LL82" s="442"/>
      <c r="LM82" s="442"/>
      <c r="LN82" s="442"/>
      <c r="LO82" s="442"/>
      <c r="LP82" s="442"/>
      <c r="LQ82" s="442"/>
      <c r="LR82" s="442"/>
      <c r="LS82" s="442"/>
      <c r="LT82" s="442"/>
      <c r="LU82" s="442"/>
      <c r="LV82" s="442"/>
      <c r="LW82" s="442"/>
      <c r="LX82" s="442"/>
      <c r="LY82" s="442"/>
      <c r="LZ82" s="442"/>
      <c r="MA82" s="442"/>
      <c r="MB82" s="442"/>
      <c r="MC82" s="442"/>
      <c r="MD82" s="442"/>
      <c r="ME82" s="442"/>
      <c r="MF82" s="442"/>
      <c r="MG82" s="442"/>
      <c r="MH82" s="442"/>
      <c r="MI82" s="442"/>
      <c r="MJ82" s="442"/>
      <c r="MK82" s="442"/>
      <c r="ML82" s="442"/>
      <c r="MM82" s="442"/>
      <c r="MN82" s="442"/>
      <c r="MO82" s="442"/>
      <c r="MP82" s="442"/>
      <c r="MQ82" s="442"/>
      <c r="MR82" s="442"/>
      <c r="MS82" s="442"/>
      <c r="MT82" s="442"/>
      <c r="MU82" s="442"/>
      <c r="MV82" s="442"/>
      <c r="MW82" s="442"/>
      <c r="MX82" s="442"/>
      <c r="MY82" s="442"/>
      <c r="MZ82" s="442"/>
      <c r="NA82" s="442"/>
      <c r="NB82" s="442"/>
      <c r="NC82" s="442"/>
      <c r="NT82" s="149" t="s">
        <v>23</v>
      </c>
      <c r="NU82" s="149">
        <v>-0.66</v>
      </c>
      <c r="NV82" s="149">
        <v>-0.74</v>
      </c>
      <c r="NX82" s="149">
        <f>NU82</f>
        <v>-0.66</v>
      </c>
      <c r="NY82" s="149">
        <f>NV82</f>
        <v>-0.74</v>
      </c>
      <c r="OA82" s="149">
        <f>-0.7</f>
        <v>-0.7</v>
      </c>
      <c r="OB82" s="149">
        <f>OA82</f>
        <v>-0.7</v>
      </c>
      <c r="OD82" s="189">
        <f>OA82+0.05</f>
        <v>-0.64999999999999991</v>
      </c>
    </row>
    <row r="83" spans="1:399" ht="14.1" customHeight="1" x14ac:dyDescent="0.2">
      <c r="A83" s="156"/>
      <c r="B83" s="236"/>
      <c r="C83" s="68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156"/>
      <c r="R83" s="156"/>
      <c r="S83" s="156"/>
      <c r="T83" s="156"/>
      <c r="U83" s="156"/>
      <c r="V83" s="156"/>
      <c r="W83" s="156"/>
      <c r="X83" s="156"/>
      <c r="Y83" s="156"/>
      <c r="Z83" s="156"/>
      <c r="AA83" s="156"/>
      <c r="AB83" s="156"/>
      <c r="AC83" s="156"/>
      <c r="AD83" s="156"/>
      <c r="AE83" s="156"/>
      <c r="AF83" s="156"/>
      <c r="AG83" s="156"/>
      <c r="AH83" s="156"/>
      <c r="AI83" s="156"/>
      <c r="AJ83" s="156"/>
      <c r="AK83" s="156"/>
      <c r="AL83" s="156"/>
      <c r="AM83" s="156"/>
      <c r="AN83" s="156"/>
      <c r="AO83" s="156"/>
      <c r="AP83" s="156"/>
      <c r="AQ83" s="156"/>
      <c r="AR83" s="156"/>
      <c r="AS83" s="156"/>
      <c r="AT83" s="156"/>
      <c r="AU83" s="156"/>
      <c r="AV83" s="156"/>
      <c r="AW83" s="156"/>
      <c r="AX83" s="156"/>
      <c r="AY83" s="156"/>
      <c r="AZ83" s="156"/>
      <c r="BA83" s="156"/>
      <c r="BB83" s="156"/>
      <c r="BC83" s="50"/>
      <c r="BD83" s="156"/>
      <c r="BE83" s="156"/>
      <c r="BF83" s="156"/>
      <c r="BG83" s="156"/>
      <c r="BH83" s="156"/>
      <c r="BI83" s="156"/>
      <c r="BJ83" s="156"/>
      <c r="BK83" s="156"/>
      <c r="BL83" s="156"/>
      <c r="BM83" s="156"/>
      <c r="BN83" s="156"/>
      <c r="BO83" s="156"/>
      <c r="BP83" s="156"/>
      <c r="BQ83" s="156"/>
      <c r="BR83" s="156"/>
      <c r="BS83" s="156"/>
      <c r="BT83" s="156"/>
      <c r="BU83" s="156"/>
      <c r="BV83" s="156"/>
      <c r="BW83" s="156"/>
      <c r="BX83" s="156"/>
      <c r="BY83" s="156"/>
      <c r="BZ83" s="156"/>
      <c r="CA83" s="156"/>
      <c r="CB83" s="156"/>
      <c r="CC83" s="156"/>
      <c r="CD83" s="156"/>
      <c r="CE83" s="156"/>
      <c r="CF83" s="156"/>
      <c r="CG83" s="156"/>
      <c r="CH83" s="156"/>
      <c r="CI83" s="156"/>
      <c r="CJ83" s="156"/>
      <c r="CK83" s="156"/>
      <c r="CL83" s="156"/>
      <c r="CM83" s="156"/>
      <c r="CN83" s="156"/>
      <c r="CO83" s="156"/>
      <c r="CP83" s="156"/>
      <c r="CQ83" s="156"/>
      <c r="CR83" s="156"/>
      <c r="CS83" s="156"/>
      <c r="CT83" s="156"/>
      <c r="CU83" s="156"/>
      <c r="CV83" s="156"/>
      <c r="CW83" s="156"/>
      <c r="CX83" s="156"/>
      <c r="CY83" s="156"/>
      <c r="CZ83" s="156"/>
      <c r="DA83" s="156"/>
      <c r="DB83" s="156"/>
      <c r="DC83" s="156"/>
      <c r="DD83" s="156"/>
      <c r="DE83" s="156"/>
      <c r="DF83" s="156"/>
      <c r="DG83" s="156"/>
      <c r="DH83" s="156"/>
      <c r="DI83" s="156"/>
      <c r="DJ83" s="156"/>
      <c r="DK83" s="156"/>
      <c r="DL83" s="156"/>
      <c r="DM83" s="156"/>
      <c r="DN83" s="156"/>
      <c r="DO83" s="156"/>
      <c r="DP83" s="156"/>
      <c r="DQ83" s="156"/>
      <c r="DR83" s="156"/>
      <c r="DS83" s="156"/>
      <c r="DT83" s="156"/>
      <c r="DU83" s="156"/>
      <c r="DV83" s="156"/>
      <c r="DW83" s="156"/>
      <c r="DX83" s="156"/>
      <c r="DY83" s="156"/>
      <c r="DZ83" s="156"/>
      <c r="EA83" s="156"/>
      <c r="EB83" s="156"/>
      <c r="EC83" s="156"/>
      <c r="ED83" s="156"/>
      <c r="EE83" s="156"/>
      <c r="EF83" s="156"/>
      <c r="EG83" s="156"/>
      <c r="EH83" s="156"/>
      <c r="EI83" s="156"/>
      <c r="EJ83" s="156"/>
      <c r="EK83" s="156"/>
      <c r="EL83" s="156"/>
      <c r="EM83" s="156"/>
      <c r="EN83" s="156"/>
      <c r="EO83" s="156"/>
      <c r="EP83" s="156"/>
      <c r="EQ83" s="156"/>
      <c r="ER83" s="156"/>
      <c r="ES83" s="156"/>
      <c r="ET83" s="156"/>
      <c r="EU83" s="156"/>
      <c r="EV83" s="156"/>
      <c r="EW83" s="156"/>
      <c r="EX83" s="156"/>
      <c r="EY83" s="156"/>
      <c r="EZ83" s="156"/>
      <c r="FA83" s="156"/>
      <c r="FB83" s="156"/>
      <c r="FC83" s="156"/>
      <c r="FD83" s="156"/>
      <c r="FE83" s="156"/>
      <c r="FF83" s="156"/>
      <c r="FG83" s="156"/>
      <c r="FH83" s="156"/>
      <c r="FI83" s="156"/>
      <c r="FJ83" s="156"/>
      <c r="FK83" s="156"/>
      <c r="FL83" s="156"/>
      <c r="FM83" s="156"/>
      <c r="FN83" s="156"/>
      <c r="FO83" s="156"/>
      <c r="FP83" s="156"/>
      <c r="FQ83" s="156"/>
      <c r="FR83" s="156"/>
      <c r="FS83" s="242"/>
      <c r="FT83" s="242"/>
      <c r="FU83" s="242"/>
      <c r="FV83" s="242"/>
      <c r="FW83" s="242"/>
      <c r="FX83" s="242"/>
      <c r="FY83" s="242"/>
      <c r="FZ83" s="242"/>
      <c r="GA83" s="242"/>
      <c r="GB83" s="242"/>
      <c r="GC83" s="242"/>
      <c r="GD83" s="242"/>
      <c r="GE83" s="242"/>
      <c r="GF83" s="242"/>
      <c r="GG83" s="242"/>
      <c r="GH83" s="242"/>
      <c r="GI83" s="242"/>
      <c r="GJ83" s="242"/>
      <c r="GK83" s="289"/>
      <c r="GL83" s="242"/>
      <c r="GM83" s="242"/>
      <c r="GN83" s="242"/>
      <c r="GO83" s="242"/>
      <c r="GP83" s="242"/>
      <c r="GQ83" s="242"/>
      <c r="GR83" s="290"/>
      <c r="GS83" s="242"/>
      <c r="GT83" s="242"/>
      <c r="GU83" s="291"/>
      <c r="GV83" s="222"/>
      <c r="GW83" s="222"/>
      <c r="GX83" s="222"/>
      <c r="GY83" s="222"/>
      <c r="GZ83" s="222"/>
      <c r="HA83" s="222"/>
      <c r="HB83" s="222"/>
      <c r="HC83" s="222"/>
      <c r="HD83" s="242"/>
      <c r="HE83" s="242"/>
      <c r="HF83" s="242"/>
      <c r="HG83" s="242"/>
      <c r="HH83" s="242"/>
      <c r="HI83" s="242"/>
      <c r="HJ83" s="242"/>
      <c r="HK83" s="242"/>
      <c r="HL83" s="242"/>
      <c r="HM83" s="442"/>
      <c r="HN83" s="442"/>
      <c r="HO83" s="442"/>
      <c r="HP83" s="2" t="s">
        <v>69</v>
      </c>
      <c r="HQ83" s="442"/>
      <c r="HR83" s="442"/>
      <c r="HS83" s="442" t="s">
        <v>1</v>
      </c>
      <c r="HT83" s="548">
        <f>ROUND(0.5*HT80,4)</f>
        <v>1.21E-2</v>
      </c>
      <c r="HU83" s="548"/>
      <c r="HV83" s="548"/>
      <c r="HW83" s="442" t="s">
        <v>0</v>
      </c>
      <c r="HX83" s="442"/>
      <c r="HY83" s="442"/>
      <c r="HZ83" s="442"/>
      <c r="IA83" s="212"/>
      <c r="IB83" s="212"/>
      <c r="IC83" s="212"/>
      <c r="ID83" s="442"/>
      <c r="IE83" s="212"/>
      <c r="IL83" s="116" t="s">
        <v>89</v>
      </c>
      <c r="IM83" s="173"/>
      <c r="IN83" s="176" t="s">
        <v>1</v>
      </c>
      <c r="IO83" s="549">
        <f>IF(HT71=2400,0.0025,IF(HT71=3000,0.002,IF(HT71=4000,0.0018,IF(HT71&gt;4000,0.0018*(4000/HT71)))))</f>
        <v>2E-3</v>
      </c>
      <c r="IP83" s="549"/>
      <c r="IQ83" s="549"/>
      <c r="IR83" s="116"/>
      <c r="IS83" s="173" t="s">
        <v>90</v>
      </c>
      <c r="IT83" s="116" t="s">
        <v>91</v>
      </c>
      <c r="IU83" s="173"/>
      <c r="IV83" s="445" t="s">
        <v>1</v>
      </c>
      <c r="IW83" s="549">
        <f>IF(HT72=2400,0.0025,IF(HT72=3000,0.002,IF(HT72=4000,0.0018,IF(HT72&gt;4000,0.0018*(4000/HT72)))))</f>
        <v>2.5000000000000001E-3</v>
      </c>
      <c r="IX83" s="549"/>
      <c r="IY83" s="549"/>
      <c r="IZ83" s="32"/>
      <c r="JA83" s="32"/>
      <c r="JB83" s="32"/>
      <c r="JC83" s="32"/>
      <c r="JD83" s="32"/>
      <c r="JE83" s="452">
        <v>0.05</v>
      </c>
      <c r="JF83" s="32"/>
      <c r="JG83" s="32"/>
      <c r="JH83" s="32"/>
      <c r="JI83" s="442"/>
      <c r="JJ83" s="442"/>
      <c r="JK83" s="442"/>
      <c r="JL83" s="442"/>
      <c r="JM83" s="442"/>
      <c r="JN83" s="442"/>
      <c r="JO83" s="442"/>
      <c r="JP83" s="442"/>
      <c r="JQ83" s="442"/>
      <c r="JR83" s="442"/>
      <c r="JS83" s="442"/>
      <c r="JT83" s="442"/>
      <c r="JU83" s="442"/>
      <c r="JV83" s="442"/>
      <c r="JW83" s="442"/>
      <c r="JX83" s="442"/>
      <c r="JY83" s="442"/>
      <c r="JZ83" s="442"/>
      <c r="KA83" s="442"/>
      <c r="KB83" s="442"/>
      <c r="KC83" s="442"/>
      <c r="KD83" s="442"/>
      <c r="KE83" s="442"/>
      <c r="KF83" s="442"/>
      <c r="KG83" s="442"/>
      <c r="KH83" s="442"/>
      <c r="KI83" s="442"/>
      <c r="KJ83" s="442"/>
      <c r="KK83" s="442"/>
      <c r="KL83" s="442"/>
      <c r="KM83" s="442"/>
      <c r="KN83" s="442"/>
      <c r="KO83" s="442"/>
      <c r="KP83" s="442"/>
      <c r="KQ83" s="442"/>
      <c r="KR83" s="442"/>
      <c r="KS83" s="442"/>
      <c r="KT83" s="442"/>
      <c r="KU83" s="442"/>
      <c r="KV83" s="442"/>
      <c r="KW83" s="442"/>
      <c r="KX83" s="442"/>
      <c r="KY83" s="442"/>
      <c r="KZ83" s="442"/>
      <c r="LA83" s="442"/>
      <c r="LB83" s="442"/>
      <c r="LC83" s="442"/>
      <c r="LD83" s="442"/>
      <c r="LE83" s="442"/>
      <c r="LF83" s="442"/>
      <c r="LG83" s="442"/>
      <c r="LH83" s="442"/>
      <c r="LI83" s="442"/>
      <c r="LJ83" s="442"/>
      <c r="LK83" s="442"/>
      <c r="LL83" s="442"/>
      <c r="LM83" s="442"/>
      <c r="LN83" s="442"/>
      <c r="LO83" s="442"/>
      <c r="LP83" s="442"/>
      <c r="LQ83" s="442"/>
      <c r="LR83" s="442"/>
      <c r="LS83" s="442"/>
      <c r="LT83" s="442"/>
      <c r="LU83" s="442"/>
      <c r="LV83" s="442"/>
      <c r="LW83" s="442"/>
      <c r="LX83" s="442"/>
      <c r="LY83" s="442"/>
      <c r="LZ83" s="442"/>
      <c r="MA83" s="442"/>
      <c r="MB83" s="442"/>
      <c r="MC83" s="442"/>
      <c r="MD83" s="442"/>
      <c r="ME83" s="442"/>
      <c r="MF83" s="442"/>
      <c r="MG83" s="442"/>
      <c r="MH83" s="442"/>
      <c r="MI83" s="442"/>
      <c r="MJ83" s="442"/>
      <c r="MK83" s="442"/>
      <c r="ML83" s="442"/>
      <c r="MM83" s="442"/>
      <c r="MN83" s="442"/>
      <c r="MO83" s="442"/>
      <c r="MP83" s="442"/>
      <c r="MQ83" s="442"/>
      <c r="MR83" s="442"/>
      <c r="MS83" s="442"/>
      <c r="MT83" s="442"/>
      <c r="MU83" s="442"/>
      <c r="MV83" s="442"/>
      <c r="MW83" s="442"/>
      <c r="MX83" s="442"/>
      <c r="MY83" s="442"/>
      <c r="MZ83" s="442"/>
      <c r="NA83" s="442"/>
      <c r="NB83" s="442"/>
      <c r="NC83" s="442"/>
      <c r="NT83" s="149" t="s">
        <v>165</v>
      </c>
      <c r="NX83" s="149" t="s">
        <v>166</v>
      </c>
      <c r="OA83" s="149" t="s">
        <v>167</v>
      </c>
      <c r="OD83" s="550" t="str">
        <f>CONCATENATE(ROUND(IF(W27="Con.-",OD80/3,OD80/4),2),IF(W27="Con.-"," (L/3)"," (L/4)"))</f>
        <v>0.5 (L/3)</v>
      </c>
      <c r="OE83" s="550"/>
      <c r="OF83" s="550"/>
      <c r="OG83" s="545" t="str">
        <f>CONCATENATE(ROUND(IF(CE19="Con.-",OF80/3,OF80/4),2),IF(CE19="Con.-"," (L/3)"," (L/4)"))</f>
        <v>1 (L/4)</v>
      </c>
      <c r="OH83" s="545"/>
      <c r="OI83" s="545"/>
    </row>
    <row r="84" spans="1:399" ht="14.1" customHeight="1" x14ac:dyDescent="0.2">
      <c r="A84" s="156"/>
      <c r="B84" s="236"/>
      <c r="C84" s="68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156"/>
      <c r="R84" s="156"/>
      <c r="S84" s="156"/>
      <c r="T84" s="156"/>
      <c r="U84" s="156"/>
      <c r="V84" s="156"/>
      <c r="W84" s="156"/>
      <c r="X84" s="156"/>
      <c r="Y84" s="156"/>
      <c r="Z84" s="156"/>
      <c r="AA84" s="156"/>
      <c r="AB84" s="156"/>
      <c r="AC84" s="156"/>
      <c r="AD84" s="156"/>
      <c r="AE84" s="156"/>
      <c r="AF84" s="156"/>
      <c r="AG84" s="156"/>
      <c r="AH84" s="156"/>
      <c r="AI84" s="156"/>
      <c r="AJ84" s="156"/>
      <c r="AK84" s="156"/>
      <c r="AL84" s="156"/>
      <c r="AM84" s="156"/>
      <c r="AN84" s="156"/>
      <c r="AO84" s="156"/>
      <c r="AP84" s="156"/>
      <c r="AQ84" s="156"/>
      <c r="AR84" s="156"/>
      <c r="AS84" s="156"/>
      <c r="AT84" s="156"/>
      <c r="AU84" s="156"/>
      <c r="AV84" s="156"/>
      <c r="AW84" s="156"/>
      <c r="AX84" s="156"/>
      <c r="AY84" s="156"/>
      <c r="AZ84" s="156"/>
      <c r="BA84" s="156"/>
      <c r="BB84" s="156"/>
      <c r="BC84" s="50"/>
      <c r="BD84" s="156"/>
      <c r="BE84" s="156"/>
      <c r="BF84" s="156"/>
      <c r="BG84" s="156"/>
      <c r="BH84" s="156"/>
      <c r="BI84" s="156"/>
      <c r="BJ84" s="156"/>
      <c r="BK84" s="156"/>
      <c r="BL84" s="156"/>
      <c r="BM84" s="156"/>
      <c r="BN84" s="156"/>
      <c r="BO84" s="156"/>
      <c r="BP84" s="156"/>
      <c r="BQ84" s="156"/>
      <c r="BR84" s="156"/>
      <c r="BS84" s="156"/>
      <c r="BT84" s="156"/>
      <c r="BU84" s="156"/>
      <c r="BV84" s="156"/>
      <c r="BW84" s="156"/>
      <c r="BX84" s="156"/>
      <c r="BY84" s="156"/>
      <c r="BZ84" s="156"/>
      <c r="CA84" s="156"/>
      <c r="CB84" s="156"/>
      <c r="CC84" s="156"/>
      <c r="CD84" s="156"/>
      <c r="CE84" s="156"/>
      <c r="CF84" s="156"/>
      <c r="CG84" s="156"/>
      <c r="CH84" s="156"/>
      <c r="CI84" s="156"/>
      <c r="CJ84" s="156"/>
      <c r="CK84" s="156"/>
      <c r="CL84" s="156"/>
      <c r="CM84" s="156"/>
      <c r="CN84" s="156"/>
      <c r="CO84" s="156"/>
      <c r="CP84" s="156"/>
      <c r="CQ84" s="156"/>
      <c r="CR84" s="156"/>
      <c r="CS84" s="156"/>
      <c r="CT84" s="156"/>
      <c r="CU84" s="156"/>
      <c r="CV84" s="156"/>
      <c r="CW84" s="156"/>
      <c r="CX84" s="156"/>
      <c r="CY84" s="156"/>
      <c r="CZ84" s="156"/>
      <c r="DA84" s="156"/>
      <c r="DB84" s="156"/>
      <c r="DC84" s="156"/>
      <c r="DD84" s="156"/>
      <c r="DE84" s="156"/>
      <c r="DF84" s="156"/>
      <c r="DG84" s="156"/>
      <c r="DH84" s="156"/>
      <c r="DI84" s="156"/>
      <c r="DJ84" s="156"/>
      <c r="DK84" s="156"/>
      <c r="DL84" s="156"/>
      <c r="DM84" s="156"/>
      <c r="DN84" s="156"/>
      <c r="DO84" s="156"/>
      <c r="DP84" s="156"/>
      <c r="DQ84" s="156"/>
      <c r="DR84" s="156"/>
      <c r="DS84" s="156"/>
      <c r="DT84" s="156"/>
      <c r="DU84" s="156"/>
      <c r="DV84" s="156"/>
      <c r="DW84" s="156"/>
      <c r="DX84" s="156"/>
      <c r="DY84" s="156"/>
      <c r="DZ84" s="156"/>
      <c r="EA84" s="156"/>
      <c r="EB84" s="156"/>
      <c r="EC84" s="156"/>
      <c r="ED84" s="156"/>
      <c r="EE84" s="156"/>
      <c r="EF84" s="156"/>
      <c r="EG84" s="156"/>
      <c r="EH84" s="156"/>
      <c r="EI84" s="156"/>
      <c r="EJ84" s="156"/>
      <c r="EK84" s="156"/>
      <c r="EL84" s="156"/>
      <c r="EM84" s="156"/>
      <c r="EN84" s="156"/>
      <c r="EO84" s="156"/>
      <c r="EP84" s="156"/>
      <c r="EQ84" s="156"/>
      <c r="ER84" s="156"/>
      <c r="ES84" s="156"/>
      <c r="ET84" s="156"/>
      <c r="EU84" s="156"/>
      <c r="EV84" s="156"/>
      <c r="EW84" s="156"/>
      <c r="EX84" s="156"/>
      <c r="EY84" s="156"/>
      <c r="EZ84" s="156"/>
      <c r="FA84" s="156"/>
      <c r="FB84" s="156"/>
      <c r="FC84" s="156"/>
      <c r="FD84" s="156"/>
      <c r="FE84" s="156"/>
      <c r="FF84" s="156"/>
      <c r="FG84" s="156"/>
      <c r="FH84" s="156"/>
      <c r="FI84" s="156"/>
      <c r="FJ84" s="156"/>
      <c r="FK84" s="156"/>
      <c r="FL84" s="156"/>
      <c r="FM84" s="156"/>
      <c r="FN84" s="156"/>
      <c r="FO84" s="156"/>
      <c r="FP84" s="156"/>
      <c r="FQ84" s="156"/>
      <c r="FR84" s="156"/>
      <c r="FS84" s="242"/>
      <c r="FT84" s="242"/>
      <c r="FU84" s="242"/>
      <c r="FV84" s="242"/>
      <c r="FW84" s="242"/>
      <c r="FX84" s="242"/>
      <c r="FY84" s="242"/>
      <c r="FZ84" s="242"/>
      <c r="GA84" s="242"/>
      <c r="GB84" s="242"/>
      <c r="GC84" s="242"/>
      <c r="GD84" s="242"/>
      <c r="GE84" s="242"/>
      <c r="GF84" s="242"/>
      <c r="GG84" s="242"/>
      <c r="GH84" s="242"/>
      <c r="GI84" s="242"/>
      <c r="GJ84" s="242"/>
      <c r="GK84" s="242"/>
      <c r="GL84" s="242"/>
      <c r="GM84" s="242"/>
      <c r="GN84" s="242"/>
      <c r="GO84" s="242"/>
      <c r="GP84" s="242"/>
      <c r="GQ84" s="242"/>
      <c r="GR84" s="290"/>
      <c r="GS84" s="242"/>
      <c r="GT84" s="242"/>
      <c r="GU84" s="291"/>
      <c r="GV84" s="222"/>
      <c r="GW84" s="222"/>
      <c r="GX84" s="222"/>
      <c r="GY84" s="222"/>
      <c r="GZ84" s="222"/>
      <c r="HA84" s="222"/>
      <c r="HB84" s="222"/>
      <c r="HC84" s="222"/>
      <c r="HD84" s="242"/>
      <c r="HE84" s="242"/>
      <c r="HF84" s="242"/>
      <c r="HG84" s="242"/>
      <c r="HH84" s="242"/>
      <c r="HI84" s="242"/>
      <c r="HJ84" s="242"/>
      <c r="HK84" s="242"/>
      <c r="HL84" s="242"/>
      <c r="HM84" s="442"/>
      <c r="HN84" s="442"/>
      <c r="HO84" s="442"/>
      <c r="HP84" s="31" t="s">
        <v>52</v>
      </c>
      <c r="HQ84" s="442"/>
      <c r="HR84" s="442"/>
      <c r="HS84" s="442" t="s">
        <v>1</v>
      </c>
      <c r="HT84" s="533">
        <f>ROUND(HT83*HT71*(1-(0.59*HT83*(HT71/HT70))),2)</f>
        <v>31.12</v>
      </c>
      <c r="HU84" s="533"/>
      <c r="HV84" s="533"/>
      <c r="HW84" s="441" t="s">
        <v>2</v>
      </c>
      <c r="HX84" s="442"/>
      <c r="HY84" s="442"/>
      <c r="HZ84" s="442"/>
      <c r="IA84" s="37"/>
      <c r="IB84" s="37"/>
      <c r="IC84" s="37"/>
      <c r="ID84" s="442"/>
      <c r="IE84" s="37"/>
      <c r="IL84" s="465" t="s">
        <v>199</v>
      </c>
      <c r="IM84" s="442"/>
      <c r="IN84" s="442"/>
      <c r="IO84" s="442"/>
      <c r="IP84" s="442"/>
      <c r="IQ84" s="442"/>
      <c r="IR84" s="442"/>
      <c r="IS84" s="551">
        <f>IF(HT69=IL85,0,IF(HT69=IL86,1,IF(HT69=IL87,2)))</f>
        <v>2</v>
      </c>
      <c r="IT84" s="551"/>
      <c r="IU84" s="442"/>
      <c r="IV84" s="442"/>
      <c r="IW84" s="442"/>
      <c r="IX84" s="442"/>
      <c r="IY84" s="442"/>
      <c r="IZ84" s="442"/>
      <c r="JA84" s="442"/>
      <c r="JB84" s="442"/>
      <c r="JC84" s="442"/>
      <c r="JD84" s="442"/>
      <c r="JE84" s="440">
        <v>7.4999999999999997E-2</v>
      </c>
      <c r="JF84" s="442"/>
      <c r="JG84" s="442"/>
      <c r="JH84" s="442"/>
      <c r="JI84" s="442"/>
      <c r="JJ84" s="442"/>
      <c r="JK84" s="442"/>
      <c r="JL84" s="442"/>
      <c r="JM84" s="442"/>
      <c r="JN84" s="442"/>
      <c r="JO84" s="442"/>
      <c r="JP84" s="442"/>
      <c r="JQ84" s="442"/>
      <c r="JR84" s="442"/>
      <c r="JS84" s="442"/>
      <c r="JT84" s="442"/>
      <c r="JU84" s="442"/>
      <c r="JV84" s="442"/>
      <c r="JW84" s="442"/>
      <c r="JX84" s="442"/>
      <c r="JY84" s="442"/>
      <c r="JZ84" s="442"/>
      <c r="KA84" s="442"/>
      <c r="KB84" s="442"/>
      <c r="KC84" s="442"/>
      <c r="KD84" s="442"/>
      <c r="KE84" s="442"/>
      <c r="KF84" s="442"/>
      <c r="KG84" s="442"/>
      <c r="KH84" s="442"/>
      <c r="KI84" s="442"/>
      <c r="KJ84" s="442"/>
      <c r="KK84" s="442"/>
      <c r="KL84" s="442"/>
      <c r="KM84" s="442"/>
      <c r="KN84" s="442"/>
      <c r="KO84" s="442"/>
      <c r="KP84" s="442"/>
      <c r="KQ84" s="442"/>
      <c r="KR84" s="442"/>
      <c r="KS84" s="442"/>
      <c r="KT84" s="442"/>
      <c r="KU84" s="442"/>
      <c r="KV84" s="442"/>
      <c r="KW84" s="442"/>
      <c r="KX84" s="442"/>
      <c r="KY84" s="442"/>
      <c r="KZ84" s="442"/>
      <c r="LA84" s="442"/>
      <c r="LB84" s="442"/>
      <c r="LC84" s="442"/>
      <c r="LD84" s="442"/>
      <c r="LE84" s="442"/>
      <c r="LF84" s="442"/>
      <c r="LG84" s="442"/>
      <c r="LH84" s="442"/>
      <c r="LI84" s="442"/>
      <c r="LJ84" s="442"/>
      <c r="LK84" s="442"/>
      <c r="LL84" s="442"/>
      <c r="LM84" s="442"/>
      <c r="LN84" s="442"/>
      <c r="LO84" s="442"/>
      <c r="LP84" s="442"/>
      <c r="LQ84" s="442"/>
      <c r="LR84" s="442"/>
      <c r="LS84" s="442"/>
      <c r="LT84" s="442"/>
      <c r="LU84" s="442"/>
      <c r="LV84" s="442"/>
      <c r="LW84" s="442"/>
      <c r="LX84" s="442"/>
      <c r="LY84" s="442"/>
      <c r="LZ84" s="442"/>
      <c r="MA84" s="442"/>
      <c r="MB84" s="442"/>
      <c r="MC84" s="442"/>
      <c r="MD84" s="442"/>
      <c r="ME84" s="442"/>
      <c r="MF84" s="442"/>
      <c r="MG84" s="442"/>
      <c r="MH84" s="442"/>
      <c r="MI84" s="442"/>
      <c r="MJ84" s="442"/>
      <c r="MK84" s="442"/>
      <c r="ML84" s="442"/>
      <c r="MM84" s="442"/>
      <c r="MN84" s="442"/>
      <c r="MO84" s="442"/>
      <c r="MP84" s="442"/>
      <c r="MQ84" s="442"/>
      <c r="MR84" s="442"/>
      <c r="MS84" s="442"/>
      <c r="MT84" s="442"/>
      <c r="MU84" s="442"/>
      <c r="MV84" s="442"/>
      <c r="MW84" s="442"/>
      <c r="MX84" s="442"/>
      <c r="MY84" s="442"/>
      <c r="MZ84" s="442"/>
      <c r="NA84" s="442"/>
      <c r="NB84" s="442"/>
      <c r="NC84" s="442"/>
      <c r="NT84" s="149" t="s">
        <v>22</v>
      </c>
      <c r="NU84" s="149">
        <f>-0.1</f>
        <v>-0.1</v>
      </c>
      <c r="NV84" s="149">
        <f>NU84</f>
        <v>-0.1</v>
      </c>
      <c r="NX84" s="149">
        <f>NV63</f>
        <v>0.5</v>
      </c>
      <c r="NY84" s="149">
        <f>NX84</f>
        <v>0.5</v>
      </c>
      <c r="OA84" s="149">
        <f>NU84</f>
        <v>-0.1</v>
      </c>
      <c r="OB84" s="149">
        <f>NX84</f>
        <v>0.5</v>
      </c>
      <c r="OD84" s="189">
        <f>0.2</f>
        <v>0.2</v>
      </c>
    </row>
    <row r="85" spans="1:399" ht="14.1" customHeight="1" x14ac:dyDescent="0.2">
      <c r="A85" s="156"/>
      <c r="B85" s="236"/>
      <c r="C85" s="68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156"/>
      <c r="R85" s="156"/>
      <c r="S85" s="156"/>
      <c r="T85" s="156"/>
      <c r="U85" s="156"/>
      <c r="V85" s="156"/>
      <c r="W85" s="156"/>
      <c r="X85" s="156"/>
      <c r="Y85" s="156"/>
      <c r="Z85" s="156"/>
      <c r="AA85" s="156"/>
      <c r="AB85" s="156"/>
      <c r="AC85" s="156"/>
      <c r="AD85" s="156"/>
      <c r="AE85" s="156"/>
      <c r="AF85" s="156"/>
      <c r="AG85" s="156"/>
      <c r="AH85" s="156"/>
      <c r="AI85" s="156"/>
      <c r="AJ85" s="156"/>
      <c r="AK85" s="156"/>
      <c r="AL85" s="156"/>
      <c r="AM85" s="156"/>
      <c r="AN85" s="156"/>
      <c r="AO85" s="156"/>
      <c r="AP85" s="156"/>
      <c r="AQ85" s="156"/>
      <c r="AR85" s="156"/>
      <c r="AS85" s="156"/>
      <c r="AT85" s="156"/>
      <c r="AU85" s="156"/>
      <c r="AV85" s="156"/>
      <c r="AW85" s="156"/>
      <c r="AX85" s="156"/>
      <c r="AY85" s="156"/>
      <c r="AZ85" s="156"/>
      <c r="BA85" s="156"/>
      <c r="BB85" s="156"/>
      <c r="BC85" s="50"/>
      <c r="BD85" s="156"/>
      <c r="BE85" s="156"/>
      <c r="BF85" s="156"/>
      <c r="BG85" s="156"/>
      <c r="BH85" s="156"/>
      <c r="BI85" s="156"/>
      <c r="BJ85" s="156"/>
      <c r="BK85" s="156"/>
      <c r="BL85" s="156"/>
      <c r="BM85" s="156"/>
      <c r="BN85" s="156"/>
      <c r="BO85" s="156"/>
      <c r="BP85" s="156"/>
      <c r="BQ85" s="156"/>
      <c r="BR85" s="156"/>
      <c r="BS85" s="156"/>
      <c r="BT85" s="156"/>
      <c r="BU85" s="156"/>
      <c r="BV85" s="156"/>
      <c r="BW85" s="156"/>
      <c r="BX85" s="156"/>
      <c r="BY85" s="156"/>
      <c r="BZ85" s="156"/>
      <c r="CA85" s="156"/>
      <c r="CB85" s="156"/>
      <c r="CC85" s="156"/>
      <c r="CD85" s="156"/>
      <c r="CE85" s="156"/>
      <c r="CF85" s="156"/>
      <c r="CG85" s="156"/>
      <c r="CH85" s="156"/>
      <c r="CI85" s="156"/>
      <c r="CJ85" s="156"/>
      <c r="CK85" s="156"/>
      <c r="CL85" s="156"/>
      <c r="CM85" s="156"/>
      <c r="CN85" s="156"/>
      <c r="CO85" s="156"/>
      <c r="CP85" s="156"/>
      <c r="CQ85" s="156"/>
      <c r="CR85" s="156"/>
      <c r="CS85" s="156"/>
      <c r="CT85" s="156"/>
      <c r="CU85" s="156"/>
      <c r="CV85" s="156"/>
      <c r="CW85" s="156"/>
      <c r="CX85" s="156"/>
      <c r="CY85" s="156"/>
      <c r="CZ85" s="156"/>
      <c r="DA85" s="156"/>
      <c r="DB85" s="156"/>
      <c r="DC85" s="156"/>
      <c r="DD85" s="156"/>
      <c r="DE85" s="156"/>
      <c r="DF85" s="156"/>
      <c r="DG85" s="156"/>
      <c r="DH85" s="156"/>
      <c r="DI85" s="156"/>
      <c r="DJ85" s="156"/>
      <c r="DK85" s="156"/>
      <c r="DL85" s="156"/>
      <c r="DM85" s="156"/>
      <c r="DN85" s="156"/>
      <c r="DO85" s="156"/>
      <c r="DP85" s="156"/>
      <c r="DQ85" s="156"/>
      <c r="DR85" s="156"/>
      <c r="DS85" s="156"/>
      <c r="DT85" s="156"/>
      <c r="DU85" s="156"/>
      <c r="DV85" s="156"/>
      <c r="DW85" s="156"/>
      <c r="DX85" s="156"/>
      <c r="DY85" s="156"/>
      <c r="DZ85" s="156"/>
      <c r="EA85" s="156"/>
      <c r="EB85" s="156"/>
      <c r="EC85" s="156"/>
      <c r="ED85" s="156"/>
      <c r="EE85" s="156"/>
      <c r="EF85" s="156"/>
      <c r="EG85" s="156"/>
      <c r="EH85" s="156"/>
      <c r="EI85" s="156"/>
      <c r="EJ85" s="156"/>
      <c r="EK85" s="156"/>
      <c r="EL85" s="156"/>
      <c r="EM85" s="156"/>
      <c r="EN85" s="156"/>
      <c r="EO85" s="156"/>
      <c r="EP85" s="156"/>
      <c r="EQ85" s="156"/>
      <c r="ER85" s="156"/>
      <c r="ES85" s="156"/>
      <c r="ET85" s="156"/>
      <c r="EU85" s="156"/>
      <c r="EV85" s="156"/>
      <c r="EW85" s="156"/>
      <c r="EX85" s="156"/>
      <c r="EY85" s="156"/>
      <c r="EZ85" s="156"/>
      <c r="FA85" s="156"/>
      <c r="FB85" s="156"/>
      <c r="FC85" s="156"/>
      <c r="FD85" s="156"/>
      <c r="FE85" s="156"/>
      <c r="FF85" s="156"/>
      <c r="FG85" s="156"/>
      <c r="FH85" s="156"/>
      <c r="FI85" s="156"/>
      <c r="FJ85" s="156"/>
      <c r="FK85" s="156"/>
      <c r="FL85" s="156"/>
      <c r="FM85" s="156"/>
      <c r="FN85" s="156"/>
      <c r="FO85" s="156"/>
      <c r="FP85" s="156"/>
      <c r="FQ85" s="156"/>
      <c r="FR85" s="156"/>
      <c r="FS85" s="242"/>
      <c r="FT85" s="292"/>
      <c r="FU85" s="292"/>
      <c r="FV85" s="292"/>
      <c r="FW85" s="292"/>
      <c r="FX85" s="292"/>
      <c r="FY85" s="292"/>
      <c r="FZ85" s="292"/>
      <c r="GA85" s="292"/>
      <c r="GB85" s="292"/>
      <c r="GC85" s="292"/>
      <c r="GD85" s="292"/>
      <c r="GE85" s="292"/>
      <c r="GF85" s="292"/>
      <c r="GG85" s="292"/>
      <c r="GH85" s="292"/>
      <c r="GI85" s="292"/>
      <c r="GJ85" s="292"/>
      <c r="GK85" s="292"/>
      <c r="GL85" s="292"/>
      <c r="GM85" s="292"/>
      <c r="GN85" s="292"/>
      <c r="GO85" s="292"/>
      <c r="GP85" s="292"/>
      <c r="GQ85" s="292"/>
      <c r="GR85" s="292"/>
      <c r="GS85" s="292"/>
      <c r="GT85" s="292"/>
      <c r="GU85" s="292"/>
      <c r="GV85" s="292"/>
      <c r="GW85" s="292"/>
      <c r="GX85" s="292"/>
      <c r="GY85" s="292"/>
      <c r="GZ85" s="292"/>
      <c r="HA85" s="292"/>
      <c r="HB85" s="292"/>
      <c r="HC85" s="292"/>
      <c r="HD85" s="242"/>
      <c r="HE85" s="242"/>
      <c r="HF85" s="242"/>
      <c r="HG85" s="242"/>
      <c r="HH85" s="242"/>
      <c r="HI85" s="242"/>
      <c r="HJ85" s="242"/>
      <c r="HK85" s="242"/>
      <c r="HL85" s="242"/>
      <c r="HM85" s="442"/>
      <c r="HN85" s="442"/>
      <c r="HO85" s="442"/>
      <c r="HP85" s="441" t="s">
        <v>53</v>
      </c>
      <c r="HQ85" s="442"/>
      <c r="HR85" s="442"/>
      <c r="HS85" s="442" t="s">
        <v>1</v>
      </c>
      <c r="HT85" s="546">
        <f>ROUND(SQRT(MAX(HT92:IE92)/(H12*HT84)),2)</f>
        <v>2.72</v>
      </c>
      <c r="HU85" s="546"/>
      <c r="HV85" s="546"/>
      <c r="HW85" s="441" t="s">
        <v>18</v>
      </c>
      <c r="HX85" s="38" t="s">
        <v>179</v>
      </c>
      <c r="HY85" s="442"/>
      <c r="HZ85" s="32" t="str">
        <f>IF(HT85&lt;=JD80,"Ok","Not Ok")</f>
        <v>Ok</v>
      </c>
      <c r="IA85" s="166"/>
      <c r="IB85" s="166"/>
      <c r="IC85" s="166"/>
      <c r="ID85" s="442"/>
      <c r="IE85" s="166"/>
      <c r="IL85" s="173" t="s">
        <v>178</v>
      </c>
      <c r="IM85" s="32"/>
      <c r="IN85" s="32"/>
      <c r="IO85" s="32"/>
      <c r="IP85" s="32"/>
      <c r="IQ85" s="32"/>
      <c r="IR85" s="442"/>
      <c r="IS85" s="442"/>
      <c r="IT85" s="547">
        <v>1.4</v>
      </c>
      <c r="IU85" s="547"/>
      <c r="IV85" s="522">
        <v>1.7</v>
      </c>
      <c r="IW85" s="522"/>
      <c r="IX85" s="442"/>
      <c r="IY85" s="522">
        <v>2400</v>
      </c>
      <c r="IZ85" s="522"/>
      <c r="JA85" s="443">
        <v>2</v>
      </c>
      <c r="JB85" s="438"/>
      <c r="JC85" s="141">
        <v>8</v>
      </c>
      <c r="JD85" s="37"/>
      <c r="JE85" s="440">
        <v>0.1</v>
      </c>
      <c r="JF85" s="13"/>
      <c r="JG85" s="442"/>
      <c r="JH85" s="442">
        <v>30</v>
      </c>
      <c r="JI85" s="442"/>
      <c r="JJ85" s="442"/>
      <c r="JK85" s="442"/>
      <c r="JL85" s="442"/>
      <c r="JM85" s="442"/>
      <c r="JN85" s="442"/>
      <c r="JO85" s="442"/>
      <c r="JP85" s="442"/>
      <c r="JQ85" s="442"/>
      <c r="JR85" s="442"/>
      <c r="JS85" s="442"/>
      <c r="JT85" s="442"/>
      <c r="JU85" s="442"/>
      <c r="JV85" s="442"/>
      <c r="JW85" s="442"/>
      <c r="JX85" s="442"/>
      <c r="JY85" s="442"/>
      <c r="JZ85" s="442"/>
      <c r="KA85" s="442"/>
      <c r="KB85" s="442"/>
      <c r="KC85" s="442"/>
      <c r="KD85" s="442"/>
      <c r="KE85" s="442"/>
      <c r="KF85" s="442"/>
      <c r="KG85" s="442"/>
      <c r="KH85" s="442"/>
      <c r="KI85" s="442"/>
      <c r="KJ85" s="442"/>
      <c r="KK85" s="442"/>
      <c r="KL85" s="442"/>
      <c r="KM85" s="442"/>
      <c r="KN85" s="442"/>
      <c r="KO85" s="442"/>
      <c r="KP85" s="442"/>
      <c r="KQ85" s="442"/>
      <c r="KR85" s="442"/>
      <c r="KS85" s="442"/>
      <c r="KT85" s="442"/>
      <c r="KU85" s="442"/>
      <c r="KV85" s="442"/>
      <c r="KW85" s="442"/>
      <c r="KX85" s="442"/>
      <c r="KY85" s="442"/>
      <c r="KZ85" s="442"/>
      <c r="LA85" s="442"/>
      <c r="LB85" s="442"/>
      <c r="LC85" s="442"/>
      <c r="LD85" s="442"/>
      <c r="LE85" s="442"/>
      <c r="LF85" s="442"/>
      <c r="LG85" s="442"/>
      <c r="LH85" s="442"/>
      <c r="LI85" s="442"/>
      <c r="LJ85" s="442"/>
      <c r="LK85" s="442"/>
      <c r="LL85" s="442"/>
      <c r="LM85" s="442"/>
      <c r="LN85" s="442"/>
      <c r="LO85" s="442"/>
      <c r="LP85" s="442"/>
      <c r="LQ85" s="442"/>
      <c r="LR85" s="442"/>
      <c r="LS85" s="442"/>
      <c r="LT85" s="442"/>
      <c r="LU85" s="442"/>
      <c r="LV85" s="442"/>
      <c r="LW85" s="442"/>
      <c r="LX85" s="442"/>
      <c r="LY85" s="442"/>
      <c r="LZ85" s="442"/>
      <c r="MA85" s="442"/>
      <c r="MB85" s="442"/>
      <c r="MC85" s="442"/>
      <c r="MD85" s="442"/>
      <c r="ME85" s="442"/>
      <c r="MF85" s="442"/>
      <c r="MG85" s="442"/>
      <c r="MH85" s="442"/>
      <c r="MI85" s="442"/>
      <c r="MJ85" s="442"/>
      <c r="MK85" s="442"/>
      <c r="ML85" s="442"/>
      <c r="MM85" s="442"/>
      <c r="MN85" s="442"/>
      <c r="MO85" s="442"/>
      <c r="MP85" s="442"/>
      <c r="MQ85" s="442"/>
      <c r="MR85" s="442"/>
      <c r="MS85" s="442"/>
      <c r="MT85" s="442"/>
      <c r="MU85" s="442"/>
      <c r="MV85" s="442"/>
      <c r="MW85" s="442"/>
      <c r="MX85" s="442"/>
      <c r="MY85" s="442"/>
      <c r="MZ85" s="442"/>
      <c r="NA85" s="442"/>
      <c r="NB85" s="442"/>
      <c r="NC85" s="442"/>
      <c r="NT85" s="149" t="s">
        <v>23</v>
      </c>
      <c r="NU85" s="107">
        <v>-0.51</v>
      </c>
      <c r="NV85" s="149">
        <v>-0.59</v>
      </c>
      <c r="NX85" s="149">
        <f>NU85</f>
        <v>-0.51</v>
      </c>
      <c r="NY85" s="149">
        <f>NV85</f>
        <v>-0.59</v>
      </c>
      <c r="OA85" s="149">
        <f>-0.55</f>
        <v>-0.55000000000000004</v>
      </c>
      <c r="OB85" s="149">
        <f>OA85</f>
        <v>-0.55000000000000004</v>
      </c>
      <c r="OD85" s="189">
        <f>OA85+0.05</f>
        <v>-0.5</v>
      </c>
    </row>
    <row r="86" spans="1:399" ht="14.1" customHeight="1" x14ac:dyDescent="0.2">
      <c r="A86" s="156"/>
      <c r="B86" s="236"/>
      <c r="C86" s="68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156"/>
      <c r="R86" s="156"/>
      <c r="S86" s="156"/>
      <c r="T86" s="156"/>
      <c r="U86" s="156"/>
      <c r="V86" s="156"/>
      <c r="W86" s="156"/>
      <c r="X86" s="156"/>
      <c r="Y86" s="156"/>
      <c r="Z86" s="156"/>
      <c r="AA86" s="156"/>
      <c r="AB86" s="156"/>
      <c r="AC86" s="156"/>
      <c r="AD86" s="156"/>
      <c r="AE86" s="156"/>
      <c r="AF86" s="156"/>
      <c r="AG86" s="156"/>
      <c r="AH86" s="156"/>
      <c r="AI86" s="156"/>
      <c r="AJ86" s="156"/>
      <c r="AK86" s="156"/>
      <c r="AL86" s="156"/>
      <c r="AM86" s="156"/>
      <c r="AN86" s="156"/>
      <c r="AO86" s="156"/>
      <c r="AP86" s="156"/>
      <c r="AQ86" s="156"/>
      <c r="AR86" s="156"/>
      <c r="AS86" s="156"/>
      <c r="AT86" s="156"/>
      <c r="AU86" s="156"/>
      <c r="AV86" s="156"/>
      <c r="AW86" s="156"/>
      <c r="AX86" s="156"/>
      <c r="AY86" s="156"/>
      <c r="AZ86" s="156"/>
      <c r="BA86" s="156"/>
      <c r="BB86" s="156"/>
      <c r="BC86" s="50"/>
      <c r="BD86" s="156"/>
      <c r="BE86" s="156"/>
      <c r="BF86" s="156"/>
      <c r="BG86" s="156"/>
      <c r="BH86" s="156"/>
      <c r="BI86" s="156"/>
      <c r="BJ86" s="156"/>
      <c r="BK86" s="156"/>
      <c r="BL86" s="156"/>
      <c r="BM86" s="156"/>
      <c r="BN86" s="156"/>
      <c r="BO86" s="156"/>
      <c r="BP86" s="156"/>
      <c r="BQ86" s="156"/>
      <c r="BR86" s="156"/>
      <c r="BS86" s="156"/>
      <c r="BT86" s="156"/>
      <c r="BU86" s="156"/>
      <c r="BV86" s="156"/>
      <c r="BW86" s="156"/>
      <c r="BX86" s="156"/>
      <c r="BY86" s="156"/>
      <c r="BZ86" s="156"/>
      <c r="CA86" s="156"/>
      <c r="CB86" s="156"/>
      <c r="CC86" s="156"/>
      <c r="CD86" s="156"/>
      <c r="CE86" s="156"/>
      <c r="CF86" s="156"/>
      <c r="CG86" s="156"/>
      <c r="CH86" s="156"/>
      <c r="CI86" s="156"/>
      <c r="CJ86" s="156"/>
      <c r="CK86" s="156"/>
      <c r="CL86" s="156"/>
      <c r="CM86" s="156"/>
      <c r="CN86" s="156"/>
      <c r="CO86" s="156"/>
      <c r="CP86" s="156"/>
      <c r="CQ86" s="156"/>
      <c r="CR86" s="156"/>
      <c r="CS86" s="156"/>
      <c r="CT86" s="156"/>
      <c r="CU86" s="156"/>
      <c r="CV86" s="156"/>
      <c r="CW86" s="156"/>
      <c r="CX86" s="156"/>
      <c r="CY86" s="156"/>
      <c r="CZ86" s="156"/>
      <c r="DA86" s="156"/>
      <c r="DB86" s="156"/>
      <c r="DC86" s="156"/>
      <c r="DD86" s="156"/>
      <c r="DE86" s="156"/>
      <c r="DF86" s="156"/>
      <c r="DG86" s="156"/>
      <c r="DH86" s="156"/>
      <c r="DI86" s="156"/>
      <c r="DJ86" s="156"/>
      <c r="DK86" s="156"/>
      <c r="DL86" s="156"/>
      <c r="DM86" s="156"/>
      <c r="DN86" s="156"/>
      <c r="DO86" s="156"/>
      <c r="DP86" s="156"/>
      <c r="DQ86" s="156"/>
      <c r="DR86" s="156"/>
      <c r="DS86" s="156"/>
      <c r="DT86" s="156"/>
      <c r="DU86" s="156"/>
      <c r="DV86" s="156"/>
      <c r="DW86" s="156"/>
      <c r="DX86" s="156"/>
      <c r="DY86" s="156"/>
      <c r="DZ86" s="156"/>
      <c r="EA86" s="156"/>
      <c r="EB86" s="156"/>
      <c r="EC86" s="156"/>
      <c r="ED86" s="156"/>
      <c r="EE86" s="156"/>
      <c r="EF86" s="156"/>
      <c r="EG86" s="156"/>
      <c r="EH86" s="156"/>
      <c r="EI86" s="156"/>
      <c r="EJ86" s="156"/>
      <c r="EK86" s="156"/>
      <c r="EL86" s="156"/>
      <c r="EM86" s="156"/>
      <c r="EN86" s="156"/>
      <c r="EO86" s="156"/>
      <c r="EP86" s="156"/>
      <c r="EQ86" s="156"/>
      <c r="ER86" s="156"/>
      <c r="ES86" s="156"/>
      <c r="ET86" s="156"/>
      <c r="EU86" s="156"/>
      <c r="EV86" s="156"/>
      <c r="EW86" s="156"/>
      <c r="EX86" s="156"/>
      <c r="EY86" s="156"/>
      <c r="EZ86" s="156"/>
      <c r="FA86" s="156"/>
      <c r="FB86" s="156"/>
      <c r="FC86" s="156"/>
      <c r="FD86" s="156"/>
      <c r="FE86" s="156"/>
      <c r="FF86" s="156"/>
      <c r="FG86" s="156"/>
      <c r="FH86" s="156"/>
      <c r="FI86" s="156"/>
      <c r="FJ86" s="156"/>
      <c r="FK86" s="156"/>
      <c r="FL86" s="156"/>
      <c r="FM86" s="156"/>
      <c r="FN86" s="156"/>
      <c r="FO86" s="156"/>
      <c r="FP86" s="156"/>
      <c r="FQ86" s="156"/>
      <c r="FR86" s="156"/>
      <c r="FS86" s="242"/>
      <c r="FT86" s="292"/>
      <c r="FU86" s="292"/>
      <c r="FV86" s="292"/>
      <c r="FW86" s="292"/>
      <c r="FX86" s="292"/>
      <c r="FY86" s="292"/>
      <c r="FZ86" s="292"/>
      <c r="GA86" s="292"/>
      <c r="GB86" s="292"/>
      <c r="GC86" s="292"/>
      <c r="GD86" s="292"/>
      <c r="GE86" s="292"/>
      <c r="GF86" s="292"/>
      <c r="GG86" s="292"/>
      <c r="GH86" s="292"/>
      <c r="GI86" s="292"/>
      <c r="GJ86" s="292"/>
      <c r="GK86" s="292"/>
      <c r="GL86" s="292"/>
      <c r="GM86" s="292"/>
      <c r="GN86" s="292"/>
      <c r="GO86" s="292"/>
      <c r="GP86" s="292"/>
      <c r="GQ86" s="292"/>
      <c r="GR86" s="292"/>
      <c r="GS86" s="292"/>
      <c r="GT86" s="292"/>
      <c r="GU86" s="292"/>
      <c r="GV86" s="292"/>
      <c r="GW86" s="292"/>
      <c r="GX86" s="292"/>
      <c r="GY86" s="292"/>
      <c r="GZ86" s="292"/>
      <c r="HA86" s="292"/>
      <c r="HB86" s="292"/>
      <c r="HC86" s="292"/>
      <c r="HD86" s="242"/>
      <c r="HE86" s="242"/>
      <c r="HF86" s="242"/>
      <c r="HG86" s="242"/>
      <c r="HH86" s="242"/>
      <c r="HI86" s="242"/>
      <c r="HJ86" s="242"/>
      <c r="HK86" s="242"/>
      <c r="HL86" s="242"/>
      <c r="HM86" s="442"/>
      <c r="HN86" s="442"/>
      <c r="HO86" s="442"/>
      <c r="HP86" s="441" t="s">
        <v>54</v>
      </c>
      <c r="HQ86" s="442"/>
      <c r="HR86" s="33"/>
      <c r="HS86" s="460" t="s">
        <v>1</v>
      </c>
      <c r="HT86" s="546">
        <f>ROUND((1.15*(HT79*HT73*0.5))-(HT79*(IZ79/100)),2)</f>
        <v>808.08</v>
      </c>
      <c r="HU86" s="546"/>
      <c r="HV86" s="546"/>
      <c r="HW86" s="441" t="s">
        <v>14</v>
      </c>
      <c r="HX86" s="442"/>
      <c r="HY86" s="442"/>
      <c r="HZ86" s="442"/>
      <c r="IA86" s="37"/>
      <c r="IB86" s="37"/>
      <c r="IC86" s="37"/>
      <c r="ID86" s="442"/>
      <c r="IE86" s="37"/>
      <c r="IL86" s="173" t="s">
        <v>19</v>
      </c>
      <c r="IM86" s="32"/>
      <c r="IN86" s="32"/>
      <c r="IO86" s="32"/>
      <c r="IP86" s="32"/>
      <c r="IQ86" s="32"/>
      <c r="IR86" s="442"/>
      <c r="IS86" s="442"/>
      <c r="IT86" s="522">
        <v>1.7</v>
      </c>
      <c r="IU86" s="522"/>
      <c r="IV86" s="547">
        <v>2</v>
      </c>
      <c r="IW86" s="547"/>
      <c r="IX86" s="442"/>
      <c r="IY86" s="522">
        <v>3000</v>
      </c>
      <c r="IZ86" s="522"/>
      <c r="JA86" s="443">
        <v>2.5</v>
      </c>
      <c r="JB86" s="438"/>
      <c r="JC86" s="141">
        <v>10</v>
      </c>
      <c r="JD86" s="37"/>
      <c r="JE86" s="440">
        <v>0.125</v>
      </c>
      <c r="JF86" s="13"/>
      <c r="JG86" s="442"/>
      <c r="JH86" s="442">
        <v>100</v>
      </c>
      <c r="JI86" s="442"/>
      <c r="JJ86" s="442"/>
      <c r="JK86" s="442"/>
      <c r="JL86" s="442"/>
      <c r="JM86" s="442"/>
      <c r="JN86" s="442"/>
      <c r="JO86" s="442"/>
      <c r="JP86" s="442"/>
      <c r="JQ86" s="442"/>
      <c r="JR86" s="442"/>
      <c r="JS86" s="442"/>
      <c r="JT86" s="442"/>
      <c r="JU86" s="442"/>
      <c r="JV86" s="442"/>
      <c r="JW86" s="442"/>
      <c r="JX86" s="442"/>
      <c r="JY86" s="442"/>
      <c r="JZ86" s="442"/>
      <c r="KA86" s="442"/>
      <c r="KB86" s="442"/>
      <c r="KC86" s="442"/>
      <c r="KD86" s="442"/>
      <c r="KE86" s="442"/>
      <c r="KF86" s="442"/>
      <c r="KG86" s="442"/>
      <c r="KH86" s="442"/>
      <c r="KI86" s="442"/>
      <c r="KJ86" s="442"/>
      <c r="KK86" s="442"/>
      <c r="KL86" s="442"/>
      <c r="KM86" s="442"/>
      <c r="KN86" s="442"/>
      <c r="KO86" s="442"/>
      <c r="KP86" s="442"/>
      <c r="KQ86" s="442"/>
      <c r="KR86" s="442"/>
      <c r="KS86" s="442"/>
      <c r="KT86" s="442"/>
      <c r="KU86" s="442"/>
      <c r="KV86" s="442"/>
      <c r="KW86" s="442"/>
      <c r="KX86" s="442"/>
      <c r="KY86" s="442"/>
      <c r="KZ86" s="442"/>
      <c r="LA86" s="442"/>
      <c r="LB86" s="442"/>
      <c r="LC86" s="442"/>
      <c r="LD86" s="442"/>
      <c r="LE86" s="442"/>
      <c r="LF86" s="442"/>
      <c r="LG86" s="442"/>
      <c r="LH86" s="442"/>
      <c r="LI86" s="442"/>
      <c r="LJ86" s="442"/>
      <c r="LK86" s="442"/>
      <c r="LL86" s="442"/>
      <c r="LM86" s="442"/>
      <c r="LN86" s="442"/>
      <c r="LO86" s="442"/>
      <c r="LP86" s="442"/>
      <c r="LQ86" s="442"/>
      <c r="LR86" s="442"/>
      <c r="LS86" s="442"/>
      <c r="LT86" s="442"/>
      <c r="LU86" s="442"/>
      <c r="LV86" s="442"/>
      <c r="LW86" s="442"/>
      <c r="LX86" s="442"/>
      <c r="LY86" s="442"/>
      <c r="LZ86" s="442"/>
      <c r="MA86" s="442"/>
      <c r="MB86" s="442"/>
      <c r="MC86" s="442"/>
      <c r="MD86" s="442"/>
      <c r="ME86" s="442"/>
      <c r="MF86" s="442"/>
      <c r="MG86" s="442"/>
      <c r="MH86" s="442"/>
      <c r="MI86" s="442"/>
      <c r="MJ86" s="442"/>
      <c r="MK86" s="442"/>
      <c r="ML86" s="442"/>
      <c r="MM86" s="442"/>
      <c r="MN86" s="442"/>
      <c r="MO86" s="442"/>
      <c r="MP86" s="442"/>
      <c r="MQ86" s="442"/>
      <c r="MR86" s="442"/>
      <c r="MS86" s="442"/>
      <c r="MT86" s="442"/>
      <c r="MU86" s="442"/>
      <c r="MV86" s="442"/>
      <c r="MW86" s="442"/>
      <c r="MX86" s="442"/>
      <c r="MY86" s="442"/>
      <c r="MZ86" s="442"/>
      <c r="NA86" s="442"/>
      <c r="NB86" s="442"/>
      <c r="NC86" s="442"/>
      <c r="NT86" s="149" t="s">
        <v>168</v>
      </c>
      <c r="NX86" s="149" t="s">
        <v>169</v>
      </c>
      <c r="OA86" s="149" t="s">
        <v>170</v>
      </c>
      <c r="OD86" s="544" t="str">
        <f>CONCATENATE(ROUND(IF(AC27="Con.-",OD80/3,OD80/4),2),IF(AC27="Con.-"," (L/3)"," (L/4)"))</f>
        <v>0.5 (L/3)</v>
      </c>
      <c r="OE86" s="544"/>
      <c r="OF86" s="544"/>
      <c r="OG86" s="545" t="str">
        <f>CONCATENATE(ROUND(IF(CM19="Con.-",OF80/3,OF80/4),2),IF(CM19="Con.-"," (L/3)"," (L/4)"))</f>
        <v>1 (L/4)</v>
      </c>
      <c r="OH86" s="545"/>
      <c r="OI86" s="545"/>
    </row>
    <row r="87" spans="1:399" ht="14.1" customHeight="1" x14ac:dyDescent="0.2">
      <c r="A87" s="156"/>
      <c r="B87" s="236"/>
      <c r="C87" s="236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156"/>
      <c r="R87" s="156"/>
      <c r="S87" s="156"/>
      <c r="T87" s="156"/>
      <c r="U87" s="156"/>
      <c r="V87" s="156"/>
      <c r="W87" s="156"/>
      <c r="X87" s="156"/>
      <c r="Y87" s="156"/>
      <c r="Z87" s="156"/>
      <c r="AA87" s="156"/>
      <c r="AB87" s="156"/>
      <c r="AC87" s="156"/>
      <c r="AD87" s="156"/>
      <c r="AE87" s="156"/>
      <c r="AF87" s="156"/>
      <c r="AG87" s="156"/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50"/>
      <c r="BD87" s="156"/>
      <c r="BE87" s="156"/>
      <c r="BF87" s="156"/>
      <c r="BG87" s="156"/>
      <c r="BH87" s="156"/>
      <c r="BI87" s="156"/>
      <c r="BJ87" s="156"/>
      <c r="BK87" s="156"/>
      <c r="BL87" s="156"/>
      <c r="BM87" s="156"/>
      <c r="BN87" s="156"/>
      <c r="BO87" s="156"/>
      <c r="BP87" s="156"/>
      <c r="BQ87" s="156"/>
      <c r="BR87" s="156"/>
      <c r="BS87" s="156"/>
      <c r="BT87" s="156"/>
      <c r="BU87" s="156"/>
      <c r="BV87" s="156"/>
      <c r="BW87" s="156"/>
      <c r="BX87" s="156"/>
      <c r="BY87" s="156"/>
      <c r="BZ87" s="156"/>
      <c r="CA87" s="156"/>
      <c r="CB87" s="156"/>
      <c r="CC87" s="156"/>
      <c r="CD87" s="156"/>
      <c r="CE87" s="156"/>
      <c r="CF87" s="156"/>
      <c r="CG87" s="156"/>
      <c r="CH87" s="156"/>
      <c r="CI87" s="156"/>
      <c r="CJ87" s="156"/>
      <c r="CK87" s="156"/>
      <c r="CL87" s="156"/>
      <c r="CM87" s="156"/>
      <c r="CN87" s="156"/>
      <c r="CO87" s="156"/>
      <c r="CP87" s="156"/>
      <c r="CQ87" s="156"/>
      <c r="CR87" s="156"/>
      <c r="CS87" s="156"/>
      <c r="CT87" s="156"/>
      <c r="CU87" s="156"/>
      <c r="CV87" s="156"/>
      <c r="CW87" s="156"/>
      <c r="CX87" s="156"/>
      <c r="CY87" s="156"/>
      <c r="CZ87" s="156"/>
      <c r="DA87" s="156"/>
      <c r="DB87" s="156"/>
      <c r="DC87" s="156"/>
      <c r="DD87" s="156"/>
      <c r="DE87" s="156"/>
      <c r="DF87" s="156"/>
      <c r="DG87" s="156"/>
      <c r="DH87" s="156"/>
      <c r="DI87" s="156"/>
      <c r="DJ87" s="156"/>
      <c r="DK87" s="156"/>
      <c r="DL87" s="156"/>
      <c r="DM87" s="156"/>
      <c r="DN87" s="156"/>
      <c r="DO87" s="156"/>
      <c r="DP87" s="156"/>
      <c r="DQ87" s="156"/>
      <c r="DR87" s="156"/>
      <c r="DS87" s="156"/>
      <c r="DT87" s="156"/>
      <c r="DU87" s="156"/>
      <c r="DV87" s="156"/>
      <c r="DW87" s="156"/>
      <c r="DX87" s="156"/>
      <c r="DY87" s="156"/>
      <c r="DZ87" s="156"/>
      <c r="EA87" s="156"/>
      <c r="EB87" s="156"/>
      <c r="EC87" s="156"/>
      <c r="ED87" s="156"/>
      <c r="EE87" s="156"/>
      <c r="EF87" s="156"/>
      <c r="EG87" s="156"/>
      <c r="EH87" s="156"/>
      <c r="EI87" s="156"/>
      <c r="EJ87" s="156"/>
      <c r="EK87" s="156"/>
      <c r="EL87" s="156"/>
      <c r="EM87" s="156"/>
      <c r="EN87" s="156"/>
      <c r="EO87" s="156"/>
      <c r="EP87" s="156"/>
      <c r="EQ87" s="156"/>
      <c r="ER87" s="156"/>
      <c r="ES87" s="156"/>
      <c r="ET87" s="156"/>
      <c r="EU87" s="156"/>
      <c r="EV87" s="156"/>
      <c r="EW87" s="156"/>
      <c r="EX87" s="156"/>
      <c r="EY87" s="156"/>
      <c r="EZ87" s="156"/>
      <c r="FA87" s="156"/>
      <c r="FB87" s="156"/>
      <c r="FC87" s="156"/>
      <c r="FD87" s="156"/>
      <c r="FE87" s="156"/>
      <c r="FF87" s="156"/>
      <c r="FG87" s="156"/>
      <c r="FH87" s="156"/>
      <c r="FI87" s="156"/>
      <c r="FJ87" s="156"/>
      <c r="FK87" s="156"/>
      <c r="FL87" s="156"/>
      <c r="FM87" s="156"/>
      <c r="FN87" s="156"/>
      <c r="FO87" s="156"/>
      <c r="FP87" s="156"/>
      <c r="FQ87" s="156"/>
      <c r="FR87" s="156"/>
      <c r="FS87" s="242"/>
      <c r="FT87" s="242"/>
      <c r="FU87" s="242"/>
      <c r="FV87" s="242"/>
      <c r="FW87" s="242"/>
      <c r="FX87" s="242"/>
      <c r="FY87" s="242"/>
      <c r="FZ87" s="242"/>
      <c r="GA87" s="242"/>
      <c r="GB87" s="242"/>
      <c r="GC87" s="242"/>
      <c r="GD87" s="242"/>
      <c r="GE87" s="242"/>
      <c r="GF87" s="242"/>
      <c r="GG87" s="242"/>
      <c r="GH87" s="242"/>
      <c r="GI87" s="242"/>
      <c r="GJ87" s="242"/>
      <c r="GK87" s="242"/>
      <c r="GL87" s="242"/>
      <c r="GM87" s="242"/>
      <c r="GN87" s="242"/>
      <c r="GO87" s="242"/>
      <c r="GP87" s="242"/>
      <c r="GQ87" s="242"/>
      <c r="GR87" s="242"/>
      <c r="GS87" s="242"/>
      <c r="GT87" s="242"/>
      <c r="GU87" s="242"/>
      <c r="GV87" s="242"/>
      <c r="GW87" s="242"/>
      <c r="GX87" s="242"/>
      <c r="GY87" s="242"/>
      <c r="GZ87" s="242"/>
      <c r="HA87" s="242"/>
      <c r="HB87" s="242"/>
      <c r="HC87" s="242"/>
      <c r="HD87" s="242"/>
      <c r="HE87" s="242"/>
      <c r="HF87" s="242"/>
      <c r="HG87" s="242"/>
      <c r="HH87" s="242"/>
      <c r="HI87" s="242"/>
      <c r="HJ87" s="242"/>
      <c r="HK87" s="242"/>
      <c r="HL87" s="242"/>
      <c r="HM87" s="442"/>
      <c r="HN87" s="442"/>
      <c r="HO87" s="442"/>
      <c r="HP87" s="2" t="s">
        <v>57</v>
      </c>
      <c r="HQ87" s="442"/>
      <c r="HR87" s="442"/>
      <c r="HS87" s="442" t="s">
        <v>1</v>
      </c>
      <c r="HT87" s="529">
        <f>ROUND((H14*0.53*HT70^0.5)*100*JD80,2)</f>
        <v>3531.18</v>
      </c>
      <c r="HU87" s="529"/>
      <c r="HV87" s="529"/>
      <c r="HW87" s="441" t="s">
        <v>14</v>
      </c>
      <c r="HX87" s="38" t="s">
        <v>179</v>
      </c>
      <c r="HY87" s="442"/>
      <c r="HZ87" s="32" t="str">
        <f>IF(HT87&gt;=HT86,"Ok","Not Ok")</f>
        <v>Ok</v>
      </c>
      <c r="IA87" s="163"/>
      <c r="IB87" s="163"/>
      <c r="IC87" s="163"/>
      <c r="ID87" s="442"/>
      <c r="IE87" s="163"/>
      <c r="IL87" s="173" t="s">
        <v>20</v>
      </c>
      <c r="IM87" s="32"/>
      <c r="IN87" s="32"/>
      <c r="IO87" s="32"/>
      <c r="IP87" s="32"/>
      <c r="IQ87" s="32"/>
      <c r="IR87" s="442"/>
      <c r="IS87" s="442"/>
      <c r="IT87" s="442">
        <v>150</v>
      </c>
      <c r="IU87" s="37"/>
      <c r="IV87" s="37"/>
      <c r="IW87" s="37"/>
      <c r="IX87" s="442"/>
      <c r="IY87" s="522">
        <v>4000</v>
      </c>
      <c r="IZ87" s="522"/>
      <c r="JA87" s="443">
        <v>3</v>
      </c>
      <c r="JB87" s="438"/>
      <c r="JC87" s="141">
        <v>12.5</v>
      </c>
      <c r="JD87" s="37"/>
      <c r="JE87" s="440">
        <v>0.15</v>
      </c>
      <c r="JF87" s="13"/>
      <c r="JG87" s="442"/>
      <c r="JH87" s="442">
        <v>150</v>
      </c>
      <c r="JI87" s="442"/>
      <c r="JJ87" s="442"/>
      <c r="JK87" s="442"/>
      <c r="JL87" s="442"/>
      <c r="JM87" s="442"/>
      <c r="JN87" s="442"/>
      <c r="JO87" s="442"/>
      <c r="JP87" s="442"/>
      <c r="JQ87" s="442"/>
      <c r="JR87" s="442"/>
      <c r="JS87" s="442"/>
      <c r="JT87" s="442"/>
      <c r="JU87" s="442"/>
      <c r="JV87" s="442"/>
      <c r="JW87" s="442"/>
      <c r="JX87" s="442"/>
      <c r="JY87" s="442"/>
      <c r="JZ87" s="442"/>
      <c r="KA87" s="442"/>
      <c r="KB87" s="442"/>
      <c r="KC87" s="442"/>
      <c r="KD87" s="442"/>
      <c r="KE87" s="442"/>
      <c r="KF87" s="442"/>
      <c r="KG87" s="442"/>
      <c r="KH87" s="442"/>
      <c r="KI87" s="442"/>
      <c r="KJ87" s="442"/>
      <c r="KK87" s="442"/>
      <c r="KL87" s="442"/>
      <c r="KM87" s="442"/>
      <c r="KN87" s="442"/>
      <c r="KO87" s="442"/>
      <c r="KP87" s="442"/>
      <c r="KQ87" s="442"/>
      <c r="KR87" s="442"/>
      <c r="KS87" s="442"/>
      <c r="KT87" s="442"/>
      <c r="KU87" s="442"/>
      <c r="KV87" s="442"/>
      <c r="KW87" s="442"/>
      <c r="KX87" s="442"/>
      <c r="KY87" s="442"/>
      <c r="KZ87" s="442"/>
      <c r="LA87" s="442"/>
      <c r="LB87" s="442"/>
      <c r="LC87" s="442"/>
      <c r="LD87" s="442"/>
      <c r="LE87" s="442"/>
      <c r="LF87" s="442"/>
      <c r="LG87" s="442"/>
      <c r="LH87" s="442"/>
      <c r="LI87" s="442"/>
      <c r="LJ87" s="442"/>
      <c r="LK87" s="442"/>
      <c r="LL87" s="442"/>
      <c r="LM87" s="442"/>
      <c r="LN87" s="442"/>
      <c r="LO87" s="442"/>
      <c r="LP87" s="442"/>
      <c r="LQ87" s="442"/>
      <c r="LR87" s="442"/>
      <c r="LS87" s="442"/>
      <c r="LT87" s="442"/>
      <c r="LU87" s="442"/>
      <c r="LV87" s="442"/>
      <c r="LW87" s="442"/>
      <c r="LX87" s="442"/>
      <c r="LY87" s="442"/>
      <c r="LZ87" s="442"/>
      <c r="MA87" s="442"/>
      <c r="MB87" s="442"/>
      <c r="MC87" s="442"/>
      <c r="MD87" s="442"/>
      <c r="ME87" s="442"/>
      <c r="MF87" s="442"/>
      <c r="MG87" s="442"/>
      <c r="MH87" s="442"/>
      <c r="MI87" s="442"/>
      <c r="MJ87" s="442"/>
      <c r="MK87" s="442"/>
      <c r="ML87" s="442"/>
      <c r="MM87" s="442"/>
      <c r="MN87" s="442"/>
      <c r="MO87" s="442"/>
      <c r="MP87" s="442"/>
      <c r="MQ87" s="442"/>
      <c r="MR87" s="442"/>
      <c r="MS87" s="442"/>
      <c r="MT87" s="442"/>
      <c r="MU87" s="442"/>
      <c r="MV87" s="442"/>
      <c r="MW87" s="442"/>
      <c r="MX87" s="442"/>
      <c r="MY87" s="442"/>
      <c r="MZ87" s="442"/>
      <c r="NA87" s="442"/>
      <c r="NB87" s="442"/>
      <c r="NC87" s="442"/>
      <c r="NT87" s="149" t="s">
        <v>22</v>
      </c>
      <c r="NU87" s="149">
        <f>NU66</f>
        <v>1.5</v>
      </c>
      <c r="NV87" s="149">
        <f>NU87</f>
        <v>1.5</v>
      </c>
      <c r="NX87" s="149">
        <v>2.1</v>
      </c>
      <c r="NY87" s="149">
        <f>NX87</f>
        <v>2.1</v>
      </c>
      <c r="OA87" s="149">
        <f>NU87</f>
        <v>1.5</v>
      </c>
      <c r="OB87" s="149">
        <f>NX87</f>
        <v>2.1</v>
      </c>
      <c r="OD87" s="189">
        <f>1.8</f>
        <v>1.8</v>
      </c>
    </row>
    <row r="88" spans="1:399" ht="14.1" customHeight="1" x14ac:dyDescent="0.2">
      <c r="A88" s="156"/>
      <c r="B88" s="236"/>
      <c r="C88" s="236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156"/>
      <c r="R88" s="156"/>
      <c r="S88" s="156"/>
      <c r="T88" s="156"/>
      <c r="U88" s="156"/>
      <c r="V88" s="156"/>
      <c r="W88" s="156"/>
      <c r="X88" s="156"/>
      <c r="Y88" s="156"/>
      <c r="Z88" s="156"/>
      <c r="AA88" s="156"/>
      <c r="AB88" s="156"/>
      <c r="AC88" s="156"/>
      <c r="AD88" s="156"/>
      <c r="AE88" s="156"/>
      <c r="AF88" s="156"/>
      <c r="AG88" s="156"/>
      <c r="AH88" s="156"/>
      <c r="AI88" s="156"/>
      <c r="AJ88" s="156"/>
      <c r="AK88" s="156"/>
      <c r="AL88" s="156"/>
      <c r="AM88" s="156"/>
      <c r="AN88" s="156"/>
      <c r="AO88" s="156"/>
      <c r="AP88" s="156"/>
      <c r="AQ88" s="156"/>
      <c r="AR88" s="156"/>
      <c r="AS88" s="156"/>
      <c r="AT88" s="156"/>
      <c r="AU88" s="156"/>
      <c r="AV88" s="156"/>
      <c r="AW88" s="156"/>
      <c r="AX88" s="156"/>
      <c r="AY88" s="156"/>
      <c r="AZ88" s="156"/>
      <c r="BA88" s="156"/>
      <c r="BB88" s="156"/>
      <c r="BC88" s="50"/>
      <c r="BD88" s="156"/>
      <c r="BE88" s="156"/>
      <c r="BF88" s="156"/>
      <c r="BG88" s="156"/>
      <c r="BH88" s="156"/>
      <c r="BI88" s="156"/>
      <c r="BJ88" s="156"/>
      <c r="BK88" s="156"/>
      <c r="BL88" s="156"/>
      <c r="BM88" s="156"/>
      <c r="BN88" s="156"/>
      <c r="BO88" s="156"/>
      <c r="BP88" s="156"/>
      <c r="BQ88" s="156"/>
      <c r="BR88" s="156"/>
      <c r="BS88" s="156"/>
      <c r="BT88" s="156"/>
      <c r="BU88" s="156"/>
      <c r="BV88" s="156"/>
      <c r="BW88" s="156"/>
      <c r="BX88" s="156"/>
      <c r="BY88" s="156"/>
      <c r="BZ88" s="156"/>
      <c r="CA88" s="156"/>
      <c r="CB88" s="156"/>
      <c r="CC88" s="156"/>
      <c r="CD88" s="156"/>
      <c r="CE88" s="156"/>
      <c r="CF88" s="156"/>
      <c r="CG88" s="156"/>
      <c r="CH88" s="156"/>
      <c r="CI88" s="156"/>
      <c r="CJ88" s="156"/>
      <c r="CK88" s="156"/>
      <c r="CL88" s="156"/>
      <c r="CM88" s="156"/>
      <c r="CN88" s="156"/>
      <c r="CO88" s="156"/>
      <c r="CP88" s="156"/>
      <c r="CQ88" s="156"/>
      <c r="CR88" s="156"/>
      <c r="CS88" s="156"/>
      <c r="CT88" s="156"/>
      <c r="CU88" s="156"/>
      <c r="CV88" s="156"/>
      <c r="CW88" s="156"/>
      <c r="CX88" s="156"/>
      <c r="CY88" s="156"/>
      <c r="CZ88" s="156"/>
      <c r="DA88" s="156"/>
      <c r="DB88" s="156"/>
      <c r="DC88" s="156"/>
      <c r="DD88" s="156"/>
      <c r="DE88" s="156"/>
      <c r="DF88" s="156"/>
      <c r="DG88" s="156"/>
      <c r="DH88" s="156"/>
      <c r="DI88" s="156"/>
      <c r="DJ88" s="156"/>
      <c r="DK88" s="156"/>
      <c r="DL88" s="156"/>
      <c r="DM88" s="156"/>
      <c r="DN88" s="156"/>
      <c r="DO88" s="156"/>
      <c r="DP88" s="156"/>
      <c r="DQ88" s="156"/>
      <c r="DR88" s="156"/>
      <c r="DS88" s="156"/>
      <c r="DT88" s="156"/>
      <c r="DU88" s="156"/>
      <c r="DV88" s="156"/>
      <c r="DW88" s="156"/>
      <c r="DX88" s="156"/>
      <c r="DY88" s="156"/>
      <c r="DZ88" s="156"/>
      <c r="EA88" s="156"/>
      <c r="EB88" s="156"/>
      <c r="EC88" s="156"/>
      <c r="ED88" s="156"/>
      <c r="EE88" s="156"/>
      <c r="EF88" s="156"/>
      <c r="EG88" s="156"/>
      <c r="EH88" s="156"/>
      <c r="EI88" s="156"/>
      <c r="EJ88" s="156"/>
      <c r="EK88" s="156"/>
      <c r="EL88" s="156"/>
      <c r="EM88" s="156"/>
      <c r="EN88" s="156"/>
      <c r="EO88" s="156"/>
      <c r="EP88" s="156"/>
      <c r="EQ88" s="156"/>
      <c r="ER88" s="156"/>
      <c r="ES88" s="156"/>
      <c r="ET88" s="156"/>
      <c r="EU88" s="156"/>
      <c r="EV88" s="156"/>
      <c r="EW88" s="156"/>
      <c r="EX88" s="156"/>
      <c r="EY88" s="156"/>
      <c r="EZ88" s="156"/>
      <c r="FA88" s="156"/>
      <c r="FB88" s="156"/>
      <c r="FC88" s="156"/>
      <c r="FD88" s="156"/>
      <c r="FE88" s="156"/>
      <c r="FF88" s="156"/>
      <c r="FG88" s="156"/>
      <c r="FH88" s="156"/>
      <c r="FI88" s="156"/>
      <c r="FJ88" s="156"/>
      <c r="FK88" s="156"/>
      <c r="FL88" s="156"/>
      <c r="FM88" s="156"/>
      <c r="FN88" s="156"/>
      <c r="FO88" s="156"/>
      <c r="FP88" s="156"/>
      <c r="FQ88" s="156"/>
      <c r="FR88" s="156"/>
      <c r="FS88" s="242"/>
      <c r="FT88" s="242"/>
      <c r="FU88" s="242"/>
      <c r="FV88" s="293"/>
      <c r="FW88" s="242"/>
      <c r="FX88" s="242"/>
      <c r="FY88" s="242"/>
      <c r="FZ88" s="242"/>
      <c r="GA88" s="242"/>
      <c r="GB88" s="242"/>
      <c r="GC88" s="242"/>
      <c r="GD88" s="242"/>
      <c r="GE88" s="242"/>
      <c r="GF88" s="258"/>
      <c r="GG88" s="222"/>
      <c r="GH88" s="242"/>
      <c r="GI88" s="242"/>
      <c r="GJ88" s="242"/>
      <c r="GK88" s="242"/>
      <c r="GL88" s="242"/>
      <c r="GM88" s="242"/>
      <c r="GN88" s="242"/>
      <c r="GO88" s="242"/>
      <c r="GP88" s="242"/>
      <c r="GQ88" s="242"/>
      <c r="GR88" s="242"/>
      <c r="GS88" s="242"/>
      <c r="GT88" s="242"/>
      <c r="GU88" s="242"/>
      <c r="GV88" s="242"/>
      <c r="GW88" s="242"/>
      <c r="GX88" s="242"/>
      <c r="GY88" s="242"/>
      <c r="GZ88" s="242"/>
      <c r="HA88" s="242"/>
      <c r="HB88" s="242"/>
      <c r="HC88" s="242"/>
      <c r="HD88" s="242"/>
      <c r="HE88" s="242"/>
      <c r="HF88" s="242"/>
      <c r="HG88" s="242"/>
      <c r="HH88" s="242"/>
      <c r="HI88" s="242"/>
      <c r="HJ88" s="242"/>
      <c r="HK88" s="242"/>
      <c r="HL88" s="242"/>
      <c r="HM88" s="442"/>
      <c r="HN88" s="442"/>
      <c r="HO88" s="442"/>
      <c r="HP88" s="442"/>
      <c r="HQ88" s="442"/>
      <c r="HR88" s="442"/>
      <c r="HS88" s="460"/>
      <c r="HT88" s="143"/>
      <c r="HU88" s="143"/>
      <c r="HV88" s="143"/>
      <c r="HW88" s="441"/>
      <c r="HX88" s="442"/>
      <c r="HY88" s="442"/>
      <c r="HZ88" s="442"/>
      <c r="IA88" s="13"/>
      <c r="IB88" s="13"/>
      <c r="IC88" s="13"/>
      <c r="ID88" s="442"/>
      <c r="IE88" s="13"/>
      <c r="IL88" s="442" t="s">
        <v>92</v>
      </c>
      <c r="IM88" s="442"/>
      <c r="IN88" s="442" t="s">
        <v>93</v>
      </c>
      <c r="IO88" s="442"/>
      <c r="IP88" s="442"/>
      <c r="IQ88" s="442"/>
      <c r="IR88" s="442"/>
      <c r="IS88" s="442"/>
      <c r="IT88" s="11">
        <v>173</v>
      </c>
      <c r="IU88" s="11"/>
      <c r="IV88" s="442">
        <v>50</v>
      </c>
      <c r="IW88" s="442"/>
      <c r="IX88" s="442"/>
      <c r="IY88" s="522">
        <v>5000</v>
      </c>
      <c r="IZ88" s="522"/>
      <c r="JA88" s="443">
        <v>4</v>
      </c>
      <c r="JB88" s="438"/>
      <c r="JC88" s="141">
        <v>15</v>
      </c>
      <c r="JD88" s="37"/>
      <c r="JE88" s="440">
        <v>0.17499999999999999</v>
      </c>
      <c r="JF88" s="13"/>
      <c r="JG88" s="442"/>
      <c r="JH88" s="442">
        <v>200</v>
      </c>
      <c r="JI88" s="442"/>
      <c r="JJ88" s="442"/>
      <c r="JK88" s="442"/>
      <c r="JL88" s="442"/>
      <c r="JM88" s="442"/>
      <c r="JN88" s="442"/>
      <c r="JO88" s="442"/>
      <c r="JP88" s="442"/>
      <c r="JQ88" s="442"/>
      <c r="JR88" s="442"/>
      <c r="JS88" s="442"/>
      <c r="JT88" s="442"/>
      <c r="JU88" s="442"/>
      <c r="JV88" s="442"/>
      <c r="JW88" s="442"/>
      <c r="JX88" s="442"/>
      <c r="JY88" s="442"/>
      <c r="JZ88" s="442"/>
      <c r="KA88" s="442"/>
      <c r="KB88" s="442"/>
      <c r="KC88" s="442"/>
      <c r="KD88" s="442"/>
      <c r="KE88" s="442"/>
      <c r="KF88" s="442"/>
      <c r="KG88" s="442"/>
      <c r="KH88" s="442"/>
      <c r="KI88" s="442"/>
      <c r="KJ88" s="442"/>
      <c r="KK88" s="442"/>
      <c r="KL88" s="442"/>
      <c r="KM88" s="442"/>
      <c r="KN88" s="442"/>
      <c r="KO88" s="442"/>
      <c r="KP88" s="442"/>
      <c r="KQ88" s="442"/>
      <c r="KR88" s="442"/>
      <c r="KS88" s="442"/>
      <c r="KT88" s="442"/>
      <c r="KU88" s="442"/>
      <c r="KV88" s="442"/>
      <c r="KW88" s="442"/>
      <c r="KX88" s="442"/>
      <c r="KY88" s="442"/>
      <c r="KZ88" s="442"/>
      <c r="LA88" s="442"/>
      <c r="LB88" s="442"/>
      <c r="LC88" s="442"/>
      <c r="LD88" s="442"/>
      <c r="LE88" s="442"/>
      <c r="LF88" s="442"/>
      <c r="LG88" s="442"/>
      <c r="LH88" s="442"/>
      <c r="LI88" s="442"/>
      <c r="LJ88" s="442"/>
      <c r="LK88" s="442"/>
      <c r="LL88" s="442"/>
      <c r="LM88" s="442"/>
      <c r="LN88" s="442"/>
      <c r="LO88" s="442"/>
      <c r="LP88" s="442"/>
      <c r="LQ88" s="442"/>
      <c r="LR88" s="442"/>
      <c r="LS88" s="442"/>
      <c r="LT88" s="442"/>
      <c r="LU88" s="442"/>
      <c r="LV88" s="442"/>
      <c r="LW88" s="442"/>
      <c r="LX88" s="442"/>
      <c r="LY88" s="442"/>
      <c r="LZ88" s="442"/>
      <c r="MA88" s="442"/>
      <c r="MB88" s="442"/>
      <c r="MC88" s="442"/>
      <c r="MD88" s="442"/>
      <c r="ME88" s="442"/>
      <c r="MF88" s="442"/>
      <c r="MG88" s="442"/>
      <c r="MH88" s="442"/>
      <c r="MI88" s="442"/>
      <c r="MJ88" s="442"/>
      <c r="MK88" s="442"/>
      <c r="ML88" s="442"/>
      <c r="MM88" s="442"/>
      <c r="MN88" s="442"/>
      <c r="MO88" s="442"/>
      <c r="MP88" s="442"/>
      <c r="MQ88" s="442"/>
      <c r="MR88" s="442"/>
      <c r="MS88" s="442"/>
      <c r="MT88" s="442"/>
      <c r="MU88" s="442"/>
      <c r="MV88" s="442"/>
      <c r="MW88" s="442"/>
      <c r="MX88" s="442"/>
      <c r="MY88" s="442"/>
      <c r="MZ88" s="442"/>
      <c r="NA88" s="442"/>
      <c r="NB88" s="442"/>
      <c r="NC88" s="442"/>
      <c r="NT88" s="149" t="s">
        <v>23</v>
      </c>
      <c r="NU88" s="149">
        <f>NU85</f>
        <v>-0.51</v>
      </c>
      <c r="NV88" s="149">
        <f>NV85</f>
        <v>-0.59</v>
      </c>
      <c r="NX88" s="149">
        <f>NU88</f>
        <v>-0.51</v>
      </c>
      <c r="NY88" s="149">
        <f>NV88</f>
        <v>-0.59</v>
      </c>
      <c r="OA88" s="149">
        <f>-0.55</f>
        <v>-0.55000000000000004</v>
      </c>
      <c r="OB88" s="149">
        <f>OA88</f>
        <v>-0.55000000000000004</v>
      </c>
      <c r="OD88" s="189">
        <f>OA88+0.05</f>
        <v>-0.5</v>
      </c>
    </row>
    <row r="89" spans="1:399" ht="14.1" customHeight="1" x14ac:dyDescent="0.2">
      <c r="A89" s="156"/>
      <c r="B89" s="236"/>
      <c r="C89" s="236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156"/>
      <c r="R89" s="156"/>
      <c r="S89" s="156"/>
      <c r="T89" s="156"/>
      <c r="U89" s="156"/>
      <c r="V89" s="156"/>
      <c r="W89" s="156"/>
      <c r="X89" s="156"/>
      <c r="Y89" s="156"/>
      <c r="Z89" s="156"/>
      <c r="AA89" s="156"/>
      <c r="AB89" s="156"/>
      <c r="AC89" s="156"/>
      <c r="AD89" s="156"/>
      <c r="AE89" s="156"/>
      <c r="AF89" s="156"/>
      <c r="AG89" s="156"/>
      <c r="AH89" s="156"/>
      <c r="AI89" s="156"/>
      <c r="AJ89" s="156"/>
      <c r="AK89" s="156"/>
      <c r="AL89" s="156"/>
      <c r="AM89" s="156"/>
      <c r="AN89" s="156"/>
      <c r="AO89" s="156"/>
      <c r="AP89" s="156"/>
      <c r="AQ89" s="156"/>
      <c r="AR89" s="156"/>
      <c r="AS89" s="156"/>
      <c r="AT89" s="156"/>
      <c r="AU89" s="156"/>
      <c r="AV89" s="156"/>
      <c r="AW89" s="156"/>
      <c r="AX89" s="156"/>
      <c r="AY89" s="156"/>
      <c r="AZ89" s="156"/>
      <c r="BA89" s="156"/>
      <c r="BB89" s="156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156"/>
      <c r="CP89" s="156"/>
      <c r="CQ89" s="156"/>
      <c r="CR89" s="156"/>
      <c r="CS89" s="156"/>
      <c r="CT89" s="156"/>
      <c r="CU89" s="156"/>
      <c r="CV89" s="156"/>
      <c r="CW89" s="156"/>
      <c r="CX89" s="156"/>
      <c r="CY89" s="156"/>
      <c r="CZ89" s="156"/>
      <c r="DA89" s="156"/>
      <c r="DB89" s="156"/>
      <c r="DC89" s="156"/>
      <c r="DD89" s="156"/>
      <c r="DE89" s="156"/>
      <c r="DF89" s="156"/>
      <c r="DG89" s="156"/>
      <c r="DH89" s="156"/>
      <c r="DI89" s="156"/>
      <c r="DJ89" s="156"/>
      <c r="DK89" s="156"/>
      <c r="DL89" s="156"/>
      <c r="DM89" s="156"/>
      <c r="DN89" s="156"/>
      <c r="DO89" s="156"/>
      <c r="DP89" s="156"/>
      <c r="DQ89" s="156"/>
      <c r="DR89" s="156"/>
      <c r="DS89" s="156"/>
      <c r="DT89" s="156"/>
      <c r="DU89" s="156"/>
      <c r="DV89" s="156"/>
      <c r="DW89" s="156"/>
      <c r="DX89" s="156"/>
      <c r="DY89" s="156"/>
      <c r="DZ89" s="156"/>
      <c r="EA89" s="156"/>
      <c r="EB89" s="156"/>
      <c r="EC89" s="156"/>
      <c r="ED89" s="156"/>
      <c r="EE89" s="156"/>
      <c r="EF89" s="156"/>
      <c r="EG89" s="156"/>
      <c r="EH89" s="156"/>
      <c r="EI89" s="156"/>
      <c r="EJ89" s="156"/>
      <c r="EK89" s="156"/>
      <c r="EL89" s="156"/>
      <c r="EM89" s="156"/>
      <c r="EN89" s="156"/>
      <c r="EO89" s="156"/>
      <c r="EP89" s="156"/>
      <c r="EQ89" s="156"/>
      <c r="ER89" s="156"/>
      <c r="ES89" s="156"/>
      <c r="ET89" s="156"/>
      <c r="EU89" s="156"/>
      <c r="EV89" s="156"/>
      <c r="EW89" s="156"/>
      <c r="EX89" s="156"/>
      <c r="EY89" s="156"/>
      <c r="EZ89" s="156"/>
      <c r="FA89" s="156"/>
      <c r="FB89" s="156"/>
      <c r="FC89" s="156"/>
      <c r="FD89" s="156"/>
      <c r="FE89" s="156"/>
      <c r="FF89" s="156"/>
      <c r="FG89" s="156"/>
      <c r="FH89" s="156"/>
      <c r="FI89" s="156"/>
      <c r="FJ89" s="156"/>
      <c r="FK89" s="156"/>
      <c r="FL89" s="156"/>
      <c r="FM89" s="156"/>
      <c r="FN89" s="156"/>
      <c r="FO89" s="156"/>
      <c r="FP89" s="156"/>
      <c r="FQ89" s="156"/>
      <c r="FR89" s="156"/>
      <c r="FS89" s="242"/>
      <c r="FT89" s="242"/>
      <c r="FU89" s="242"/>
      <c r="FV89" s="294"/>
      <c r="FW89" s="242"/>
      <c r="FX89" s="242"/>
      <c r="FY89" s="267"/>
      <c r="FZ89" s="275"/>
      <c r="GA89" s="275"/>
      <c r="GB89" s="275"/>
      <c r="GC89" s="257"/>
      <c r="GD89" s="242"/>
      <c r="GE89" s="242"/>
      <c r="GF89" s="258"/>
      <c r="GG89" s="222"/>
      <c r="GH89" s="242"/>
      <c r="GI89" s="242"/>
      <c r="GJ89" s="242"/>
      <c r="GK89" s="242"/>
      <c r="GL89" s="242"/>
      <c r="GM89" s="242"/>
      <c r="GN89" s="242"/>
      <c r="GO89" s="242"/>
      <c r="GP89" s="242"/>
      <c r="GQ89" s="242"/>
      <c r="GR89" s="242"/>
      <c r="GS89" s="242"/>
      <c r="GT89" s="242"/>
      <c r="GU89" s="242"/>
      <c r="GV89" s="242"/>
      <c r="GW89" s="242"/>
      <c r="GX89" s="242"/>
      <c r="GY89" s="242"/>
      <c r="GZ89" s="242"/>
      <c r="HA89" s="242"/>
      <c r="HB89" s="242"/>
      <c r="HC89" s="242"/>
      <c r="HD89" s="242"/>
      <c r="HE89" s="242"/>
      <c r="HF89" s="242"/>
      <c r="HG89" s="242"/>
      <c r="HH89" s="242"/>
      <c r="HI89" s="242"/>
      <c r="HJ89" s="242"/>
      <c r="HK89" s="242"/>
      <c r="HL89" s="242"/>
      <c r="HM89" s="442"/>
      <c r="HN89" s="442"/>
      <c r="HO89" s="442"/>
      <c r="HP89" s="442"/>
      <c r="HQ89" s="460"/>
      <c r="HR89" s="460"/>
      <c r="HS89" s="460"/>
      <c r="HT89" s="142"/>
      <c r="HU89" s="142"/>
      <c r="HV89" s="142"/>
      <c r="HW89" s="441"/>
      <c r="HX89" s="442"/>
      <c r="HY89" s="442"/>
      <c r="HZ89" s="211"/>
      <c r="IA89" s="466"/>
      <c r="IB89" s="466"/>
      <c r="IC89" s="466"/>
      <c r="ID89" s="442"/>
      <c r="IE89" s="466"/>
      <c r="IL89" s="32"/>
      <c r="IM89" s="442"/>
      <c r="IN89" s="32"/>
      <c r="IO89" s="190"/>
      <c r="IP89" s="191"/>
      <c r="IQ89" s="442"/>
      <c r="IR89" s="191"/>
      <c r="IS89" s="143"/>
      <c r="IT89" s="11">
        <v>180</v>
      </c>
      <c r="IU89" s="11"/>
      <c r="IV89" s="442">
        <v>100</v>
      </c>
      <c r="IW89" s="32"/>
      <c r="IX89" s="186"/>
      <c r="IY89" s="186"/>
      <c r="IZ89" s="442"/>
      <c r="JA89" s="443">
        <v>5</v>
      </c>
      <c r="JB89" s="438"/>
      <c r="JC89" s="141">
        <v>17.5</v>
      </c>
      <c r="JD89" s="37"/>
      <c r="JE89" s="440">
        <v>0.2</v>
      </c>
      <c r="JF89" s="13"/>
      <c r="JG89" s="442"/>
      <c r="JH89" s="442">
        <v>250</v>
      </c>
      <c r="JI89" s="442"/>
      <c r="JJ89" s="442"/>
      <c r="JK89" s="442"/>
      <c r="JL89" s="442"/>
      <c r="JM89" s="442"/>
      <c r="JN89" s="442"/>
      <c r="JO89" s="442"/>
      <c r="JP89" s="442"/>
      <c r="JQ89" s="442"/>
      <c r="JR89" s="442"/>
      <c r="JS89" s="442"/>
      <c r="JT89" s="442"/>
      <c r="JU89" s="442"/>
      <c r="JV89" s="442"/>
      <c r="JW89" s="442"/>
      <c r="JX89" s="442"/>
      <c r="JY89" s="442"/>
      <c r="JZ89" s="442"/>
      <c r="KA89" s="442"/>
      <c r="KB89" s="442"/>
      <c r="KC89" s="442"/>
      <c r="KD89" s="442"/>
      <c r="KE89" s="442"/>
      <c r="KF89" s="442"/>
      <c r="KG89" s="442"/>
      <c r="KH89" s="442"/>
      <c r="KI89" s="442"/>
      <c r="KJ89" s="442"/>
      <c r="KK89" s="442"/>
      <c r="KL89" s="442"/>
      <c r="KM89" s="442"/>
      <c r="KN89" s="442"/>
      <c r="KO89" s="442"/>
      <c r="KP89" s="442"/>
      <c r="KQ89" s="442"/>
      <c r="KR89" s="442"/>
      <c r="KS89" s="442"/>
      <c r="KT89" s="442"/>
      <c r="KU89" s="442"/>
      <c r="KV89" s="442"/>
      <c r="KW89" s="442"/>
      <c r="KX89" s="442"/>
      <c r="KY89" s="442"/>
      <c r="KZ89" s="442"/>
      <c r="LA89" s="442"/>
      <c r="LB89" s="442"/>
      <c r="LC89" s="442"/>
      <c r="LD89" s="442"/>
      <c r="LE89" s="442"/>
      <c r="LF89" s="442"/>
      <c r="LG89" s="442"/>
      <c r="LH89" s="442"/>
      <c r="LI89" s="442"/>
      <c r="LJ89" s="442"/>
      <c r="LK89" s="442"/>
      <c r="LL89" s="442"/>
      <c r="LM89" s="442"/>
      <c r="LN89" s="442"/>
      <c r="LO89" s="442"/>
      <c r="LP89" s="442"/>
      <c r="LQ89" s="442"/>
      <c r="LR89" s="442"/>
      <c r="LS89" s="442"/>
      <c r="LT89" s="442"/>
      <c r="LU89" s="442"/>
      <c r="LV89" s="442"/>
      <c r="LW89" s="442"/>
      <c r="LX89" s="442"/>
      <c r="LY89" s="442"/>
      <c r="LZ89" s="442"/>
      <c r="MA89" s="442"/>
      <c r="MB89" s="442"/>
      <c r="MC89" s="442"/>
      <c r="MD89" s="442"/>
      <c r="ME89" s="442"/>
      <c r="MF89" s="442"/>
      <c r="MG89" s="442"/>
      <c r="MH89" s="442"/>
      <c r="MI89" s="442"/>
      <c r="MJ89" s="442"/>
      <c r="MK89" s="442"/>
      <c r="ML89" s="442"/>
      <c r="MM89" s="442"/>
      <c r="MN89" s="442"/>
      <c r="MO89" s="442"/>
      <c r="MP89" s="442"/>
      <c r="MQ89" s="442"/>
      <c r="MR89" s="442"/>
      <c r="MS89" s="442"/>
      <c r="MT89" s="442"/>
      <c r="MU89" s="442"/>
      <c r="MV89" s="442"/>
      <c r="MW89" s="442"/>
      <c r="MX89" s="442"/>
      <c r="MY89" s="442"/>
      <c r="MZ89" s="442"/>
      <c r="NA89" s="442"/>
      <c r="NB89" s="442"/>
      <c r="NC89" s="442"/>
      <c r="NT89" s="149" t="s">
        <v>171</v>
      </c>
    </row>
    <row r="90" spans="1:399" ht="14.1" customHeight="1" x14ac:dyDescent="0.2">
      <c r="A90" s="156"/>
      <c r="B90" s="236"/>
      <c r="C90" s="236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156"/>
      <c r="R90" s="156"/>
      <c r="S90" s="156"/>
      <c r="T90" s="156"/>
      <c r="U90" s="156"/>
      <c r="V90" s="156"/>
      <c r="W90" s="156"/>
      <c r="X90" s="156"/>
      <c r="Y90" s="156"/>
      <c r="Z90" s="156"/>
      <c r="AA90" s="156"/>
      <c r="AB90" s="156"/>
      <c r="AC90" s="156"/>
      <c r="AD90" s="156"/>
      <c r="AE90" s="156"/>
      <c r="AF90" s="156"/>
      <c r="AG90" s="156"/>
      <c r="AH90" s="156"/>
      <c r="AI90" s="156"/>
      <c r="AJ90" s="156"/>
      <c r="AK90" s="156"/>
      <c r="AL90" s="156"/>
      <c r="AM90" s="156"/>
      <c r="AN90" s="156"/>
      <c r="AO90" s="156"/>
      <c r="AP90" s="156"/>
      <c r="AQ90" s="156"/>
      <c r="AR90" s="156"/>
      <c r="AS90" s="156"/>
      <c r="AT90" s="156"/>
      <c r="AU90" s="156"/>
      <c r="AV90" s="156"/>
      <c r="AW90" s="156"/>
      <c r="AX90" s="156"/>
      <c r="AY90" s="156"/>
      <c r="AZ90" s="156"/>
      <c r="BA90" s="156"/>
      <c r="BB90" s="156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156"/>
      <c r="CP90" s="156"/>
      <c r="CQ90" s="156"/>
      <c r="CR90" s="156"/>
      <c r="CS90" s="156"/>
      <c r="CT90" s="156"/>
      <c r="CU90" s="156"/>
      <c r="CV90" s="156"/>
      <c r="CW90" s="156"/>
      <c r="CX90" s="156"/>
      <c r="CY90" s="156"/>
      <c r="CZ90" s="156"/>
      <c r="DA90" s="156"/>
      <c r="DB90" s="156"/>
      <c r="DC90" s="156"/>
      <c r="DD90" s="156"/>
      <c r="DE90" s="156"/>
      <c r="DF90" s="156"/>
      <c r="DG90" s="156"/>
      <c r="DH90" s="156"/>
      <c r="DI90" s="156"/>
      <c r="DJ90" s="156"/>
      <c r="DK90" s="156"/>
      <c r="DL90" s="156"/>
      <c r="DM90" s="156"/>
      <c r="DN90" s="156"/>
      <c r="DO90" s="156"/>
      <c r="DP90" s="156"/>
      <c r="DQ90" s="156"/>
      <c r="DR90" s="156"/>
      <c r="DS90" s="156"/>
      <c r="DT90" s="156"/>
      <c r="DU90" s="156"/>
      <c r="DV90" s="156"/>
      <c r="DW90" s="156"/>
      <c r="DX90" s="156"/>
      <c r="DY90" s="156"/>
      <c r="DZ90" s="156"/>
      <c r="EA90" s="156"/>
      <c r="EB90" s="156"/>
      <c r="EC90" s="156"/>
      <c r="ED90" s="156"/>
      <c r="EE90" s="156"/>
      <c r="EF90" s="156"/>
      <c r="EG90" s="156"/>
      <c r="EH90" s="156"/>
      <c r="EI90" s="156"/>
      <c r="EJ90" s="156"/>
      <c r="EK90" s="156"/>
      <c r="EL90" s="156"/>
      <c r="EM90" s="156"/>
      <c r="EN90" s="156"/>
      <c r="EO90" s="156"/>
      <c r="EP90" s="156"/>
      <c r="EQ90" s="156"/>
      <c r="ER90" s="156"/>
      <c r="ES90" s="156"/>
      <c r="ET90" s="156"/>
      <c r="EU90" s="156"/>
      <c r="EV90" s="156"/>
      <c r="EW90" s="156"/>
      <c r="EX90" s="156"/>
      <c r="EY90" s="156"/>
      <c r="EZ90" s="156"/>
      <c r="FA90" s="156"/>
      <c r="FB90" s="156"/>
      <c r="FC90" s="156"/>
      <c r="FD90" s="156"/>
      <c r="FE90" s="156"/>
      <c r="FF90" s="156"/>
      <c r="FG90" s="156"/>
      <c r="FH90" s="156"/>
      <c r="FI90" s="156"/>
      <c r="FJ90" s="156"/>
      <c r="FK90" s="156"/>
      <c r="FL90" s="156"/>
      <c r="FM90" s="156"/>
      <c r="FN90" s="156"/>
      <c r="FO90" s="156"/>
      <c r="FP90" s="156"/>
      <c r="FQ90" s="156"/>
      <c r="FR90" s="156"/>
      <c r="FS90" s="242"/>
      <c r="FT90" s="242"/>
      <c r="FU90" s="242"/>
      <c r="FV90" s="267"/>
      <c r="FW90" s="242"/>
      <c r="FX90" s="242"/>
      <c r="FY90" s="267"/>
      <c r="FZ90" s="275"/>
      <c r="GA90" s="275"/>
      <c r="GB90" s="275"/>
      <c r="GC90" s="267"/>
      <c r="GD90" s="242"/>
      <c r="GE90" s="242"/>
      <c r="GF90" s="242"/>
      <c r="GG90" s="242"/>
      <c r="GH90" s="242"/>
      <c r="GI90" s="242"/>
      <c r="GJ90" s="242"/>
      <c r="GK90" s="242"/>
      <c r="GL90" s="242"/>
      <c r="GM90" s="242"/>
      <c r="GN90" s="242"/>
      <c r="GO90" s="242"/>
      <c r="GP90" s="242"/>
      <c r="GQ90" s="242"/>
      <c r="GR90" s="242"/>
      <c r="GS90" s="242"/>
      <c r="GT90" s="242"/>
      <c r="GU90" s="242"/>
      <c r="GV90" s="242"/>
      <c r="GW90" s="242"/>
      <c r="GX90" s="242"/>
      <c r="GY90" s="242"/>
      <c r="GZ90" s="242"/>
      <c r="HA90" s="242"/>
      <c r="HB90" s="242"/>
      <c r="HC90" s="242"/>
      <c r="HD90" s="242"/>
      <c r="HE90" s="242"/>
      <c r="HF90" s="242"/>
      <c r="HG90" s="242"/>
      <c r="HH90" s="242"/>
      <c r="HI90" s="242"/>
      <c r="HJ90" s="242"/>
      <c r="HK90" s="242"/>
      <c r="HL90" s="242"/>
      <c r="HM90" s="442"/>
      <c r="HN90" s="442"/>
      <c r="HO90" s="442"/>
      <c r="HP90" s="442"/>
      <c r="HQ90" s="442"/>
      <c r="HR90" s="37"/>
      <c r="HS90" s="37"/>
      <c r="HT90" s="213"/>
      <c r="HU90" s="217"/>
      <c r="HV90" s="37"/>
      <c r="HW90" s="37"/>
      <c r="HX90" s="442"/>
      <c r="HY90" s="214"/>
      <c r="HZ90" s="218"/>
      <c r="IA90" s="214"/>
      <c r="IB90" s="214"/>
      <c r="IC90" s="214"/>
      <c r="ID90" s="442"/>
      <c r="IE90" s="214"/>
      <c r="IL90" s="32"/>
      <c r="IM90" s="442"/>
      <c r="IN90" s="32"/>
      <c r="IO90" s="190"/>
      <c r="IP90" s="191"/>
      <c r="IQ90" s="442"/>
      <c r="IR90" s="191"/>
      <c r="IS90" s="442"/>
      <c r="IT90" s="12">
        <v>210</v>
      </c>
      <c r="IU90" s="12"/>
      <c r="IV90" s="442">
        <v>150</v>
      </c>
      <c r="IW90" s="32"/>
      <c r="IX90" s="186"/>
      <c r="IY90" s="186"/>
      <c r="IZ90" s="442"/>
      <c r="JA90" s="443">
        <v>7.5</v>
      </c>
      <c r="JB90" s="438"/>
      <c r="JC90" s="141">
        <v>20</v>
      </c>
      <c r="JD90" s="37"/>
      <c r="JE90" s="440">
        <v>0.22500000000000001</v>
      </c>
      <c r="JF90" s="13"/>
      <c r="JG90" s="442"/>
      <c r="JH90" s="442">
        <v>300</v>
      </c>
      <c r="JI90" s="442"/>
      <c r="JJ90" s="442"/>
      <c r="JK90" s="442"/>
      <c r="JL90" s="442"/>
      <c r="JM90" s="442"/>
      <c r="JN90" s="442"/>
      <c r="JO90" s="442"/>
      <c r="JP90" s="442"/>
      <c r="JQ90" s="442"/>
      <c r="JR90" s="442"/>
      <c r="JS90" s="442"/>
      <c r="JT90" s="442"/>
      <c r="JU90" s="442"/>
      <c r="JV90" s="442"/>
      <c r="JW90" s="442"/>
      <c r="JX90" s="442"/>
      <c r="JY90" s="442"/>
      <c r="JZ90" s="442"/>
      <c r="KA90" s="442"/>
      <c r="KB90" s="442"/>
      <c r="KC90" s="442"/>
      <c r="KD90" s="442"/>
      <c r="KE90" s="442"/>
      <c r="KF90" s="442"/>
      <c r="KG90" s="442"/>
      <c r="KH90" s="442"/>
      <c r="KI90" s="442"/>
      <c r="KJ90" s="442"/>
      <c r="KK90" s="442"/>
      <c r="KL90" s="442"/>
      <c r="KM90" s="442"/>
      <c r="KN90" s="442"/>
      <c r="KO90" s="442"/>
      <c r="KP90" s="442"/>
      <c r="KQ90" s="442"/>
      <c r="KR90" s="442"/>
      <c r="KS90" s="442"/>
      <c r="KT90" s="442"/>
      <c r="KU90" s="442"/>
      <c r="KV90" s="442"/>
      <c r="KW90" s="442"/>
      <c r="KX90" s="442"/>
      <c r="KY90" s="442"/>
      <c r="KZ90" s="442"/>
      <c r="LA90" s="442"/>
      <c r="LB90" s="442"/>
      <c r="LC90" s="442"/>
      <c r="LD90" s="442"/>
      <c r="LE90" s="442"/>
      <c r="LF90" s="442"/>
      <c r="LG90" s="442"/>
      <c r="LH90" s="442"/>
      <c r="LI90" s="442"/>
      <c r="LJ90" s="442"/>
      <c r="LK90" s="442"/>
      <c r="LL90" s="442"/>
      <c r="LM90" s="442"/>
      <c r="LN90" s="442"/>
      <c r="LO90" s="442"/>
      <c r="LP90" s="442"/>
      <c r="LQ90" s="442"/>
      <c r="LR90" s="442"/>
      <c r="LS90" s="442"/>
      <c r="LT90" s="442"/>
      <c r="LU90" s="442"/>
      <c r="LV90" s="442"/>
      <c r="LW90" s="442"/>
      <c r="LX90" s="442"/>
      <c r="LY90" s="442"/>
      <c r="LZ90" s="442"/>
      <c r="MA90" s="442"/>
      <c r="MB90" s="442"/>
      <c r="MC90" s="442"/>
      <c r="MD90" s="442"/>
      <c r="ME90" s="442"/>
      <c r="MF90" s="442"/>
      <c r="MG90" s="442"/>
      <c r="MH90" s="442"/>
      <c r="MI90" s="442"/>
      <c r="MJ90" s="442"/>
      <c r="MK90" s="442"/>
      <c r="ML90" s="442"/>
      <c r="MM90" s="442"/>
      <c r="MN90" s="442"/>
      <c r="MO90" s="442"/>
      <c r="MP90" s="442"/>
      <c r="MQ90" s="442"/>
      <c r="MR90" s="442"/>
      <c r="MS90" s="442"/>
      <c r="MT90" s="442"/>
      <c r="MU90" s="442"/>
      <c r="MV90" s="442"/>
      <c r="MW90" s="442"/>
      <c r="MX90" s="442"/>
      <c r="MY90" s="442"/>
      <c r="MZ90" s="442"/>
      <c r="NA90" s="442"/>
      <c r="NB90" s="442"/>
      <c r="NC90" s="442"/>
      <c r="NT90" s="149" t="s">
        <v>22</v>
      </c>
      <c r="NU90" s="149">
        <f>NW72</f>
        <v>0.4</v>
      </c>
      <c r="NV90" s="149">
        <f>NU90</f>
        <v>0.4</v>
      </c>
      <c r="NX90" s="149">
        <f>NU90</f>
        <v>0.4</v>
      </c>
      <c r="NY90" s="149">
        <f>NX90+0.1</f>
        <v>0.5</v>
      </c>
      <c r="OA90" s="189">
        <f>NY90</f>
        <v>0.5</v>
      </c>
      <c r="OD90" s="189">
        <f>OF72</f>
        <v>0.4</v>
      </c>
      <c r="OE90" s="189">
        <f>OD90</f>
        <v>0.4</v>
      </c>
    </row>
    <row r="91" spans="1:399" ht="14.1" customHeight="1" x14ac:dyDescent="0.2">
      <c r="A91" s="156"/>
      <c r="B91" s="236"/>
      <c r="C91" s="236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156"/>
      <c r="R91" s="156"/>
      <c r="S91" s="156"/>
      <c r="T91" s="156"/>
      <c r="U91" s="156"/>
      <c r="V91" s="156"/>
      <c r="W91" s="156"/>
      <c r="X91" s="156"/>
      <c r="Y91" s="156"/>
      <c r="Z91" s="156"/>
      <c r="AA91" s="156"/>
      <c r="AB91" s="156"/>
      <c r="AC91" s="156"/>
      <c r="AD91" s="156"/>
      <c r="AE91" s="156"/>
      <c r="AF91" s="156"/>
      <c r="AG91" s="156"/>
      <c r="AH91" s="156"/>
      <c r="AI91" s="156"/>
      <c r="AJ91" s="156"/>
      <c r="AK91" s="156"/>
      <c r="AL91" s="156"/>
      <c r="AM91" s="156"/>
      <c r="AN91" s="156"/>
      <c r="AO91" s="156"/>
      <c r="AP91" s="156"/>
      <c r="AQ91" s="156"/>
      <c r="AR91" s="156"/>
      <c r="AS91" s="156"/>
      <c r="AT91" s="156"/>
      <c r="AU91" s="156"/>
      <c r="AV91" s="156"/>
      <c r="AW91" s="156"/>
      <c r="AX91" s="156"/>
      <c r="AY91" s="156"/>
      <c r="AZ91" s="156"/>
      <c r="BA91" s="156"/>
      <c r="BB91" s="156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156"/>
      <c r="CP91" s="156"/>
      <c r="CQ91" s="156"/>
      <c r="CR91" s="156"/>
      <c r="CS91" s="156"/>
      <c r="CT91" s="156"/>
      <c r="CU91" s="156"/>
      <c r="CV91" s="156"/>
      <c r="CW91" s="156"/>
      <c r="CX91" s="156"/>
      <c r="CY91" s="156"/>
      <c r="CZ91" s="156"/>
      <c r="DA91" s="156"/>
      <c r="DB91" s="156"/>
      <c r="DC91" s="156"/>
      <c r="DD91" s="156"/>
      <c r="DE91" s="156"/>
      <c r="DF91" s="156"/>
      <c r="DG91" s="156"/>
      <c r="DH91" s="156"/>
      <c r="DI91" s="156"/>
      <c r="DJ91" s="156"/>
      <c r="DK91" s="156"/>
      <c r="DL91" s="156"/>
      <c r="DM91" s="156"/>
      <c r="DN91" s="156"/>
      <c r="DO91" s="156"/>
      <c r="DP91" s="156"/>
      <c r="DQ91" s="156"/>
      <c r="DR91" s="156"/>
      <c r="DS91" s="156"/>
      <c r="DT91" s="156"/>
      <c r="DU91" s="156"/>
      <c r="DV91" s="156"/>
      <c r="DW91" s="156"/>
      <c r="DX91" s="156"/>
      <c r="DY91" s="156"/>
      <c r="DZ91" s="156"/>
      <c r="EA91" s="156"/>
      <c r="EB91" s="156"/>
      <c r="EC91" s="156"/>
      <c r="ED91" s="156"/>
      <c r="EE91" s="156"/>
      <c r="EF91" s="156"/>
      <c r="EG91" s="156"/>
      <c r="EH91" s="156"/>
      <c r="EI91" s="156"/>
      <c r="EJ91" s="156"/>
      <c r="EK91" s="156"/>
      <c r="EL91" s="156"/>
      <c r="EM91" s="156"/>
      <c r="EN91" s="156"/>
      <c r="EO91" s="156"/>
      <c r="EP91" s="156"/>
      <c r="EQ91" s="156"/>
      <c r="ER91" s="156"/>
      <c r="ES91" s="156"/>
      <c r="ET91" s="156"/>
      <c r="EU91" s="156"/>
      <c r="EV91" s="156"/>
      <c r="EW91" s="156"/>
      <c r="EX91" s="156"/>
      <c r="EY91" s="156"/>
      <c r="EZ91" s="156"/>
      <c r="FA91" s="156"/>
      <c r="FB91" s="156"/>
      <c r="FC91" s="156"/>
      <c r="FD91" s="156"/>
      <c r="FE91" s="156"/>
      <c r="FF91" s="156"/>
      <c r="FG91" s="156"/>
      <c r="FH91" s="156"/>
      <c r="FI91" s="156"/>
      <c r="FJ91" s="156"/>
      <c r="FK91" s="156"/>
      <c r="FL91" s="156"/>
      <c r="FM91" s="156"/>
      <c r="FN91" s="156"/>
      <c r="FO91" s="156"/>
      <c r="FP91" s="156"/>
      <c r="FQ91" s="156"/>
      <c r="FR91" s="156"/>
      <c r="FS91" s="242"/>
      <c r="FT91" s="242"/>
      <c r="FU91" s="242"/>
      <c r="FV91" s="268"/>
      <c r="FW91" s="242"/>
      <c r="FX91" s="242"/>
      <c r="FY91" s="267"/>
      <c r="FZ91" s="264"/>
      <c r="GA91" s="264"/>
      <c r="GB91" s="264"/>
      <c r="GC91" s="267"/>
      <c r="GD91" s="267"/>
      <c r="GE91" s="295"/>
      <c r="GF91" s="242"/>
      <c r="GG91" s="263"/>
      <c r="GH91" s="242"/>
      <c r="GI91" s="242"/>
      <c r="GJ91" s="242"/>
      <c r="GK91" s="242"/>
      <c r="GL91" s="242"/>
      <c r="GM91" s="242"/>
      <c r="GN91" s="242"/>
      <c r="GO91" s="242"/>
      <c r="GP91" s="242"/>
      <c r="GQ91" s="242"/>
      <c r="GR91" s="242"/>
      <c r="GS91" s="242"/>
      <c r="GT91" s="242"/>
      <c r="GU91" s="242"/>
      <c r="GV91" s="242"/>
      <c r="GW91" s="242"/>
      <c r="GX91" s="242"/>
      <c r="GY91" s="242"/>
      <c r="GZ91" s="242"/>
      <c r="HA91" s="242"/>
      <c r="HB91" s="242"/>
      <c r="HC91" s="242"/>
      <c r="HD91" s="242"/>
      <c r="HE91" s="242"/>
      <c r="HF91" s="242"/>
      <c r="HG91" s="242"/>
      <c r="HH91" s="242"/>
      <c r="HI91" s="242"/>
      <c r="HJ91" s="242"/>
      <c r="HK91" s="242"/>
      <c r="HL91" s="242"/>
      <c r="HM91" s="442"/>
      <c r="HN91" s="442"/>
      <c r="HO91" s="442"/>
      <c r="HP91" s="536" t="s">
        <v>77</v>
      </c>
      <c r="HQ91" s="536"/>
      <c r="HR91" s="536"/>
      <c r="HS91" s="536"/>
      <c r="HT91" s="536" t="s">
        <v>209</v>
      </c>
      <c r="HU91" s="536"/>
      <c r="HV91" s="536"/>
      <c r="HW91" s="536"/>
      <c r="HX91" s="536" t="s">
        <v>210</v>
      </c>
      <c r="HY91" s="536"/>
      <c r="HZ91" s="536"/>
      <c r="IA91" s="536"/>
      <c r="IB91" s="536" t="s">
        <v>211</v>
      </c>
      <c r="IC91" s="536"/>
      <c r="ID91" s="536"/>
      <c r="IE91" s="536"/>
      <c r="IF91" s="536" t="s">
        <v>80</v>
      </c>
      <c r="IG91" s="536"/>
      <c r="IH91" s="536"/>
      <c r="II91" s="536"/>
      <c r="IL91" s="32"/>
      <c r="IM91" s="442"/>
      <c r="IN91" s="32"/>
      <c r="IO91" s="190"/>
      <c r="IP91" s="191"/>
      <c r="IQ91" s="442"/>
      <c r="IR91" s="191"/>
      <c r="IS91" s="442"/>
      <c r="IT91" s="12">
        <v>240</v>
      </c>
      <c r="IU91" s="12"/>
      <c r="IV91" s="442"/>
      <c r="IW91" s="32"/>
      <c r="IX91" s="186"/>
      <c r="IY91" s="186"/>
      <c r="IZ91" s="442"/>
      <c r="JA91" s="442"/>
      <c r="JB91" s="442"/>
      <c r="JC91" s="141">
        <v>22.5</v>
      </c>
      <c r="JD91" s="37"/>
      <c r="JE91" s="440">
        <v>0.25</v>
      </c>
      <c r="JF91" s="13"/>
      <c r="JG91" s="442"/>
      <c r="JH91" s="442">
        <v>400</v>
      </c>
      <c r="JI91" s="442"/>
      <c r="JJ91" s="442"/>
      <c r="JK91" s="442"/>
      <c r="JL91" s="442"/>
      <c r="JM91" s="442"/>
      <c r="JN91" s="442"/>
      <c r="JO91" s="442"/>
      <c r="JP91" s="442"/>
      <c r="JQ91" s="442"/>
      <c r="JR91" s="442"/>
      <c r="JS91" s="442"/>
      <c r="JT91" s="442"/>
      <c r="JU91" s="442"/>
      <c r="JV91" s="442"/>
      <c r="JW91" s="442"/>
      <c r="JX91" s="442"/>
      <c r="JY91" s="442"/>
      <c r="JZ91" s="442"/>
      <c r="KA91" s="442"/>
      <c r="KB91" s="442"/>
      <c r="KC91" s="442"/>
      <c r="KD91" s="442"/>
      <c r="KE91" s="442"/>
      <c r="KF91" s="442"/>
      <c r="KG91" s="442"/>
      <c r="KH91" s="442"/>
      <c r="KI91" s="442"/>
      <c r="KJ91" s="442"/>
      <c r="KK91" s="442"/>
      <c r="KL91" s="442"/>
      <c r="KM91" s="442"/>
      <c r="KN91" s="442"/>
      <c r="KO91" s="442"/>
      <c r="KP91" s="442"/>
      <c r="KQ91" s="442"/>
      <c r="KR91" s="442"/>
      <c r="KS91" s="442"/>
      <c r="KT91" s="442"/>
      <c r="KU91" s="442"/>
      <c r="KV91" s="442"/>
      <c r="KW91" s="442"/>
      <c r="KX91" s="442"/>
      <c r="KY91" s="442"/>
      <c r="KZ91" s="442"/>
      <c r="LA91" s="442"/>
      <c r="LB91" s="442"/>
      <c r="LC91" s="442"/>
      <c r="LD91" s="442"/>
      <c r="LE91" s="442"/>
      <c r="LF91" s="442"/>
      <c r="LG91" s="442"/>
      <c r="LH91" s="442"/>
      <c r="LI91" s="442"/>
      <c r="LJ91" s="442"/>
      <c r="LK91" s="442"/>
      <c r="LL91" s="442"/>
      <c r="LM91" s="442"/>
      <c r="LN91" s="442"/>
      <c r="LO91" s="442"/>
      <c r="LP91" s="442"/>
      <c r="LQ91" s="442"/>
      <c r="LR91" s="442"/>
      <c r="LS91" s="442"/>
      <c r="LT91" s="442"/>
      <c r="LU91" s="442"/>
      <c r="LV91" s="442"/>
      <c r="LW91" s="442"/>
      <c r="LX91" s="442"/>
      <c r="LY91" s="442"/>
      <c r="LZ91" s="442"/>
      <c r="MA91" s="442"/>
      <c r="MB91" s="442"/>
      <c r="MC91" s="442"/>
      <c r="MD91" s="442"/>
      <c r="ME91" s="442"/>
      <c r="MF91" s="442"/>
      <c r="MG91" s="442"/>
      <c r="MH91" s="442"/>
      <c r="MI91" s="442"/>
      <c r="MJ91" s="442"/>
      <c r="MK91" s="442"/>
      <c r="ML91" s="442"/>
      <c r="MM91" s="442"/>
      <c r="MN91" s="442"/>
      <c r="MO91" s="442"/>
      <c r="MP91" s="442"/>
      <c r="MQ91" s="442"/>
      <c r="MR91" s="442"/>
      <c r="MS91" s="442"/>
      <c r="MT91" s="442"/>
      <c r="MU91" s="442"/>
      <c r="MV91" s="442"/>
      <c r="MW91" s="442"/>
      <c r="MX91" s="442"/>
      <c r="MY91" s="442"/>
      <c r="MZ91" s="442"/>
      <c r="NA91" s="442"/>
      <c r="NB91" s="442"/>
      <c r="NC91" s="442"/>
      <c r="NT91" s="149" t="s">
        <v>23</v>
      </c>
      <c r="NU91" s="149">
        <f>NW73</f>
        <v>-4.4999999999999998E-2</v>
      </c>
      <c r="NV91" s="149">
        <f>NU91+0.15</f>
        <v>0.105</v>
      </c>
      <c r="NX91" s="149">
        <f>NV91</f>
        <v>0.105</v>
      </c>
      <c r="NY91" s="149">
        <f>NX91</f>
        <v>0.105</v>
      </c>
      <c r="OA91" s="189">
        <f>NY91</f>
        <v>0.105</v>
      </c>
      <c r="OD91" s="189">
        <f>OF73</f>
        <v>-0.03</v>
      </c>
      <c r="OE91" s="189">
        <f>OD91+0.135</f>
        <v>0.10500000000000001</v>
      </c>
    </row>
    <row r="92" spans="1:399" ht="14.1" customHeight="1" x14ac:dyDescent="0.2">
      <c r="A92" s="156"/>
      <c r="B92" s="236"/>
      <c r="C92" s="236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  <c r="AC92" s="156"/>
      <c r="AD92" s="156"/>
      <c r="AE92" s="156"/>
      <c r="AF92" s="156"/>
      <c r="AG92" s="156"/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156"/>
      <c r="CP92" s="156"/>
      <c r="CQ92" s="156"/>
      <c r="CR92" s="156"/>
      <c r="CS92" s="156"/>
      <c r="CT92" s="156"/>
      <c r="CU92" s="156"/>
      <c r="CV92" s="156"/>
      <c r="CW92" s="156"/>
      <c r="CX92" s="156"/>
      <c r="CY92" s="156"/>
      <c r="CZ92" s="156"/>
      <c r="DA92" s="156"/>
      <c r="DB92" s="156"/>
      <c r="DC92" s="156"/>
      <c r="DD92" s="156"/>
      <c r="DE92" s="156"/>
      <c r="DF92" s="156"/>
      <c r="DG92" s="156"/>
      <c r="DH92" s="156"/>
      <c r="DI92" s="156"/>
      <c r="DJ92" s="156"/>
      <c r="DK92" s="156"/>
      <c r="DL92" s="156"/>
      <c r="DM92" s="156"/>
      <c r="DN92" s="156"/>
      <c r="DO92" s="156"/>
      <c r="DP92" s="156"/>
      <c r="DQ92" s="156"/>
      <c r="DR92" s="156"/>
      <c r="DS92" s="156"/>
      <c r="DT92" s="156"/>
      <c r="DU92" s="156"/>
      <c r="DV92" s="156"/>
      <c r="DW92" s="156"/>
      <c r="DX92" s="156"/>
      <c r="DY92" s="156"/>
      <c r="DZ92" s="156"/>
      <c r="EA92" s="156"/>
      <c r="EB92" s="156"/>
      <c r="EC92" s="156"/>
      <c r="ED92" s="156"/>
      <c r="EE92" s="156"/>
      <c r="EF92" s="156"/>
      <c r="EG92" s="156"/>
      <c r="EH92" s="156"/>
      <c r="EI92" s="156"/>
      <c r="EJ92" s="156"/>
      <c r="EK92" s="156"/>
      <c r="EL92" s="156"/>
      <c r="EM92" s="156"/>
      <c r="EN92" s="156"/>
      <c r="EO92" s="156"/>
      <c r="EP92" s="156"/>
      <c r="EQ92" s="156"/>
      <c r="ER92" s="156"/>
      <c r="ES92" s="156"/>
      <c r="ET92" s="156"/>
      <c r="EU92" s="156"/>
      <c r="EV92" s="156"/>
      <c r="EW92" s="156"/>
      <c r="EX92" s="156"/>
      <c r="EY92" s="156"/>
      <c r="EZ92" s="156"/>
      <c r="FA92" s="156"/>
      <c r="FB92" s="156"/>
      <c r="FC92" s="156"/>
      <c r="FD92" s="156"/>
      <c r="FE92" s="156"/>
      <c r="FF92" s="156"/>
      <c r="FG92" s="156"/>
      <c r="FH92" s="156"/>
      <c r="FI92" s="156"/>
      <c r="FJ92" s="156"/>
      <c r="FK92" s="156"/>
      <c r="FL92" s="156"/>
      <c r="FM92" s="156"/>
      <c r="FN92" s="156"/>
      <c r="FO92" s="156"/>
      <c r="FP92" s="156"/>
      <c r="FQ92" s="156"/>
      <c r="FR92" s="156"/>
      <c r="FS92" s="242"/>
      <c r="FT92" s="242"/>
      <c r="FU92" s="242"/>
      <c r="FV92" s="268"/>
      <c r="FW92" s="242"/>
      <c r="FX92" s="242"/>
      <c r="FY92" s="267"/>
      <c r="FZ92" s="264"/>
      <c r="GA92" s="264"/>
      <c r="GB92" s="264"/>
      <c r="GC92" s="267"/>
      <c r="GD92" s="267"/>
      <c r="GE92" s="295"/>
      <c r="GF92" s="242"/>
      <c r="GG92" s="263"/>
      <c r="GH92" s="242"/>
      <c r="GI92" s="242"/>
      <c r="GJ92" s="242"/>
      <c r="GK92" s="242"/>
      <c r="GL92" s="242"/>
      <c r="GM92" s="242"/>
      <c r="GN92" s="242"/>
      <c r="GO92" s="242"/>
      <c r="GP92" s="242"/>
      <c r="GQ92" s="242"/>
      <c r="GR92" s="242"/>
      <c r="GS92" s="242"/>
      <c r="GT92" s="242"/>
      <c r="GU92" s="242"/>
      <c r="GV92" s="242"/>
      <c r="GW92" s="242"/>
      <c r="GX92" s="242"/>
      <c r="GY92" s="242"/>
      <c r="GZ92" s="242"/>
      <c r="HA92" s="242"/>
      <c r="HB92" s="242"/>
      <c r="HC92" s="242"/>
      <c r="HD92" s="242"/>
      <c r="HE92" s="242"/>
      <c r="HF92" s="242"/>
      <c r="HG92" s="242"/>
      <c r="HH92" s="242"/>
      <c r="HI92" s="242"/>
      <c r="HJ92" s="242"/>
      <c r="HK92" s="242"/>
      <c r="HL92" s="242"/>
      <c r="HM92" s="442"/>
      <c r="HN92" s="442"/>
      <c r="HO92" s="442"/>
      <c r="HP92" s="538" t="s">
        <v>86</v>
      </c>
      <c r="HQ92" s="538"/>
      <c r="HR92" s="538"/>
      <c r="HS92" s="538"/>
      <c r="HT92" s="543">
        <f>ROUND(HT79*HT73^2*IT79,2)</f>
        <v>207</v>
      </c>
      <c r="HU92" s="543"/>
      <c r="HV92" s="543"/>
      <c r="HW92" s="543"/>
      <c r="HX92" s="538">
        <f>ROUND(HT79*HT73^2*IT80,2)</f>
        <v>142.31</v>
      </c>
      <c r="HY92" s="538"/>
      <c r="HZ92" s="538"/>
      <c r="IA92" s="538"/>
      <c r="IB92" s="538">
        <f>ROUND(HT79*HT73^2*IT81,2)</f>
        <v>207</v>
      </c>
      <c r="IC92" s="538"/>
      <c r="ID92" s="538"/>
      <c r="IE92" s="538"/>
      <c r="IF92" s="543" t="s">
        <v>87</v>
      </c>
      <c r="IG92" s="543"/>
      <c r="IH92" s="543"/>
      <c r="II92" s="543"/>
      <c r="IL92" s="32"/>
      <c r="IM92" s="442"/>
      <c r="IN92" s="32"/>
      <c r="IO92" s="190"/>
      <c r="IP92" s="191"/>
      <c r="IQ92" s="442"/>
      <c r="IR92" s="191"/>
      <c r="IS92" s="442"/>
      <c r="IT92" s="9">
        <v>280</v>
      </c>
      <c r="IU92" s="9"/>
      <c r="IV92" s="442"/>
      <c r="IW92" s="32"/>
      <c r="IX92" s="186"/>
      <c r="IY92" s="186"/>
      <c r="IZ92" s="442"/>
      <c r="JA92" s="442"/>
      <c r="JB92" s="442"/>
      <c r="JC92" s="141">
        <v>25</v>
      </c>
      <c r="JD92" s="37"/>
      <c r="JE92" s="440">
        <v>0.27500000000000002</v>
      </c>
      <c r="JF92" s="13"/>
      <c r="JG92" s="442"/>
      <c r="JH92" s="442">
        <v>500</v>
      </c>
      <c r="JI92" s="442"/>
      <c r="JJ92" s="442"/>
      <c r="JK92" s="442"/>
      <c r="JL92" s="442"/>
      <c r="JM92" s="442"/>
      <c r="JN92" s="442"/>
      <c r="JO92" s="442"/>
      <c r="JP92" s="442"/>
      <c r="JQ92" s="442"/>
      <c r="JR92" s="442"/>
      <c r="JS92" s="442"/>
      <c r="JT92" s="442"/>
      <c r="JU92" s="442"/>
      <c r="JV92" s="442"/>
      <c r="JW92" s="442"/>
      <c r="JX92" s="442"/>
      <c r="JY92" s="442"/>
      <c r="JZ92" s="442"/>
      <c r="KA92" s="442"/>
      <c r="KB92" s="442"/>
      <c r="KC92" s="442"/>
      <c r="KD92" s="442"/>
      <c r="KE92" s="442"/>
      <c r="KF92" s="442"/>
      <c r="KG92" s="442"/>
      <c r="KH92" s="442"/>
      <c r="KI92" s="442"/>
      <c r="KJ92" s="442"/>
      <c r="KK92" s="442"/>
      <c r="KL92" s="442"/>
      <c r="KM92" s="442"/>
      <c r="KN92" s="442"/>
      <c r="KO92" s="442"/>
      <c r="KP92" s="442"/>
      <c r="KQ92" s="442"/>
      <c r="KR92" s="442"/>
      <c r="KS92" s="442"/>
      <c r="KT92" s="442"/>
      <c r="KU92" s="442"/>
      <c r="KV92" s="442"/>
      <c r="KW92" s="442"/>
      <c r="KX92" s="442"/>
      <c r="KY92" s="442"/>
      <c r="KZ92" s="442"/>
      <c r="LA92" s="442"/>
      <c r="LB92" s="442"/>
      <c r="LC92" s="442"/>
      <c r="LD92" s="442"/>
      <c r="LE92" s="442"/>
      <c r="LF92" s="442"/>
      <c r="LG92" s="442"/>
      <c r="LH92" s="442"/>
      <c r="LI92" s="442"/>
      <c r="LJ92" s="442"/>
      <c r="LK92" s="442"/>
      <c r="LL92" s="442"/>
      <c r="LM92" s="442"/>
      <c r="LN92" s="442"/>
      <c r="LO92" s="442"/>
      <c r="LP92" s="442"/>
      <c r="LQ92" s="442"/>
      <c r="LR92" s="442"/>
      <c r="LS92" s="442"/>
      <c r="LT92" s="442"/>
      <c r="LU92" s="442"/>
      <c r="LV92" s="442"/>
      <c r="LW92" s="442"/>
      <c r="LX92" s="442"/>
      <c r="LY92" s="442"/>
      <c r="LZ92" s="442"/>
      <c r="MA92" s="442"/>
      <c r="MB92" s="442"/>
      <c r="MC92" s="442"/>
      <c r="MD92" s="442"/>
      <c r="ME92" s="442"/>
      <c r="MF92" s="442"/>
      <c r="MG92" s="442"/>
      <c r="MH92" s="442"/>
      <c r="MI92" s="442"/>
      <c r="MJ92" s="442"/>
      <c r="MK92" s="442"/>
      <c r="ML92" s="442"/>
      <c r="MM92" s="442"/>
      <c r="MN92" s="442"/>
      <c r="MO92" s="442"/>
      <c r="MP92" s="442"/>
      <c r="MQ92" s="442"/>
      <c r="MR92" s="442"/>
      <c r="MS92" s="442"/>
      <c r="MT92" s="442"/>
      <c r="MU92" s="442"/>
      <c r="MV92" s="442"/>
      <c r="MW92" s="442"/>
      <c r="MX92" s="442"/>
      <c r="MY92" s="442"/>
      <c r="MZ92" s="442"/>
      <c r="NA92" s="442"/>
      <c r="NB92" s="442"/>
      <c r="NC92" s="442"/>
      <c r="NT92" s="149" t="s">
        <v>172</v>
      </c>
    </row>
    <row r="93" spans="1:399" ht="14.1" customHeight="1" x14ac:dyDescent="0.2">
      <c r="A93" s="156"/>
      <c r="B93" s="236"/>
      <c r="C93" s="236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  <c r="AC93" s="156"/>
      <c r="AD93" s="156"/>
      <c r="AE93" s="156"/>
      <c r="AF93" s="156"/>
      <c r="AG93" s="156"/>
      <c r="AH93" s="156"/>
      <c r="AI93" s="156"/>
      <c r="AJ93" s="156"/>
      <c r="AK93" s="156"/>
      <c r="AL93" s="156"/>
      <c r="AM93" s="156"/>
      <c r="AN93" s="156"/>
      <c r="AO93" s="156"/>
      <c r="AP93" s="156"/>
      <c r="AQ93" s="156"/>
      <c r="AR93" s="156"/>
      <c r="AS93" s="156"/>
      <c r="AT93" s="156"/>
      <c r="AU93" s="156"/>
      <c r="AV93" s="156"/>
      <c r="AW93" s="156"/>
      <c r="AX93" s="156"/>
      <c r="AY93" s="156"/>
      <c r="AZ93" s="156"/>
      <c r="BA93" s="156"/>
      <c r="BB93" s="156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156"/>
      <c r="CP93" s="156"/>
      <c r="CQ93" s="156"/>
      <c r="CR93" s="156"/>
      <c r="CS93" s="156"/>
      <c r="CT93" s="156"/>
      <c r="CU93" s="156"/>
      <c r="CV93" s="156"/>
      <c r="CW93" s="156"/>
      <c r="CX93" s="156"/>
      <c r="CY93" s="156"/>
      <c r="CZ93" s="156"/>
      <c r="DA93" s="156"/>
      <c r="DB93" s="156"/>
      <c r="DC93" s="156"/>
      <c r="DD93" s="156"/>
      <c r="DE93" s="156"/>
      <c r="DF93" s="156"/>
      <c r="DG93" s="156"/>
      <c r="DH93" s="156"/>
      <c r="DI93" s="156"/>
      <c r="DJ93" s="156"/>
      <c r="DK93" s="156"/>
      <c r="DL93" s="156"/>
      <c r="DM93" s="156"/>
      <c r="DN93" s="156"/>
      <c r="DO93" s="156"/>
      <c r="DP93" s="156"/>
      <c r="DQ93" s="156"/>
      <c r="DR93" s="156"/>
      <c r="DS93" s="156"/>
      <c r="DT93" s="156"/>
      <c r="DU93" s="156"/>
      <c r="DV93" s="156"/>
      <c r="DW93" s="156"/>
      <c r="DX93" s="156"/>
      <c r="DY93" s="156"/>
      <c r="DZ93" s="156"/>
      <c r="EA93" s="156"/>
      <c r="EB93" s="156"/>
      <c r="EC93" s="156"/>
      <c r="ED93" s="156"/>
      <c r="EE93" s="156"/>
      <c r="EF93" s="156"/>
      <c r="EG93" s="156"/>
      <c r="EH93" s="156"/>
      <c r="EI93" s="156"/>
      <c r="EJ93" s="156"/>
      <c r="EK93" s="156"/>
      <c r="EL93" s="156"/>
      <c r="EM93" s="156"/>
      <c r="EN93" s="156"/>
      <c r="EO93" s="156"/>
      <c r="EP93" s="156"/>
      <c r="EQ93" s="156"/>
      <c r="ER93" s="156"/>
      <c r="ES93" s="156"/>
      <c r="ET93" s="156"/>
      <c r="EU93" s="156"/>
      <c r="EV93" s="156"/>
      <c r="EW93" s="156"/>
      <c r="EX93" s="156"/>
      <c r="EY93" s="156"/>
      <c r="EZ93" s="156"/>
      <c r="FA93" s="156"/>
      <c r="FB93" s="156"/>
      <c r="FC93" s="156"/>
      <c r="FD93" s="156"/>
      <c r="FE93" s="156"/>
      <c r="FF93" s="156"/>
      <c r="FG93" s="156"/>
      <c r="FH93" s="156"/>
      <c r="FI93" s="156"/>
      <c r="FJ93" s="156"/>
      <c r="FK93" s="156"/>
      <c r="FL93" s="156"/>
      <c r="FM93" s="156"/>
      <c r="FN93" s="156"/>
      <c r="FO93" s="156"/>
      <c r="FP93" s="156"/>
      <c r="FQ93" s="156"/>
      <c r="FR93" s="156"/>
      <c r="FS93" s="242"/>
      <c r="FT93" s="242"/>
      <c r="FU93" s="242"/>
      <c r="FV93" s="242"/>
      <c r="FW93" s="242"/>
      <c r="FX93" s="242"/>
      <c r="FY93" s="242"/>
      <c r="FZ93" s="242"/>
      <c r="GA93" s="242"/>
      <c r="GB93" s="242"/>
      <c r="GC93" s="242"/>
      <c r="GD93" s="242"/>
      <c r="GE93" s="242"/>
      <c r="GF93" s="242"/>
      <c r="GG93" s="242"/>
      <c r="GH93" s="242"/>
      <c r="GI93" s="242"/>
      <c r="GJ93" s="242"/>
      <c r="GK93" s="242"/>
      <c r="GL93" s="242"/>
      <c r="GM93" s="242"/>
      <c r="GN93" s="242"/>
      <c r="GO93" s="242"/>
      <c r="GP93" s="242"/>
      <c r="GQ93" s="242"/>
      <c r="GR93" s="242"/>
      <c r="GS93" s="242"/>
      <c r="GT93" s="242"/>
      <c r="GU93" s="242"/>
      <c r="GV93" s="242"/>
      <c r="GW93" s="242"/>
      <c r="GX93" s="242"/>
      <c r="GY93" s="242"/>
      <c r="GZ93" s="242"/>
      <c r="HA93" s="242"/>
      <c r="HB93" s="242"/>
      <c r="HC93" s="242"/>
      <c r="HD93" s="242"/>
      <c r="HE93" s="242"/>
      <c r="HF93" s="242"/>
      <c r="HG93" s="242"/>
      <c r="HH93" s="242"/>
      <c r="HI93" s="242"/>
      <c r="HJ93" s="242"/>
      <c r="HK93" s="242"/>
      <c r="HL93" s="242"/>
      <c r="HM93" s="442"/>
      <c r="HN93" s="442"/>
      <c r="HO93" s="442"/>
      <c r="HP93" s="538" t="s">
        <v>21</v>
      </c>
      <c r="HQ93" s="538"/>
      <c r="HR93" s="538"/>
      <c r="HS93" s="538"/>
      <c r="HT93" s="539">
        <f>IZ79</f>
        <v>6.4</v>
      </c>
      <c r="HU93" s="539"/>
      <c r="HV93" s="539"/>
      <c r="HW93" s="539"/>
      <c r="HX93" s="539">
        <f>IZ80</f>
        <v>6.4</v>
      </c>
      <c r="HY93" s="539"/>
      <c r="HZ93" s="539"/>
      <c r="IA93" s="539"/>
      <c r="IB93" s="539">
        <f>IZ81</f>
        <v>6.4</v>
      </c>
      <c r="IC93" s="539"/>
      <c r="ID93" s="539"/>
      <c r="IE93" s="539"/>
      <c r="IF93" s="536" t="s">
        <v>18</v>
      </c>
      <c r="IG93" s="536"/>
      <c r="IH93" s="536"/>
      <c r="II93" s="536"/>
      <c r="IL93" s="32"/>
      <c r="IM93" s="442"/>
      <c r="IN93" s="32"/>
      <c r="IO93" s="190"/>
      <c r="IP93" s="191"/>
      <c r="IQ93" s="442"/>
      <c r="IR93" s="191"/>
      <c r="IS93" s="442"/>
      <c r="IT93" s="9">
        <v>300</v>
      </c>
      <c r="IU93" s="9"/>
      <c r="IV93" s="442"/>
      <c r="IW93" s="32"/>
      <c r="IX93" s="186"/>
      <c r="IY93" s="186"/>
      <c r="IZ93" s="442"/>
      <c r="JA93" s="442"/>
      <c r="JB93" s="442"/>
      <c r="JC93" s="443">
        <v>27.5</v>
      </c>
      <c r="JD93" s="442"/>
      <c r="JE93" s="440">
        <v>0.3</v>
      </c>
      <c r="JF93" s="13"/>
      <c r="JG93" s="442"/>
      <c r="JH93" s="442">
        <v>600</v>
      </c>
      <c r="JI93" s="442"/>
      <c r="JJ93" s="442"/>
      <c r="JK93" s="442"/>
      <c r="JL93" s="442"/>
      <c r="JM93" s="442"/>
      <c r="JN93" s="442"/>
      <c r="JO93" s="442"/>
      <c r="JP93" s="442"/>
      <c r="JQ93" s="442"/>
      <c r="JR93" s="442"/>
      <c r="JS93" s="442"/>
      <c r="JT93" s="442"/>
      <c r="JU93" s="442"/>
      <c r="JV93" s="442"/>
      <c r="JW93" s="442"/>
      <c r="JX93" s="442"/>
      <c r="JY93" s="442"/>
      <c r="JZ93" s="442"/>
      <c r="KA93" s="442"/>
      <c r="KB93" s="442"/>
      <c r="KC93" s="442"/>
      <c r="KD93" s="442"/>
      <c r="KE93" s="442"/>
      <c r="KF93" s="442"/>
      <c r="KG93" s="442"/>
      <c r="KH93" s="442"/>
      <c r="KI93" s="442"/>
      <c r="KJ93" s="442"/>
      <c r="KK93" s="442"/>
      <c r="KL93" s="442"/>
      <c r="KM93" s="442"/>
      <c r="KN93" s="442"/>
      <c r="KO93" s="442"/>
      <c r="KP93" s="442"/>
      <c r="KQ93" s="442"/>
      <c r="KR93" s="442"/>
      <c r="KS93" s="442"/>
      <c r="KT93" s="442"/>
      <c r="KU93" s="442"/>
      <c r="KV93" s="442"/>
      <c r="KW93" s="442"/>
      <c r="KX93" s="442"/>
      <c r="KY93" s="442"/>
      <c r="KZ93" s="442"/>
      <c r="LA93" s="442"/>
      <c r="LB93" s="442"/>
      <c r="LC93" s="442"/>
      <c r="LD93" s="442"/>
      <c r="LE93" s="442"/>
      <c r="LF93" s="442"/>
      <c r="LG93" s="442"/>
      <c r="LH93" s="442"/>
      <c r="LI93" s="442"/>
      <c r="LJ93" s="442"/>
      <c r="LK93" s="442"/>
      <c r="LL93" s="442"/>
      <c r="LM93" s="442"/>
      <c r="LN93" s="442"/>
      <c r="LO93" s="442"/>
      <c r="LP93" s="442"/>
      <c r="LQ93" s="442"/>
      <c r="LR93" s="442"/>
      <c r="LS93" s="442"/>
      <c r="LT93" s="442"/>
      <c r="LU93" s="442"/>
      <c r="LV93" s="442"/>
      <c r="LW93" s="442"/>
      <c r="LX93" s="442"/>
      <c r="LY93" s="442"/>
      <c r="LZ93" s="442"/>
      <c r="MA93" s="442"/>
      <c r="MB93" s="442"/>
      <c r="MC93" s="442"/>
      <c r="MD93" s="442"/>
      <c r="ME93" s="442"/>
      <c r="MF93" s="442"/>
      <c r="MG93" s="442"/>
      <c r="MH93" s="442"/>
      <c r="MI93" s="442"/>
      <c r="MJ93" s="442"/>
      <c r="MK93" s="442"/>
      <c r="ML93" s="442"/>
      <c r="MM93" s="442"/>
      <c r="MN93" s="442"/>
      <c r="MO93" s="442"/>
      <c r="MP93" s="442"/>
      <c r="MQ93" s="442"/>
      <c r="MR93" s="442"/>
      <c r="MS93" s="442"/>
      <c r="MT93" s="442"/>
      <c r="MU93" s="442"/>
      <c r="MV93" s="442"/>
      <c r="MW93" s="442"/>
      <c r="MX93" s="442"/>
      <c r="MY93" s="442"/>
      <c r="MZ93" s="442"/>
      <c r="NA93" s="442"/>
      <c r="NB93" s="442"/>
      <c r="NC93" s="442"/>
      <c r="NT93" s="149" t="s">
        <v>22</v>
      </c>
      <c r="NU93" s="149">
        <v>0.3</v>
      </c>
      <c r="NV93" s="149">
        <f>NU93</f>
        <v>0.3</v>
      </c>
      <c r="NX93" s="149">
        <f>NU93</f>
        <v>0.3</v>
      </c>
      <c r="NY93" s="149">
        <f>NY90</f>
        <v>0.5</v>
      </c>
      <c r="OA93" s="189">
        <f>NY93</f>
        <v>0.5</v>
      </c>
      <c r="OD93" s="189">
        <v>0.3</v>
      </c>
      <c r="OE93" s="189">
        <f>OD93</f>
        <v>0.3</v>
      </c>
    </row>
    <row r="94" spans="1:399" ht="14.1" customHeight="1" x14ac:dyDescent="0.2">
      <c r="A94" s="156"/>
      <c r="B94" s="236"/>
      <c r="C94" s="236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156"/>
      <c r="R94" s="156"/>
      <c r="S94" s="156"/>
      <c r="T94" s="156"/>
      <c r="U94" s="156"/>
      <c r="V94" s="156"/>
      <c r="W94" s="156"/>
      <c r="X94" s="156"/>
      <c r="Y94" s="156"/>
      <c r="Z94" s="156"/>
      <c r="AA94" s="156"/>
      <c r="AB94" s="156"/>
      <c r="AC94" s="156"/>
      <c r="AD94" s="156"/>
      <c r="AE94" s="156"/>
      <c r="AF94" s="156"/>
      <c r="AG94" s="156"/>
      <c r="AH94" s="156"/>
      <c r="AI94" s="156"/>
      <c r="AJ94" s="156"/>
      <c r="AK94" s="156"/>
      <c r="AL94" s="156"/>
      <c r="AM94" s="156"/>
      <c r="AN94" s="156"/>
      <c r="AO94" s="156"/>
      <c r="AP94" s="156"/>
      <c r="AQ94" s="156"/>
      <c r="AR94" s="156"/>
      <c r="AS94" s="156"/>
      <c r="AT94" s="156"/>
      <c r="AU94" s="156"/>
      <c r="AV94" s="156"/>
      <c r="AW94" s="156"/>
      <c r="AX94" s="156"/>
      <c r="AY94" s="156"/>
      <c r="AZ94" s="156"/>
      <c r="BA94" s="156"/>
      <c r="BB94" s="156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156"/>
      <c r="CP94" s="156"/>
      <c r="CQ94" s="156"/>
      <c r="CR94" s="156"/>
      <c r="CS94" s="156"/>
      <c r="CT94" s="156"/>
      <c r="CU94" s="156"/>
      <c r="CV94" s="156"/>
      <c r="CW94" s="156"/>
      <c r="CX94" s="156"/>
      <c r="CY94" s="156"/>
      <c r="CZ94" s="156"/>
      <c r="DA94" s="156"/>
      <c r="DB94" s="156"/>
      <c r="DC94" s="156"/>
      <c r="DD94" s="156"/>
      <c r="DE94" s="156"/>
      <c r="DF94" s="156"/>
      <c r="DG94" s="156"/>
      <c r="DH94" s="156"/>
      <c r="DI94" s="156"/>
      <c r="DJ94" s="156"/>
      <c r="DK94" s="156"/>
      <c r="DL94" s="156"/>
      <c r="DM94" s="156"/>
      <c r="DN94" s="156"/>
      <c r="DO94" s="156"/>
      <c r="DP94" s="156"/>
      <c r="DQ94" s="156"/>
      <c r="DR94" s="156"/>
      <c r="DS94" s="156"/>
      <c r="DT94" s="156"/>
      <c r="DU94" s="156"/>
      <c r="DV94" s="156"/>
      <c r="DW94" s="156"/>
      <c r="DX94" s="156"/>
      <c r="DY94" s="156"/>
      <c r="DZ94" s="156"/>
      <c r="EA94" s="156"/>
      <c r="EB94" s="156"/>
      <c r="EC94" s="156"/>
      <c r="ED94" s="156"/>
      <c r="EE94" s="156"/>
      <c r="EF94" s="156"/>
      <c r="EG94" s="156"/>
      <c r="EH94" s="156"/>
      <c r="EI94" s="156"/>
      <c r="EJ94" s="156"/>
      <c r="EK94" s="156"/>
      <c r="EL94" s="156"/>
      <c r="EM94" s="156"/>
      <c r="EN94" s="156"/>
      <c r="EO94" s="156"/>
      <c r="EP94" s="156"/>
      <c r="EQ94" s="156"/>
      <c r="ER94" s="156"/>
      <c r="ES94" s="156"/>
      <c r="ET94" s="156"/>
      <c r="EU94" s="156"/>
      <c r="EV94" s="156"/>
      <c r="EW94" s="156"/>
      <c r="EX94" s="156"/>
      <c r="EY94" s="156"/>
      <c r="EZ94" s="156"/>
      <c r="FA94" s="156"/>
      <c r="FB94" s="156"/>
      <c r="FC94" s="156"/>
      <c r="FD94" s="156"/>
      <c r="FE94" s="156"/>
      <c r="FF94" s="156"/>
      <c r="FG94" s="156"/>
      <c r="FH94" s="156"/>
      <c r="FI94" s="156"/>
      <c r="FJ94" s="156"/>
      <c r="FK94" s="156"/>
      <c r="FL94" s="156"/>
      <c r="FM94" s="156"/>
      <c r="FN94" s="156"/>
      <c r="FO94" s="156"/>
      <c r="FP94" s="156"/>
      <c r="FQ94" s="156"/>
      <c r="FR94" s="156"/>
      <c r="FS94" s="242"/>
      <c r="FT94" s="242"/>
      <c r="FU94" s="242"/>
      <c r="FV94" s="242"/>
      <c r="FW94" s="242"/>
      <c r="FX94" s="242"/>
      <c r="FY94" s="242"/>
      <c r="FZ94" s="242"/>
      <c r="GA94" s="242"/>
      <c r="GB94" s="242"/>
      <c r="GC94" s="242"/>
      <c r="GD94" s="242"/>
      <c r="GE94" s="242"/>
      <c r="GF94" s="242"/>
      <c r="GG94" s="242"/>
      <c r="GH94" s="242"/>
      <c r="GI94" s="242"/>
      <c r="GJ94" s="242"/>
      <c r="GK94" s="242"/>
      <c r="GL94" s="242"/>
      <c r="GM94" s="242"/>
      <c r="GN94" s="242"/>
      <c r="GO94" s="242"/>
      <c r="GP94" s="242"/>
      <c r="GQ94" s="242"/>
      <c r="GR94" s="242"/>
      <c r="GS94" s="242"/>
      <c r="GT94" s="242"/>
      <c r="GU94" s="242"/>
      <c r="GV94" s="242"/>
      <c r="GW94" s="242"/>
      <c r="GX94" s="242"/>
      <c r="GY94" s="242"/>
      <c r="GZ94" s="242"/>
      <c r="HA94" s="242"/>
      <c r="HB94" s="242"/>
      <c r="HC94" s="242"/>
      <c r="HD94" s="242"/>
      <c r="HE94" s="242"/>
      <c r="HF94" s="242"/>
      <c r="HG94" s="242"/>
      <c r="HH94" s="242"/>
      <c r="HI94" s="242"/>
      <c r="HJ94" s="242"/>
      <c r="HK94" s="242"/>
      <c r="HL94" s="242"/>
      <c r="HM94" s="442"/>
      <c r="HN94" s="442"/>
      <c r="HO94" s="442"/>
      <c r="HP94" s="536" t="s">
        <v>52</v>
      </c>
      <c r="HQ94" s="536"/>
      <c r="HR94" s="536"/>
      <c r="HS94" s="536"/>
      <c r="HT94" s="541">
        <f>ROUND(HT92/(H12*IZ79^2),2)</f>
        <v>5.62</v>
      </c>
      <c r="HU94" s="541"/>
      <c r="HV94" s="541"/>
      <c r="HW94" s="541"/>
      <c r="HX94" s="541">
        <f>ROUND(HX92/(H12*IZ80^2),2)</f>
        <v>3.86</v>
      </c>
      <c r="HY94" s="541"/>
      <c r="HZ94" s="541"/>
      <c r="IA94" s="541"/>
      <c r="IB94" s="541">
        <f>ROUND(IB92/(H12*IZ81^2),2)</f>
        <v>5.62</v>
      </c>
      <c r="IC94" s="541"/>
      <c r="ID94" s="541"/>
      <c r="IE94" s="541"/>
      <c r="IF94" s="536" t="s">
        <v>2</v>
      </c>
      <c r="IG94" s="536"/>
      <c r="IH94" s="536"/>
      <c r="II94" s="536"/>
      <c r="IL94" s="32"/>
      <c r="IM94" s="442"/>
      <c r="IN94" s="32"/>
      <c r="IO94" s="190"/>
      <c r="IP94" s="191"/>
      <c r="IQ94" s="442"/>
      <c r="IR94" s="191"/>
      <c r="IS94" s="442"/>
      <c r="IT94" s="9">
        <v>320</v>
      </c>
      <c r="IU94" s="9"/>
      <c r="IV94" s="442"/>
      <c r="IW94" s="32"/>
      <c r="IX94" s="186"/>
      <c r="IY94" s="186"/>
      <c r="IZ94" s="442"/>
      <c r="JA94" s="442"/>
      <c r="JB94" s="442"/>
      <c r="JC94" s="443">
        <v>30</v>
      </c>
      <c r="JD94" s="442"/>
      <c r="JE94" s="440">
        <v>0.32500000000000001</v>
      </c>
      <c r="JF94" s="13"/>
      <c r="JG94" s="442"/>
      <c r="JH94" s="442">
        <v>800</v>
      </c>
      <c r="JI94" s="442"/>
      <c r="JJ94" s="442"/>
      <c r="JK94" s="442"/>
      <c r="JL94" s="442"/>
      <c r="JM94" s="442"/>
      <c r="JN94" s="442"/>
      <c r="JO94" s="442"/>
      <c r="JP94" s="442"/>
      <c r="JQ94" s="442"/>
      <c r="JR94" s="442"/>
      <c r="JS94" s="442"/>
      <c r="JT94" s="442"/>
      <c r="JU94" s="442"/>
      <c r="JV94" s="442"/>
      <c r="JW94" s="442"/>
      <c r="JX94" s="442"/>
      <c r="JY94" s="442"/>
      <c r="JZ94" s="442"/>
      <c r="KA94" s="442"/>
      <c r="KB94" s="442"/>
      <c r="KC94" s="442"/>
      <c r="KD94" s="442"/>
      <c r="KE94" s="442"/>
      <c r="KF94" s="442"/>
      <c r="KG94" s="442"/>
      <c r="KH94" s="442"/>
      <c r="KI94" s="442"/>
      <c r="KJ94" s="442"/>
      <c r="KK94" s="442"/>
      <c r="KL94" s="442"/>
      <c r="KM94" s="442"/>
      <c r="KN94" s="442"/>
      <c r="KO94" s="442"/>
      <c r="KP94" s="442"/>
      <c r="KQ94" s="442"/>
      <c r="KR94" s="442"/>
      <c r="KS94" s="442"/>
      <c r="KT94" s="442"/>
      <c r="KU94" s="442"/>
      <c r="KV94" s="442"/>
      <c r="KW94" s="442"/>
      <c r="KX94" s="442"/>
      <c r="KY94" s="442"/>
      <c r="KZ94" s="442"/>
      <c r="LA94" s="442"/>
      <c r="LB94" s="442"/>
      <c r="LC94" s="442"/>
      <c r="LD94" s="442"/>
      <c r="LE94" s="442"/>
      <c r="LF94" s="442"/>
      <c r="LG94" s="442"/>
      <c r="LH94" s="442"/>
      <c r="LI94" s="442"/>
      <c r="LJ94" s="442"/>
      <c r="LK94" s="442"/>
      <c r="LL94" s="442"/>
      <c r="LM94" s="442"/>
      <c r="LN94" s="442"/>
      <c r="LO94" s="442"/>
      <c r="LP94" s="442"/>
      <c r="LQ94" s="442"/>
      <c r="LR94" s="442"/>
      <c r="LS94" s="442"/>
      <c r="LT94" s="442"/>
      <c r="LU94" s="442"/>
      <c r="LV94" s="442"/>
      <c r="LW94" s="442"/>
      <c r="LX94" s="442"/>
      <c r="LY94" s="442"/>
      <c r="LZ94" s="442"/>
      <c r="MA94" s="442"/>
      <c r="MB94" s="442"/>
      <c r="MC94" s="442"/>
      <c r="MD94" s="442"/>
      <c r="ME94" s="442"/>
      <c r="MF94" s="442"/>
      <c r="MG94" s="442"/>
      <c r="MH94" s="442"/>
      <c r="MI94" s="442"/>
      <c r="MJ94" s="442"/>
      <c r="MK94" s="442"/>
      <c r="ML94" s="442"/>
      <c r="MM94" s="442"/>
      <c r="MN94" s="442"/>
      <c r="MO94" s="442"/>
      <c r="MP94" s="442"/>
      <c r="MQ94" s="442"/>
      <c r="MR94" s="442"/>
      <c r="MS94" s="442"/>
      <c r="MT94" s="442"/>
      <c r="MU94" s="442"/>
      <c r="MV94" s="442"/>
      <c r="MW94" s="442"/>
      <c r="MX94" s="442"/>
      <c r="MY94" s="442"/>
      <c r="MZ94" s="442"/>
      <c r="NA94" s="442"/>
      <c r="NB94" s="442"/>
      <c r="NC94" s="442"/>
      <c r="NT94" s="149" t="s">
        <v>23</v>
      </c>
      <c r="NU94" s="149">
        <f>NU64</f>
        <v>-0.03</v>
      </c>
      <c r="NV94" s="149">
        <f>NU94+0.23</f>
        <v>0.2</v>
      </c>
      <c r="NX94" s="149">
        <f>NV94</f>
        <v>0.2</v>
      </c>
      <c r="NY94" s="149">
        <f>NV94</f>
        <v>0.2</v>
      </c>
      <c r="OA94" s="189">
        <f>NY94</f>
        <v>0.2</v>
      </c>
      <c r="OD94" s="189">
        <f>OD64</f>
        <v>-4.4999999999999998E-2</v>
      </c>
      <c r="OE94" s="189">
        <f>OD94+0.245</f>
        <v>0.2</v>
      </c>
    </row>
    <row r="95" spans="1:399" ht="14.1" customHeight="1" x14ac:dyDescent="0.2">
      <c r="A95" s="156"/>
      <c r="B95" s="236"/>
      <c r="C95" s="236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156"/>
      <c r="R95" s="156"/>
      <c r="S95" s="156"/>
      <c r="T95" s="156"/>
      <c r="U95" s="156"/>
      <c r="V95" s="156"/>
      <c r="W95" s="156"/>
      <c r="X95" s="156"/>
      <c r="Y95" s="156"/>
      <c r="Z95" s="156"/>
      <c r="AA95" s="156"/>
      <c r="AB95" s="156"/>
      <c r="AC95" s="156"/>
      <c r="AD95" s="156"/>
      <c r="AE95" s="156"/>
      <c r="AF95" s="156"/>
      <c r="AG95" s="156"/>
      <c r="AH95" s="156"/>
      <c r="AI95" s="156"/>
      <c r="AJ95" s="156"/>
      <c r="AK95" s="156"/>
      <c r="AL95" s="156"/>
      <c r="AM95" s="156"/>
      <c r="AN95" s="156"/>
      <c r="AO95" s="156"/>
      <c r="AP95" s="156"/>
      <c r="AQ95" s="156"/>
      <c r="AR95" s="156"/>
      <c r="AS95" s="156"/>
      <c r="AT95" s="156"/>
      <c r="AU95" s="156"/>
      <c r="AV95" s="156"/>
      <c r="AW95" s="156"/>
      <c r="AX95" s="156"/>
      <c r="AY95" s="156"/>
      <c r="AZ95" s="156"/>
      <c r="BA95" s="156"/>
      <c r="BB95" s="156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156"/>
      <c r="CP95" s="156"/>
      <c r="CQ95" s="156"/>
      <c r="CR95" s="156"/>
      <c r="CS95" s="156"/>
      <c r="CT95" s="156"/>
      <c r="CU95" s="156"/>
      <c r="CV95" s="156"/>
      <c r="CW95" s="156"/>
      <c r="CX95" s="156"/>
      <c r="CY95" s="156"/>
      <c r="CZ95" s="156"/>
      <c r="DA95" s="156"/>
      <c r="DB95" s="156"/>
      <c r="DC95" s="156"/>
      <c r="DD95" s="156"/>
      <c r="DE95" s="156"/>
      <c r="DF95" s="156"/>
      <c r="DG95" s="156"/>
      <c r="DH95" s="156"/>
      <c r="DI95" s="156"/>
      <c r="DJ95" s="156"/>
      <c r="DK95" s="156"/>
      <c r="DL95" s="156"/>
      <c r="DM95" s="156"/>
      <c r="DN95" s="156"/>
      <c r="DO95" s="156"/>
      <c r="DP95" s="156"/>
      <c r="DQ95" s="156"/>
      <c r="DR95" s="156"/>
      <c r="DS95" s="156"/>
      <c r="DT95" s="156"/>
      <c r="DU95" s="156"/>
      <c r="DV95" s="156"/>
      <c r="DW95" s="156"/>
      <c r="DX95" s="156"/>
      <c r="DY95" s="156"/>
      <c r="DZ95" s="156"/>
      <c r="EA95" s="156"/>
      <c r="EB95" s="156"/>
      <c r="EC95" s="156"/>
      <c r="ED95" s="156"/>
      <c r="EE95" s="156"/>
      <c r="EF95" s="156"/>
      <c r="EG95" s="156"/>
      <c r="EH95" s="156"/>
      <c r="EI95" s="156"/>
      <c r="EJ95" s="156"/>
      <c r="EK95" s="156"/>
      <c r="EL95" s="156"/>
      <c r="EM95" s="156"/>
      <c r="EN95" s="156"/>
      <c r="EO95" s="156"/>
      <c r="EP95" s="156"/>
      <c r="EQ95" s="156"/>
      <c r="ER95" s="156"/>
      <c r="ES95" s="156"/>
      <c r="ET95" s="156"/>
      <c r="EU95" s="156"/>
      <c r="EV95" s="156"/>
      <c r="EW95" s="156"/>
      <c r="EX95" s="156"/>
      <c r="EY95" s="156"/>
      <c r="EZ95" s="156"/>
      <c r="FA95" s="156"/>
      <c r="FB95" s="156"/>
      <c r="FC95" s="156"/>
      <c r="FD95" s="156"/>
      <c r="FE95" s="156"/>
      <c r="FF95" s="156"/>
      <c r="FG95" s="156"/>
      <c r="FH95" s="156"/>
      <c r="FI95" s="156"/>
      <c r="FJ95" s="156"/>
      <c r="FK95" s="156"/>
      <c r="FL95" s="156"/>
      <c r="FM95" s="156"/>
      <c r="FN95" s="156"/>
      <c r="FO95" s="156"/>
      <c r="FP95" s="156"/>
      <c r="FQ95" s="156"/>
      <c r="FR95" s="156"/>
      <c r="FS95" s="242"/>
      <c r="FT95" s="242"/>
      <c r="FU95" s="242"/>
      <c r="FV95" s="242"/>
      <c r="FW95" s="242"/>
      <c r="FX95" s="242"/>
      <c r="FY95" s="242"/>
      <c r="FZ95" s="242"/>
      <c r="GA95" s="242"/>
      <c r="GB95" s="242"/>
      <c r="GC95" s="242"/>
      <c r="GD95" s="242"/>
      <c r="GE95" s="242"/>
      <c r="GF95" s="242"/>
      <c r="GG95" s="242"/>
      <c r="GH95" s="242"/>
      <c r="GI95" s="242"/>
      <c r="GJ95" s="242"/>
      <c r="GK95" s="242"/>
      <c r="GL95" s="242"/>
      <c r="GM95" s="242"/>
      <c r="GN95" s="242"/>
      <c r="GO95" s="242"/>
      <c r="GP95" s="242"/>
      <c r="GQ95" s="242"/>
      <c r="GR95" s="242"/>
      <c r="GS95" s="242"/>
      <c r="GT95" s="242"/>
      <c r="GU95" s="242"/>
      <c r="GV95" s="242"/>
      <c r="GW95" s="242"/>
      <c r="GX95" s="242"/>
      <c r="GY95" s="242"/>
      <c r="GZ95" s="242"/>
      <c r="HA95" s="242"/>
      <c r="HB95" s="242"/>
      <c r="HC95" s="242"/>
      <c r="HD95" s="242"/>
      <c r="HE95" s="242"/>
      <c r="HF95" s="242"/>
      <c r="HG95" s="242"/>
      <c r="HH95" s="242"/>
      <c r="HI95" s="242"/>
      <c r="HJ95" s="242"/>
      <c r="HK95" s="242"/>
      <c r="HL95" s="242"/>
      <c r="HM95" s="442"/>
      <c r="HN95" s="442"/>
      <c r="HO95" s="442"/>
      <c r="HP95" s="542" t="s">
        <v>33</v>
      </c>
      <c r="HQ95" s="542"/>
      <c r="HR95" s="542"/>
      <c r="HS95" s="542"/>
      <c r="HT95" s="538">
        <f>MAX(IP116:IR117)</f>
        <v>4.7000000000000002E-3</v>
      </c>
      <c r="HU95" s="538"/>
      <c r="HV95" s="538"/>
      <c r="HW95" s="538"/>
      <c r="HX95" s="538">
        <f>MAX(IS116:IU117)</f>
        <v>4.7000000000000002E-3</v>
      </c>
      <c r="HY95" s="538"/>
      <c r="HZ95" s="538"/>
      <c r="IA95" s="538"/>
      <c r="IB95" s="538">
        <f>MAX(IV116:IX117)</f>
        <v>4.7000000000000002E-3</v>
      </c>
      <c r="IC95" s="538"/>
      <c r="ID95" s="538"/>
      <c r="IE95" s="538"/>
      <c r="IF95" s="538" t="s">
        <v>0</v>
      </c>
      <c r="IG95" s="538"/>
      <c r="IH95" s="538"/>
      <c r="II95" s="538"/>
      <c r="IL95" s="32"/>
      <c r="IM95" s="442"/>
      <c r="IN95" s="32"/>
      <c r="IO95" s="193"/>
      <c r="IP95" s="191"/>
      <c r="IQ95" s="442"/>
      <c r="IR95" s="191"/>
      <c r="IS95" s="442"/>
      <c r="IT95" s="11">
        <v>350</v>
      </c>
      <c r="IU95" s="11"/>
      <c r="IV95" s="442"/>
      <c r="IW95" s="32"/>
      <c r="IX95" s="186"/>
      <c r="IY95" s="186"/>
      <c r="IZ95" s="442"/>
      <c r="JA95" s="442"/>
      <c r="JB95" s="442"/>
      <c r="JC95" s="442"/>
      <c r="JD95" s="442"/>
      <c r="JE95" s="440">
        <v>0.35</v>
      </c>
      <c r="JF95" s="13"/>
      <c r="JG95" s="442"/>
      <c r="JH95" s="442"/>
      <c r="JI95" s="442"/>
      <c r="JJ95" s="442"/>
      <c r="JK95" s="442"/>
      <c r="JL95" s="442"/>
      <c r="JM95" s="442"/>
      <c r="JN95" s="442"/>
      <c r="JO95" s="442"/>
      <c r="JP95" s="442"/>
      <c r="JQ95" s="442"/>
      <c r="JR95" s="442"/>
      <c r="JS95" s="442"/>
      <c r="JT95" s="442"/>
      <c r="JU95" s="442"/>
      <c r="JV95" s="442"/>
      <c r="JW95" s="442"/>
      <c r="JX95" s="442"/>
      <c r="JY95" s="442"/>
      <c r="JZ95" s="442"/>
      <c r="KA95" s="442"/>
      <c r="KB95" s="442"/>
      <c r="KC95" s="442"/>
      <c r="KD95" s="442"/>
      <c r="KE95" s="442"/>
      <c r="KF95" s="442"/>
      <c r="KG95" s="442"/>
      <c r="KH95" s="442"/>
      <c r="KI95" s="442"/>
      <c r="KJ95" s="442"/>
      <c r="KK95" s="442"/>
      <c r="KL95" s="442"/>
      <c r="KM95" s="442"/>
      <c r="KN95" s="442"/>
      <c r="KO95" s="442"/>
      <c r="KP95" s="442"/>
      <c r="KQ95" s="442"/>
      <c r="KR95" s="442"/>
      <c r="KS95" s="442"/>
      <c r="KT95" s="442"/>
      <c r="KU95" s="442"/>
      <c r="KV95" s="442"/>
      <c r="KW95" s="442"/>
      <c r="KX95" s="442"/>
      <c r="KY95" s="442"/>
      <c r="KZ95" s="442"/>
      <c r="LA95" s="442"/>
      <c r="LB95" s="442"/>
      <c r="LC95" s="442"/>
      <c r="LD95" s="442"/>
      <c r="LE95" s="442"/>
      <c r="LF95" s="442"/>
      <c r="LG95" s="442"/>
      <c r="LH95" s="442"/>
      <c r="LI95" s="442"/>
      <c r="LJ95" s="442"/>
      <c r="LK95" s="442"/>
      <c r="LL95" s="442"/>
      <c r="LM95" s="442"/>
      <c r="LN95" s="442"/>
      <c r="LO95" s="442"/>
      <c r="LP95" s="442"/>
      <c r="LQ95" s="442"/>
      <c r="LR95" s="442"/>
      <c r="LS95" s="442"/>
      <c r="LT95" s="442"/>
      <c r="LU95" s="442"/>
      <c r="LV95" s="442"/>
      <c r="LW95" s="442"/>
      <c r="LX95" s="442"/>
      <c r="LY95" s="442"/>
      <c r="LZ95" s="442"/>
      <c r="MA95" s="442"/>
      <c r="MB95" s="442"/>
      <c r="MC95" s="442"/>
      <c r="MD95" s="442"/>
      <c r="ME95" s="442"/>
      <c r="MF95" s="442"/>
      <c r="MG95" s="442"/>
      <c r="MH95" s="442"/>
      <c r="MI95" s="442"/>
      <c r="MJ95" s="442"/>
      <c r="MK95" s="442"/>
      <c r="ML95" s="442"/>
      <c r="MM95" s="442"/>
      <c r="MN95" s="442"/>
      <c r="MO95" s="442"/>
      <c r="MP95" s="442"/>
      <c r="MQ95" s="442"/>
      <c r="MR95" s="442"/>
      <c r="MS95" s="442"/>
      <c r="MT95" s="442"/>
      <c r="MU95" s="442"/>
      <c r="MV95" s="442"/>
      <c r="MW95" s="442"/>
      <c r="MX95" s="442"/>
      <c r="MY95" s="442"/>
      <c r="MZ95" s="442"/>
      <c r="NA95" s="442"/>
      <c r="NB95" s="442"/>
      <c r="NC95" s="442"/>
      <c r="NT95" s="149" t="s">
        <v>173</v>
      </c>
    </row>
    <row r="96" spans="1:399" ht="14.1" customHeight="1" x14ac:dyDescent="0.2">
      <c r="A96" s="156"/>
      <c r="B96" s="236"/>
      <c r="C96" s="236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156"/>
      <c r="R96" s="156"/>
      <c r="S96" s="156"/>
      <c r="T96" s="156"/>
      <c r="U96" s="156"/>
      <c r="V96" s="156"/>
      <c r="W96" s="156"/>
      <c r="X96" s="156"/>
      <c r="Y96" s="156"/>
      <c r="Z96" s="156"/>
      <c r="AA96" s="156"/>
      <c r="AB96" s="156"/>
      <c r="AC96" s="156"/>
      <c r="AD96" s="156"/>
      <c r="AE96" s="156"/>
      <c r="AF96" s="156"/>
      <c r="AG96" s="156"/>
      <c r="AH96" s="156"/>
      <c r="AI96" s="156"/>
      <c r="AJ96" s="156"/>
      <c r="AK96" s="156"/>
      <c r="AL96" s="156"/>
      <c r="AM96" s="156"/>
      <c r="AN96" s="156"/>
      <c r="AO96" s="156"/>
      <c r="AP96" s="156"/>
      <c r="AQ96" s="156"/>
      <c r="AR96" s="156"/>
      <c r="AS96" s="156"/>
      <c r="AT96" s="156"/>
      <c r="AU96" s="156"/>
      <c r="AV96" s="156"/>
      <c r="AW96" s="156"/>
      <c r="AX96" s="156"/>
      <c r="AY96" s="156"/>
      <c r="AZ96" s="156"/>
      <c r="BA96" s="156"/>
      <c r="BB96" s="156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156"/>
      <c r="CP96" s="156"/>
      <c r="CQ96" s="156"/>
      <c r="CR96" s="156"/>
      <c r="CS96" s="156"/>
      <c r="CT96" s="156"/>
      <c r="CU96" s="156"/>
      <c r="CV96" s="156"/>
      <c r="CW96" s="156"/>
      <c r="CX96" s="156"/>
      <c r="CY96" s="156"/>
      <c r="CZ96" s="156"/>
      <c r="DA96" s="156"/>
      <c r="DB96" s="156"/>
      <c r="DC96" s="156"/>
      <c r="DD96" s="156"/>
      <c r="DE96" s="156"/>
      <c r="DF96" s="156"/>
      <c r="DG96" s="156"/>
      <c r="DH96" s="156"/>
      <c r="DI96" s="156"/>
      <c r="DJ96" s="156"/>
      <c r="DK96" s="156"/>
      <c r="DL96" s="156"/>
      <c r="DM96" s="156"/>
      <c r="DN96" s="156"/>
      <c r="DO96" s="156"/>
      <c r="DP96" s="156"/>
      <c r="DQ96" s="156"/>
      <c r="DR96" s="156"/>
      <c r="DS96" s="156"/>
      <c r="DT96" s="156"/>
      <c r="DU96" s="156"/>
      <c r="DV96" s="156"/>
      <c r="DW96" s="156"/>
      <c r="DX96" s="156"/>
      <c r="DY96" s="156"/>
      <c r="DZ96" s="156"/>
      <c r="EA96" s="156"/>
      <c r="EB96" s="156"/>
      <c r="EC96" s="156"/>
      <c r="ED96" s="156"/>
      <c r="EE96" s="156"/>
      <c r="EF96" s="156"/>
      <c r="EG96" s="156"/>
      <c r="EH96" s="156"/>
      <c r="EI96" s="156"/>
      <c r="EJ96" s="156"/>
      <c r="EK96" s="156"/>
      <c r="EL96" s="156"/>
      <c r="EM96" s="156"/>
      <c r="EN96" s="156"/>
      <c r="EO96" s="156"/>
      <c r="EP96" s="156"/>
      <c r="EQ96" s="156"/>
      <c r="ER96" s="156"/>
      <c r="ES96" s="156"/>
      <c r="ET96" s="156"/>
      <c r="EU96" s="156"/>
      <c r="EV96" s="156"/>
      <c r="EW96" s="156"/>
      <c r="EX96" s="156"/>
      <c r="EY96" s="156"/>
      <c r="EZ96" s="156"/>
      <c r="FA96" s="156"/>
      <c r="FB96" s="156"/>
      <c r="FC96" s="156"/>
      <c r="FD96" s="156"/>
      <c r="FE96" s="156"/>
      <c r="FF96" s="156"/>
      <c r="FG96" s="156"/>
      <c r="FH96" s="156"/>
      <c r="FI96" s="156"/>
      <c r="FJ96" s="156"/>
      <c r="FK96" s="156"/>
      <c r="FL96" s="156"/>
      <c r="FM96" s="156"/>
      <c r="FN96" s="156"/>
      <c r="FO96" s="156"/>
      <c r="FP96" s="156"/>
      <c r="FQ96" s="156"/>
      <c r="FR96" s="156"/>
      <c r="FS96" s="242"/>
      <c r="FT96" s="242"/>
      <c r="FU96" s="242"/>
      <c r="FV96" s="242"/>
      <c r="FW96" s="242"/>
      <c r="FX96" s="242"/>
      <c r="FY96" s="242"/>
      <c r="FZ96" s="242"/>
      <c r="GA96" s="242"/>
      <c r="GB96" s="242"/>
      <c r="GC96" s="242"/>
      <c r="GD96" s="242"/>
      <c r="GE96" s="242"/>
      <c r="GF96" s="242"/>
      <c r="GG96" s="242"/>
      <c r="GH96" s="242"/>
      <c r="GI96" s="242"/>
      <c r="GJ96" s="242"/>
      <c r="GK96" s="242"/>
      <c r="GL96" s="242"/>
      <c r="GM96" s="242"/>
      <c r="GN96" s="242"/>
      <c r="GO96" s="242"/>
      <c r="GP96" s="242"/>
      <c r="GQ96" s="242"/>
      <c r="GR96" s="242"/>
      <c r="GS96" s="242"/>
      <c r="GT96" s="242"/>
      <c r="GU96" s="242"/>
      <c r="GV96" s="242"/>
      <c r="GW96" s="242"/>
      <c r="GX96" s="242"/>
      <c r="GY96" s="242"/>
      <c r="GZ96" s="242"/>
      <c r="HA96" s="242"/>
      <c r="HB96" s="242"/>
      <c r="HC96" s="242"/>
      <c r="HD96" s="242"/>
      <c r="HE96" s="242"/>
      <c r="HF96" s="242"/>
      <c r="HG96" s="242"/>
      <c r="HH96" s="242"/>
      <c r="HI96" s="242"/>
      <c r="HJ96" s="242"/>
      <c r="HK96" s="242"/>
      <c r="HL96" s="242"/>
      <c r="HM96" s="442"/>
      <c r="HN96" s="442"/>
      <c r="HO96" s="442"/>
      <c r="HP96" s="536" t="s">
        <v>119</v>
      </c>
      <c r="HQ96" s="536"/>
      <c r="HR96" s="536"/>
      <c r="HS96" s="536"/>
      <c r="HT96" s="536"/>
      <c r="HU96" s="536"/>
      <c r="HV96" s="536"/>
      <c r="HW96" s="536"/>
      <c r="HX96" s="536"/>
      <c r="HY96" s="536"/>
      <c r="HZ96" s="536"/>
      <c r="IA96" s="536"/>
      <c r="IB96" s="536"/>
      <c r="IC96" s="536"/>
      <c r="ID96" s="536"/>
      <c r="IE96" s="536"/>
      <c r="IF96" s="536"/>
      <c r="IG96" s="536"/>
      <c r="IH96" s="536"/>
      <c r="II96" s="536"/>
      <c r="IL96" s="442"/>
      <c r="IM96" s="442"/>
      <c r="IN96" s="442"/>
      <c r="IO96" s="442"/>
      <c r="IP96" s="442"/>
      <c r="IQ96" s="442"/>
      <c r="IR96" s="442"/>
      <c r="IS96" s="442"/>
      <c r="IT96" s="11">
        <v>380</v>
      </c>
      <c r="IU96" s="11"/>
      <c r="IV96" s="442"/>
      <c r="IW96" s="32"/>
      <c r="IX96" s="186"/>
      <c r="IY96" s="186"/>
      <c r="IZ96" s="442"/>
      <c r="JA96" s="442"/>
      <c r="JB96" s="442"/>
      <c r="JC96" s="442"/>
      <c r="JD96" s="442"/>
      <c r="JE96" s="440">
        <v>0.375</v>
      </c>
      <c r="JF96" s="13"/>
      <c r="JG96" s="442"/>
      <c r="JH96" s="442"/>
      <c r="JI96" s="442"/>
      <c r="JJ96" s="442"/>
      <c r="JK96" s="442"/>
      <c r="JL96" s="442"/>
      <c r="JM96" s="442"/>
      <c r="JN96" s="442"/>
      <c r="JO96" s="442"/>
      <c r="JP96" s="442"/>
      <c r="JQ96" s="442"/>
      <c r="JR96" s="442"/>
      <c r="JS96" s="442"/>
      <c r="JT96" s="442"/>
      <c r="JU96" s="442"/>
      <c r="JV96" s="442"/>
      <c r="JW96" s="442"/>
      <c r="JX96" s="442"/>
      <c r="JY96" s="442"/>
      <c r="JZ96" s="442"/>
      <c r="KA96" s="442"/>
      <c r="KB96" s="442"/>
      <c r="KC96" s="442"/>
      <c r="KD96" s="442"/>
      <c r="KE96" s="442"/>
      <c r="KF96" s="442"/>
      <c r="KG96" s="442"/>
      <c r="KH96" s="442"/>
      <c r="KI96" s="442"/>
      <c r="KJ96" s="442"/>
      <c r="KK96" s="442"/>
      <c r="KL96" s="442"/>
      <c r="KM96" s="442"/>
      <c r="KN96" s="442"/>
      <c r="KO96" s="442"/>
      <c r="KP96" s="442"/>
      <c r="KQ96" s="442"/>
      <c r="KR96" s="442"/>
      <c r="KS96" s="442"/>
      <c r="KT96" s="442"/>
      <c r="KU96" s="442"/>
      <c r="KV96" s="442"/>
      <c r="KW96" s="442"/>
      <c r="KX96" s="442"/>
      <c r="KY96" s="442"/>
      <c r="KZ96" s="442"/>
      <c r="LA96" s="442"/>
      <c r="LB96" s="442"/>
      <c r="LC96" s="442"/>
      <c r="LD96" s="442"/>
      <c r="LE96" s="442"/>
      <c r="LF96" s="442"/>
      <c r="LG96" s="442"/>
      <c r="LH96" s="442"/>
      <c r="LI96" s="442"/>
      <c r="LJ96" s="442"/>
      <c r="LK96" s="442"/>
      <c r="LL96" s="442"/>
      <c r="LM96" s="442"/>
      <c r="LN96" s="442"/>
      <c r="LO96" s="442"/>
      <c r="LP96" s="442"/>
      <c r="LQ96" s="442"/>
      <c r="LR96" s="442"/>
      <c r="LS96" s="442"/>
      <c r="LT96" s="442"/>
      <c r="LU96" s="442"/>
      <c r="LV96" s="442"/>
      <c r="LW96" s="442"/>
      <c r="LX96" s="442"/>
      <c r="LY96" s="442"/>
      <c r="LZ96" s="442"/>
      <c r="MA96" s="442"/>
      <c r="MB96" s="442"/>
      <c r="MC96" s="442"/>
      <c r="MD96" s="442"/>
      <c r="ME96" s="442"/>
      <c r="MF96" s="442"/>
      <c r="MG96" s="442"/>
      <c r="MH96" s="442"/>
      <c r="MI96" s="442"/>
      <c r="MJ96" s="442"/>
      <c r="MK96" s="442"/>
      <c r="ML96" s="442"/>
      <c r="MM96" s="442"/>
      <c r="MN96" s="442"/>
      <c r="MO96" s="442"/>
      <c r="MP96" s="442"/>
      <c r="MQ96" s="442"/>
      <c r="MR96" s="442"/>
      <c r="MS96" s="442"/>
      <c r="MT96" s="442"/>
      <c r="MU96" s="442"/>
      <c r="MV96" s="442"/>
      <c r="MW96" s="442"/>
      <c r="MX96" s="442"/>
      <c r="MY96" s="442"/>
      <c r="MZ96" s="442"/>
      <c r="NA96" s="442"/>
      <c r="NB96" s="442"/>
      <c r="NC96" s="442"/>
      <c r="NT96" s="149" t="s">
        <v>22</v>
      </c>
      <c r="NU96" s="149">
        <f>NY72</f>
        <v>1.8</v>
      </c>
      <c r="NV96" s="149">
        <f>NU96</f>
        <v>1.8</v>
      </c>
      <c r="NX96" s="149">
        <f>NU96</f>
        <v>1.8</v>
      </c>
      <c r="NY96" s="149">
        <f>NX96+0.1</f>
        <v>1.9000000000000001</v>
      </c>
      <c r="OA96" s="189">
        <f>NY96</f>
        <v>1.9000000000000001</v>
      </c>
      <c r="OD96" s="189">
        <f>OH72</f>
        <v>1.8</v>
      </c>
      <c r="OE96" s="189">
        <f>OD96</f>
        <v>1.8</v>
      </c>
    </row>
    <row r="97" spans="1:395" ht="14.1" customHeight="1" x14ac:dyDescent="0.2">
      <c r="A97" s="156"/>
      <c r="B97" s="236"/>
      <c r="C97" s="236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156"/>
      <c r="R97" s="156"/>
      <c r="S97" s="156"/>
      <c r="T97" s="156"/>
      <c r="U97" s="156"/>
      <c r="V97" s="156"/>
      <c r="W97" s="156"/>
      <c r="X97" s="156"/>
      <c r="Y97" s="156"/>
      <c r="Z97" s="156"/>
      <c r="AA97" s="156"/>
      <c r="AB97" s="156"/>
      <c r="AC97" s="156"/>
      <c r="AD97" s="156"/>
      <c r="AE97" s="156"/>
      <c r="AF97" s="156"/>
      <c r="AG97" s="156"/>
      <c r="AH97" s="156"/>
      <c r="AI97" s="156"/>
      <c r="AJ97" s="156"/>
      <c r="AK97" s="156"/>
      <c r="AL97" s="156"/>
      <c r="AM97" s="156"/>
      <c r="AN97" s="156"/>
      <c r="AO97" s="156"/>
      <c r="AP97" s="156"/>
      <c r="AQ97" s="156"/>
      <c r="AR97" s="156"/>
      <c r="AS97" s="156"/>
      <c r="AT97" s="156"/>
      <c r="AU97" s="156"/>
      <c r="AV97" s="156"/>
      <c r="AW97" s="156"/>
      <c r="AX97" s="156"/>
      <c r="AY97" s="156"/>
      <c r="AZ97" s="156"/>
      <c r="BA97" s="156"/>
      <c r="BB97" s="156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156"/>
      <c r="CP97" s="156"/>
      <c r="CQ97" s="156"/>
      <c r="CR97" s="156"/>
      <c r="CS97" s="156"/>
      <c r="CT97" s="156"/>
      <c r="CU97" s="156"/>
      <c r="CV97" s="156"/>
      <c r="CW97" s="156"/>
      <c r="CX97" s="156"/>
      <c r="CY97" s="156"/>
      <c r="CZ97" s="156"/>
      <c r="DA97" s="156"/>
      <c r="DB97" s="156"/>
      <c r="DC97" s="156"/>
      <c r="DD97" s="156"/>
      <c r="DE97" s="156"/>
      <c r="DF97" s="156"/>
      <c r="DG97" s="156"/>
      <c r="DH97" s="156"/>
      <c r="DI97" s="156"/>
      <c r="DJ97" s="156"/>
      <c r="DK97" s="156"/>
      <c r="DL97" s="156"/>
      <c r="DM97" s="156"/>
      <c r="DN97" s="156"/>
      <c r="DO97" s="156"/>
      <c r="DP97" s="156"/>
      <c r="DQ97" s="156"/>
      <c r="DR97" s="156"/>
      <c r="DS97" s="156"/>
      <c r="DT97" s="156"/>
      <c r="DU97" s="156"/>
      <c r="DV97" s="156"/>
      <c r="DW97" s="156"/>
      <c r="DX97" s="156"/>
      <c r="DY97" s="156"/>
      <c r="DZ97" s="156"/>
      <c r="EA97" s="156"/>
      <c r="EB97" s="156"/>
      <c r="EC97" s="156"/>
      <c r="ED97" s="156"/>
      <c r="EE97" s="156"/>
      <c r="EF97" s="156"/>
      <c r="EG97" s="156"/>
      <c r="EH97" s="156"/>
      <c r="EI97" s="156"/>
      <c r="EJ97" s="156"/>
      <c r="EK97" s="156"/>
      <c r="EL97" s="156"/>
      <c r="EM97" s="156"/>
      <c r="EN97" s="156"/>
      <c r="EO97" s="156"/>
      <c r="EP97" s="156"/>
      <c r="EQ97" s="156"/>
      <c r="ER97" s="156"/>
      <c r="ES97" s="156"/>
      <c r="ET97" s="156"/>
      <c r="EU97" s="156"/>
      <c r="EV97" s="156"/>
      <c r="EW97" s="156"/>
      <c r="EX97" s="156"/>
      <c r="EY97" s="156"/>
      <c r="EZ97" s="156"/>
      <c r="FA97" s="156"/>
      <c r="FB97" s="156"/>
      <c r="FC97" s="156"/>
      <c r="FD97" s="156"/>
      <c r="FE97" s="156"/>
      <c r="FF97" s="156"/>
      <c r="FG97" s="156"/>
      <c r="FH97" s="156"/>
      <c r="FI97" s="156"/>
      <c r="FJ97" s="156"/>
      <c r="FK97" s="156"/>
      <c r="FL97" s="156"/>
      <c r="FM97" s="156"/>
      <c r="FN97" s="156"/>
      <c r="FO97" s="156"/>
      <c r="FP97" s="156"/>
      <c r="FQ97" s="156"/>
      <c r="FR97" s="156"/>
      <c r="FS97" s="242"/>
      <c r="FT97" s="156"/>
      <c r="FU97" s="156"/>
      <c r="FV97" s="156"/>
      <c r="FW97" s="156"/>
      <c r="FX97" s="156"/>
      <c r="FY97" s="156"/>
      <c r="FZ97" s="156"/>
      <c r="GA97" s="156"/>
      <c r="GB97" s="156"/>
      <c r="GC97" s="156"/>
      <c r="GD97" s="156"/>
      <c r="GE97" s="156"/>
      <c r="GF97" s="156"/>
      <c r="GG97" s="156"/>
      <c r="GH97" s="156"/>
      <c r="GI97" s="156"/>
      <c r="GJ97" s="156"/>
      <c r="GK97" s="156"/>
      <c r="GL97" s="156"/>
      <c r="GM97" s="156"/>
      <c r="GN97" s="242"/>
      <c r="GO97" s="242"/>
      <c r="GP97" s="242"/>
      <c r="GQ97" s="242"/>
      <c r="GR97" s="242"/>
      <c r="GS97" s="242"/>
      <c r="GT97" s="242"/>
      <c r="GU97" s="242"/>
      <c r="GV97" s="242"/>
      <c r="GW97" s="242"/>
      <c r="GX97" s="242"/>
      <c r="GY97" s="242"/>
      <c r="GZ97" s="242"/>
      <c r="HA97" s="242"/>
      <c r="HB97" s="242"/>
      <c r="HC97" s="242"/>
      <c r="HD97" s="242"/>
      <c r="HE97" s="242"/>
      <c r="HF97" s="242"/>
      <c r="HG97" s="242"/>
      <c r="HH97" s="242"/>
      <c r="HI97" s="242"/>
      <c r="HJ97" s="242"/>
      <c r="HK97" s="242"/>
      <c r="HL97" s="242"/>
      <c r="HM97" s="442"/>
      <c r="HN97" s="442"/>
      <c r="HO97" s="442"/>
      <c r="HP97" s="538" t="s">
        <v>124</v>
      </c>
      <c r="HQ97" s="538"/>
      <c r="HR97" s="538"/>
      <c r="HS97" s="538"/>
      <c r="HT97" s="538">
        <f>MAX(IP118:IR119)</f>
        <v>3.01</v>
      </c>
      <c r="HU97" s="538"/>
      <c r="HV97" s="538"/>
      <c r="HW97" s="538"/>
      <c r="HX97" s="538">
        <f>MAX(IS118:IU119)</f>
        <v>3.01</v>
      </c>
      <c r="HY97" s="538"/>
      <c r="HZ97" s="538"/>
      <c r="IA97" s="538"/>
      <c r="IB97" s="538">
        <f>MAX(IV118:IX119)</f>
        <v>3.01</v>
      </c>
      <c r="IC97" s="538"/>
      <c r="ID97" s="538"/>
      <c r="IE97" s="538"/>
      <c r="IF97" s="536" t="s">
        <v>17</v>
      </c>
      <c r="IG97" s="536"/>
      <c r="IH97" s="536"/>
      <c r="II97" s="536"/>
      <c r="IL97" s="441"/>
      <c r="IM97" s="441"/>
      <c r="IN97" s="441"/>
      <c r="IO97" s="441"/>
      <c r="IP97" s="441"/>
      <c r="IQ97" s="441"/>
      <c r="IR97" s="441"/>
      <c r="IS97" s="441"/>
      <c r="IT97" s="12">
        <v>400</v>
      </c>
      <c r="IU97" s="12"/>
      <c r="IV97" s="441"/>
      <c r="IW97" s="32"/>
      <c r="IX97" s="186"/>
      <c r="IY97" s="186"/>
      <c r="IZ97" s="442"/>
      <c r="JA97" s="442"/>
      <c r="JB97" s="442"/>
      <c r="JC97" s="442"/>
      <c r="JD97" s="442"/>
      <c r="JE97" s="440">
        <v>0.4</v>
      </c>
      <c r="JF97" s="13"/>
      <c r="JG97" s="442"/>
      <c r="JH97" s="442"/>
      <c r="JI97" s="442"/>
      <c r="JJ97" s="442"/>
      <c r="JK97" s="442"/>
      <c r="JL97" s="442"/>
      <c r="JM97" s="442"/>
      <c r="JN97" s="442"/>
      <c r="JO97" s="442"/>
      <c r="JP97" s="442"/>
      <c r="JQ97" s="442"/>
      <c r="JR97" s="442"/>
      <c r="JS97" s="442"/>
      <c r="JT97" s="442"/>
      <c r="JU97" s="442"/>
      <c r="JV97" s="442"/>
      <c r="JW97" s="442"/>
      <c r="JX97" s="442"/>
      <c r="JY97" s="442"/>
      <c r="JZ97" s="442"/>
      <c r="KA97" s="442"/>
      <c r="KB97" s="442"/>
      <c r="KC97" s="442"/>
      <c r="KD97" s="442"/>
      <c r="KE97" s="442"/>
      <c r="KF97" s="442"/>
      <c r="KG97" s="442"/>
      <c r="KH97" s="442"/>
      <c r="KI97" s="442"/>
      <c r="KJ97" s="442"/>
      <c r="KK97" s="442"/>
      <c r="KL97" s="442"/>
      <c r="KM97" s="442"/>
      <c r="KN97" s="442"/>
      <c r="KO97" s="442"/>
      <c r="KP97" s="442"/>
      <c r="KQ97" s="442"/>
      <c r="KR97" s="442"/>
      <c r="KS97" s="442"/>
      <c r="KT97" s="442"/>
      <c r="KU97" s="442"/>
      <c r="KV97" s="442"/>
      <c r="KW97" s="442"/>
      <c r="KX97" s="442"/>
      <c r="KY97" s="442"/>
      <c r="KZ97" s="442"/>
      <c r="LA97" s="442"/>
      <c r="LB97" s="442"/>
      <c r="LC97" s="442"/>
      <c r="LD97" s="442"/>
      <c r="LE97" s="442"/>
      <c r="LF97" s="442"/>
      <c r="LG97" s="442"/>
      <c r="LH97" s="442"/>
      <c r="LI97" s="442"/>
      <c r="LJ97" s="442"/>
      <c r="LK97" s="442"/>
      <c r="LL97" s="442"/>
      <c r="LM97" s="442"/>
      <c r="LN97" s="442"/>
      <c r="LO97" s="442"/>
      <c r="LP97" s="442"/>
      <c r="LQ97" s="442"/>
      <c r="LR97" s="442"/>
      <c r="LS97" s="442"/>
      <c r="LT97" s="442"/>
      <c r="LU97" s="442"/>
      <c r="LV97" s="442"/>
      <c r="LW97" s="442"/>
      <c r="LX97" s="442"/>
      <c r="LY97" s="442"/>
      <c r="LZ97" s="442"/>
      <c r="MA97" s="442"/>
      <c r="MB97" s="442"/>
      <c r="MC97" s="442"/>
      <c r="MD97" s="442"/>
      <c r="ME97" s="442"/>
      <c r="MF97" s="442"/>
      <c r="MG97" s="442"/>
      <c r="MH97" s="442"/>
      <c r="MI97" s="442"/>
      <c r="MJ97" s="442"/>
      <c r="MK97" s="442"/>
      <c r="ML97" s="442"/>
      <c r="MM97" s="442"/>
      <c r="MN97" s="442"/>
      <c r="MO97" s="442"/>
      <c r="MP97" s="442"/>
      <c r="MQ97" s="442"/>
      <c r="MR97" s="442"/>
      <c r="MS97" s="442"/>
      <c r="MT97" s="442"/>
      <c r="MU97" s="442"/>
      <c r="MV97" s="442"/>
      <c r="MW97" s="442"/>
      <c r="MX97" s="442"/>
      <c r="MY97" s="442"/>
      <c r="MZ97" s="442"/>
      <c r="NA97" s="442"/>
      <c r="NB97" s="442"/>
      <c r="NC97" s="442"/>
      <c r="NT97" s="149" t="s">
        <v>23</v>
      </c>
      <c r="NU97" s="149">
        <f>NU91</f>
        <v>-4.4999999999999998E-2</v>
      </c>
      <c r="NV97" s="149">
        <f>NV91</f>
        <v>0.105</v>
      </c>
      <c r="NX97" s="149">
        <f>NV97</f>
        <v>0.105</v>
      </c>
      <c r="NY97" s="149">
        <f>NV97</f>
        <v>0.105</v>
      </c>
      <c r="OA97" s="189">
        <f>NY97</f>
        <v>0.105</v>
      </c>
      <c r="OD97" s="189">
        <f>OD91</f>
        <v>-0.03</v>
      </c>
      <c r="OE97" s="189">
        <f>OE91</f>
        <v>0.10500000000000001</v>
      </c>
    </row>
    <row r="98" spans="1:395" ht="14.1" customHeight="1" x14ac:dyDescent="0.2">
      <c r="A98" s="156"/>
      <c r="B98" s="236"/>
      <c r="C98" s="236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156"/>
      <c r="R98" s="156"/>
      <c r="S98" s="156"/>
      <c r="T98" s="156"/>
      <c r="U98" s="156"/>
      <c r="V98" s="156"/>
      <c r="W98" s="156"/>
      <c r="X98" s="156"/>
      <c r="Y98" s="156"/>
      <c r="Z98" s="156"/>
      <c r="AA98" s="156"/>
      <c r="AB98" s="156"/>
      <c r="AC98" s="156"/>
      <c r="AD98" s="156"/>
      <c r="AE98" s="156"/>
      <c r="AF98" s="156"/>
      <c r="AG98" s="156"/>
      <c r="AH98" s="156"/>
      <c r="AI98" s="156"/>
      <c r="AJ98" s="156"/>
      <c r="AK98" s="156"/>
      <c r="AL98" s="156"/>
      <c r="AM98" s="156"/>
      <c r="AN98" s="156"/>
      <c r="AO98" s="156"/>
      <c r="AP98" s="156"/>
      <c r="AQ98" s="156"/>
      <c r="AR98" s="156"/>
      <c r="AS98" s="156"/>
      <c r="AT98" s="156"/>
      <c r="AU98" s="156"/>
      <c r="AV98" s="156"/>
      <c r="AW98" s="156"/>
      <c r="AX98" s="156"/>
      <c r="AY98" s="156"/>
      <c r="AZ98" s="156"/>
      <c r="BA98" s="156"/>
      <c r="BB98" s="156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156"/>
      <c r="CP98" s="156"/>
      <c r="CQ98" s="156"/>
      <c r="CR98" s="156"/>
      <c r="CS98" s="156"/>
      <c r="CT98" s="156"/>
      <c r="CU98" s="156"/>
      <c r="CV98" s="156"/>
      <c r="CW98" s="156"/>
      <c r="CX98" s="156"/>
      <c r="CY98" s="156"/>
      <c r="CZ98" s="156"/>
      <c r="DA98" s="156"/>
      <c r="DB98" s="156"/>
      <c r="DC98" s="156"/>
      <c r="DD98" s="156"/>
      <c r="DE98" s="156"/>
      <c r="DF98" s="156"/>
      <c r="DG98" s="156"/>
      <c r="DH98" s="156"/>
      <c r="DI98" s="156"/>
      <c r="DJ98" s="156"/>
      <c r="DK98" s="156"/>
      <c r="DL98" s="156"/>
      <c r="DM98" s="156"/>
      <c r="DN98" s="156"/>
      <c r="DO98" s="156"/>
      <c r="DP98" s="156"/>
      <c r="DQ98" s="156"/>
      <c r="DR98" s="156"/>
      <c r="DS98" s="156"/>
      <c r="DT98" s="156"/>
      <c r="DU98" s="156"/>
      <c r="DV98" s="156"/>
      <c r="DW98" s="156"/>
      <c r="DX98" s="156"/>
      <c r="DY98" s="156"/>
      <c r="DZ98" s="156"/>
      <c r="EA98" s="156"/>
      <c r="EB98" s="156"/>
      <c r="EC98" s="156"/>
      <c r="ED98" s="156"/>
      <c r="EE98" s="156"/>
      <c r="EF98" s="156"/>
      <c r="EG98" s="156"/>
      <c r="EH98" s="156"/>
      <c r="EI98" s="156"/>
      <c r="EJ98" s="156"/>
      <c r="EK98" s="156"/>
      <c r="EL98" s="156"/>
      <c r="EM98" s="156"/>
      <c r="EN98" s="156"/>
      <c r="EO98" s="156"/>
      <c r="EP98" s="156"/>
      <c r="EQ98" s="156"/>
      <c r="ER98" s="156"/>
      <c r="ES98" s="156"/>
      <c r="ET98" s="156"/>
      <c r="EU98" s="156"/>
      <c r="EV98" s="156"/>
      <c r="EW98" s="156"/>
      <c r="EX98" s="156"/>
      <c r="EY98" s="156"/>
      <c r="EZ98" s="156"/>
      <c r="FA98" s="156"/>
      <c r="FB98" s="156"/>
      <c r="FC98" s="156"/>
      <c r="FD98" s="156"/>
      <c r="FE98" s="156"/>
      <c r="FF98" s="156"/>
      <c r="FG98" s="156"/>
      <c r="FH98" s="156"/>
      <c r="FI98" s="156"/>
      <c r="FJ98" s="156"/>
      <c r="FK98" s="156"/>
      <c r="FL98" s="156"/>
      <c r="FM98" s="156"/>
      <c r="FN98" s="156"/>
      <c r="FO98" s="156"/>
      <c r="FP98" s="156"/>
      <c r="FQ98" s="156"/>
      <c r="FR98" s="156"/>
      <c r="FS98" s="242"/>
      <c r="FT98" s="156"/>
      <c r="FU98" s="156"/>
      <c r="FV98" s="156"/>
      <c r="FW98" s="156"/>
      <c r="FX98" s="156"/>
      <c r="FY98" s="156"/>
      <c r="FZ98" s="156"/>
      <c r="GA98" s="156"/>
      <c r="GB98" s="156"/>
      <c r="GC98" s="156"/>
      <c r="GD98" s="156"/>
      <c r="GE98" s="156"/>
      <c r="GF98" s="156"/>
      <c r="GG98" s="156"/>
      <c r="GH98" s="156"/>
      <c r="GI98" s="156"/>
      <c r="GJ98" s="156"/>
      <c r="GK98" s="156"/>
      <c r="GL98" s="156"/>
      <c r="GM98" s="156"/>
      <c r="GN98" s="242"/>
      <c r="GO98" s="242"/>
      <c r="GP98" s="242"/>
      <c r="GQ98" s="242"/>
      <c r="GR98" s="242"/>
      <c r="GS98" s="242"/>
      <c r="GT98" s="242"/>
      <c r="GU98" s="242"/>
      <c r="GV98" s="242"/>
      <c r="GW98" s="242"/>
      <c r="GX98" s="242"/>
      <c r="GY98" s="242"/>
      <c r="GZ98" s="242"/>
      <c r="HA98" s="242"/>
      <c r="HB98" s="242"/>
      <c r="HC98" s="242"/>
      <c r="HD98" s="242"/>
      <c r="HE98" s="242"/>
      <c r="HF98" s="242"/>
      <c r="HG98" s="242"/>
      <c r="HH98" s="242"/>
      <c r="HI98" s="242"/>
      <c r="HJ98" s="242"/>
      <c r="HK98" s="242"/>
      <c r="HL98" s="242"/>
      <c r="HM98" s="442"/>
      <c r="HN98" s="442"/>
      <c r="HO98" s="442"/>
      <c r="HP98" s="538" t="s">
        <v>95</v>
      </c>
      <c r="HQ98" s="538"/>
      <c r="HR98" s="538"/>
      <c r="HS98" s="538"/>
      <c r="HT98" s="540">
        <f>MIN(IP121:IR123)</f>
        <v>0.3</v>
      </c>
      <c r="HU98" s="540"/>
      <c r="HV98" s="540"/>
      <c r="HW98" s="540"/>
      <c r="HX98" s="540">
        <f>MIN(IS121:IU123)</f>
        <v>0.3</v>
      </c>
      <c r="HY98" s="540"/>
      <c r="HZ98" s="540"/>
      <c r="IA98" s="540"/>
      <c r="IB98" s="540">
        <f>MIN(IV121:IX123)</f>
        <v>0.3</v>
      </c>
      <c r="IC98" s="540"/>
      <c r="ID98" s="540"/>
      <c r="IE98" s="540"/>
      <c r="IF98" s="538" t="s">
        <v>13</v>
      </c>
      <c r="IG98" s="538"/>
      <c r="IH98" s="538"/>
      <c r="II98" s="538"/>
      <c r="IL98" s="441" t="str">
        <f>IF(HT71&gt;2400,"DB","RB")</f>
        <v>DB</v>
      </c>
      <c r="IM98" s="441"/>
      <c r="IN98" s="441" t="e">
        <f>CONCATENATE(#REF!,IL101,#REF!,IL102)</f>
        <v>#REF!</v>
      </c>
      <c r="IO98" s="441"/>
      <c r="IP98" s="441"/>
      <c r="IQ98" s="441"/>
      <c r="IR98" s="441"/>
      <c r="IS98" s="441"/>
      <c r="IT98" s="12">
        <v>420</v>
      </c>
      <c r="IU98" s="12"/>
      <c r="IV98" s="441"/>
      <c r="IW98" s="32"/>
      <c r="IX98" s="186"/>
      <c r="IY98" s="186"/>
      <c r="IZ98" s="442"/>
      <c r="JA98" s="442"/>
      <c r="JB98" s="442"/>
      <c r="JC98" s="442"/>
      <c r="JD98" s="442"/>
      <c r="JE98" s="440">
        <v>0.42499999999999999</v>
      </c>
      <c r="JF98" s="13"/>
      <c r="JG98" s="442"/>
      <c r="JH98" s="442"/>
      <c r="JI98" s="442"/>
      <c r="JJ98" s="442"/>
      <c r="JK98" s="442"/>
      <c r="JL98" s="442"/>
      <c r="JM98" s="442"/>
      <c r="JN98" s="442"/>
      <c r="JO98" s="442"/>
      <c r="JP98" s="442"/>
      <c r="JQ98" s="442"/>
      <c r="JR98" s="442"/>
      <c r="JS98" s="442"/>
      <c r="JT98" s="442"/>
      <c r="JU98" s="442"/>
      <c r="JV98" s="442"/>
      <c r="JW98" s="442"/>
      <c r="JX98" s="442"/>
      <c r="JY98" s="442"/>
      <c r="JZ98" s="442"/>
      <c r="KA98" s="442"/>
      <c r="KB98" s="442"/>
      <c r="KC98" s="442"/>
      <c r="KD98" s="442"/>
      <c r="KE98" s="442"/>
      <c r="KF98" s="442"/>
      <c r="KG98" s="442"/>
      <c r="KH98" s="442"/>
      <c r="KI98" s="442"/>
      <c r="KJ98" s="442"/>
      <c r="KK98" s="442"/>
      <c r="KL98" s="442"/>
      <c r="KM98" s="442"/>
      <c r="KN98" s="442"/>
      <c r="KO98" s="442"/>
      <c r="KP98" s="442"/>
      <c r="KQ98" s="442"/>
      <c r="KR98" s="442"/>
      <c r="KS98" s="442"/>
      <c r="KT98" s="442"/>
      <c r="KU98" s="442"/>
      <c r="KV98" s="442"/>
      <c r="KW98" s="442"/>
      <c r="KX98" s="442"/>
      <c r="KY98" s="442"/>
      <c r="KZ98" s="442"/>
      <c r="LA98" s="442"/>
      <c r="LB98" s="442"/>
      <c r="LC98" s="442"/>
      <c r="LD98" s="442"/>
      <c r="LE98" s="442"/>
      <c r="LF98" s="442"/>
      <c r="LG98" s="442"/>
      <c r="LH98" s="442"/>
      <c r="LI98" s="442"/>
      <c r="LJ98" s="442"/>
      <c r="LK98" s="442"/>
      <c r="LL98" s="442"/>
      <c r="LM98" s="442"/>
      <c r="LN98" s="442"/>
      <c r="LO98" s="442"/>
      <c r="LP98" s="442"/>
      <c r="LQ98" s="442"/>
      <c r="LR98" s="442"/>
      <c r="LS98" s="442"/>
      <c r="LT98" s="442"/>
      <c r="LU98" s="442"/>
      <c r="LV98" s="442"/>
      <c r="LW98" s="442"/>
      <c r="LX98" s="442"/>
      <c r="LY98" s="442"/>
      <c r="LZ98" s="442"/>
      <c r="MA98" s="442"/>
      <c r="MB98" s="442"/>
      <c r="MC98" s="442"/>
      <c r="MD98" s="442"/>
      <c r="ME98" s="442"/>
      <c r="MF98" s="442"/>
      <c r="MG98" s="442"/>
      <c r="MH98" s="442"/>
      <c r="MI98" s="442"/>
      <c r="MJ98" s="442"/>
      <c r="MK98" s="442"/>
      <c r="ML98" s="442"/>
      <c r="MM98" s="442"/>
      <c r="MN98" s="442"/>
      <c r="MO98" s="442"/>
      <c r="MP98" s="442"/>
      <c r="MQ98" s="442"/>
      <c r="MR98" s="442"/>
      <c r="MS98" s="442"/>
      <c r="MT98" s="442"/>
      <c r="MU98" s="442"/>
      <c r="MV98" s="442"/>
      <c r="MW98" s="442"/>
      <c r="MX98" s="442"/>
      <c r="MY98" s="442"/>
      <c r="MZ98" s="442"/>
      <c r="NA98" s="442"/>
      <c r="NB98" s="442"/>
      <c r="NC98" s="442"/>
      <c r="NT98" s="149" t="s">
        <v>174</v>
      </c>
    </row>
    <row r="99" spans="1:395" ht="14.1" customHeight="1" x14ac:dyDescent="0.2">
      <c r="A99" s="156"/>
      <c r="B99" s="236"/>
      <c r="C99" s="236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156"/>
      <c r="R99" s="156"/>
      <c r="S99" s="156"/>
      <c r="T99" s="156"/>
      <c r="U99" s="156"/>
      <c r="V99" s="156"/>
      <c r="W99" s="156"/>
      <c r="X99" s="156"/>
      <c r="Y99" s="156"/>
      <c r="Z99" s="156"/>
      <c r="AA99" s="156"/>
      <c r="AB99" s="156"/>
      <c r="AC99" s="156"/>
      <c r="AD99" s="156"/>
      <c r="AE99" s="156"/>
      <c r="AF99" s="156"/>
      <c r="AG99" s="156"/>
      <c r="AH99" s="156"/>
      <c r="AI99" s="156"/>
      <c r="AJ99" s="156"/>
      <c r="AK99" s="156"/>
      <c r="AL99" s="156"/>
      <c r="AM99" s="156"/>
      <c r="AN99" s="156"/>
      <c r="AO99" s="156"/>
      <c r="AP99" s="156"/>
      <c r="AQ99" s="156"/>
      <c r="AR99" s="156"/>
      <c r="AS99" s="156"/>
      <c r="AT99" s="156"/>
      <c r="AU99" s="156"/>
      <c r="AV99" s="156"/>
      <c r="AW99" s="156"/>
      <c r="AX99" s="156"/>
      <c r="AY99" s="156"/>
      <c r="AZ99" s="156"/>
      <c r="BA99" s="156"/>
      <c r="BB99" s="156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156"/>
      <c r="CP99" s="156"/>
      <c r="CQ99" s="156"/>
      <c r="CR99" s="156"/>
      <c r="CS99" s="156"/>
      <c r="CT99" s="156"/>
      <c r="CU99" s="156"/>
      <c r="CV99" s="156"/>
      <c r="CW99" s="156"/>
      <c r="CX99" s="156"/>
      <c r="CY99" s="156"/>
      <c r="CZ99" s="156"/>
      <c r="DA99" s="156"/>
      <c r="DB99" s="156"/>
      <c r="DC99" s="156"/>
      <c r="DD99" s="156"/>
      <c r="DE99" s="156"/>
      <c r="DF99" s="156"/>
      <c r="DG99" s="156"/>
      <c r="DH99" s="156"/>
      <c r="DI99" s="156"/>
      <c r="DJ99" s="156"/>
      <c r="DK99" s="156"/>
      <c r="DL99" s="156"/>
      <c r="DM99" s="156"/>
      <c r="DN99" s="156"/>
      <c r="DO99" s="156"/>
      <c r="DP99" s="156"/>
      <c r="DQ99" s="156"/>
      <c r="DR99" s="156"/>
      <c r="DS99" s="156"/>
      <c r="DT99" s="156"/>
      <c r="DU99" s="156"/>
      <c r="DV99" s="156"/>
      <c r="DW99" s="156"/>
      <c r="DX99" s="156"/>
      <c r="DY99" s="156"/>
      <c r="DZ99" s="156"/>
      <c r="EA99" s="156"/>
      <c r="EB99" s="156"/>
      <c r="EC99" s="156"/>
      <c r="ED99" s="156"/>
      <c r="EE99" s="156"/>
      <c r="EF99" s="156"/>
      <c r="EG99" s="156"/>
      <c r="EH99" s="156"/>
      <c r="EI99" s="156"/>
      <c r="EJ99" s="156"/>
      <c r="EK99" s="156"/>
      <c r="EL99" s="156"/>
      <c r="EM99" s="156"/>
      <c r="EN99" s="156"/>
      <c r="EO99" s="156"/>
      <c r="EP99" s="156"/>
      <c r="EQ99" s="156"/>
      <c r="ER99" s="156"/>
      <c r="ES99" s="156"/>
      <c r="ET99" s="156"/>
      <c r="EU99" s="156"/>
      <c r="EV99" s="156"/>
      <c r="EW99" s="156"/>
      <c r="EX99" s="156"/>
      <c r="EY99" s="156"/>
      <c r="EZ99" s="156"/>
      <c r="FA99" s="156"/>
      <c r="FB99" s="156"/>
      <c r="FC99" s="156"/>
      <c r="FD99" s="156"/>
      <c r="FE99" s="156"/>
      <c r="FF99" s="156"/>
      <c r="FG99" s="156"/>
      <c r="FH99" s="156"/>
      <c r="FI99" s="156"/>
      <c r="FJ99" s="156"/>
      <c r="FK99" s="156"/>
      <c r="FL99" s="156"/>
      <c r="FM99" s="156"/>
      <c r="FN99" s="156"/>
      <c r="FO99" s="156"/>
      <c r="FP99" s="156"/>
      <c r="FQ99" s="156"/>
      <c r="FR99" s="156"/>
      <c r="FS99" s="242"/>
      <c r="FT99" s="156"/>
      <c r="FU99" s="156"/>
      <c r="FV99" s="156"/>
      <c r="FW99" s="156"/>
      <c r="FX99" s="156"/>
      <c r="FY99" s="156"/>
      <c r="FZ99" s="156"/>
      <c r="GA99" s="156"/>
      <c r="GB99" s="156"/>
      <c r="GC99" s="156"/>
      <c r="GD99" s="156"/>
      <c r="GE99" s="156"/>
      <c r="GF99" s="156"/>
      <c r="GG99" s="156"/>
      <c r="GH99" s="156"/>
      <c r="GI99" s="156"/>
      <c r="GJ99" s="156"/>
      <c r="GK99" s="156"/>
      <c r="GL99" s="156"/>
      <c r="GM99" s="156"/>
      <c r="GN99" s="242"/>
      <c r="GO99" s="242"/>
      <c r="GP99" s="242"/>
      <c r="GQ99" s="242"/>
      <c r="GR99" s="242"/>
      <c r="GS99" s="242"/>
      <c r="GT99" s="242"/>
      <c r="GU99" s="242"/>
      <c r="GV99" s="242"/>
      <c r="GW99" s="242"/>
      <c r="GX99" s="242"/>
      <c r="GY99" s="242"/>
      <c r="GZ99" s="242"/>
      <c r="HA99" s="242"/>
      <c r="HB99" s="242"/>
      <c r="HC99" s="242"/>
      <c r="HD99" s="242"/>
      <c r="HE99" s="242"/>
      <c r="HF99" s="242"/>
      <c r="HG99" s="242"/>
      <c r="HH99" s="242"/>
      <c r="HI99" s="242"/>
      <c r="HJ99" s="242"/>
      <c r="HK99" s="242"/>
      <c r="HL99" s="242"/>
      <c r="HM99" s="442"/>
      <c r="HN99" s="442"/>
      <c r="HO99" s="442"/>
      <c r="HP99" s="536" t="s">
        <v>200</v>
      </c>
      <c r="HQ99" s="536"/>
      <c r="HR99" s="536"/>
      <c r="HS99" s="536"/>
      <c r="HT99" s="536"/>
      <c r="HU99" s="536"/>
      <c r="HV99" s="536"/>
      <c r="HW99" s="536"/>
      <c r="HX99" s="536"/>
      <c r="HY99" s="536"/>
      <c r="HZ99" s="536"/>
      <c r="IA99" s="536"/>
      <c r="IB99" s="536"/>
      <c r="IC99" s="536"/>
      <c r="ID99" s="536"/>
      <c r="IE99" s="536"/>
      <c r="IF99" s="536"/>
      <c r="IG99" s="536"/>
      <c r="IH99" s="536"/>
      <c r="II99" s="536"/>
      <c r="IL99" s="441" t="str">
        <f>IF(HT72&gt;2400,"DB","RB")</f>
        <v>RB</v>
      </c>
      <c r="IM99" s="441"/>
      <c r="IN99" s="441" t="e">
        <f>CONCATENATE(#REF!,IL101,#REF!,IL102)</f>
        <v>#REF!</v>
      </c>
      <c r="IO99" s="441"/>
      <c r="IP99" s="441"/>
      <c r="IQ99" s="441"/>
      <c r="IR99" s="441"/>
      <c r="IS99" s="441"/>
      <c r="IT99" s="12">
        <v>450</v>
      </c>
      <c r="IU99" s="12"/>
      <c r="IV99" s="441"/>
      <c r="IW99" s="32"/>
      <c r="IX99" s="186"/>
      <c r="IY99" s="186"/>
      <c r="IZ99" s="442"/>
      <c r="JA99" s="442"/>
      <c r="JB99" s="442"/>
      <c r="JC99" s="442"/>
      <c r="JD99" s="442"/>
      <c r="JE99" s="440">
        <v>0.45</v>
      </c>
      <c r="JF99" s="13"/>
      <c r="JG99" s="442"/>
      <c r="JH99" s="442"/>
      <c r="JI99" s="442"/>
      <c r="JJ99" s="442"/>
      <c r="JK99" s="442"/>
      <c r="JL99" s="442"/>
      <c r="JM99" s="442"/>
      <c r="JN99" s="442"/>
      <c r="JO99" s="442"/>
      <c r="JP99" s="442"/>
      <c r="JQ99" s="442"/>
      <c r="JR99" s="442"/>
      <c r="JS99" s="442"/>
      <c r="JT99" s="442"/>
      <c r="JU99" s="442"/>
      <c r="JV99" s="442"/>
      <c r="JW99" s="442"/>
      <c r="JX99" s="442"/>
      <c r="JY99" s="442"/>
      <c r="JZ99" s="442"/>
      <c r="KA99" s="442"/>
      <c r="KB99" s="442"/>
      <c r="KC99" s="442"/>
      <c r="KD99" s="442"/>
      <c r="KE99" s="442"/>
      <c r="KF99" s="442"/>
      <c r="KG99" s="442"/>
      <c r="KH99" s="442"/>
      <c r="KI99" s="442"/>
      <c r="KJ99" s="442"/>
      <c r="KK99" s="442"/>
      <c r="KL99" s="442"/>
      <c r="KM99" s="442"/>
      <c r="KN99" s="442"/>
      <c r="KO99" s="442"/>
      <c r="KP99" s="442"/>
      <c r="KQ99" s="442"/>
      <c r="KR99" s="442"/>
      <c r="KS99" s="442"/>
      <c r="KT99" s="442"/>
      <c r="KU99" s="442"/>
      <c r="KV99" s="442"/>
      <c r="KW99" s="442"/>
      <c r="KX99" s="442"/>
      <c r="KY99" s="442"/>
      <c r="KZ99" s="442"/>
      <c r="LA99" s="442"/>
      <c r="LB99" s="442"/>
      <c r="LC99" s="442"/>
      <c r="LD99" s="442"/>
      <c r="LE99" s="442"/>
      <c r="LF99" s="442"/>
      <c r="LG99" s="442"/>
      <c r="LH99" s="442"/>
      <c r="LI99" s="442"/>
      <c r="LJ99" s="442"/>
      <c r="LK99" s="442"/>
      <c r="LL99" s="442"/>
      <c r="LM99" s="442"/>
      <c r="LN99" s="442"/>
      <c r="LO99" s="442"/>
      <c r="LP99" s="442"/>
      <c r="LQ99" s="442"/>
      <c r="LR99" s="442"/>
      <c r="LS99" s="442"/>
      <c r="LT99" s="442"/>
      <c r="LU99" s="442"/>
      <c r="LV99" s="442"/>
      <c r="LW99" s="442"/>
      <c r="LX99" s="442"/>
      <c r="LY99" s="442"/>
      <c r="LZ99" s="442"/>
      <c r="MA99" s="442"/>
      <c r="MB99" s="442"/>
      <c r="MC99" s="442"/>
      <c r="MD99" s="442"/>
      <c r="ME99" s="442"/>
      <c r="MF99" s="442"/>
      <c r="MG99" s="442"/>
      <c r="MH99" s="442"/>
      <c r="MI99" s="442"/>
      <c r="MJ99" s="442"/>
      <c r="MK99" s="442"/>
      <c r="ML99" s="442"/>
      <c r="MM99" s="442"/>
      <c r="MN99" s="442"/>
      <c r="MO99" s="442"/>
      <c r="MP99" s="442"/>
      <c r="MQ99" s="442"/>
      <c r="MR99" s="442"/>
      <c r="MS99" s="442"/>
      <c r="MT99" s="442"/>
      <c r="MU99" s="442"/>
      <c r="MV99" s="442"/>
      <c r="MW99" s="442"/>
      <c r="MX99" s="442"/>
      <c r="MY99" s="442"/>
      <c r="MZ99" s="442"/>
      <c r="NA99" s="442"/>
      <c r="NB99" s="442"/>
      <c r="NC99" s="442"/>
      <c r="NT99" s="149" t="s">
        <v>22</v>
      </c>
      <c r="NU99" s="149">
        <f>NX72+0.1</f>
        <v>1.7000000000000002</v>
      </c>
      <c r="NV99" s="149">
        <f>NU99</f>
        <v>1.7000000000000002</v>
      </c>
      <c r="NX99" s="149">
        <f>NU99</f>
        <v>1.7000000000000002</v>
      </c>
      <c r="NY99" s="149">
        <f>NY96</f>
        <v>1.9000000000000001</v>
      </c>
      <c r="OA99" s="189">
        <f>NY99</f>
        <v>1.9000000000000001</v>
      </c>
      <c r="OD99" s="189">
        <f>OG72+0.1</f>
        <v>1.7000000000000002</v>
      </c>
      <c r="OE99" s="189">
        <f>OD99</f>
        <v>1.7000000000000002</v>
      </c>
    </row>
    <row r="100" spans="1:395" ht="14.1" customHeight="1" x14ac:dyDescent="0.2">
      <c r="A100" s="156"/>
      <c r="B100" s="236"/>
      <c r="C100" s="236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156"/>
      <c r="R100" s="156"/>
      <c r="S100" s="156"/>
      <c r="T100" s="156"/>
      <c r="U100" s="156"/>
      <c r="V100" s="156"/>
      <c r="W100" s="156"/>
      <c r="X100" s="156"/>
      <c r="Y100" s="156"/>
      <c r="Z100" s="156"/>
      <c r="AA100" s="156"/>
      <c r="AB100" s="156"/>
      <c r="AC100" s="156"/>
      <c r="AD100" s="156"/>
      <c r="AE100" s="156"/>
      <c r="AF100" s="156"/>
      <c r="AG100" s="156"/>
      <c r="AH100" s="156"/>
      <c r="AI100" s="156"/>
      <c r="AJ100" s="156"/>
      <c r="AK100" s="156"/>
      <c r="AL100" s="156"/>
      <c r="AM100" s="156"/>
      <c r="AN100" s="156"/>
      <c r="AO100" s="156"/>
      <c r="AP100" s="156"/>
      <c r="AQ100" s="156"/>
      <c r="AR100" s="156"/>
      <c r="AS100" s="156"/>
      <c r="AT100" s="156"/>
      <c r="AU100" s="156"/>
      <c r="AV100" s="156"/>
      <c r="AW100" s="156"/>
      <c r="AX100" s="156"/>
      <c r="AY100" s="156"/>
      <c r="AZ100" s="156"/>
      <c r="BA100" s="156"/>
      <c r="BB100" s="156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156"/>
      <c r="CP100" s="156"/>
      <c r="CQ100" s="156"/>
      <c r="CR100" s="156"/>
      <c r="CS100" s="156"/>
      <c r="CT100" s="156"/>
      <c r="CU100" s="156"/>
      <c r="CV100" s="156"/>
      <c r="CW100" s="156"/>
      <c r="CX100" s="156"/>
      <c r="CY100" s="156"/>
      <c r="CZ100" s="156"/>
      <c r="DA100" s="156"/>
      <c r="DB100" s="156"/>
      <c r="DC100" s="156"/>
      <c r="DD100" s="156"/>
      <c r="DE100" s="156"/>
      <c r="DF100" s="156"/>
      <c r="DG100" s="156"/>
      <c r="DH100" s="156"/>
      <c r="DI100" s="156"/>
      <c r="DJ100" s="156"/>
      <c r="DK100" s="156"/>
      <c r="DL100" s="156"/>
      <c r="DM100" s="156"/>
      <c r="DN100" s="156"/>
      <c r="DO100" s="156"/>
      <c r="DP100" s="156"/>
      <c r="DQ100" s="156"/>
      <c r="DR100" s="156"/>
      <c r="DS100" s="156"/>
      <c r="DT100" s="156"/>
      <c r="DU100" s="156"/>
      <c r="DV100" s="156"/>
      <c r="DW100" s="156"/>
      <c r="DX100" s="156"/>
      <c r="DY100" s="156"/>
      <c r="DZ100" s="156"/>
      <c r="EA100" s="156"/>
      <c r="EB100" s="156"/>
      <c r="EC100" s="156"/>
      <c r="ED100" s="156"/>
      <c r="EE100" s="156"/>
      <c r="EF100" s="156"/>
      <c r="EG100" s="156"/>
      <c r="EH100" s="156"/>
      <c r="EI100" s="156"/>
      <c r="EJ100" s="156"/>
      <c r="EK100" s="156"/>
      <c r="EL100" s="156"/>
      <c r="EM100" s="156"/>
      <c r="EN100" s="156"/>
      <c r="EO100" s="156"/>
      <c r="EP100" s="156"/>
      <c r="EQ100" s="156"/>
      <c r="ER100" s="156"/>
      <c r="ES100" s="156"/>
      <c r="ET100" s="156"/>
      <c r="EU100" s="156"/>
      <c r="EV100" s="156"/>
      <c r="EW100" s="156"/>
      <c r="EX100" s="156"/>
      <c r="EY100" s="156"/>
      <c r="EZ100" s="156"/>
      <c r="FA100" s="156"/>
      <c r="FB100" s="156"/>
      <c r="FC100" s="156"/>
      <c r="FD100" s="156"/>
      <c r="FE100" s="156"/>
      <c r="FF100" s="156"/>
      <c r="FG100" s="156"/>
      <c r="FH100" s="156"/>
      <c r="FI100" s="156"/>
      <c r="FJ100" s="156"/>
      <c r="FK100" s="156"/>
      <c r="FL100" s="156"/>
      <c r="FM100" s="156"/>
      <c r="FN100" s="156"/>
      <c r="FO100" s="156"/>
      <c r="FP100" s="156"/>
      <c r="FQ100" s="156"/>
      <c r="FR100" s="156"/>
      <c r="FS100" s="242"/>
      <c r="FT100" s="156"/>
      <c r="FU100" s="156"/>
      <c r="FV100" s="156"/>
      <c r="FW100" s="156"/>
      <c r="FX100" s="156"/>
      <c r="FY100" s="156"/>
      <c r="FZ100" s="156"/>
      <c r="GA100" s="156"/>
      <c r="GB100" s="156"/>
      <c r="GC100" s="156"/>
      <c r="GD100" s="156"/>
      <c r="GE100" s="156"/>
      <c r="GF100" s="156"/>
      <c r="GG100" s="156"/>
      <c r="GH100" s="156"/>
      <c r="GI100" s="156"/>
      <c r="GJ100" s="156"/>
      <c r="GK100" s="156"/>
      <c r="GL100" s="156"/>
      <c r="GM100" s="156"/>
      <c r="GN100" s="242"/>
      <c r="GO100" s="242"/>
      <c r="GP100" s="242"/>
      <c r="GQ100" s="242"/>
      <c r="GR100" s="242"/>
      <c r="GS100" s="242"/>
      <c r="GT100" s="242"/>
      <c r="GU100" s="242"/>
      <c r="GV100" s="242"/>
      <c r="GW100" s="242"/>
      <c r="GX100" s="242"/>
      <c r="GY100" s="242"/>
      <c r="GZ100" s="242"/>
      <c r="HA100" s="242"/>
      <c r="HB100" s="242"/>
      <c r="HC100" s="242"/>
      <c r="HD100" s="242"/>
      <c r="HE100" s="242"/>
      <c r="HF100" s="242"/>
      <c r="HG100" s="242"/>
      <c r="HH100" s="242"/>
      <c r="HI100" s="242"/>
      <c r="HJ100" s="242"/>
      <c r="HK100" s="242"/>
      <c r="HL100" s="242"/>
      <c r="HM100" s="442"/>
      <c r="HN100" s="442"/>
      <c r="HO100" s="442"/>
      <c r="HP100" s="538" t="s">
        <v>201</v>
      </c>
      <c r="HQ100" s="538"/>
      <c r="HR100" s="538"/>
      <c r="HS100" s="538"/>
      <c r="HT100" s="539">
        <f>IW83*100*HT78</f>
        <v>2.5</v>
      </c>
      <c r="HU100" s="539"/>
      <c r="HV100" s="539"/>
      <c r="HW100" s="539"/>
      <c r="HX100" s="539"/>
      <c r="HY100" s="539"/>
      <c r="HZ100" s="539"/>
      <c r="IA100" s="539"/>
      <c r="IB100" s="539"/>
      <c r="IC100" s="539"/>
      <c r="ID100" s="539"/>
      <c r="IE100" s="539"/>
      <c r="IF100" s="536" t="s">
        <v>17</v>
      </c>
      <c r="IG100" s="536"/>
      <c r="IH100" s="536"/>
      <c r="II100" s="536"/>
      <c r="IL100" s="441" t="s">
        <v>202</v>
      </c>
      <c r="IM100" s="441"/>
      <c r="IN100" s="441" t="e">
        <f>CONCATENATE(#REF!,IL101,#REF!,IL102)</f>
        <v>#REF!</v>
      </c>
      <c r="IO100" s="441"/>
      <c r="IP100" s="441"/>
      <c r="IQ100" s="441"/>
      <c r="IR100" s="441"/>
      <c r="IS100" s="441"/>
      <c r="IT100" s="441"/>
      <c r="IU100" s="441"/>
      <c r="IV100" s="441"/>
      <c r="IW100" s="32"/>
      <c r="IX100" s="186"/>
      <c r="IY100" s="186"/>
      <c r="IZ100" s="442"/>
      <c r="JA100" s="442"/>
      <c r="JB100" s="442"/>
      <c r="JC100" s="442"/>
      <c r="JD100" s="442"/>
      <c r="JE100" s="442"/>
      <c r="JF100" s="442"/>
      <c r="JG100" s="442"/>
      <c r="JH100" s="442"/>
      <c r="JI100" s="442"/>
      <c r="JJ100" s="442"/>
      <c r="JK100" s="442"/>
      <c r="JL100" s="442"/>
      <c r="JM100" s="442"/>
      <c r="JN100" s="442"/>
      <c r="JO100" s="442"/>
      <c r="JP100" s="442"/>
      <c r="JQ100" s="442"/>
      <c r="JR100" s="442"/>
      <c r="JS100" s="442"/>
      <c r="JT100" s="442"/>
      <c r="JU100" s="442"/>
      <c r="JV100" s="442"/>
      <c r="JW100" s="442"/>
      <c r="JX100" s="442"/>
      <c r="JY100" s="442"/>
      <c r="JZ100" s="442"/>
      <c r="KA100" s="442"/>
      <c r="KB100" s="442"/>
      <c r="KC100" s="442"/>
      <c r="KD100" s="442"/>
      <c r="KE100" s="442"/>
      <c r="KF100" s="442"/>
      <c r="KG100" s="442"/>
      <c r="KH100" s="442"/>
      <c r="KI100" s="442"/>
      <c r="KJ100" s="442"/>
      <c r="KK100" s="442"/>
      <c r="KL100" s="442"/>
      <c r="KM100" s="442"/>
      <c r="KN100" s="442"/>
      <c r="KO100" s="442"/>
      <c r="KP100" s="442"/>
      <c r="KQ100" s="442"/>
      <c r="KR100" s="442"/>
      <c r="KS100" s="442"/>
      <c r="KT100" s="442"/>
      <c r="KU100" s="442"/>
      <c r="KV100" s="442"/>
      <c r="KW100" s="442"/>
      <c r="KX100" s="442"/>
      <c r="KY100" s="442"/>
      <c r="KZ100" s="442"/>
      <c r="LA100" s="442"/>
      <c r="LB100" s="442"/>
      <c r="LC100" s="442"/>
      <c r="LD100" s="442"/>
      <c r="LE100" s="442"/>
      <c r="LF100" s="442"/>
      <c r="LG100" s="442"/>
      <c r="LH100" s="442"/>
      <c r="LI100" s="442"/>
      <c r="LJ100" s="442"/>
      <c r="LK100" s="442"/>
      <c r="LL100" s="442"/>
      <c r="LM100" s="442"/>
      <c r="LN100" s="442"/>
      <c r="LO100" s="442"/>
      <c r="LP100" s="442"/>
      <c r="LQ100" s="442"/>
      <c r="LR100" s="442"/>
      <c r="LS100" s="442"/>
      <c r="LT100" s="442"/>
      <c r="LU100" s="442"/>
      <c r="LV100" s="442"/>
      <c r="LW100" s="442"/>
      <c r="LX100" s="442"/>
      <c r="LY100" s="442"/>
      <c r="LZ100" s="442"/>
      <c r="MA100" s="442"/>
      <c r="MB100" s="442"/>
      <c r="MC100" s="442"/>
      <c r="MD100" s="442"/>
      <c r="ME100" s="442"/>
      <c r="MF100" s="442"/>
      <c r="MG100" s="442"/>
      <c r="MH100" s="442"/>
      <c r="MI100" s="442"/>
      <c r="MJ100" s="442"/>
      <c r="MK100" s="442"/>
      <c r="ML100" s="442"/>
      <c r="MM100" s="442"/>
      <c r="MN100" s="442"/>
      <c r="MO100" s="442"/>
      <c r="MP100" s="442"/>
      <c r="MQ100" s="442"/>
      <c r="MR100" s="442"/>
      <c r="MS100" s="442"/>
      <c r="MT100" s="442"/>
      <c r="MU100" s="442"/>
      <c r="MV100" s="442"/>
      <c r="MW100" s="442"/>
      <c r="MX100" s="442"/>
      <c r="MY100" s="442"/>
      <c r="MZ100" s="442"/>
      <c r="NA100" s="442"/>
      <c r="NB100" s="442"/>
      <c r="NC100" s="442"/>
      <c r="NT100" s="149" t="s">
        <v>23</v>
      </c>
      <c r="NU100" s="149">
        <f>NU94</f>
        <v>-0.03</v>
      </c>
      <c r="NV100" s="149">
        <f>NV94</f>
        <v>0.2</v>
      </c>
      <c r="NX100" s="149">
        <f>NV100</f>
        <v>0.2</v>
      </c>
      <c r="NY100" s="149">
        <f>NV100</f>
        <v>0.2</v>
      </c>
      <c r="OA100" s="189">
        <f>NY100</f>
        <v>0.2</v>
      </c>
      <c r="OD100" s="189">
        <f>OD94</f>
        <v>-4.4999999999999998E-2</v>
      </c>
      <c r="OE100" s="189">
        <f>OE94</f>
        <v>0.2</v>
      </c>
    </row>
    <row r="101" spans="1:395" ht="14.1" customHeight="1" x14ac:dyDescent="0.2">
      <c r="A101" s="156"/>
      <c r="B101" s="236"/>
      <c r="C101" s="236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156"/>
      <c r="R101" s="156"/>
      <c r="S101" s="156"/>
      <c r="T101" s="156"/>
      <c r="U101" s="156"/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/>
      <c r="AF101" s="156"/>
      <c r="AG101" s="156"/>
      <c r="AH101" s="156"/>
      <c r="AI101" s="156"/>
      <c r="AJ101" s="156"/>
      <c r="AK101" s="156"/>
      <c r="AL101" s="156"/>
      <c r="AM101" s="156"/>
      <c r="AN101" s="156"/>
      <c r="AO101" s="156"/>
      <c r="AP101" s="156"/>
      <c r="AQ101" s="156"/>
      <c r="AR101" s="156"/>
      <c r="AS101" s="156"/>
      <c r="AT101" s="156"/>
      <c r="AU101" s="156"/>
      <c r="AV101" s="156"/>
      <c r="AW101" s="156"/>
      <c r="AX101" s="156"/>
      <c r="AY101" s="156"/>
      <c r="AZ101" s="156"/>
      <c r="BA101" s="156"/>
      <c r="BB101" s="156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156"/>
      <c r="CP101" s="156"/>
      <c r="CQ101" s="156"/>
      <c r="CR101" s="156"/>
      <c r="CS101" s="156"/>
      <c r="CT101" s="156"/>
      <c r="CU101" s="156"/>
      <c r="CV101" s="156"/>
      <c r="CW101" s="156"/>
      <c r="CX101" s="156"/>
      <c r="CY101" s="156"/>
      <c r="CZ101" s="156"/>
      <c r="DA101" s="156"/>
      <c r="DB101" s="156"/>
      <c r="DC101" s="156"/>
      <c r="DD101" s="156"/>
      <c r="DE101" s="156"/>
      <c r="DF101" s="156"/>
      <c r="DG101" s="156"/>
      <c r="DH101" s="156"/>
      <c r="DI101" s="156"/>
      <c r="DJ101" s="156"/>
      <c r="DK101" s="156"/>
      <c r="DL101" s="156"/>
      <c r="DM101" s="156"/>
      <c r="DN101" s="156"/>
      <c r="DO101" s="156"/>
      <c r="DP101" s="156"/>
      <c r="DQ101" s="156"/>
      <c r="DR101" s="156"/>
      <c r="DS101" s="156"/>
      <c r="DT101" s="156"/>
      <c r="DU101" s="156"/>
      <c r="DV101" s="156"/>
      <c r="DW101" s="156"/>
      <c r="DX101" s="156"/>
      <c r="DY101" s="156"/>
      <c r="DZ101" s="156"/>
      <c r="EA101" s="156"/>
      <c r="EB101" s="156"/>
      <c r="EC101" s="156"/>
      <c r="ED101" s="156"/>
      <c r="EE101" s="156"/>
      <c r="EF101" s="156"/>
      <c r="EG101" s="156"/>
      <c r="EH101" s="156"/>
      <c r="EI101" s="156"/>
      <c r="EJ101" s="156"/>
      <c r="EK101" s="156"/>
      <c r="EL101" s="156"/>
      <c r="EM101" s="156"/>
      <c r="EN101" s="156"/>
      <c r="EO101" s="156"/>
      <c r="EP101" s="156"/>
      <c r="EQ101" s="156"/>
      <c r="ER101" s="156"/>
      <c r="ES101" s="156"/>
      <c r="ET101" s="156"/>
      <c r="EU101" s="156"/>
      <c r="EV101" s="156"/>
      <c r="EW101" s="156"/>
      <c r="EX101" s="156"/>
      <c r="EY101" s="156"/>
      <c r="EZ101" s="156"/>
      <c r="FA101" s="156"/>
      <c r="FB101" s="156"/>
      <c r="FC101" s="156"/>
      <c r="FD101" s="156"/>
      <c r="FE101" s="156"/>
      <c r="FF101" s="156"/>
      <c r="FG101" s="156"/>
      <c r="FH101" s="156"/>
      <c r="FI101" s="156"/>
      <c r="FJ101" s="156"/>
      <c r="FK101" s="156"/>
      <c r="FL101" s="156"/>
      <c r="FM101" s="156"/>
      <c r="FN101" s="156"/>
      <c r="FO101" s="156"/>
      <c r="FP101" s="156"/>
      <c r="FQ101" s="156"/>
      <c r="FR101" s="156"/>
      <c r="FS101" s="242"/>
      <c r="FT101" s="156"/>
      <c r="FU101" s="156"/>
      <c r="FV101" s="156"/>
      <c r="FW101" s="156"/>
      <c r="FX101" s="156"/>
      <c r="FY101" s="156"/>
      <c r="FZ101" s="156"/>
      <c r="GA101" s="156"/>
      <c r="GB101" s="156"/>
      <c r="GC101" s="156"/>
      <c r="GD101" s="156"/>
      <c r="GE101" s="156"/>
      <c r="GF101" s="156"/>
      <c r="GG101" s="156"/>
      <c r="GH101" s="156"/>
      <c r="GI101" s="156"/>
      <c r="GJ101" s="156"/>
      <c r="GK101" s="156"/>
      <c r="GL101" s="156"/>
      <c r="GM101" s="156"/>
      <c r="GN101" s="242"/>
      <c r="GO101" s="242"/>
      <c r="GP101" s="242"/>
      <c r="GQ101" s="242"/>
      <c r="GR101" s="242"/>
      <c r="GS101" s="242"/>
      <c r="GT101" s="242"/>
      <c r="GU101" s="242"/>
      <c r="GV101" s="242"/>
      <c r="GW101" s="242"/>
      <c r="GX101" s="242"/>
      <c r="GY101" s="242"/>
      <c r="GZ101" s="242"/>
      <c r="HA101" s="242"/>
      <c r="HB101" s="242"/>
      <c r="HC101" s="242"/>
      <c r="HD101" s="242"/>
      <c r="HE101" s="242"/>
      <c r="HF101" s="242"/>
      <c r="HG101" s="242"/>
      <c r="HH101" s="242"/>
      <c r="HI101" s="242"/>
      <c r="HJ101" s="242"/>
      <c r="HK101" s="242"/>
      <c r="HL101" s="242"/>
      <c r="HM101" s="442"/>
      <c r="HN101" s="442"/>
      <c r="HO101" s="442"/>
      <c r="HP101" s="538" t="s">
        <v>95</v>
      </c>
      <c r="HQ101" s="538"/>
      <c r="HR101" s="538"/>
      <c r="HS101" s="538"/>
      <c r="HT101" s="540">
        <f>MIN(IP125:IR127)</f>
        <v>0.25</v>
      </c>
      <c r="HU101" s="540"/>
      <c r="HV101" s="540"/>
      <c r="HW101" s="540"/>
      <c r="HX101" s="540"/>
      <c r="HY101" s="540"/>
      <c r="HZ101" s="540"/>
      <c r="IA101" s="540"/>
      <c r="IB101" s="540"/>
      <c r="IC101" s="540"/>
      <c r="ID101" s="540"/>
      <c r="IE101" s="540"/>
      <c r="IF101" s="538" t="s">
        <v>13</v>
      </c>
      <c r="IG101" s="538"/>
      <c r="IH101" s="538"/>
      <c r="II101" s="538"/>
      <c r="IL101" s="441" t="s">
        <v>203</v>
      </c>
      <c r="IM101" s="441"/>
      <c r="IN101" s="441" t="e">
        <f>CONCATENATE(#REF!,IL101,HT103,IL102)</f>
        <v>#REF!</v>
      </c>
      <c r="IO101" s="441"/>
      <c r="IP101" s="441"/>
      <c r="IQ101" s="441"/>
      <c r="IR101" s="441"/>
      <c r="IS101" s="441"/>
      <c r="IT101" s="441"/>
      <c r="IU101" s="441"/>
      <c r="IV101" s="441"/>
      <c r="IW101" s="442"/>
      <c r="IX101" s="442"/>
      <c r="IY101" s="442"/>
      <c r="IZ101" s="442"/>
      <c r="JA101" s="442"/>
      <c r="JB101" s="442"/>
      <c r="JC101" s="442"/>
      <c r="JD101" s="442"/>
      <c r="JE101" s="442"/>
      <c r="JF101" s="442"/>
      <c r="JG101" s="442"/>
      <c r="JH101" s="442"/>
      <c r="JI101" s="442"/>
      <c r="JJ101" s="442"/>
      <c r="JK101" s="442"/>
      <c r="JL101" s="442"/>
      <c r="JM101" s="442"/>
      <c r="JN101" s="442"/>
      <c r="JO101" s="442"/>
      <c r="JP101" s="442"/>
      <c r="JQ101" s="442"/>
      <c r="JR101" s="442"/>
      <c r="JS101" s="442"/>
      <c r="JT101" s="442"/>
      <c r="JU101" s="442"/>
      <c r="JV101" s="442"/>
      <c r="JW101" s="442"/>
      <c r="JX101" s="442"/>
      <c r="JY101" s="442"/>
      <c r="JZ101" s="442"/>
      <c r="KA101" s="442"/>
      <c r="KB101" s="442"/>
      <c r="KC101" s="442"/>
      <c r="KD101" s="442"/>
      <c r="KE101" s="442"/>
      <c r="KF101" s="442"/>
      <c r="KG101" s="442"/>
      <c r="KH101" s="442"/>
      <c r="KI101" s="442"/>
      <c r="KJ101" s="442"/>
      <c r="KK101" s="442"/>
      <c r="KL101" s="442"/>
      <c r="KM101" s="442"/>
      <c r="KN101" s="442"/>
      <c r="KO101" s="442"/>
      <c r="KP101" s="442"/>
      <c r="KQ101" s="442"/>
      <c r="KR101" s="442"/>
      <c r="KS101" s="442"/>
      <c r="KT101" s="442"/>
      <c r="KU101" s="442"/>
      <c r="KV101" s="442"/>
      <c r="KW101" s="442"/>
      <c r="KX101" s="442"/>
      <c r="KY101" s="442"/>
      <c r="KZ101" s="442"/>
      <c r="LA101" s="442"/>
      <c r="LB101" s="442"/>
      <c r="LC101" s="442"/>
      <c r="LD101" s="442"/>
      <c r="LE101" s="442"/>
      <c r="LF101" s="442"/>
      <c r="LG101" s="442"/>
      <c r="LH101" s="442"/>
      <c r="LI101" s="442"/>
      <c r="LJ101" s="442"/>
      <c r="LK101" s="442"/>
      <c r="LL101" s="442"/>
      <c r="LM101" s="442"/>
      <c r="LN101" s="442"/>
      <c r="LO101" s="442"/>
      <c r="LP101" s="442"/>
      <c r="LQ101" s="442"/>
      <c r="LR101" s="442"/>
      <c r="LS101" s="442"/>
      <c r="LT101" s="442"/>
      <c r="LU101" s="442"/>
      <c r="LV101" s="442"/>
      <c r="LW101" s="442"/>
      <c r="LX101" s="442"/>
      <c r="LY101" s="442"/>
      <c r="LZ101" s="442"/>
      <c r="MA101" s="442"/>
      <c r="MB101" s="442"/>
      <c r="MC101" s="442"/>
      <c r="MD101" s="442"/>
      <c r="ME101" s="442"/>
      <c r="MF101" s="442"/>
      <c r="MG101" s="442"/>
      <c r="MH101" s="442"/>
      <c r="MI101" s="442"/>
      <c r="MJ101" s="442"/>
      <c r="MK101" s="442"/>
      <c r="ML101" s="442"/>
      <c r="MM101" s="442"/>
      <c r="MN101" s="442"/>
      <c r="MO101" s="442"/>
      <c r="MP101" s="442"/>
      <c r="MQ101" s="442"/>
      <c r="MR101" s="442"/>
      <c r="MS101" s="442"/>
      <c r="MT101" s="442"/>
      <c r="MU101" s="442"/>
      <c r="MV101" s="442"/>
      <c r="MW101" s="442"/>
      <c r="MX101" s="442"/>
      <c r="MY101" s="442"/>
      <c r="MZ101" s="442"/>
      <c r="NA101" s="442"/>
      <c r="NB101" s="442"/>
      <c r="NC101" s="442"/>
      <c r="NT101" s="149" t="s">
        <v>175</v>
      </c>
    </row>
    <row r="102" spans="1:395" ht="14.1" customHeight="1" x14ac:dyDescent="0.2">
      <c r="A102" s="156"/>
      <c r="B102" s="236"/>
      <c r="C102" s="236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156"/>
      <c r="R102" s="156"/>
      <c r="S102" s="156"/>
      <c r="T102" s="156"/>
      <c r="U102" s="156"/>
      <c r="V102" s="156"/>
      <c r="W102" s="156"/>
      <c r="X102" s="156"/>
      <c r="Y102" s="156"/>
      <c r="Z102" s="156"/>
      <c r="AA102" s="156"/>
      <c r="AB102" s="156"/>
      <c r="AC102" s="156"/>
      <c r="AD102" s="156"/>
      <c r="AE102" s="156"/>
      <c r="AF102" s="156"/>
      <c r="AG102" s="156"/>
      <c r="AH102" s="156"/>
      <c r="AI102" s="156"/>
      <c r="AJ102" s="156"/>
      <c r="AK102" s="156"/>
      <c r="AL102" s="156"/>
      <c r="AM102" s="156"/>
      <c r="AN102" s="156"/>
      <c r="AO102" s="156"/>
      <c r="AP102" s="156"/>
      <c r="AQ102" s="156"/>
      <c r="AR102" s="156"/>
      <c r="AS102" s="156"/>
      <c r="AT102" s="156"/>
      <c r="AU102" s="156"/>
      <c r="AV102" s="156"/>
      <c r="AW102" s="156"/>
      <c r="AX102" s="156"/>
      <c r="AY102" s="156"/>
      <c r="AZ102" s="156"/>
      <c r="BA102" s="156"/>
      <c r="BB102" s="156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156"/>
      <c r="CP102" s="156"/>
      <c r="CQ102" s="156"/>
      <c r="CR102" s="156"/>
      <c r="CS102" s="156"/>
      <c r="CT102" s="156"/>
      <c r="CU102" s="156"/>
      <c r="CV102" s="156"/>
      <c r="CW102" s="156"/>
      <c r="CX102" s="156"/>
      <c r="CY102" s="156"/>
      <c r="CZ102" s="156"/>
      <c r="DA102" s="156"/>
      <c r="DB102" s="156"/>
      <c r="DC102" s="156"/>
      <c r="DD102" s="156"/>
      <c r="DE102" s="156"/>
      <c r="DF102" s="156"/>
      <c r="DG102" s="156"/>
      <c r="DH102" s="156"/>
      <c r="DI102" s="156"/>
      <c r="DJ102" s="156"/>
      <c r="DK102" s="156"/>
      <c r="DL102" s="156"/>
      <c r="DM102" s="156"/>
      <c r="DN102" s="156"/>
      <c r="DO102" s="156"/>
      <c r="DP102" s="156"/>
      <c r="DQ102" s="156"/>
      <c r="DR102" s="156"/>
      <c r="DS102" s="156"/>
      <c r="DT102" s="156"/>
      <c r="DU102" s="156"/>
      <c r="DV102" s="156"/>
      <c r="DW102" s="156"/>
      <c r="DX102" s="156"/>
      <c r="DY102" s="156"/>
      <c r="DZ102" s="156"/>
      <c r="EA102" s="156"/>
      <c r="EB102" s="156"/>
      <c r="EC102" s="156"/>
      <c r="ED102" s="156"/>
      <c r="EE102" s="156"/>
      <c r="EF102" s="156"/>
      <c r="EG102" s="156"/>
      <c r="EH102" s="156"/>
      <c r="EI102" s="156"/>
      <c r="EJ102" s="156"/>
      <c r="EK102" s="156"/>
      <c r="EL102" s="156"/>
      <c r="EM102" s="156"/>
      <c r="EN102" s="156"/>
      <c r="EO102" s="156"/>
      <c r="EP102" s="156"/>
      <c r="EQ102" s="156"/>
      <c r="ER102" s="156"/>
      <c r="ES102" s="156"/>
      <c r="ET102" s="156"/>
      <c r="EU102" s="156"/>
      <c r="EV102" s="156"/>
      <c r="EW102" s="156"/>
      <c r="EX102" s="156"/>
      <c r="EY102" s="156"/>
      <c r="EZ102" s="156"/>
      <c r="FA102" s="156"/>
      <c r="FB102" s="156"/>
      <c r="FC102" s="156"/>
      <c r="FD102" s="156"/>
      <c r="FE102" s="156"/>
      <c r="FF102" s="156"/>
      <c r="FG102" s="156"/>
      <c r="FH102" s="156"/>
      <c r="FI102" s="156"/>
      <c r="FJ102" s="156"/>
      <c r="FK102" s="156"/>
      <c r="FL102" s="156"/>
      <c r="FM102" s="156"/>
      <c r="FN102" s="156"/>
      <c r="FO102" s="156"/>
      <c r="FP102" s="156"/>
      <c r="FQ102" s="156"/>
      <c r="FR102" s="156"/>
      <c r="FS102" s="242"/>
      <c r="FT102" s="156"/>
      <c r="FU102" s="156"/>
      <c r="FV102" s="156"/>
      <c r="FW102" s="156"/>
      <c r="FX102" s="156"/>
      <c r="FY102" s="156"/>
      <c r="FZ102" s="156"/>
      <c r="GA102" s="156"/>
      <c r="GB102" s="156"/>
      <c r="GC102" s="156"/>
      <c r="GD102" s="156"/>
      <c r="GE102" s="156"/>
      <c r="GF102" s="156"/>
      <c r="GG102" s="156"/>
      <c r="GH102" s="156"/>
      <c r="GI102" s="156"/>
      <c r="GJ102" s="156"/>
      <c r="GK102" s="156"/>
      <c r="GL102" s="156"/>
      <c r="GM102" s="156"/>
      <c r="GN102" s="242"/>
      <c r="GO102" s="242"/>
      <c r="GP102" s="242"/>
      <c r="GQ102" s="242"/>
      <c r="GR102" s="242"/>
      <c r="GS102" s="242"/>
      <c r="GT102" s="242"/>
      <c r="GU102" s="242"/>
      <c r="GV102" s="242"/>
      <c r="GW102" s="242"/>
      <c r="GX102" s="242"/>
      <c r="GY102" s="242"/>
      <c r="GZ102" s="242"/>
      <c r="HA102" s="242"/>
      <c r="HB102" s="242"/>
      <c r="HC102" s="242"/>
      <c r="HD102" s="242"/>
      <c r="HE102" s="242"/>
      <c r="HF102" s="242"/>
      <c r="HG102" s="242"/>
      <c r="HH102" s="242"/>
      <c r="HI102" s="242"/>
      <c r="HJ102" s="242"/>
      <c r="HK102" s="242"/>
      <c r="HL102" s="242"/>
      <c r="HM102" s="442"/>
      <c r="HN102" s="442"/>
      <c r="HO102" s="442"/>
      <c r="IL102" s="441" t="s">
        <v>204</v>
      </c>
      <c r="IM102" s="441"/>
      <c r="IN102" s="441"/>
      <c r="IO102" s="441"/>
      <c r="IP102" s="441"/>
      <c r="IQ102" s="441" t="str">
        <f>CONCATENATE(HT73,IL102)</f>
        <v>1.5 m.</v>
      </c>
      <c r="IR102" s="441"/>
      <c r="IS102" s="441"/>
      <c r="IT102" s="441"/>
      <c r="IU102" s="441"/>
      <c r="IV102" s="441"/>
      <c r="IW102" s="442"/>
      <c r="IX102" s="442"/>
      <c r="IY102" s="442"/>
      <c r="IZ102" s="442"/>
      <c r="JA102" s="442"/>
      <c r="JB102" s="442"/>
      <c r="JC102" s="442"/>
      <c r="JD102" s="442"/>
      <c r="JE102" s="442"/>
      <c r="JF102" s="442"/>
      <c r="JG102" s="442"/>
      <c r="JH102" s="442"/>
      <c r="JI102" s="442"/>
      <c r="JJ102" s="442"/>
      <c r="JK102" s="442"/>
      <c r="JL102" s="442"/>
      <c r="JM102" s="442"/>
      <c r="JN102" s="442"/>
      <c r="JO102" s="442"/>
      <c r="JP102" s="442"/>
      <c r="JQ102" s="442"/>
      <c r="JR102" s="442"/>
      <c r="JS102" s="442"/>
      <c r="JT102" s="442"/>
      <c r="JU102" s="442"/>
      <c r="JV102" s="442"/>
      <c r="JW102" s="442"/>
      <c r="JX102" s="442"/>
      <c r="JY102" s="442"/>
      <c r="JZ102" s="442"/>
      <c r="KA102" s="442"/>
      <c r="KB102" s="442"/>
      <c r="KC102" s="442"/>
      <c r="KD102" s="442"/>
      <c r="KE102" s="442"/>
      <c r="KF102" s="442"/>
      <c r="KG102" s="442"/>
      <c r="KH102" s="442"/>
      <c r="KI102" s="442"/>
      <c r="KJ102" s="442"/>
      <c r="KK102" s="442"/>
      <c r="KL102" s="442"/>
      <c r="KM102" s="442"/>
      <c r="KN102" s="442"/>
      <c r="KO102" s="442"/>
      <c r="KP102" s="442"/>
      <c r="KQ102" s="442"/>
      <c r="KR102" s="442"/>
      <c r="KS102" s="442"/>
      <c r="KT102" s="442"/>
      <c r="KU102" s="442"/>
      <c r="KV102" s="442"/>
      <c r="KW102" s="442"/>
      <c r="KX102" s="442"/>
      <c r="KY102" s="442"/>
      <c r="KZ102" s="442"/>
      <c r="LA102" s="442"/>
      <c r="LB102" s="442"/>
      <c r="LC102" s="442"/>
      <c r="LD102" s="442"/>
      <c r="LE102" s="442"/>
      <c r="LF102" s="442"/>
      <c r="LG102" s="442"/>
      <c r="LH102" s="442"/>
      <c r="LI102" s="442"/>
      <c r="LJ102" s="442"/>
      <c r="LK102" s="442"/>
      <c r="LL102" s="442"/>
      <c r="LM102" s="442"/>
      <c r="LN102" s="442"/>
      <c r="LO102" s="442"/>
      <c r="LP102" s="442"/>
      <c r="LQ102" s="442"/>
      <c r="LR102" s="442"/>
      <c r="LS102" s="442"/>
      <c r="LT102" s="442"/>
      <c r="LU102" s="442"/>
      <c r="LV102" s="442"/>
      <c r="LW102" s="442"/>
      <c r="LX102" s="442"/>
      <c r="LY102" s="442"/>
      <c r="LZ102" s="442"/>
      <c r="MA102" s="442"/>
      <c r="MB102" s="442"/>
      <c r="MC102" s="442"/>
      <c r="MD102" s="442"/>
      <c r="ME102" s="442"/>
      <c r="MF102" s="442"/>
      <c r="MG102" s="442"/>
      <c r="MH102" s="442"/>
      <c r="MI102" s="442"/>
      <c r="MJ102" s="442"/>
      <c r="MK102" s="442"/>
      <c r="ML102" s="442"/>
      <c r="MM102" s="442"/>
      <c r="MN102" s="442"/>
      <c r="MO102" s="442"/>
      <c r="MP102" s="442"/>
      <c r="MQ102" s="442"/>
      <c r="MR102" s="442"/>
      <c r="MS102" s="442"/>
      <c r="MT102" s="442"/>
      <c r="MU102" s="442"/>
      <c r="MV102" s="442"/>
      <c r="MW102" s="442"/>
      <c r="MX102" s="442"/>
      <c r="MY102" s="442"/>
      <c r="MZ102" s="442"/>
      <c r="NA102" s="442"/>
      <c r="NB102" s="442"/>
      <c r="NC102" s="442"/>
      <c r="NT102" s="149" t="s">
        <v>22</v>
      </c>
      <c r="NU102" s="149">
        <f>NY69</f>
        <v>0.8</v>
      </c>
      <c r="NV102" s="149">
        <f>NU102</f>
        <v>0.8</v>
      </c>
      <c r="NX102" s="149">
        <f>NU102</f>
        <v>0.8</v>
      </c>
      <c r="NY102" s="149">
        <f>NX102+0.1</f>
        <v>0.9</v>
      </c>
      <c r="OA102" s="189">
        <f>NY102</f>
        <v>0.9</v>
      </c>
      <c r="OD102" s="189">
        <f>OK69</f>
        <v>0.8</v>
      </c>
      <c r="OE102" s="189">
        <f>OD102</f>
        <v>0.8</v>
      </c>
    </row>
    <row r="103" spans="1:395" ht="14.1" customHeight="1" x14ac:dyDescent="0.2">
      <c r="A103" s="156"/>
      <c r="B103" s="236"/>
      <c r="C103" s="236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156"/>
      <c r="R103" s="156"/>
      <c r="S103" s="156"/>
      <c r="T103" s="156"/>
      <c r="U103" s="156"/>
      <c r="V103" s="156"/>
      <c r="W103" s="156"/>
      <c r="X103" s="156"/>
      <c r="Y103" s="156"/>
      <c r="Z103" s="156"/>
      <c r="AA103" s="156"/>
      <c r="AB103" s="156"/>
      <c r="AC103" s="156"/>
      <c r="AD103" s="156"/>
      <c r="AE103" s="156"/>
      <c r="AF103" s="156"/>
      <c r="AG103" s="156"/>
      <c r="AH103" s="156"/>
      <c r="AI103" s="156"/>
      <c r="AJ103" s="156"/>
      <c r="AK103" s="156"/>
      <c r="AL103" s="156"/>
      <c r="AM103" s="156"/>
      <c r="AN103" s="156"/>
      <c r="AO103" s="156"/>
      <c r="AP103" s="156"/>
      <c r="AQ103" s="156"/>
      <c r="AR103" s="156"/>
      <c r="AS103" s="156"/>
      <c r="AT103" s="156"/>
      <c r="AU103" s="156"/>
      <c r="AV103" s="156"/>
      <c r="AW103" s="156"/>
      <c r="AX103" s="156"/>
      <c r="AY103" s="156"/>
      <c r="AZ103" s="156"/>
      <c r="BA103" s="156"/>
      <c r="BB103" s="156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156"/>
      <c r="CP103" s="156"/>
      <c r="CQ103" s="156"/>
      <c r="CR103" s="156"/>
      <c r="CS103" s="156"/>
      <c r="CT103" s="156"/>
      <c r="CU103" s="156"/>
      <c r="CV103" s="156"/>
      <c r="CW103" s="156"/>
      <c r="CX103" s="156"/>
      <c r="CY103" s="156"/>
      <c r="CZ103" s="156"/>
      <c r="DA103" s="156"/>
      <c r="DB103" s="156"/>
      <c r="DC103" s="156"/>
      <c r="DD103" s="156"/>
      <c r="DE103" s="156"/>
      <c r="DF103" s="156"/>
      <c r="DG103" s="156"/>
      <c r="DH103" s="156"/>
      <c r="DI103" s="156"/>
      <c r="DJ103" s="156"/>
      <c r="DK103" s="156"/>
      <c r="DL103" s="156"/>
      <c r="DM103" s="156"/>
      <c r="DN103" s="156"/>
      <c r="DO103" s="156"/>
      <c r="DP103" s="156"/>
      <c r="DQ103" s="156"/>
      <c r="DR103" s="156"/>
      <c r="DS103" s="156"/>
      <c r="DT103" s="156"/>
      <c r="DU103" s="156"/>
      <c r="DV103" s="156"/>
      <c r="DW103" s="156"/>
      <c r="DX103" s="156"/>
      <c r="DY103" s="156"/>
      <c r="DZ103" s="156"/>
      <c r="EA103" s="156"/>
      <c r="EB103" s="156"/>
      <c r="EC103" s="156"/>
      <c r="ED103" s="156"/>
      <c r="EE103" s="156"/>
      <c r="EF103" s="156"/>
      <c r="EG103" s="156"/>
      <c r="EH103" s="156"/>
      <c r="EI103" s="156"/>
      <c r="EJ103" s="156"/>
      <c r="EK103" s="156"/>
      <c r="EL103" s="156"/>
      <c r="EM103" s="156"/>
      <c r="EN103" s="156"/>
      <c r="EO103" s="156"/>
      <c r="EP103" s="156"/>
      <c r="EQ103" s="156"/>
      <c r="ER103" s="156"/>
      <c r="ES103" s="156"/>
      <c r="ET103" s="156"/>
      <c r="EU103" s="156"/>
      <c r="EV103" s="156"/>
      <c r="EW103" s="156"/>
      <c r="EX103" s="156"/>
      <c r="EY103" s="156"/>
      <c r="EZ103" s="156"/>
      <c r="FA103" s="156"/>
      <c r="FB103" s="156"/>
      <c r="FC103" s="156"/>
      <c r="FD103" s="156"/>
      <c r="FE103" s="156"/>
      <c r="FF103" s="156"/>
      <c r="FG103" s="156"/>
      <c r="FH103" s="156"/>
      <c r="FI103" s="156"/>
      <c r="FJ103" s="156"/>
      <c r="FK103" s="156"/>
      <c r="FL103" s="156"/>
      <c r="FM103" s="156"/>
      <c r="FN103" s="156"/>
      <c r="FO103" s="156"/>
      <c r="FP103" s="156"/>
      <c r="FQ103" s="156"/>
      <c r="FR103" s="156"/>
      <c r="FS103" s="242"/>
      <c r="FT103" s="156"/>
      <c r="FU103" s="156"/>
      <c r="FV103" s="156"/>
      <c r="FW103" s="156"/>
      <c r="FX103" s="156"/>
      <c r="FY103" s="156"/>
      <c r="FZ103" s="156"/>
      <c r="GA103" s="156"/>
      <c r="GB103" s="156"/>
      <c r="GC103" s="156"/>
      <c r="GD103" s="156"/>
      <c r="GE103" s="156"/>
      <c r="GF103" s="156"/>
      <c r="GG103" s="156"/>
      <c r="GH103" s="156"/>
      <c r="GI103" s="156"/>
      <c r="GJ103" s="156"/>
      <c r="GK103" s="156"/>
      <c r="GL103" s="156"/>
      <c r="GM103" s="156"/>
      <c r="GN103" s="242"/>
      <c r="GO103" s="242"/>
      <c r="GP103" s="242"/>
      <c r="GQ103" s="242"/>
      <c r="GR103" s="242"/>
      <c r="GS103" s="242"/>
      <c r="GT103" s="242"/>
      <c r="GU103" s="242"/>
      <c r="GV103" s="242"/>
      <c r="GW103" s="242"/>
      <c r="GX103" s="242"/>
      <c r="GY103" s="242"/>
      <c r="GZ103" s="242"/>
      <c r="HA103" s="242"/>
      <c r="HB103" s="242"/>
      <c r="HC103" s="242"/>
      <c r="HD103" s="242"/>
      <c r="HE103" s="242"/>
      <c r="HF103" s="242"/>
      <c r="HG103" s="242"/>
      <c r="HH103" s="242"/>
      <c r="HI103" s="242"/>
      <c r="HJ103" s="242"/>
      <c r="HK103" s="242"/>
      <c r="HL103" s="242"/>
      <c r="HM103" s="442"/>
      <c r="HN103" s="442"/>
      <c r="HO103" s="442"/>
      <c r="HP103" s="37"/>
      <c r="HQ103" s="37"/>
      <c r="HR103" s="37"/>
      <c r="HS103" s="37"/>
      <c r="HT103" s="466"/>
      <c r="HU103" s="466"/>
      <c r="HV103" s="466"/>
      <c r="HW103" s="466"/>
      <c r="HX103" s="466"/>
      <c r="HY103" s="466"/>
      <c r="HZ103" s="466"/>
      <c r="IA103" s="466"/>
      <c r="IB103" s="466"/>
      <c r="IC103" s="466"/>
      <c r="ID103" s="466"/>
      <c r="IE103" s="466"/>
      <c r="IF103" s="37"/>
      <c r="IG103" s="37"/>
      <c r="IH103" s="37"/>
      <c r="II103" s="37"/>
      <c r="IJ103" s="183"/>
      <c r="IK103" s="183"/>
      <c r="IL103" s="535">
        <f>ROUND(HT78/100,3)</f>
        <v>0.1</v>
      </c>
      <c r="IM103" s="535"/>
      <c r="IN103" s="441" t="str">
        <f>CONCATENATE(IL103,IL102)</f>
        <v>0.1 m.</v>
      </c>
      <c r="IO103" s="441"/>
      <c r="IP103" s="441"/>
      <c r="IQ103" s="439"/>
      <c r="IR103" s="441"/>
      <c r="IS103" s="441"/>
      <c r="IT103" s="441"/>
      <c r="IU103" s="441"/>
      <c r="IV103" s="441"/>
      <c r="IW103" s="442"/>
      <c r="IX103" s="442"/>
      <c r="IY103" s="442"/>
      <c r="IZ103" s="442"/>
      <c r="JA103" s="442"/>
      <c r="JB103" s="442"/>
      <c r="JC103" s="442"/>
      <c r="JD103" s="442"/>
      <c r="JE103" s="442"/>
      <c r="JF103" s="442"/>
      <c r="JG103" s="442"/>
      <c r="JH103" s="442"/>
      <c r="JI103" s="442"/>
      <c r="JJ103" s="442"/>
      <c r="JK103" s="442"/>
      <c r="JL103" s="442"/>
      <c r="JM103" s="442"/>
      <c r="JN103" s="442"/>
      <c r="JO103" s="442"/>
      <c r="JP103" s="442"/>
      <c r="JQ103" s="442"/>
      <c r="JR103" s="442"/>
      <c r="JS103" s="442"/>
      <c r="JT103" s="442"/>
      <c r="JU103" s="442"/>
      <c r="JV103" s="442"/>
      <c r="JW103" s="442"/>
      <c r="JX103" s="442"/>
      <c r="JY103" s="442"/>
      <c r="JZ103" s="442"/>
      <c r="KA103" s="442"/>
      <c r="KB103" s="442"/>
      <c r="KC103" s="442"/>
      <c r="KD103" s="442"/>
      <c r="KE103" s="442"/>
      <c r="KF103" s="442"/>
      <c r="KG103" s="442"/>
      <c r="KH103" s="442"/>
      <c r="KI103" s="442"/>
      <c r="KJ103" s="442"/>
      <c r="KK103" s="442"/>
      <c r="KL103" s="442"/>
      <c r="KM103" s="442"/>
      <c r="KN103" s="442"/>
      <c r="KO103" s="442"/>
      <c r="KP103" s="442"/>
      <c r="KQ103" s="442"/>
      <c r="KR103" s="442"/>
      <c r="KS103" s="442"/>
      <c r="KT103" s="442"/>
      <c r="KU103" s="442"/>
      <c r="KV103" s="442"/>
      <c r="KW103" s="442"/>
      <c r="KX103" s="442"/>
      <c r="KY103" s="442"/>
      <c r="KZ103" s="442"/>
      <c r="LA103" s="442"/>
      <c r="LB103" s="442"/>
      <c r="LC103" s="442"/>
      <c r="LD103" s="442"/>
      <c r="LE103" s="442"/>
      <c r="LF103" s="442"/>
      <c r="LG103" s="442"/>
      <c r="LH103" s="442"/>
      <c r="LI103" s="442"/>
      <c r="LJ103" s="442"/>
      <c r="LK103" s="442"/>
      <c r="LL103" s="442"/>
      <c r="LM103" s="442"/>
      <c r="LN103" s="442"/>
      <c r="LO103" s="442"/>
      <c r="LP103" s="442"/>
      <c r="LQ103" s="442"/>
      <c r="LR103" s="442"/>
      <c r="LS103" s="442"/>
      <c r="LT103" s="442"/>
      <c r="LU103" s="442"/>
      <c r="LV103" s="442"/>
      <c r="LW103" s="442"/>
      <c r="LX103" s="442"/>
      <c r="LY103" s="442"/>
      <c r="LZ103" s="442"/>
      <c r="MA103" s="442"/>
      <c r="MB103" s="442"/>
      <c r="MC103" s="442"/>
      <c r="MD103" s="442"/>
      <c r="ME103" s="442"/>
      <c r="MF103" s="442"/>
      <c r="MG103" s="442"/>
      <c r="MH103" s="442"/>
      <c r="MI103" s="442"/>
      <c r="MJ103" s="442"/>
      <c r="MK103" s="442"/>
      <c r="ML103" s="442"/>
      <c r="MM103" s="442"/>
      <c r="MN103" s="442"/>
      <c r="MO103" s="442"/>
      <c r="MP103" s="442"/>
      <c r="MQ103" s="442"/>
      <c r="MR103" s="442"/>
      <c r="MS103" s="442"/>
      <c r="MT103" s="442"/>
      <c r="MU103" s="442"/>
      <c r="MV103" s="442"/>
      <c r="MW103" s="442"/>
      <c r="MX103" s="442"/>
      <c r="MY103" s="442"/>
      <c r="MZ103" s="442"/>
      <c r="NA103" s="442"/>
      <c r="NB103" s="442"/>
      <c r="NC103" s="442"/>
      <c r="NT103" s="149" t="s">
        <v>23</v>
      </c>
      <c r="NU103" s="149">
        <f>NY70</f>
        <v>-0.08</v>
      </c>
      <c r="NV103" s="149">
        <f>NU103-0.15</f>
        <v>-0.22999999999999998</v>
      </c>
      <c r="NX103" s="149">
        <f>NV103</f>
        <v>-0.22999999999999998</v>
      </c>
      <c r="NY103" s="149">
        <f>NV103</f>
        <v>-0.22999999999999998</v>
      </c>
      <c r="OA103" s="189">
        <f>NY103</f>
        <v>-0.22999999999999998</v>
      </c>
      <c r="OD103" s="189">
        <f>OK70</f>
        <v>-9.5000000000000001E-2</v>
      </c>
      <c r="OE103" s="189">
        <f>OD103-0.15+0.015</f>
        <v>-0.22999999999999998</v>
      </c>
    </row>
    <row r="104" spans="1:395" ht="14.1" customHeight="1" x14ac:dyDescent="0.2">
      <c r="A104" s="156"/>
      <c r="B104" s="236"/>
      <c r="C104" s="236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156"/>
      <c r="R104" s="156"/>
      <c r="S104" s="156"/>
      <c r="T104" s="156"/>
      <c r="U104" s="156"/>
      <c r="V104" s="156"/>
      <c r="W104" s="156"/>
      <c r="X104" s="156"/>
      <c r="Y104" s="156"/>
      <c r="Z104" s="156"/>
      <c r="AA104" s="156"/>
      <c r="AB104" s="156"/>
      <c r="AC104" s="156"/>
      <c r="AD104" s="156"/>
      <c r="AE104" s="156"/>
      <c r="AF104" s="156"/>
      <c r="AG104" s="156"/>
      <c r="AH104" s="156"/>
      <c r="AI104" s="156"/>
      <c r="AJ104" s="156"/>
      <c r="AK104" s="156"/>
      <c r="AL104" s="156"/>
      <c r="AM104" s="156"/>
      <c r="AN104" s="156"/>
      <c r="AO104" s="156"/>
      <c r="AP104" s="156"/>
      <c r="AQ104" s="156"/>
      <c r="AR104" s="156"/>
      <c r="AS104" s="156"/>
      <c r="AT104" s="156"/>
      <c r="AU104" s="156"/>
      <c r="AV104" s="156"/>
      <c r="AW104" s="156"/>
      <c r="AX104" s="156"/>
      <c r="AY104" s="156"/>
      <c r="AZ104" s="156"/>
      <c r="BA104" s="156"/>
      <c r="BB104" s="156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156"/>
      <c r="CP104" s="156"/>
      <c r="CQ104" s="156"/>
      <c r="CR104" s="156"/>
      <c r="CS104" s="156"/>
      <c r="CT104" s="156"/>
      <c r="CU104" s="156"/>
      <c r="CV104" s="156"/>
      <c r="CW104" s="156"/>
      <c r="CX104" s="156"/>
      <c r="CY104" s="156"/>
      <c r="CZ104" s="156"/>
      <c r="DA104" s="156"/>
      <c r="DB104" s="156"/>
      <c r="DC104" s="156"/>
      <c r="DD104" s="156"/>
      <c r="DE104" s="156"/>
      <c r="DF104" s="156"/>
      <c r="DG104" s="156"/>
      <c r="DH104" s="156"/>
      <c r="DI104" s="156"/>
      <c r="DJ104" s="156"/>
      <c r="DK104" s="156"/>
      <c r="DL104" s="156"/>
      <c r="DM104" s="156"/>
      <c r="DN104" s="156"/>
      <c r="DO104" s="156"/>
      <c r="DP104" s="156"/>
      <c r="DQ104" s="156"/>
      <c r="DR104" s="156"/>
      <c r="DS104" s="156"/>
      <c r="DT104" s="156"/>
      <c r="DU104" s="156"/>
      <c r="DV104" s="156"/>
      <c r="DW104" s="156"/>
      <c r="DX104" s="156"/>
      <c r="DY104" s="156"/>
      <c r="DZ104" s="156"/>
      <c r="EA104" s="156"/>
      <c r="EB104" s="156"/>
      <c r="EC104" s="156"/>
      <c r="ED104" s="156"/>
      <c r="EE104" s="156"/>
      <c r="EF104" s="156"/>
      <c r="EG104" s="156"/>
      <c r="EH104" s="156"/>
      <c r="EI104" s="156"/>
      <c r="EJ104" s="156"/>
      <c r="EK104" s="156"/>
      <c r="EL104" s="156"/>
      <c r="EM104" s="156"/>
      <c r="EN104" s="156"/>
      <c r="EO104" s="156"/>
      <c r="EP104" s="156"/>
      <c r="EQ104" s="156"/>
      <c r="ER104" s="156"/>
      <c r="ES104" s="156"/>
      <c r="ET104" s="156"/>
      <c r="EU104" s="156"/>
      <c r="EV104" s="156"/>
      <c r="EW104" s="156"/>
      <c r="EX104" s="156"/>
      <c r="EY104" s="156"/>
      <c r="EZ104" s="156"/>
      <c r="FA104" s="156"/>
      <c r="FB104" s="156"/>
      <c r="FC104" s="156"/>
      <c r="FD104" s="156"/>
      <c r="FE104" s="156"/>
      <c r="FF104" s="156"/>
      <c r="FG104" s="156"/>
      <c r="FH104" s="156"/>
      <c r="FI104" s="156"/>
      <c r="FJ104" s="156"/>
      <c r="FK104" s="156"/>
      <c r="FL104" s="156"/>
      <c r="FM104" s="156"/>
      <c r="FN104" s="156"/>
      <c r="FO104" s="156"/>
      <c r="FP104" s="156"/>
      <c r="FQ104" s="156"/>
      <c r="FR104" s="156"/>
      <c r="FS104" s="242"/>
      <c r="FT104" s="156"/>
      <c r="FU104" s="156"/>
      <c r="FV104" s="156"/>
      <c r="FW104" s="156"/>
      <c r="FX104" s="156"/>
      <c r="FY104" s="156"/>
      <c r="FZ104" s="156"/>
      <c r="GA104" s="156"/>
      <c r="GB104" s="156"/>
      <c r="GC104" s="156"/>
      <c r="GD104" s="156"/>
      <c r="GE104" s="156"/>
      <c r="GF104" s="156"/>
      <c r="GG104" s="156"/>
      <c r="GH104" s="156"/>
      <c r="GI104" s="156"/>
      <c r="GJ104" s="156"/>
      <c r="GK104" s="156"/>
      <c r="GL104" s="156"/>
      <c r="GM104" s="156"/>
      <c r="GN104" s="242"/>
      <c r="GO104" s="242"/>
      <c r="GP104" s="242"/>
      <c r="GQ104" s="242"/>
      <c r="GR104" s="242"/>
      <c r="GS104" s="242"/>
      <c r="GT104" s="242"/>
      <c r="GU104" s="242"/>
      <c r="GV104" s="242"/>
      <c r="GW104" s="242"/>
      <c r="GX104" s="242"/>
      <c r="GY104" s="242"/>
      <c r="GZ104" s="242"/>
      <c r="HA104" s="242"/>
      <c r="HB104" s="242"/>
      <c r="HC104" s="242"/>
      <c r="HD104" s="242"/>
      <c r="HE104" s="242"/>
      <c r="HF104" s="242"/>
      <c r="HG104" s="242"/>
      <c r="HH104" s="242"/>
      <c r="HI104" s="242"/>
      <c r="HJ104" s="242"/>
      <c r="HK104" s="242"/>
      <c r="HL104" s="242"/>
      <c r="HM104" s="442"/>
      <c r="HN104" s="442"/>
      <c r="HO104" s="442"/>
      <c r="IJ104" s="188"/>
      <c r="IK104" s="188"/>
      <c r="IL104" s="441"/>
      <c r="IM104" s="441"/>
      <c r="IN104" s="536" t="str">
        <f>IF(IS84=0,"Cancel","L/3")</f>
        <v>L/3</v>
      </c>
      <c r="IO104" s="536"/>
      <c r="IP104" s="439" t="str">
        <f>IF(IS84=0,"L/4","L/3")</f>
        <v>L/3</v>
      </c>
      <c r="IQ104" s="441"/>
      <c r="IR104" s="536" t="str">
        <f>IF(IS84=2,"L/3","L/4")</f>
        <v>L/3</v>
      </c>
      <c r="IS104" s="536"/>
      <c r="IT104" s="536" t="str">
        <f>IF(IS84=2,"L/3","Cancel")</f>
        <v>L/3</v>
      </c>
      <c r="IU104" s="536"/>
      <c r="IV104" s="441"/>
      <c r="IW104" s="442"/>
      <c r="IX104" s="442"/>
      <c r="IY104" s="442"/>
      <c r="IZ104" s="442"/>
      <c r="JA104" s="442"/>
      <c r="JB104" s="442"/>
      <c r="JC104" s="442"/>
      <c r="JD104" s="442"/>
      <c r="JE104" s="442"/>
      <c r="JF104" s="442"/>
      <c r="JG104" s="442"/>
      <c r="JH104" s="442"/>
      <c r="JI104" s="442"/>
      <c r="JJ104" s="442"/>
      <c r="JK104" s="442"/>
      <c r="JL104" s="442"/>
      <c r="JM104" s="442"/>
      <c r="JN104" s="442"/>
      <c r="JO104" s="442"/>
      <c r="JP104" s="442"/>
      <c r="JQ104" s="442"/>
      <c r="JR104" s="442"/>
      <c r="JS104" s="442"/>
      <c r="JT104" s="442"/>
      <c r="JU104" s="442"/>
      <c r="JV104" s="442"/>
      <c r="JW104" s="442"/>
      <c r="JX104" s="442"/>
      <c r="JY104" s="442"/>
      <c r="JZ104" s="442"/>
      <c r="KA104" s="442"/>
      <c r="KB104" s="442"/>
      <c r="KC104" s="442"/>
      <c r="KD104" s="442"/>
      <c r="KE104" s="442"/>
      <c r="KF104" s="442"/>
      <c r="KG104" s="442"/>
      <c r="KH104" s="442"/>
      <c r="KI104" s="442"/>
      <c r="KJ104" s="442"/>
      <c r="KK104" s="442"/>
      <c r="KL104" s="442"/>
      <c r="KM104" s="442"/>
      <c r="KN104" s="442"/>
      <c r="KO104" s="442"/>
      <c r="KP104" s="442"/>
      <c r="KQ104" s="442"/>
      <c r="KR104" s="442"/>
      <c r="KS104" s="442"/>
      <c r="KT104" s="442"/>
      <c r="KU104" s="442"/>
      <c r="KV104" s="442"/>
      <c r="KW104" s="442"/>
      <c r="KX104" s="442"/>
      <c r="KY104" s="442"/>
      <c r="KZ104" s="442"/>
      <c r="LA104" s="442"/>
      <c r="LB104" s="442"/>
      <c r="LC104" s="442"/>
      <c r="LD104" s="442"/>
      <c r="LE104" s="442"/>
      <c r="LF104" s="442"/>
      <c r="LG104" s="442"/>
      <c r="LH104" s="442"/>
      <c r="LI104" s="442"/>
      <c r="LJ104" s="442"/>
      <c r="LK104" s="442"/>
      <c r="LL104" s="442"/>
      <c r="LM104" s="442"/>
      <c r="LN104" s="442"/>
      <c r="LO104" s="442"/>
      <c r="LP104" s="442"/>
      <c r="LQ104" s="442"/>
      <c r="LR104" s="442"/>
      <c r="LS104" s="442"/>
      <c r="LT104" s="442"/>
      <c r="LU104" s="442"/>
      <c r="LV104" s="442"/>
      <c r="LW104" s="442"/>
      <c r="LX104" s="442"/>
      <c r="LY104" s="442"/>
      <c r="LZ104" s="442"/>
      <c r="MA104" s="442"/>
      <c r="MB104" s="442"/>
      <c r="MC104" s="442"/>
      <c r="MD104" s="442"/>
      <c r="ME104" s="442"/>
      <c r="MF104" s="442"/>
      <c r="MG104" s="442"/>
      <c r="MH104" s="442"/>
      <c r="MI104" s="442"/>
      <c r="MJ104" s="442"/>
      <c r="MK104" s="442"/>
      <c r="ML104" s="442"/>
      <c r="MM104" s="442"/>
      <c r="MN104" s="442"/>
      <c r="MO104" s="442"/>
      <c r="MP104" s="442"/>
      <c r="MQ104" s="442"/>
      <c r="MR104" s="442"/>
      <c r="MS104" s="442"/>
      <c r="MT104" s="442"/>
      <c r="MU104" s="442"/>
      <c r="MV104" s="442"/>
      <c r="MW104" s="442"/>
      <c r="MX104" s="442"/>
      <c r="MY104" s="442"/>
      <c r="MZ104" s="442"/>
      <c r="NA104" s="442"/>
      <c r="NB104" s="442"/>
      <c r="NC104" s="442"/>
      <c r="NT104" s="149" t="s">
        <v>176</v>
      </c>
    </row>
    <row r="105" spans="1:395" ht="14.1" customHeight="1" x14ac:dyDescent="0.2">
      <c r="A105" s="156"/>
      <c r="B105" s="236"/>
      <c r="C105" s="236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156"/>
      <c r="R105" s="156"/>
      <c r="S105" s="156"/>
      <c r="T105" s="156"/>
      <c r="U105" s="156"/>
      <c r="V105" s="156"/>
      <c r="W105" s="156"/>
      <c r="X105" s="156"/>
      <c r="Y105" s="156"/>
      <c r="Z105" s="156"/>
      <c r="AA105" s="156"/>
      <c r="AB105" s="156"/>
      <c r="AC105" s="156"/>
      <c r="AD105" s="156"/>
      <c r="AE105" s="156"/>
      <c r="AF105" s="156"/>
      <c r="AG105" s="156"/>
      <c r="AH105" s="156"/>
      <c r="AI105" s="156"/>
      <c r="AJ105" s="156"/>
      <c r="AK105" s="156"/>
      <c r="AL105" s="156"/>
      <c r="AM105" s="156"/>
      <c r="AN105" s="156"/>
      <c r="AO105" s="156"/>
      <c r="AP105" s="156"/>
      <c r="AQ105" s="156"/>
      <c r="AR105" s="156"/>
      <c r="AS105" s="156"/>
      <c r="AT105" s="156"/>
      <c r="AU105" s="156"/>
      <c r="AV105" s="156"/>
      <c r="AW105" s="156"/>
      <c r="AX105" s="156"/>
      <c r="AY105" s="156"/>
      <c r="AZ105" s="156"/>
      <c r="BA105" s="156"/>
      <c r="BB105" s="156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156"/>
      <c r="CP105" s="156"/>
      <c r="CQ105" s="156"/>
      <c r="CR105" s="156"/>
      <c r="CS105" s="156"/>
      <c r="CT105" s="156"/>
      <c r="CU105" s="156"/>
      <c r="CV105" s="156"/>
      <c r="CW105" s="156"/>
      <c r="CX105" s="156"/>
      <c r="CY105" s="156"/>
      <c r="CZ105" s="156"/>
      <c r="DA105" s="156"/>
      <c r="DB105" s="156"/>
      <c r="DC105" s="156"/>
      <c r="DD105" s="156"/>
      <c r="DE105" s="156"/>
      <c r="DF105" s="156"/>
      <c r="DG105" s="156"/>
      <c r="DH105" s="156"/>
      <c r="DI105" s="156"/>
      <c r="DJ105" s="156"/>
      <c r="DK105" s="156"/>
      <c r="DL105" s="156"/>
      <c r="DM105" s="156"/>
      <c r="DN105" s="156"/>
      <c r="DO105" s="156"/>
      <c r="DP105" s="156"/>
      <c r="DQ105" s="156"/>
      <c r="DR105" s="156"/>
      <c r="DS105" s="156"/>
      <c r="DT105" s="156"/>
      <c r="DU105" s="156"/>
      <c r="DV105" s="156"/>
      <c r="DW105" s="156"/>
      <c r="DX105" s="156"/>
      <c r="DY105" s="156"/>
      <c r="DZ105" s="156"/>
      <c r="EA105" s="156"/>
      <c r="EB105" s="156"/>
      <c r="EC105" s="156"/>
      <c r="ED105" s="156"/>
      <c r="EE105" s="156"/>
      <c r="EF105" s="156"/>
      <c r="EG105" s="156"/>
      <c r="EH105" s="156"/>
      <c r="EI105" s="156"/>
      <c r="EJ105" s="156"/>
      <c r="EK105" s="156"/>
      <c r="EL105" s="156"/>
      <c r="EM105" s="156"/>
      <c r="EN105" s="156"/>
      <c r="EO105" s="156"/>
      <c r="EP105" s="156"/>
      <c r="EQ105" s="156"/>
      <c r="ER105" s="156"/>
      <c r="ES105" s="156"/>
      <c r="ET105" s="156"/>
      <c r="EU105" s="156"/>
      <c r="EV105" s="156"/>
      <c r="EW105" s="156"/>
      <c r="EX105" s="156"/>
      <c r="EY105" s="156"/>
      <c r="EZ105" s="156"/>
      <c r="FA105" s="156"/>
      <c r="FB105" s="156"/>
      <c r="FC105" s="156"/>
      <c r="FD105" s="156"/>
      <c r="FE105" s="156"/>
      <c r="FF105" s="156"/>
      <c r="FG105" s="156"/>
      <c r="FH105" s="156"/>
      <c r="FI105" s="156"/>
      <c r="FJ105" s="156"/>
      <c r="FK105" s="156"/>
      <c r="FL105" s="156"/>
      <c r="FM105" s="156"/>
      <c r="FN105" s="156"/>
      <c r="FO105" s="156"/>
      <c r="FP105" s="156"/>
      <c r="FQ105" s="156"/>
      <c r="FR105" s="156"/>
      <c r="FS105" s="242"/>
      <c r="FT105" s="156"/>
      <c r="FU105" s="156"/>
      <c r="FV105" s="156"/>
      <c r="FW105" s="156"/>
      <c r="FX105" s="156"/>
      <c r="FY105" s="156"/>
      <c r="FZ105" s="156"/>
      <c r="GA105" s="156"/>
      <c r="GB105" s="156"/>
      <c r="GC105" s="156"/>
      <c r="GD105" s="156"/>
      <c r="GE105" s="156"/>
      <c r="GF105" s="156"/>
      <c r="GG105" s="156"/>
      <c r="GH105" s="156"/>
      <c r="GI105" s="156"/>
      <c r="GJ105" s="156"/>
      <c r="GK105" s="156"/>
      <c r="GL105" s="156"/>
      <c r="GM105" s="156"/>
      <c r="GN105" s="242"/>
      <c r="GO105" s="242"/>
      <c r="GP105" s="242"/>
      <c r="GQ105" s="242"/>
      <c r="GR105" s="242"/>
      <c r="GS105" s="242"/>
      <c r="GT105" s="242"/>
      <c r="GU105" s="242"/>
      <c r="GV105" s="242"/>
      <c r="GW105" s="242"/>
      <c r="GX105" s="242"/>
      <c r="GY105" s="242"/>
      <c r="GZ105" s="242"/>
      <c r="HA105" s="242"/>
      <c r="HB105" s="242"/>
      <c r="HC105" s="242"/>
      <c r="HD105" s="242"/>
      <c r="HE105" s="242"/>
      <c r="HF105" s="242"/>
      <c r="HG105" s="242"/>
      <c r="HH105" s="242"/>
      <c r="HI105" s="242"/>
      <c r="HJ105" s="242"/>
      <c r="HK105" s="242"/>
      <c r="HL105" s="242"/>
      <c r="HM105" s="442"/>
      <c r="HN105" s="442"/>
      <c r="HO105" s="442"/>
      <c r="IJ105" s="442"/>
      <c r="IK105" s="442"/>
      <c r="IL105" s="441"/>
      <c r="IM105" s="441"/>
      <c r="IN105" s="533" t="str">
        <f>IF(IS84=0,"CANCEL","")</f>
        <v/>
      </c>
      <c r="IO105" s="533"/>
      <c r="IP105" s="533"/>
      <c r="IQ105" s="441"/>
      <c r="IR105" s="441"/>
      <c r="IS105" s="537" t="str">
        <f>IF(IS84=2,"","CANCEL")</f>
        <v/>
      </c>
      <c r="IT105" s="537"/>
      <c r="IU105" s="537"/>
      <c r="IV105" s="441"/>
      <c r="IW105" s="442"/>
      <c r="IX105" s="442"/>
      <c r="IY105" s="442"/>
      <c r="IZ105" s="442"/>
      <c r="JA105" s="442"/>
      <c r="JB105" s="442"/>
      <c r="JC105" s="442"/>
      <c r="JD105" s="442"/>
      <c r="JE105" s="442"/>
      <c r="JF105" s="442"/>
      <c r="JG105" s="442"/>
      <c r="JH105" s="442"/>
      <c r="JI105" s="442"/>
      <c r="JJ105" s="442"/>
      <c r="JK105" s="442"/>
      <c r="JL105" s="442"/>
      <c r="JM105" s="442"/>
      <c r="JN105" s="442"/>
      <c r="JO105" s="442"/>
      <c r="JP105" s="442"/>
      <c r="JQ105" s="442"/>
      <c r="JR105" s="442"/>
      <c r="JS105" s="442"/>
      <c r="JT105" s="442"/>
      <c r="JU105" s="442"/>
      <c r="JV105" s="442"/>
      <c r="JW105" s="442"/>
      <c r="JX105" s="442"/>
      <c r="JY105" s="442"/>
      <c r="JZ105" s="442"/>
      <c r="KA105" s="442"/>
      <c r="KB105" s="442"/>
      <c r="KC105" s="442"/>
      <c r="KD105" s="442"/>
      <c r="KE105" s="442"/>
      <c r="KF105" s="442"/>
      <c r="KG105" s="442"/>
      <c r="KH105" s="442"/>
      <c r="KI105" s="442"/>
      <c r="KJ105" s="442"/>
      <c r="KK105" s="442"/>
      <c r="KL105" s="442"/>
      <c r="KM105" s="442"/>
      <c r="KN105" s="442"/>
      <c r="KO105" s="442"/>
      <c r="KP105" s="442"/>
      <c r="KQ105" s="442"/>
      <c r="KR105" s="442"/>
      <c r="KS105" s="442"/>
      <c r="KT105" s="442"/>
      <c r="KU105" s="442"/>
      <c r="KV105" s="442"/>
      <c r="KW105" s="442"/>
      <c r="KX105" s="442"/>
      <c r="KY105" s="442"/>
      <c r="KZ105" s="442"/>
      <c r="LA105" s="442"/>
      <c r="LB105" s="442"/>
      <c r="LC105" s="442"/>
      <c r="LD105" s="442"/>
      <c r="LE105" s="442"/>
      <c r="LF105" s="442"/>
      <c r="LG105" s="442"/>
      <c r="LH105" s="442"/>
      <c r="LI105" s="442"/>
      <c r="LJ105" s="442"/>
      <c r="LK105" s="442"/>
      <c r="LL105" s="442"/>
      <c r="LM105" s="442"/>
      <c r="LN105" s="442"/>
      <c r="LO105" s="442"/>
      <c r="LP105" s="442"/>
      <c r="LQ105" s="442"/>
      <c r="LR105" s="442"/>
      <c r="LS105" s="442"/>
      <c r="LT105" s="442"/>
      <c r="LU105" s="442"/>
      <c r="LV105" s="442"/>
      <c r="LW105" s="442"/>
      <c r="LX105" s="442"/>
      <c r="LY105" s="442"/>
      <c r="LZ105" s="442"/>
      <c r="MA105" s="442"/>
      <c r="MB105" s="442"/>
      <c r="MC105" s="442"/>
      <c r="MD105" s="442"/>
      <c r="ME105" s="442"/>
      <c r="MF105" s="442"/>
      <c r="MG105" s="442"/>
      <c r="MH105" s="442"/>
      <c r="MI105" s="442"/>
      <c r="MJ105" s="442"/>
      <c r="MK105" s="442"/>
      <c r="ML105" s="442"/>
      <c r="MM105" s="442"/>
      <c r="MN105" s="442"/>
      <c r="MO105" s="442"/>
      <c r="MP105" s="442"/>
      <c r="MQ105" s="442"/>
      <c r="MR105" s="442"/>
      <c r="MS105" s="442"/>
      <c r="MT105" s="442"/>
      <c r="MU105" s="442"/>
      <c r="MV105" s="442"/>
      <c r="MW105" s="442"/>
      <c r="MX105" s="442"/>
      <c r="MY105" s="442"/>
      <c r="MZ105" s="442"/>
      <c r="NA105" s="442"/>
      <c r="NB105" s="442"/>
      <c r="NC105" s="442"/>
      <c r="NT105" s="149" t="s">
        <v>22</v>
      </c>
      <c r="NU105" s="149">
        <f>NX69+0.1</f>
        <v>0.7</v>
      </c>
      <c r="NV105" s="149">
        <f>NU105</f>
        <v>0.7</v>
      </c>
      <c r="NX105" s="149">
        <f>NU105</f>
        <v>0.7</v>
      </c>
      <c r="NY105" s="149">
        <f>NY102</f>
        <v>0.9</v>
      </c>
      <c r="OA105" s="189">
        <f>NY105</f>
        <v>0.9</v>
      </c>
      <c r="OD105" s="189">
        <f>OJ69+0.1</f>
        <v>0.7</v>
      </c>
      <c r="OE105" s="189">
        <f>OD105</f>
        <v>0.7</v>
      </c>
    </row>
    <row r="106" spans="1:395" ht="14.1" customHeight="1" x14ac:dyDescent="0.2">
      <c r="A106" s="156"/>
      <c r="B106" s="236"/>
      <c r="C106" s="236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156"/>
      <c r="R106" s="156"/>
      <c r="S106" s="156"/>
      <c r="T106" s="156"/>
      <c r="U106" s="156"/>
      <c r="V106" s="156"/>
      <c r="W106" s="156"/>
      <c r="X106" s="156"/>
      <c r="Y106" s="156"/>
      <c r="Z106" s="156"/>
      <c r="AA106" s="156"/>
      <c r="AB106" s="156"/>
      <c r="AC106" s="156"/>
      <c r="AD106" s="156"/>
      <c r="AE106" s="156"/>
      <c r="AF106" s="156"/>
      <c r="AG106" s="156"/>
      <c r="AH106" s="156"/>
      <c r="AI106" s="156"/>
      <c r="AJ106" s="156"/>
      <c r="AK106" s="156"/>
      <c r="AL106" s="156"/>
      <c r="AM106" s="156"/>
      <c r="AN106" s="156"/>
      <c r="AO106" s="156"/>
      <c r="AP106" s="156"/>
      <c r="AQ106" s="156"/>
      <c r="AR106" s="156"/>
      <c r="AS106" s="156"/>
      <c r="AT106" s="156"/>
      <c r="AU106" s="156"/>
      <c r="AV106" s="156"/>
      <c r="AW106" s="156"/>
      <c r="AX106" s="156"/>
      <c r="AY106" s="156"/>
      <c r="AZ106" s="156"/>
      <c r="BA106" s="156"/>
      <c r="BB106" s="156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156"/>
      <c r="CP106" s="156"/>
      <c r="CQ106" s="156"/>
      <c r="CR106" s="156"/>
      <c r="CS106" s="156"/>
      <c r="CT106" s="156"/>
      <c r="CU106" s="156"/>
      <c r="CV106" s="156"/>
      <c r="CW106" s="156"/>
      <c r="CX106" s="156"/>
      <c r="CY106" s="156"/>
      <c r="CZ106" s="156"/>
      <c r="DA106" s="156"/>
      <c r="DB106" s="156"/>
      <c r="DC106" s="156"/>
      <c r="DD106" s="156"/>
      <c r="DE106" s="156"/>
      <c r="DF106" s="156"/>
      <c r="DG106" s="156"/>
      <c r="DH106" s="156"/>
      <c r="DI106" s="156"/>
      <c r="DJ106" s="156"/>
      <c r="DK106" s="156"/>
      <c r="DL106" s="156"/>
      <c r="DM106" s="156"/>
      <c r="DN106" s="156"/>
      <c r="DO106" s="156"/>
      <c r="DP106" s="156"/>
      <c r="DQ106" s="156"/>
      <c r="DR106" s="156"/>
      <c r="DS106" s="156"/>
      <c r="DT106" s="156"/>
      <c r="DU106" s="156"/>
      <c r="DV106" s="156"/>
      <c r="DW106" s="156"/>
      <c r="DX106" s="156"/>
      <c r="DY106" s="156"/>
      <c r="DZ106" s="156"/>
      <c r="EA106" s="156"/>
      <c r="EB106" s="156"/>
      <c r="EC106" s="156"/>
      <c r="ED106" s="156"/>
      <c r="EE106" s="156"/>
      <c r="EF106" s="156"/>
      <c r="EG106" s="156"/>
      <c r="EH106" s="156"/>
      <c r="EI106" s="156"/>
      <c r="EJ106" s="156"/>
      <c r="EK106" s="156"/>
      <c r="EL106" s="156"/>
      <c r="EM106" s="156"/>
      <c r="EN106" s="156"/>
      <c r="EO106" s="156"/>
      <c r="EP106" s="156"/>
      <c r="EQ106" s="156"/>
      <c r="ER106" s="156"/>
      <c r="ES106" s="156"/>
      <c r="ET106" s="156"/>
      <c r="EU106" s="156"/>
      <c r="EV106" s="156"/>
      <c r="EW106" s="156"/>
      <c r="EX106" s="156"/>
      <c r="EY106" s="156"/>
      <c r="EZ106" s="156"/>
      <c r="FA106" s="156"/>
      <c r="FB106" s="156"/>
      <c r="FC106" s="156"/>
      <c r="FD106" s="156"/>
      <c r="FE106" s="156"/>
      <c r="FF106" s="156"/>
      <c r="FG106" s="156"/>
      <c r="FH106" s="156"/>
      <c r="FI106" s="156"/>
      <c r="FJ106" s="156"/>
      <c r="FK106" s="156"/>
      <c r="FL106" s="156"/>
      <c r="FM106" s="156"/>
      <c r="FN106" s="156"/>
      <c r="FO106" s="156"/>
      <c r="FP106" s="156"/>
      <c r="FQ106" s="156"/>
      <c r="FR106" s="156"/>
      <c r="FS106" s="242"/>
      <c r="FT106" s="156"/>
      <c r="FU106" s="156"/>
      <c r="FV106" s="156"/>
      <c r="FW106" s="156"/>
      <c r="FX106" s="156"/>
      <c r="FY106" s="156"/>
      <c r="FZ106" s="156"/>
      <c r="GA106" s="156"/>
      <c r="GB106" s="156"/>
      <c r="GC106" s="156"/>
      <c r="GD106" s="156"/>
      <c r="GE106" s="156"/>
      <c r="GF106" s="156"/>
      <c r="GG106" s="156"/>
      <c r="GH106" s="156"/>
      <c r="GI106" s="156"/>
      <c r="GJ106" s="156"/>
      <c r="GK106" s="156"/>
      <c r="GL106" s="156"/>
      <c r="GM106" s="156"/>
      <c r="GN106" s="242"/>
      <c r="GO106" s="242"/>
      <c r="GP106" s="242"/>
      <c r="GQ106" s="242"/>
      <c r="GR106" s="242"/>
      <c r="GS106" s="242"/>
      <c r="GT106" s="242"/>
      <c r="GU106" s="242"/>
      <c r="GV106" s="242"/>
      <c r="GW106" s="242"/>
      <c r="GX106" s="242"/>
      <c r="GY106" s="242"/>
      <c r="GZ106" s="242"/>
      <c r="HA106" s="242"/>
      <c r="HB106" s="242"/>
      <c r="HC106" s="242"/>
      <c r="HD106" s="242"/>
      <c r="HE106" s="242"/>
      <c r="HF106" s="242"/>
      <c r="HG106" s="242"/>
      <c r="HH106" s="242"/>
      <c r="HI106" s="242"/>
      <c r="HJ106" s="242"/>
      <c r="HK106" s="242"/>
      <c r="HL106" s="242"/>
      <c r="HM106" s="442"/>
      <c r="HN106" s="442"/>
      <c r="HO106" s="442"/>
      <c r="IJ106" s="442"/>
      <c r="IK106" s="442"/>
      <c r="IL106" s="442"/>
      <c r="IM106" s="442"/>
      <c r="IN106" s="442"/>
      <c r="IO106" s="442"/>
      <c r="IP106" s="442"/>
      <c r="IQ106" s="442"/>
      <c r="IR106" s="442"/>
      <c r="IS106" s="442"/>
      <c r="IT106" s="442"/>
      <c r="IU106" s="442"/>
      <c r="IV106" s="442"/>
      <c r="IW106" s="442"/>
      <c r="IX106" s="442"/>
      <c r="IY106" s="442"/>
      <c r="IZ106" s="442"/>
      <c r="JA106" s="442"/>
      <c r="JB106" s="442"/>
      <c r="JC106" s="442"/>
      <c r="JD106" s="442"/>
      <c r="JE106" s="442"/>
      <c r="JF106" s="442"/>
      <c r="JG106" s="442"/>
      <c r="JH106" s="442"/>
      <c r="JI106" s="442"/>
      <c r="JJ106" s="442"/>
      <c r="JK106" s="442"/>
      <c r="JL106" s="442"/>
      <c r="JM106" s="442"/>
      <c r="JN106" s="442"/>
      <c r="JO106" s="442"/>
      <c r="JP106" s="442"/>
      <c r="JQ106" s="442"/>
      <c r="JR106" s="442"/>
      <c r="JS106" s="442"/>
      <c r="JT106" s="442"/>
      <c r="JU106" s="442"/>
      <c r="JV106" s="442"/>
      <c r="JW106" s="442"/>
      <c r="JX106" s="442"/>
      <c r="JY106" s="442"/>
      <c r="JZ106" s="442"/>
      <c r="KA106" s="442"/>
      <c r="KB106" s="442"/>
      <c r="KC106" s="442"/>
      <c r="KD106" s="442"/>
      <c r="KE106" s="442"/>
      <c r="KF106" s="442"/>
      <c r="KG106" s="442"/>
      <c r="KH106" s="442"/>
      <c r="KI106" s="442"/>
      <c r="KJ106" s="442"/>
      <c r="KK106" s="442"/>
      <c r="KL106" s="442"/>
      <c r="KM106" s="442"/>
      <c r="KN106" s="442"/>
      <c r="KO106" s="442"/>
      <c r="KP106" s="442"/>
      <c r="KQ106" s="442"/>
      <c r="KR106" s="442"/>
      <c r="KS106" s="442"/>
      <c r="KT106" s="442"/>
      <c r="KU106" s="442"/>
      <c r="KV106" s="442"/>
      <c r="KW106" s="442"/>
      <c r="KX106" s="442"/>
      <c r="KY106" s="442"/>
      <c r="KZ106" s="442"/>
      <c r="LA106" s="442"/>
      <c r="LB106" s="442"/>
      <c r="LC106" s="442"/>
      <c r="LD106" s="442"/>
      <c r="LE106" s="442"/>
      <c r="LF106" s="442"/>
      <c r="LG106" s="442"/>
      <c r="LH106" s="442"/>
      <c r="LI106" s="442"/>
      <c r="LJ106" s="442"/>
      <c r="LK106" s="442"/>
      <c r="LL106" s="442"/>
      <c r="LM106" s="442"/>
      <c r="LN106" s="442"/>
      <c r="LO106" s="442"/>
      <c r="LP106" s="442"/>
      <c r="LQ106" s="442"/>
      <c r="LR106" s="442"/>
      <c r="LS106" s="442"/>
      <c r="LT106" s="442"/>
      <c r="LU106" s="442"/>
      <c r="LV106" s="442"/>
      <c r="LW106" s="442"/>
      <c r="LX106" s="442"/>
      <c r="LY106" s="442"/>
      <c r="LZ106" s="442"/>
      <c r="MA106" s="442"/>
      <c r="MB106" s="442"/>
      <c r="MC106" s="442"/>
      <c r="MD106" s="442"/>
      <c r="ME106" s="442"/>
      <c r="MF106" s="442"/>
      <c r="MG106" s="442"/>
      <c r="MH106" s="442"/>
      <c r="MI106" s="442"/>
      <c r="MJ106" s="442"/>
      <c r="MK106" s="442"/>
      <c r="ML106" s="442"/>
      <c r="MM106" s="442"/>
      <c r="MN106" s="442"/>
      <c r="MO106" s="442"/>
      <c r="MP106" s="442"/>
      <c r="MQ106" s="442"/>
      <c r="MR106" s="442"/>
      <c r="MS106" s="442"/>
      <c r="MT106" s="442"/>
      <c r="MU106" s="442"/>
      <c r="MV106" s="442"/>
      <c r="MW106" s="442"/>
      <c r="MX106" s="442"/>
      <c r="MY106" s="442"/>
      <c r="MZ106" s="442"/>
      <c r="NA106" s="442"/>
      <c r="NB106" s="442"/>
      <c r="NC106" s="442"/>
      <c r="NT106" s="149" t="s">
        <v>23</v>
      </c>
      <c r="NU106" s="149">
        <f>NU61</f>
        <v>-9.5000000000000001E-2</v>
      </c>
      <c r="NV106" s="149">
        <f>NU106-0.23</f>
        <v>-0.32500000000000001</v>
      </c>
      <c r="NX106" s="149">
        <f>NV106</f>
        <v>-0.32500000000000001</v>
      </c>
      <c r="NY106" s="149">
        <f>NV106</f>
        <v>-0.32500000000000001</v>
      </c>
      <c r="OA106" s="189">
        <f>NY106</f>
        <v>-0.32500000000000001</v>
      </c>
      <c r="OD106" s="189">
        <f>OD61</f>
        <v>-0.08</v>
      </c>
      <c r="OE106" s="189">
        <f>OD106-0.245</f>
        <v>-0.32500000000000001</v>
      </c>
    </row>
    <row r="107" spans="1:395" ht="14.1" customHeight="1" x14ac:dyDescent="0.2">
      <c r="A107" s="156"/>
      <c r="B107" s="236"/>
      <c r="C107" s="236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156"/>
      <c r="R107" s="156"/>
      <c r="S107" s="156"/>
      <c r="T107" s="156"/>
      <c r="U107" s="156"/>
      <c r="V107" s="156"/>
      <c r="W107" s="156"/>
      <c r="X107" s="156"/>
      <c r="Y107" s="156"/>
      <c r="Z107" s="156"/>
      <c r="AA107" s="156"/>
      <c r="AB107" s="156"/>
      <c r="AC107" s="156"/>
      <c r="AD107" s="156"/>
      <c r="AE107" s="156"/>
      <c r="AF107" s="156"/>
      <c r="AG107" s="156"/>
      <c r="AH107" s="156"/>
      <c r="AI107" s="156"/>
      <c r="AJ107" s="156"/>
      <c r="AK107" s="156"/>
      <c r="AL107" s="156"/>
      <c r="AM107" s="156"/>
      <c r="AN107" s="156"/>
      <c r="AO107" s="156"/>
      <c r="AP107" s="156"/>
      <c r="AQ107" s="156"/>
      <c r="AR107" s="156"/>
      <c r="AS107" s="156"/>
      <c r="AT107" s="156"/>
      <c r="AU107" s="156"/>
      <c r="AV107" s="156"/>
      <c r="AW107" s="156"/>
      <c r="AX107" s="156"/>
      <c r="AY107" s="156"/>
      <c r="AZ107" s="156"/>
      <c r="BA107" s="156"/>
      <c r="BB107" s="156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156"/>
      <c r="CP107" s="156"/>
      <c r="CQ107" s="156"/>
      <c r="CR107" s="156"/>
      <c r="CS107" s="156"/>
      <c r="CT107" s="156"/>
      <c r="CU107" s="156"/>
      <c r="CV107" s="156"/>
      <c r="CW107" s="156"/>
      <c r="CX107" s="156"/>
      <c r="CY107" s="156"/>
      <c r="CZ107" s="156"/>
      <c r="DA107" s="156"/>
      <c r="DB107" s="156"/>
      <c r="DC107" s="156"/>
      <c r="DD107" s="156"/>
      <c r="DE107" s="156"/>
      <c r="DF107" s="156"/>
      <c r="DG107" s="156"/>
      <c r="DH107" s="156"/>
      <c r="DI107" s="156"/>
      <c r="DJ107" s="156"/>
      <c r="DK107" s="156"/>
      <c r="DL107" s="156"/>
      <c r="DM107" s="156"/>
      <c r="DN107" s="156"/>
      <c r="DO107" s="156"/>
      <c r="DP107" s="156"/>
      <c r="DQ107" s="156"/>
      <c r="DR107" s="156"/>
      <c r="DS107" s="156"/>
      <c r="DT107" s="156"/>
      <c r="DU107" s="156"/>
      <c r="DV107" s="156"/>
      <c r="DW107" s="156"/>
      <c r="DX107" s="156"/>
      <c r="DY107" s="156"/>
      <c r="DZ107" s="156"/>
      <c r="EA107" s="156"/>
      <c r="EB107" s="156"/>
      <c r="EC107" s="156"/>
      <c r="ED107" s="156"/>
      <c r="EE107" s="156"/>
      <c r="EF107" s="156"/>
      <c r="EG107" s="156"/>
      <c r="EH107" s="156"/>
      <c r="EI107" s="156"/>
      <c r="EJ107" s="156"/>
      <c r="EK107" s="156"/>
      <c r="EL107" s="156"/>
      <c r="EM107" s="156"/>
      <c r="EN107" s="156"/>
      <c r="EO107" s="156"/>
      <c r="EP107" s="156"/>
      <c r="EQ107" s="156"/>
      <c r="ER107" s="156"/>
      <c r="ES107" s="156"/>
      <c r="ET107" s="156"/>
      <c r="EU107" s="156"/>
      <c r="EV107" s="156"/>
      <c r="EW107" s="156"/>
      <c r="EX107" s="156"/>
      <c r="EY107" s="156"/>
      <c r="EZ107" s="156"/>
      <c r="FA107" s="156"/>
      <c r="FB107" s="156"/>
      <c r="FC107" s="156"/>
      <c r="FD107" s="156"/>
      <c r="FE107" s="156"/>
      <c r="FF107" s="156"/>
      <c r="FG107" s="156"/>
      <c r="FH107" s="156"/>
      <c r="FI107" s="156"/>
      <c r="FJ107" s="156"/>
      <c r="FK107" s="156"/>
      <c r="FL107" s="156"/>
      <c r="FM107" s="156"/>
      <c r="FN107" s="156"/>
      <c r="FO107" s="156"/>
      <c r="FP107" s="156"/>
      <c r="FQ107" s="156"/>
      <c r="FR107" s="156"/>
      <c r="FS107" s="242"/>
      <c r="FT107" s="156"/>
      <c r="FU107" s="156"/>
      <c r="FV107" s="156"/>
      <c r="FW107" s="156"/>
      <c r="FX107" s="156"/>
      <c r="FY107" s="156"/>
      <c r="FZ107" s="156"/>
      <c r="GA107" s="156"/>
      <c r="GB107" s="156"/>
      <c r="GC107" s="156"/>
      <c r="GD107" s="156"/>
      <c r="GE107" s="156"/>
      <c r="GF107" s="156"/>
      <c r="GG107" s="156"/>
      <c r="GH107" s="156"/>
      <c r="GI107" s="156"/>
      <c r="GJ107" s="156"/>
      <c r="GK107" s="156"/>
      <c r="GL107" s="156"/>
      <c r="GM107" s="156"/>
      <c r="GN107" s="242"/>
      <c r="GO107" s="242"/>
      <c r="GP107" s="242"/>
      <c r="GQ107" s="242"/>
      <c r="GR107" s="242"/>
      <c r="GS107" s="242"/>
      <c r="GT107" s="242"/>
      <c r="GU107" s="242"/>
      <c r="GV107" s="242"/>
      <c r="GW107" s="242"/>
      <c r="GX107" s="242"/>
      <c r="GY107" s="242"/>
      <c r="GZ107" s="242"/>
      <c r="HA107" s="242"/>
      <c r="HB107" s="242"/>
      <c r="HC107" s="242"/>
      <c r="HD107" s="242"/>
      <c r="HE107" s="242"/>
      <c r="HF107" s="242"/>
      <c r="HG107" s="242"/>
      <c r="HH107" s="242"/>
      <c r="HI107" s="242"/>
      <c r="HJ107" s="242"/>
      <c r="HK107" s="242"/>
      <c r="HL107" s="242"/>
      <c r="HM107" s="442"/>
      <c r="HN107" s="442"/>
      <c r="HO107" s="442"/>
      <c r="HP107" s="37"/>
      <c r="HQ107" s="37"/>
      <c r="HR107" s="37"/>
      <c r="HS107" s="37"/>
      <c r="HT107" s="214"/>
      <c r="HU107" s="214"/>
      <c r="HV107" s="214"/>
      <c r="HW107" s="214"/>
      <c r="HX107" s="214"/>
      <c r="HY107" s="214"/>
      <c r="HZ107" s="214"/>
      <c r="IA107" s="214"/>
      <c r="IB107" s="214"/>
      <c r="IC107" s="214"/>
      <c r="ID107" s="214"/>
      <c r="IE107" s="214"/>
      <c r="IF107" s="37"/>
      <c r="IG107" s="37"/>
      <c r="IH107" s="37"/>
      <c r="II107" s="37"/>
      <c r="IJ107" s="442"/>
      <c r="IK107" s="442"/>
      <c r="IL107" s="438" t="s">
        <v>60</v>
      </c>
      <c r="IM107" s="442"/>
      <c r="IN107" s="438" t="s">
        <v>61</v>
      </c>
      <c r="IO107" s="442"/>
      <c r="IP107" s="174" t="str">
        <f t="shared" ref="IP107:IP112" si="4">IF($F$28&gt;2400,IL107,IN107)</f>
        <v>DB12</v>
      </c>
      <c r="IQ107" s="442"/>
      <c r="IR107" s="174" t="str">
        <f t="shared" ref="IR107:IR112" si="5">IF($F$31&gt;2400,IL107,IN107)</f>
        <v>RB6</v>
      </c>
      <c r="IS107" s="442"/>
      <c r="IT107" s="442"/>
      <c r="IU107" s="442"/>
      <c r="IV107" s="467"/>
      <c r="IW107" s="467"/>
      <c r="IX107" s="467"/>
      <c r="IY107" s="442"/>
      <c r="IZ107" s="442"/>
      <c r="JA107" s="442"/>
      <c r="JB107" s="442"/>
      <c r="JC107" s="442"/>
      <c r="JD107" s="442"/>
      <c r="JE107" s="442"/>
      <c r="JF107" s="442"/>
      <c r="JG107" s="442"/>
      <c r="JH107" s="442"/>
      <c r="JI107" s="442"/>
      <c r="JJ107" s="442"/>
      <c r="JK107" s="442"/>
      <c r="JL107" s="442"/>
      <c r="JM107" s="442"/>
      <c r="JN107" s="442"/>
      <c r="JO107" s="442"/>
      <c r="JP107" s="442"/>
      <c r="JQ107" s="442"/>
      <c r="JR107" s="442"/>
      <c r="JS107" s="442"/>
      <c r="JT107" s="442"/>
      <c r="JU107" s="442"/>
      <c r="JV107" s="442"/>
      <c r="JW107" s="442"/>
      <c r="JX107" s="442"/>
      <c r="JY107" s="442"/>
      <c r="JZ107" s="442"/>
      <c r="KA107" s="442"/>
      <c r="KB107" s="442"/>
      <c r="KC107" s="442"/>
      <c r="KD107" s="442"/>
      <c r="KE107" s="442"/>
      <c r="KF107" s="442"/>
      <c r="KG107" s="442"/>
      <c r="KH107" s="442"/>
      <c r="KI107" s="442"/>
      <c r="KJ107" s="442"/>
      <c r="KK107" s="442"/>
      <c r="KL107" s="442"/>
      <c r="KM107" s="442"/>
      <c r="KN107" s="442"/>
      <c r="KO107" s="442"/>
      <c r="KP107" s="442"/>
      <c r="KQ107" s="442"/>
      <c r="KR107" s="442"/>
      <c r="KS107" s="442"/>
      <c r="KT107" s="442"/>
      <c r="KU107" s="442"/>
      <c r="KV107" s="442"/>
      <c r="KW107" s="442"/>
      <c r="KX107" s="442"/>
      <c r="KY107" s="442"/>
      <c r="KZ107" s="442"/>
      <c r="LA107" s="442"/>
      <c r="LB107" s="442"/>
      <c r="LC107" s="442"/>
      <c r="LD107" s="442"/>
      <c r="LE107" s="442"/>
      <c r="LF107" s="442"/>
      <c r="LG107" s="442"/>
      <c r="LH107" s="442"/>
      <c r="LI107" s="442"/>
      <c r="LJ107" s="442"/>
      <c r="LK107" s="442"/>
      <c r="LL107" s="442"/>
      <c r="LM107" s="442"/>
      <c r="LN107" s="442"/>
      <c r="LO107" s="442"/>
      <c r="LP107" s="442"/>
      <c r="LQ107" s="442"/>
      <c r="LR107" s="442"/>
      <c r="LS107" s="442"/>
      <c r="LT107" s="442"/>
      <c r="LU107" s="442"/>
      <c r="LV107" s="442"/>
      <c r="LW107" s="442"/>
      <c r="LX107" s="442"/>
      <c r="LY107" s="442"/>
      <c r="LZ107" s="442"/>
      <c r="MA107" s="442"/>
      <c r="MB107" s="442"/>
      <c r="MC107" s="442"/>
      <c r="MD107" s="442"/>
      <c r="ME107" s="442"/>
      <c r="MF107" s="442"/>
      <c r="MG107" s="442"/>
      <c r="MH107" s="442"/>
      <c r="MI107" s="442"/>
      <c r="MJ107" s="442"/>
      <c r="MK107" s="442"/>
      <c r="ML107" s="442"/>
      <c r="MM107" s="442"/>
      <c r="MN107" s="442"/>
      <c r="MO107" s="442"/>
      <c r="MP107" s="442"/>
      <c r="MQ107" s="442"/>
      <c r="MR107" s="442"/>
      <c r="MS107" s="442"/>
      <c r="MT107" s="442"/>
      <c r="MU107" s="442"/>
      <c r="MV107" s="442"/>
      <c r="MW107" s="442"/>
      <c r="MX107" s="442"/>
      <c r="MY107" s="442"/>
      <c r="MZ107" s="442"/>
      <c r="NA107" s="442"/>
      <c r="NB107" s="442"/>
      <c r="NC107" s="442"/>
    </row>
    <row r="108" spans="1:395" ht="14.1" customHeight="1" x14ac:dyDescent="0.2">
      <c r="A108" s="156"/>
      <c r="B108" s="236"/>
      <c r="C108" s="236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156"/>
      <c r="R108" s="156"/>
      <c r="S108" s="156"/>
      <c r="T108" s="156"/>
      <c r="U108" s="156"/>
      <c r="V108" s="156"/>
      <c r="W108" s="156"/>
      <c r="X108" s="156"/>
      <c r="Y108" s="156"/>
      <c r="Z108" s="156"/>
      <c r="AA108" s="156"/>
      <c r="AB108" s="156"/>
      <c r="AC108" s="156"/>
      <c r="AD108" s="156"/>
      <c r="AE108" s="156"/>
      <c r="AF108" s="156"/>
      <c r="AG108" s="156"/>
      <c r="AH108" s="156"/>
      <c r="AI108" s="156"/>
      <c r="AJ108" s="156"/>
      <c r="AK108" s="156"/>
      <c r="AL108" s="156"/>
      <c r="AM108" s="156"/>
      <c r="AN108" s="156"/>
      <c r="AO108" s="156"/>
      <c r="AP108" s="156"/>
      <c r="AQ108" s="156"/>
      <c r="AR108" s="156"/>
      <c r="AS108" s="156"/>
      <c r="AT108" s="156"/>
      <c r="AU108" s="156"/>
      <c r="AV108" s="156"/>
      <c r="AW108" s="156"/>
      <c r="AX108" s="156"/>
      <c r="AY108" s="156"/>
      <c r="AZ108" s="156"/>
      <c r="BA108" s="156"/>
      <c r="BB108" s="156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156"/>
      <c r="CP108" s="156"/>
      <c r="CQ108" s="156"/>
      <c r="CR108" s="156"/>
      <c r="CS108" s="156"/>
      <c r="CT108" s="156"/>
      <c r="CU108" s="156"/>
      <c r="CV108" s="156"/>
      <c r="CW108" s="156"/>
      <c r="CX108" s="156"/>
      <c r="CY108" s="156"/>
      <c r="CZ108" s="156"/>
      <c r="DA108" s="156"/>
      <c r="DB108" s="156"/>
      <c r="DC108" s="156"/>
      <c r="DD108" s="156"/>
      <c r="DE108" s="156"/>
      <c r="DF108" s="156"/>
      <c r="DG108" s="156"/>
      <c r="DH108" s="156"/>
      <c r="DI108" s="156"/>
      <c r="DJ108" s="156"/>
      <c r="DK108" s="156"/>
      <c r="DL108" s="156"/>
      <c r="DM108" s="156"/>
      <c r="DN108" s="156"/>
      <c r="DO108" s="156"/>
      <c r="DP108" s="156"/>
      <c r="DQ108" s="156"/>
      <c r="DR108" s="156"/>
      <c r="DS108" s="156"/>
      <c r="DT108" s="156"/>
      <c r="DU108" s="156"/>
      <c r="DV108" s="156"/>
      <c r="DW108" s="156"/>
      <c r="DX108" s="156"/>
      <c r="DY108" s="156"/>
      <c r="DZ108" s="156"/>
      <c r="EA108" s="156"/>
      <c r="EB108" s="156"/>
      <c r="EC108" s="156"/>
      <c r="ED108" s="156"/>
      <c r="EE108" s="156"/>
      <c r="EF108" s="156"/>
      <c r="EG108" s="156"/>
      <c r="EH108" s="156"/>
      <c r="EI108" s="156"/>
      <c r="EJ108" s="156"/>
      <c r="EK108" s="156"/>
      <c r="EL108" s="156"/>
      <c r="EM108" s="156"/>
      <c r="EN108" s="156"/>
      <c r="EO108" s="156"/>
      <c r="EP108" s="156"/>
      <c r="EQ108" s="156"/>
      <c r="ER108" s="156"/>
      <c r="ES108" s="156"/>
      <c r="ET108" s="156"/>
      <c r="EU108" s="156"/>
      <c r="EV108" s="156"/>
      <c r="EW108" s="156"/>
      <c r="EX108" s="156"/>
      <c r="EY108" s="156"/>
      <c r="EZ108" s="156"/>
      <c r="FA108" s="156"/>
      <c r="FB108" s="156"/>
      <c r="FC108" s="156"/>
      <c r="FD108" s="156"/>
      <c r="FE108" s="156"/>
      <c r="FF108" s="156"/>
      <c r="FG108" s="156"/>
      <c r="FH108" s="156"/>
      <c r="FI108" s="156"/>
      <c r="FJ108" s="156"/>
      <c r="FK108" s="156"/>
      <c r="FL108" s="156"/>
      <c r="FM108" s="156"/>
      <c r="FN108" s="156"/>
      <c r="FO108" s="156"/>
      <c r="FP108" s="156"/>
      <c r="FQ108" s="156"/>
      <c r="FR108" s="156"/>
      <c r="FS108" s="242"/>
      <c r="FT108" s="156"/>
      <c r="FU108" s="156"/>
      <c r="FV108" s="156"/>
      <c r="FW108" s="156"/>
      <c r="FX108" s="156"/>
      <c r="FY108" s="156"/>
      <c r="FZ108" s="156"/>
      <c r="GA108" s="156"/>
      <c r="GB108" s="156"/>
      <c r="GC108" s="156"/>
      <c r="GD108" s="156"/>
      <c r="GE108" s="156"/>
      <c r="GF108" s="156"/>
      <c r="GG108" s="156"/>
      <c r="GH108" s="156"/>
      <c r="GI108" s="156"/>
      <c r="GJ108" s="156"/>
      <c r="GK108" s="156"/>
      <c r="GL108" s="156"/>
      <c r="GM108" s="156"/>
      <c r="GN108" s="242"/>
      <c r="GO108" s="242"/>
      <c r="GP108" s="242"/>
      <c r="GQ108" s="242"/>
      <c r="GR108" s="242"/>
      <c r="GS108" s="242"/>
      <c r="GT108" s="242"/>
      <c r="GU108" s="242"/>
      <c r="GV108" s="242"/>
      <c r="GW108" s="242"/>
      <c r="GX108" s="242"/>
      <c r="GY108" s="242"/>
      <c r="GZ108" s="242"/>
      <c r="HA108" s="242"/>
      <c r="HB108" s="242"/>
      <c r="HC108" s="242"/>
      <c r="HD108" s="242"/>
      <c r="HE108" s="242"/>
      <c r="HF108" s="242"/>
      <c r="HG108" s="242"/>
      <c r="HH108" s="242"/>
      <c r="HI108" s="242"/>
      <c r="HJ108" s="242"/>
      <c r="HK108" s="242"/>
      <c r="HL108" s="242"/>
      <c r="HM108" s="442"/>
      <c r="HN108" s="442"/>
      <c r="HO108" s="442"/>
      <c r="HP108" s="214"/>
      <c r="HQ108" s="214"/>
      <c r="HR108" s="214"/>
      <c r="HS108" s="214"/>
      <c r="HT108" s="214"/>
      <c r="HU108" s="214"/>
      <c r="HV108" s="214"/>
      <c r="HW108" s="214"/>
      <c r="HX108" s="214"/>
      <c r="HY108" s="214"/>
      <c r="HZ108" s="214"/>
      <c r="IA108" s="214"/>
      <c r="IB108" s="214"/>
      <c r="IC108" s="214"/>
      <c r="ID108" s="442"/>
      <c r="IE108" s="37"/>
      <c r="IF108" s="37"/>
      <c r="IG108" s="37"/>
      <c r="IH108" s="37"/>
      <c r="II108" s="37"/>
      <c r="IJ108" s="442"/>
      <c r="IK108" s="442"/>
      <c r="IL108" s="438" t="s">
        <v>65</v>
      </c>
      <c r="IM108" s="442"/>
      <c r="IN108" s="438" t="s">
        <v>66</v>
      </c>
      <c r="IO108" s="442"/>
      <c r="IP108" s="174" t="str">
        <f t="shared" si="4"/>
        <v>DB16</v>
      </c>
      <c r="IQ108" s="442"/>
      <c r="IR108" s="174" t="str">
        <f t="shared" si="5"/>
        <v>RB9</v>
      </c>
      <c r="IS108" s="442"/>
      <c r="IT108" s="442"/>
      <c r="IU108" s="442"/>
      <c r="IV108" s="442"/>
      <c r="IW108" s="442"/>
      <c r="IX108" s="442"/>
      <c r="IY108" s="442"/>
      <c r="IZ108" s="442"/>
      <c r="JA108" s="442"/>
      <c r="JB108" s="442"/>
      <c r="JC108" s="442"/>
      <c r="JD108" s="442"/>
      <c r="JE108" s="442"/>
      <c r="JF108" s="442"/>
      <c r="JG108" s="442"/>
      <c r="JH108" s="442"/>
      <c r="JI108" s="442"/>
      <c r="JJ108" s="442"/>
      <c r="JK108" s="442"/>
      <c r="JL108" s="442"/>
      <c r="JM108" s="442"/>
      <c r="JN108" s="442"/>
      <c r="JO108" s="442"/>
      <c r="JP108" s="442"/>
      <c r="JQ108" s="442"/>
      <c r="JR108" s="442"/>
      <c r="JS108" s="442"/>
      <c r="JT108" s="442"/>
      <c r="JU108" s="442"/>
      <c r="JV108" s="442"/>
      <c r="JW108" s="442"/>
      <c r="JX108" s="442"/>
      <c r="JY108" s="442"/>
      <c r="JZ108" s="442"/>
      <c r="KA108" s="442"/>
      <c r="KB108" s="442"/>
      <c r="KC108" s="442"/>
      <c r="KD108" s="442"/>
      <c r="KE108" s="442"/>
      <c r="KF108" s="442"/>
      <c r="KG108" s="442"/>
      <c r="KH108" s="442"/>
      <c r="KI108" s="442"/>
      <c r="KJ108" s="442"/>
      <c r="KK108" s="442"/>
      <c r="KL108" s="442"/>
      <c r="KM108" s="442"/>
      <c r="KN108" s="442"/>
      <c r="KO108" s="442"/>
      <c r="KP108" s="442"/>
      <c r="KQ108" s="442"/>
      <c r="KR108" s="442"/>
      <c r="KS108" s="442"/>
      <c r="KT108" s="442"/>
      <c r="KU108" s="442"/>
      <c r="KV108" s="442"/>
      <c r="KW108" s="442"/>
      <c r="KX108" s="442"/>
      <c r="KY108" s="442"/>
      <c r="KZ108" s="442"/>
      <c r="LA108" s="442"/>
      <c r="LB108" s="442"/>
      <c r="LC108" s="442"/>
      <c r="LD108" s="442"/>
      <c r="LE108" s="442"/>
      <c r="LF108" s="442"/>
      <c r="LG108" s="442"/>
      <c r="LH108" s="442"/>
      <c r="LI108" s="442"/>
      <c r="LJ108" s="442"/>
      <c r="LK108" s="442"/>
      <c r="LL108" s="442"/>
      <c r="LM108" s="442"/>
      <c r="LN108" s="442"/>
      <c r="LO108" s="442"/>
      <c r="LP108" s="442"/>
      <c r="LQ108" s="442"/>
      <c r="LR108" s="442"/>
      <c r="LS108" s="442"/>
      <c r="LT108" s="442"/>
      <c r="LU108" s="442"/>
      <c r="LV108" s="442"/>
      <c r="LW108" s="442"/>
      <c r="LX108" s="442"/>
      <c r="LY108" s="442"/>
      <c r="LZ108" s="442"/>
      <c r="MA108" s="442"/>
      <c r="MB108" s="442"/>
      <c r="MC108" s="442"/>
      <c r="MD108" s="442"/>
      <c r="ME108" s="442"/>
      <c r="MF108" s="442"/>
      <c r="MG108" s="442"/>
      <c r="MH108" s="442"/>
      <c r="MI108" s="442"/>
      <c r="MJ108" s="442"/>
      <c r="MK108" s="442"/>
      <c r="ML108" s="442"/>
      <c r="MM108" s="442"/>
      <c r="MN108" s="442"/>
      <c r="MO108" s="442"/>
      <c r="MP108" s="442"/>
      <c r="MQ108" s="442"/>
      <c r="MR108" s="442"/>
      <c r="MS108" s="442"/>
      <c r="MT108" s="442"/>
      <c r="MU108" s="442"/>
      <c r="MV108" s="442"/>
      <c r="MW108" s="442"/>
      <c r="MX108" s="442"/>
      <c r="MY108" s="442"/>
      <c r="MZ108" s="442"/>
      <c r="NA108" s="442"/>
      <c r="NB108" s="442"/>
      <c r="NC108" s="442"/>
      <c r="NT108" s="149" t="s">
        <v>127</v>
      </c>
    </row>
    <row r="109" spans="1:395" ht="14.1" customHeight="1" x14ac:dyDescent="0.2">
      <c r="A109" s="156"/>
      <c r="B109" s="236"/>
      <c r="C109" s="236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156"/>
      <c r="R109" s="156"/>
      <c r="S109" s="156"/>
      <c r="T109" s="156"/>
      <c r="U109" s="156"/>
      <c r="V109" s="156"/>
      <c r="W109" s="156"/>
      <c r="X109" s="156"/>
      <c r="Y109" s="156"/>
      <c r="Z109" s="156"/>
      <c r="AA109" s="156"/>
      <c r="AB109" s="156"/>
      <c r="AC109" s="156"/>
      <c r="AD109" s="156"/>
      <c r="AE109" s="156"/>
      <c r="AF109" s="156"/>
      <c r="AG109" s="156"/>
      <c r="AH109" s="156"/>
      <c r="AI109" s="156"/>
      <c r="AJ109" s="156"/>
      <c r="AK109" s="156"/>
      <c r="AL109" s="156"/>
      <c r="AM109" s="156"/>
      <c r="AN109" s="156"/>
      <c r="AO109" s="156"/>
      <c r="AP109" s="156"/>
      <c r="AQ109" s="156"/>
      <c r="AR109" s="156"/>
      <c r="AS109" s="156"/>
      <c r="AT109" s="156"/>
      <c r="AU109" s="156"/>
      <c r="AV109" s="156"/>
      <c r="AW109" s="156"/>
      <c r="AX109" s="156"/>
      <c r="AY109" s="156"/>
      <c r="AZ109" s="156"/>
      <c r="BA109" s="156"/>
      <c r="BB109" s="156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156"/>
      <c r="CP109" s="156"/>
      <c r="CQ109" s="156"/>
      <c r="CR109" s="156"/>
      <c r="CS109" s="156"/>
      <c r="CT109" s="156"/>
      <c r="CU109" s="156"/>
      <c r="CV109" s="156"/>
      <c r="CW109" s="156"/>
      <c r="CX109" s="156"/>
      <c r="CY109" s="156"/>
      <c r="CZ109" s="156"/>
      <c r="DA109" s="156"/>
      <c r="DB109" s="156"/>
      <c r="DC109" s="156"/>
      <c r="DD109" s="156"/>
      <c r="DE109" s="156"/>
      <c r="DF109" s="156"/>
      <c r="DG109" s="156"/>
      <c r="DH109" s="156"/>
      <c r="DI109" s="156"/>
      <c r="DJ109" s="156"/>
      <c r="DK109" s="156"/>
      <c r="DL109" s="156"/>
      <c r="DM109" s="156"/>
      <c r="DN109" s="156"/>
      <c r="DO109" s="156"/>
      <c r="DP109" s="156"/>
      <c r="DQ109" s="156"/>
      <c r="DR109" s="156"/>
      <c r="DS109" s="156"/>
      <c r="DT109" s="156"/>
      <c r="DU109" s="156"/>
      <c r="DV109" s="156"/>
      <c r="DW109" s="156"/>
      <c r="DX109" s="156"/>
      <c r="DY109" s="156"/>
      <c r="DZ109" s="156"/>
      <c r="EA109" s="156"/>
      <c r="EB109" s="156"/>
      <c r="EC109" s="156"/>
      <c r="ED109" s="156"/>
      <c r="EE109" s="156"/>
      <c r="EF109" s="156"/>
      <c r="EG109" s="156"/>
      <c r="EH109" s="156"/>
      <c r="EI109" s="156"/>
      <c r="EJ109" s="156"/>
      <c r="EK109" s="156"/>
      <c r="EL109" s="156"/>
      <c r="EM109" s="156"/>
      <c r="EN109" s="156"/>
      <c r="EO109" s="156"/>
      <c r="EP109" s="156"/>
      <c r="EQ109" s="156"/>
      <c r="ER109" s="156"/>
      <c r="ES109" s="156"/>
      <c r="ET109" s="156"/>
      <c r="EU109" s="156"/>
      <c r="EV109" s="156"/>
      <c r="EW109" s="156"/>
      <c r="EX109" s="156"/>
      <c r="EY109" s="156"/>
      <c r="EZ109" s="156"/>
      <c r="FA109" s="156"/>
      <c r="FB109" s="156"/>
      <c r="FC109" s="156"/>
      <c r="FD109" s="156"/>
      <c r="FE109" s="156"/>
      <c r="FF109" s="156"/>
      <c r="FG109" s="156"/>
      <c r="FH109" s="156"/>
      <c r="FI109" s="156"/>
      <c r="FJ109" s="156"/>
      <c r="FK109" s="156"/>
      <c r="FL109" s="156"/>
      <c r="FM109" s="156"/>
      <c r="FN109" s="156"/>
      <c r="FO109" s="156"/>
      <c r="FP109" s="156"/>
      <c r="FQ109" s="156"/>
      <c r="FR109" s="156"/>
      <c r="FS109" s="156"/>
      <c r="FT109" s="156"/>
      <c r="FU109" s="156"/>
      <c r="FV109" s="156"/>
      <c r="FW109" s="156"/>
      <c r="FX109" s="156"/>
      <c r="FY109" s="156"/>
      <c r="FZ109" s="156"/>
      <c r="GA109" s="156"/>
      <c r="GB109" s="156"/>
      <c r="GC109" s="156"/>
      <c r="GD109" s="156"/>
      <c r="GE109" s="156"/>
      <c r="GF109" s="156"/>
      <c r="GG109" s="156"/>
      <c r="GH109" s="156"/>
      <c r="GI109" s="156"/>
      <c r="GJ109" s="156"/>
      <c r="GK109" s="156"/>
      <c r="GL109" s="156"/>
      <c r="GM109" s="156"/>
      <c r="GN109" s="156"/>
      <c r="GO109" s="156"/>
      <c r="GP109" s="156"/>
      <c r="GQ109" s="156"/>
      <c r="GR109" s="156"/>
      <c r="GS109" s="156"/>
      <c r="GT109" s="156"/>
      <c r="GU109" s="156"/>
      <c r="GV109" s="156"/>
      <c r="GW109" s="156"/>
      <c r="GX109" s="156"/>
      <c r="GY109" s="156"/>
      <c r="GZ109" s="156"/>
      <c r="HA109" s="156"/>
      <c r="HB109" s="156"/>
      <c r="HC109" s="156"/>
      <c r="HD109" s="156"/>
      <c r="HE109" s="156"/>
      <c r="HF109" s="156"/>
      <c r="HG109" s="156"/>
      <c r="HH109" s="156"/>
      <c r="HI109" s="156"/>
      <c r="HJ109" s="156"/>
      <c r="HK109" s="156"/>
      <c r="HL109" s="156"/>
      <c r="HP109" s="149">
        <f>'Calculation OW'!AY21</f>
        <v>0</v>
      </c>
      <c r="HR109" s="534">
        <f>IF(HT110=2,HP110,IF(HT111=2,HP111,IF(HT112=2,HP112,IF(HT113=2,HP113,IF(HT114=2,HP114,IF(HT115=2,HP115,IF(HT116=2,HP116,IF(HT117=2,HP117,IF(HT118=2,HP118,IF(HT119=2,HP119,IF(HT120=2,HP120,IF(HT121=2,HP121,IF(HT122=2,HP122,IF(HT123=2,HP123,IF(HT124=2,HP124)))))))))))))))</f>
        <v>0.3</v>
      </c>
      <c r="HS109" s="534"/>
      <c r="HT109" s="534"/>
      <c r="HV109" s="149">
        <f>'Calculation OW'!BC21</f>
        <v>0</v>
      </c>
      <c r="HX109" s="534">
        <f>IF(HZ110=2,HV110,IF(HZ111=2,HV111,IF(HZ112=2,HV112,IF(HZ113=2,HV113,IF(HZ114=2,HV114,IF(HZ115=2,HV115,IF(HZ116=2,HV116,IF(HZ117=2,HV117,IF(HZ118=2,HV118,IF(HZ119=2,HV119,IF(HZ120=2,HV120,IF(HZ121=2,HV121,IF(HZ122=2,HV122,IF(HZ123=2,HV123,IF(HZ124=2,HV124)))))))))))))))</f>
        <v>0.3</v>
      </c>
      <c r="HY109" s="534"/>
      <c r="HZ109" s="534"/>
      <c r="IB109" s="149">
        <f>'Calculation OW'!BG21</f>
        <v>0</v>
      </c>
      <c r="ID109" s="534">
        <f>IF(IF110=2,IB110,IF(IF111=2,IB111,IF(IF112=2,IB112,IF(IF113=2,IB113,IF(IF114=2,IB114,IF(IF115=2,IB115,IF(IF116=2,IB116,IF(IF117=2,IB117,IF(IF118=2,IB118,IF(IF119=2,IB119,IF(IF120=2,IB120,IF(IF121=2,IB121,IF(IF122=2,IB122,IF(IF123=2,IB123,IF(IF124=2,IB124)))))))))))))))</f>
        <v>0.3</v>
      </c>
      <c r="IE109" s="534"/>
      <c r="IF109" s="534"/>
      <c r="IG109" s="442"/>
      <c r="IH109" s="442"/>
      <c r="II109" s="442"/>
      <c r="IL109" s="438" t="s">
        <v>72</v>
      </c>
      <c r="IM109" s="442"/>
      <c r="IN109" s="438" t="s">
        <v>73</v>
      </c>
      <c r="IO109" s="442"/>
      <c r="IP109" s="174" t="str">
        <f t="shared" si="4"/>
        <v>DB20</v>
      </c>
      <c r="IQ109" s="442"/>
      <c r="IR109" s="174" t="str">
        <f t="shared" si="5"/>
        <v>RB12</v>
      </c>
      <c r="IS109" s="442"/>
      <c r="IT109" s="442"/>
      <c r="IU109" s="442"/>
      <c r="IV109" s="442"/>
      <c r="IW109" s="442"/>
      <c r="IX109" s="442"/>
      <c r="IY109" s="442"/>
      <c r="IZ109" s="442"/>
      <c r="JA109" s="442"/>
      <c r="JB109" s="442"/>
      <c r="JC109" s="442"/>
      <c r="JD109" s="442"/>
      <c r="JE109" s="442"/>
      <c r="JF109" s="442"/>
      <c r="JG109" s="442"/>
      <c r="JH109" s="442"/>
      <c r="JI109" s="442"/>
      <c r="JJ109" s="442"/>
      <c r="JK109" s="442"/>
      <c r="JL109" s="442"/>
      <c r="JM109" s="442"/>
      <c r="JN109" s="442"/>
      <c r="JO109" s="442"/>
      <c r="JP109" s="442"/>
      <c r="JQ109" s="442"/>
      <c r="JR109" s="442"/>
      <c r="JS109" s="442"/>
      <c r="JT109" s="442"/>
      <c r="JU109" s="442"/>
      <c r="JV109" s="442"/>
      <c r="JW109" s="442"/>
      <c r="JX109" s="442"/>
      <c r="JY109" s="442"/>
      <c r="JZ109" s="442"/>
      <c r="KA109" s="442"/>
      <c r="KB109" s="442"/>
      <c r="KC109" s="442"/>
      <c r="KD109" s="442"/>
      <c r="KE109" s="442"/>
      <c r="KF109" s="442"/>
      <c r="KG109" s="442"/>
      <c r="KH109" s="442"/>
      <c r="KI109" s="442"/>
      <c r="KJ109" s="442"/>
      <c r="KK109" s="442"/>
      <c r="KL109" s="442"/>
      <c r="KM109" s="442"/>
      <c r="KN109" s="442"/>
      <c r="KO109" s="442"/>
      <c r="KP109" s="442"/>
      <c r="KQ109" s="442"/>
      <c r="KR109" s="442"/>
      <c r="KS109" s="442"/>
      <c r="KT109" s="442"/>
      <c r="KU109" s="442"/>
      <c r="KV109" s="442"/>
      <c r="KW109" s="442"/>
      <c r="KX109" s="442"/>
      <c r="KY109" s="442"/>
      <c r="KZ109" s="442"/>
      <c r="LA109" s="442"/>
      <c r="LB109" s="442"/>
      <c r="LC109" s="442"/>
      <c r="LD109" s="442"/>
      <c r="LE109" s="442"/>
      <c r="LF109" s="442"/>
      <c r="LG109" s="442"/>
      <c r="LH109" s="442"/>
      <c r="LI109" s="442"/>
      <c r="LJ109" s="442"/>
      <c r="LK109" s="442"/>
      <c r="LL109" s="442"/>
      <c r="LM109" s="442"/>
      <c r="LN109" s="442"/>
      <c r="LO109" s="442"/>
      <c r="LP109" s="442"/>
      <c r="LQ109" s="442"/>
      <c r="LR109" s="442"/>
      <c r="LS109" s="442"/>
      <c r="LT109" s="442"/>
      <c r="LU109" s="442"/>
      <c r="LV109" s="442"/>
      <c r="LW109" s="442"/>
      <c r="LX109" s="442"/>
      <c r="LY109" s="442"/>
      <c r="LZ109" s="442"/>
      <c r="MA109" s="442"/>
      <c r="MB109" s="442"/>
      <c r="MC109" s="442"/>
      <c r="MD109" s="442"/>
      <c r="ME109" s="442"/>
      <c r="MF109" s="442"/>
      <c r="MG109" s="442"/>
      <c r="MH109" s="442"/>
      <c r="MI109" s="442"/>
      <c r="MJ109" s="442"/>
      <c r="MK109" s="442"/>
      <c r="ML109" s="442"/>
      <c r="MM109" s="442"/>
      <c r="MN109" s="442"/>
      <c r="MO109" s="442"/>
      <c r="MP109" s="442"/>
      <c r="MQ109" s="442"/>
      <c r="MR109" s="442"/>
      <c r="MS109" s="442"/>
      <c r="MT109" s="442"/>
      <c r="MU109" s="442"/>
      <c r="NT109" s="199" t="s">
        <v>22</v>
      </c>
      <c r="NU109" s="200">
        <f>-3.5</f>
        <v>-3.5</v>
      </c>
      <c r="NV109" s="200">
        <f>3.5</f>
        <v>3.5</v>
      </c>
      <c r="NW109" s="200">
        <f>NV109</f>
        <v>3.5</v>
      </c>
      <c r="NX109" s="200">
        <f>NU109</f>
        <v>-3.5</v>
      </c>
      <c r="NY109" s="201">
        <f>NU109</f>
        <v>-3.5</v>
      </c>
    </row>
    <row r="110" spans="1:395" ht="14.1" customHeight="1" x14ac:dyDescent="0.2">
      <c r="A110" s="156"/>
      <c r="B110" s="236"/>
      <c r="C110" s="236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156"/>
      <c r="R110" s="156"/>
      <c r="S110" s="156"/>
      <c r="T110" s="156"/>
      <c r="U110" s="156"/>
      <c r="V110" s="156"/>
      <c r="W110" s="156"/>
      <c r="X110" s="156"/>
      <c r="Y110" s="156"/>
      <c r="Z110" s="156"/>
      <c r="AA110" s="156"/>
      <c r="AB110" s="156"/>
      <c r="AC110" s="156"/>
      <c r="AD110" s="156"/>
      <c r="AE110" s="156"/>
      <c r="AF110" s="156"/>
      <c r="AG110" s="156"/>
      <c r="AH110" s="156"/>
      <c r="AI110" s="156"/>
      <c r="AJ110" s="156"/>
      <c r="AK110" s="156"/>
      <c r="AL110" s="156"/>
      <c r="AM110" s="156"/>
      <c r="AN110" s="156"/>
      <c r="AO110" s="156"/>
      <c r="AP110" s="156"/>
      <c r="AQ110" s="156"/>
      <c r="AR110" s="156"/>
      <c r="AS110" s="156"/>
      <c r="AT110" s="156"/>
      <c r="AU110" s="156"/>
      <c r="AV110" s="156"/>
      <c r="AW110" s="156"/>
      <c r="AX110" s="156"/>
      <c r="AY110" s="156"/>
      <c r="AZ110" s="156"/>
      <c r="BA110" s="156"/>
      <c r="BB110" s="156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156"/>
      <c r="CP110" s="156"/>
      <c r="CQ110" s="156"/>
      <c r="CR110" s="156"/>
      <c r="CS110" s="156"/>
      <c r="CT110" s="156"/>
      <c r="CU110" s="156"/>
      <c r="CV110" s="156"/>
      <c r="CW110" s="156"/>
      <c r="CX110" s="156"/>
      <c r="CY110" s="156"/>
      <c r="CZ110" s="156"/>
      <c r="DA110" s="156"/>
      <c r="DB110" s="156"/>
      <c r="DC110" s="156"/>
      <c r="DD110" s="156"/>
      <c r="DE110" s="156"/>
      <c r="DF110" s="156"/>
      <c r="DG110" s="156"/>
      <c r="DH110" s="156"/>
      <c r="DI110" s="156"/>
      <c r="DJ110" s="156"/>
      <c r="DK110" s="156"/>
      <c r="DL110" s="156"/>
      <c r="DM110" s="156"/>
      <c r="DN110" s="156"/>
      <c r="DO110" s="156"/>
      <c r="DP110" s="156"/>
      <c r="DQ110" s="156"/>
      <c r="DR110" s="156"/>
      <c r="DS110" s="156"/>
      <c r="DT110" s="156"/>
      <c r="DU110" s="156"/>
      <c r="DV110" s="156"/>
      <c r="DW110" s="156"/>
      <c r="DX110" s="156"/>
      <c r="DY110" s="156"/>
      <c r="DZ110" s="156"/>
      <c r="EA110" s="156"/>
      <c r="EB110" s="156"/>
      <c r="EC110" s="156"/>
      <c r="ED110" s="156"/>
      <c r="EE110" s="156"/>
      <c r="EF110" s="156"/>
      <c r="EG110" s="156"/>
      <c r="EH110" s="156"/>
      <c r="EI110" s="156"/>
      <c r="EJ110" s="156"/>
      <c r="EK110" s="156"/>
      <c r="EL110" s="156"/>
      <c r="EM110" s="156"/>
      <c r="EN110" s="156"/>
      <c r="EO110" s="156"/>
      <c r="EP110" s="156"/>
      <c r="EQ110" s="156"/>
      <c r="ER110" s="156"/>
      <c r="ES110" s="156"/>
      <c r="ET110" s="156"/>
      <c r="EU110" s="156"/>
      <c r="EV110" s="156"/>
      <c r="EW110" s="156"/>
      <c r="EX110" s="156"/>
      <c r="EY110" s="156"/>
      <c r="EZ110" s="156"/>
      <c r="FA110" s="156"/>
      <c r="FB110" s="156"/>
      <c r="FC110" s="156"/>
      <c r="FD110" s="156"/>
      <c r="FE110" s="156"/>
      <c r="FF110" s="156"/>
      <c r="FG110" s="156"/>
      <c r="FH110" s="156"/>
      <c r="FI110" s="156"/>
      <c r="FJ110" s="156"/>
      <c r="FK110" s="156"/>
      <c r="FL110" s="156"/>
      <c r="FM110" s="156"/>
      <c r="FN110" s="156"/>
      <c r="FO110" s="156"/>
      <c r="FP110" s="156"/>
      <c r="FQ110" s="156"/>
      <c r="FR110" s="156"/>
      <c r="FS110" s="156"/>
      <c r="FT110" s="156"/>
      <c r="FU110" s="156"/>
      <c r="FV110" s="156"/>
      <c r="FW110" s="156"/>
      <c r="FX110" s="156"/>
      <c r="FY110" s="156"/>
      <c r="FZ110" s="156"/>
      <c r="GA110" s="156"/>
      <c r="GB110" s="156"/>
      <c r="GC110" s="156"/>
      <c r="GD110" s="156"/>
      <c r="GE110" s="156"/>
      <c r="GF110" s="156"/>
      <c r="GG110" s="156"/>
      <c r="GH110" s="156"/>
      <c r="GI110" s="156"/>
      <c r="GJ110" s="156"/>
      <c r="GK110" s="156"/>
      <c r="GL110" s="156"/>
      <c r="GM110" s="156"/>
      <c r="GN110" s="156"/>
      <c r="GO110" s="156"/>
      <c r="GP110" s="156"/>
      <c r="GQ110" s="156"/>
      <c r="GR110" s="156"/>
      <c r="GS110" s="156"/>
      <c r="GT110" s="156"/>
      <c r="GU110" s="156"/>
      <c r="GV110" s="156"/>
      <c r="GW110" s="156"/>
      <c r="GX110" s="156"/>
      <c r="GY110" s="156"/>
      <c r="GZ110" s="156"/>
      <c r="HA110" s="156"/>
      <c r="HB110" s="156"/>
      <c r="HC110" s="156"/>
      <c r="HD110" s="156"/>
      <c r="HE110" s="156"/>
      <c r="HF110" s="156"/>
      <c r="HG110" s="156"/>
      <c r="HH110" s="156"/>
      <c r="HI110" s="156"/>
      <c r="HJ110" s="156"/>
      <c r="HK110" s="156"/>
      <c r="HL110" s="156"/>
      <c r="HP110" s="527">
        <v>0.1</v>
      </c>
      <c r="HQ110" s="527"/>
      <c r="HR110" s="428">
        <f>IF(HT98&gt;=0.1,1,0)</f>
        <v>1</v>
      </c>
      <c r="HS110" s="428">
        <f>IF(HT98&lt;0.125,1,0)</f>
        <v>0</v>
      </c>
      <c r="HT110" s="194">
        <f>SUM(HR110:HS110)</f>
        <v>1</v>
      </c>
      <c r="HV110" s="527">
        <v>0.1</v>
      </c>
      <c r="HW110" s="527"/>
      <c r="HX110" s="428">
        <f>IF(HX98&gt;=0.1,1,0)</f>
        <v>1</v>
      </c>
      <c r="HY110" s="428">
        <f>IF(HX98&lt;0.125,1,0)</f>
        <v>0</v>
      </c>
      <c r="HZ110" s="194">
        <f>SUM(HX110:HY110)</f>
        <v>1</v>
      </c>
      <c r="IB110" s="527">
        <v>0.1</v>
      </c>
      <c r="IC110" s="527"/>
      <c r="ID110" s="428">
        <f>IF(IB98&gt;=0.1,1,0)</f>
        <v>1</v>
      </c>
      <c r="IE110" s="428">
        <f>IF(IB98&lt;0.125,1,0)</f>
        <v>0</v>
      </c>
      <c r="IF110" s="194">
        <f>SUM(ID110:IE110)</f>
        <v>1</v>
      </c>
      <c r="IG110" s="442"/>
      <c r="IH110" s="442"/>
      <c r="II110" s="442"/>
      <c r="IL110" s="438" t="s">
        <v>75</v>
      </c>
      <c r="IM110" s="442"/>
      <c r="IN110" s="438" t="s">
        <v>76</v>
      </c>
      <c r="IO110" s="442"/>
      <c r="IP110" s="174" t="str">
        <f t="shared" si="4"/>
        <v>DB25</v>
      </c>
      <c r="IQ110" s="442"/>
      <c r="IR110" s="174" t="str">
        <f t="shared" si="5"/>
        <v>RB15</v>
      </c>
      <c r="IS110" s="442"/>
      <c r="IT110" s="442"/>
      <c r="IU110" s="442"/>
      <c r="IV110" s="442"/>
      <c r="IW110" s="442"/>
      <c r="IX110" s="442"/>
      <c r="IY110" s="442"/>
      <c r="IZ110" s="442"/>
      <c r="JA110" s="442"/>
      <c r="JB110" s="442"/>
      <c r="JC110" s="442"/>
      <c r="JD110" s="442"/>
      <c r="JE110" s="442"/>
      <c r="JF110" s="442"/>
      <c r="JG110" s="442"/>
      <c r="JH110" s="442"/>
      <c r="JI110" s="442"/>
      <c r="JJ110" s="442"/>
      <c r="JK110" s="442"/>
      <c r="JL110" s="442"/>
      <c r="JM110" s="442"/>
      <c r="JN110" s="442"/>
      <c r="JO110" s="442"/>
      <c r="JP110" s="442"/>
      <c r="JQ110" s="442"/>
      <c r="JR110" s="442"/>
      <c r="JS110" s="442"/>
      <c r="JT110" s="442"/>
      <c r="JU110" s="442"/>
      <c r="JV110" s="442"/>
      <c r="JW110" s="442"/>
      <c r="JX110" s="442"/>
      <c r="JY110" s="442"/>
      <c r="JZ110" s="442"/>
      <c r="KA110" s="442"/>
      <c r="KB110" s="442"/>
      <c r="KC110" s="442"/>
      <c r="KD110" s="442"/>
      <c r="KE110" s="442"/>
      <c r="KF110" s="442"/>
      <c r="KG110" s="442"/>
      <c r="KH110" s="442"/>
      <c r="KI110" s="442"/>
      <c r="KJ110" s="442"/>
      <c r="KK110" s="442"/>
      <c r="KL110" s="442"/>
      <c r="KM110" s="442"/>
      <c r="KN110" s="442"/>
      <c r="KO110" s="442"/>
      <c r="KP110" s="442"/>
      <c r="KQ110" s="442"/>
      <c r="KR110" s="442"/>
      <c r="KS110" s="442"/>
      <c r="KT110" s="442"/>
      <c r="KU110" s="442"/>
      <c r="KV110" s="442"/>
      <c r="KW110" s="442"/>
      <c r="KX110" s="442"/>
      <c r="KY110" s="442"/>
      <c r="KZ110" s="442"/>
      <c r="LA110" s="442"/>
      <c r="LB110" s="442"/>
      <c r="LC110" s="442"/>
      <c r="LD110" s="442"/>
      <c r="LE110" s="442"/>
      <c r="LF110" s="442"/>
      <c r="LG110" s="442"/>
      <c r="LH110" s="442"/>
      <c r="LI110" s="442"/>
      <c r="LJ110" s="442"/>
      <c r="LK110" s="442"/>
      <c r="LL110" s="442"/>
      <c r="LM110" s="442"/>
      <c r="LN110" s="442"/>
      <c r="LO110" s="442"/>
      <c r="LP110" s="442"/>
      <c r="LQ110" s="442"/>
      <c r="LR110" s="442"/>
      <c r="LS110" s="442"/>
      <c r="LT110" s="442"/>
      <c r="LU110" s="442"/>
      <c r="LV110" s="442"/>
      <c r="LW110" s="442"/>
      <c r="LX110" s="442"/>
      <c r="LY110" s="442"/>
      <c r="LZ110" s="442"/>
      <c r="MA110" s="442"/>
      <c r="MB110" s="442"/>
      <c r="MC110" s="442"/>
      <c r="MD110" s="442"/>
      <c r="ME110" s="442"/>
      <c r="MF110" s="442"/>
      <c r="MG110" s="442"/>
      <c r="MH110" s="442"/>
      <c r="MI110" s="442"/>
      <c r="MJ110" s="442"/>
      <c r="MK110" s="442"/>
      <c r="ML110" s="442"/>
      <c r="MM110" s="442"/>
      <c r="MN110" s="442"/>
      <c r="MO110" s="442"/>
      <c r="MP110" s="442"/>
      <c r="MQ110" s="442"/>
      <c r="MR110" s="442"/>
      <c r="MS110" s="442"/>
      <c r="MT110" s="442"/>
      <c r="MU110" s="442"/>
      <c r="NT110" s="202" t="s">
        <v>23</v>
      </c>
      <c r="NU110" s="203">
        <f>1.5</f>
        <v>1.5</v>
      </c>
      <c r="NV110" s="203">
        <f>NU110</f>
        <v>1.5</v>
      </c>
      <c r="NW110" s="203">
        <f>-NU110</f>
        <v>-1.5</v>
      </c>
      <c r="NX110" s="203">
        <f>-NU110</f>
        <v>-1.5</v>
      </c>
      <c r="NY110" s="204">
        <f>NU110</f>
        <v>1.5</v>
      </c>
    </row>
    <row r="111" spans="1:395" ht="14.1" customHeight="1" x14ac:dyDescent="0.2">
      <c r="A111" s="156"/>
      <c r="B111" s="236"/>
      <c r="C111" s="236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156"/>
      <c r="R111" s="156"/>
      <c r="S111" s="156"/>
      <c r="T111" s="156"/>
      <c r="U111" s="156"/>
      <c r="V111" s="156"/>
      <c r="W111" s="156"/>
      <c r="X111" s="156"/>
      <c r="Y111" s="156"/>
      <c r="Z111" s="156"/>
      <c r="AA111" s="156"/>
      <c r="AB111" s="156"/>
      <c r="AC111" s="156"/>
      <c r="AD111" s="156"/>
      <c r="AE111" s="156"/>
      <c r="AF111" s="156"/>
      <c r="AG111" s="156"/>
      <c r="AH111" s="156"/>
      <c r="AI111" s="156"/>
      <c r="AJ111" s="156"/>
      <c r="AK111" s="156"/>
      <c r="AL111" s="156"/>
      <c r="AM111" s="156"/>
      <c r="AN111" s="156"/>
      <c r="AO111" s="156"/>
      <c r="AP111" s="156"/>
      <c r="AQ111" s="156"/>
      <c r="AR111" s="156"/>
      <c r="AS111" s="156"/>
      <c r="AT111" s="156"/>
      <c r="AU111" s="156"/>
      <c r="AV111" s="156"/>
      <c r="AW111" s="156"/>
      <c r="AX111" s="156"/>
      <c r="AY111" s="156"/>
      <c r="AZ111" s="156"/>
      <c r="BA111" s="156"/>
      <c r="BB111" s="156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156"/>
      <c r="CP111" s="156"/>
      <c r="CQ111" s="156"/>
      <c r="CR111" s="156"/>
      <c r="CS111" s="156"/>
      <c r="CT111" s="156"/>
      <c r="CU111" s="156"/>
      <c r="CV111" s="156"/>
      <c r="CW111" s="156"/>
      <c r="CX111" s="156"/>
      <c r="CY111" s="156"/>
      <c r="CZ111" s="156"/>
      <c r="DA111" s="156"/>
      <c r="DB111" s="156"/>
      <c r="DC111" s="156"/>
      <c r="DD111" s="156"/>
      <c r="DE111" s="156"/>
      <c r="DF111" s="156"/>
      <c r="DG111" s="156"/>
      <c r="DH111" s="156"/>
      <c r="DI111" s="156"/>
      <c r="DJ111" s="156"/>
      <c r="DK111" s="156"/>
      <c r="DL111" s="156"/>
      <c r="DM111" s="156"/>
      <c r="DN111" s="156"/>
      <c r="DO111" s="156"/>
      <c r="DP111" s="156"/>
      <c r="DQ111" s="156"/>
      <c r="DR111" s="156"/>
      <c r="DS111" s="156"/>
      <c r="DT111" s="156"/>
      <c r="DU111" s="156"/>
      <c r="DV111" s="156"/>
      <c r="DW111" s="156"/>
      <c r="DX111" s="156"/>
      <c r="DY111" s="156"/>
      <c r="DZ111" s="156"/>
      <c r="EA111" s="156"/>
      <c r="EB111" s="156"/>
      <c r="EC111" s="156"/>
      <c r="ED111" s="156"/>
      <c r="EE111" s="156"/>
      <c r="EF111" s="156"/>
      <c r="EG111" s="156"/>
      <c r="EH111" s="156"/>
      <c r="EI111" s="156"/>
      <c r="EJ111" s="156"/>
      <c r="EK111" s="156"/>
      <c r="EL111" s="156"/>
      <c r="EM111" s="156"/>
      <c r="EN111" s="156"/>
      <c r="EO111" s="156"/>
      <c r="EP111" s="156"/>
      <c r="EQ111" s="156"/>
      <c r="ER111" s="156"/>
      <c r="ES111" s="156"/>
      <c r="ET111" s="156"/>
      <c r="EU111" s="156"/>
      <c r="EV111" s="156"/>
      <c r="EW111" s="156"/>
      <c r="EX111" s="156"/>
      <c r="EY111" s="156"/>
      <c r="EZ111" s="156"/>
      <c r="FA111" s="156"/>
      <c r="FB111" s="156"/>
      <c r="FC111" s="156"/>
      <c r="FD111" s="156"/>
      <c r="FE111" s="156"/>
      <c r="FF111" s="156"/>
      <c r="FG111" s="156"/>
      <c r="FH111" s="156"/>
      <c r="FI111" s="156"/>
      <c r="FJ111" s="156"/>
      <c r="FK111" s="156"/>
      <c r="FL111" s="156"/>
      <c r="FM111" s="156"/>
      <c r="FN111" s="156"/>
      <c r="FO111" s="156"/>
      <c r="FP111" s="156"/>
      <c r="FQ111" s="156"/>
      <c r="FR111" s="156"/>
      <c r="FS111" s="156"/>
      <c r="FT111" s="156"/>
      <c r="FU111" s="156"/>
      <c r="FV111" s="156"/>
      <c r="FW111" s="156"/>
      <c r="FX111" s="156"/>
      <c r="FY111" s="156"/>
      <c r="FZ111" s="156"/>
      <c r="GA111" s="156"/>
      <c r="GB111" s="156"/>
      <c r="GC111" s="156"/>
      <c r="GD111" s="156"/>
      <c r="GE111" s="156"/>
      <c r="GF111" s="156"/>
      <c r="GG111" s="156"/>
      <c r="GH111" s="156"/>
      <c r="GI111" s="156"/>
      <c r="GJ111" s="156"/>
      <c r="GK111" s="156"/>
      <c r="GL111" s="156"/>
      <c r="GM111" s="156"/>
      <c r="GN111" s="156"/>
      <c r="GO111" s="156"/>
      <c r="GP111" s="156"/>
      <c r="GQ111" s="156"/>
      <c r="GR111" s="156"/>
      <c r="GS111" s="156"/>
      <c r="GT111" s="156"/>
      <c r="GU111" s="156"/>
      <c r="GV111" s="156"/>
      <c r="GW111" s="156"/>
      <c r="GX111" s="156"/>
      <c r="GY111" s="156"/>
      <c r="GZ111" s="156"/>
      <c r="HA111" s="156"/>
      <c r="HB111" s="156"/>
      <c r="HC111" s="156"/>
      <c r="HD111" s="156"/>
      <c r="HE111" s="156"/>
      <c r="HF111" s="156"/>
      <c r="HG111" s="156"/>
      <c r="HH111" s="156"/>
      <c r="HI111" s="156"/>
      <c r="HJ111" s="156"/>
      <c r="HK111" s="156"/>
      <c r="HL111" s="156"/>
      <c r="HP111" s="527">
        <v>0.125</v>
      </c>
      <c r="HQ111" s="527"/>
      <c r="HR111" s="428">
        <f>IF(HT98&gt;=0.125,1,0)</f>
        <v>1</v>
      </c>
      <c r="HS111" s="428">
        <f>IF(HT98&lt;0.15,1,0)</f>
        <v>0</v>
      </c>
      <c r="HT111" s="194">
        <f t="shared" ref="HT111:HT124" si="6">SUM(HR111:HS111)</f>
        <v>1</v>
      </c>
      <c r="HV111" s="527">
        <v>0.125</v>
      </c>
      <c r="HW111" s="527"/>
      <c r="HX111" s="428">
        <f>IF(HX98&gt;=0.125,1,0)</f>
        <v>1</v>
      </c>
      <c r="HY111" s="428">
        <f>IF(HX98&lt;0.15,1,0)</f>
        <v>0</v>
      </c>
      <c r="HZ111" s="194">
        <f t="shared" ref="HZ111:HZ124" si="7">SUM(HX111:HY111)</f>
        <v>1</v>
      </c>
      <c r="IB111" s="527">
        <v>0.125</v>
      </c>
      <c r="IC111" s="527"/>
      <c r="ID111" s="428">
        <f>IF(IB98&gt;=0.125,1,0)</f>
        <v>1</v>
      </c>
      <c r="IE111" s="428">
        <f>IF(IB98&lt;0.15,1,0)</f>
        <v>0</v>
      </c>
      <c r="IF111" s="194">
        <f t="shared" ref="IF111:IF124" si="8">SUM(ID111:IE111)</f>
        <v>1</v>
      </c>
      <c r="IG111" s="442"/>
      <c r="IH111" s="442"/>
      <c r="II111" s="442"/>
      <c r="IL111" s="438" t="s">
        <v>81</v>
      </c>
      <c r="IM111" s="442"/>
      <c r="IN111" s="438" t="s">
        <v>82</v>
      </c>
      <c r="IO111" s="442"/>
      <c r="IP111" s="174" t="str">
        <f t="shared" si="4"/>
        <v>DB28</v>
      </c>
      <c r="IQ111" s="442"/>
      <c r="IR111" s="174" t="str">
        <f t="shared" si="5"/>
        <v>RB19</v>
      </c>
      <c r="IS111" s="442"/>
      <c r="IT111" s="442"/>
      <c r="IU111" s="442"/>
      <c r="IV111" s="442"/>
      <c r="IW111" s="442"/>
      <c r="IX111" s="442"/>
      <c r="IY111" s="442"/>
      <c r="IZ111" s="442"/>
      <c r="JA111" s="442"/>
      <c r="JB111" s="442"/>
      <c r="JC111" s="442"/>
      <c r="JD111" s="442"/>
      <c r="JE111" s="442"/>
      <c r="JF111" s="442"/>
      <c r="JG111" s="442"/>
      <c r="JH111" s="442"/>
      <c r="JI111" s="442"/>
      <c r="JJ111" s="442"/>
      <c r="JK111" s="442"/>
      <c r="JL111" s="442"/>
      <c r="JM111" s="442"/>
      <c r="JN111" s="442"/>
      <c r="JO111" s="442"/>
      <c r="JP111" s="442"/>
      <c r="JQ111" s="442"/>
      <c r="JR111" s="442"/>
      <c r="JS111" s="442"/>
      <c r="JT111" s="442"/>
      <c r="JU111" s="442"/>
      <c r="JV111" s="442"/>
      <c r="JW111" s="442"/>
      <c r="JX111" s="442"/>
      <c r="JY111" s="442"/>
      <c r="JZ111" s="442"/>
      <c r="KA111" s="442"/>
      <c r="KB111" s="442"/>
      <c r="KC111" s="442"/>
      <c r="KD111" s="442"/>
      <c r="KE111" s="442"/>
      <c r="KF111" s="442"/>
      <c r="KG111" s="442"/>
      <c r="KH111" s="442"/>
      <c r="KI111" s="442"/>
      <c r="KJ111" s="442"/>
      <c r="KK111" s="442"/>
      <c r="KL111" s="442"/>
      <c r="KM111" s="442"/>
      <c r="KN111" s="442"/>
      <c r="KO111" s="442"/>
      <c r="KP111" s="442"/>
      <c r="KQ111" s="442"/>
      <c r="KR111" s="442"/>
      <c r="KS111" s="442"/>
      <c r="KT111" s="442"/>
      <c r="KU111" s="442"/>
      <c r="KV111" s="442"/>
      <c r="KW111" s="442"/>
      <c r="KX111" s="442"/>
      <c r="KY111" s="442"/>
      <c r="KZ111" s="442"/>
      <c r="LA111" s="442"/>
      <c r="LB111" s="442"/>
      <c r="LC111" s="442"/>
      <c r="LD111" s="442"/>
      <c r="LE111" s="442"/>
      <c r="LF111" s="442"/>
      <c r="LG111" s="442"/>
      <c r="LH111" s="442"/>
      <c r="LI111" s="442"/>
      <c r="LJ111" s="442"/>
      <c r="LK111" s="442"/>
      <c r="LL111" s="442"/>
      <c r="LM111" s="442"/>
      <c r="LN111" s="442"/>
      <c r="LO111" s="442"/>
      <c r="LP111" s="442"/>
      <c r="LQ111" s="442"/>
      <c r="LR111" s="442"/>
      <c r="LS111" s="442"/>
      <c r="LT111" s="442"/>
      <c r="LU111" s="442"/>
      <c r="LV111" s="442"/>
      <c r="LW111" s="442"/>
      <c r="LX111" s="442"/>
      <c r="LY111" s="442"/>
      <c r="LZ111" s="442"/>
      <c r="MA111" s="442"/>
      <c r="MB111" s="442"/>
      <c r="MC111" s="442"/>
      <c r="MD111" s="442"/>
      <c r="ME111" s="442"/>
      <c r="MF111" s="442"/>
      <c r="MG111" s="442"/>
      <c r="MH111" s="442"/>
      <c r="MI111" s="442"/>
      <c r="MJ111" s="442"/>
      <c r="MK111" s="442"/>
      <c r="ML111" s="442"/>
      <c r="MM111" s="442"/>
      <c r="MN111" s="442"/>
      <c r="MO111" s="442"/>
      <c r="MP111" s="442"/>
      <c r="MQ111" s="442"/>
      <c r="MR111" s="442"/>
      <c r="MS111" s="442"/>
      <c r="MT111" s="442"/>
      <c r="MU111" s="442"/>
      <c r="NT111" s="149" t="s">
        <v>128</v>
      </c>
      <c r="NX111" s="149" t="s">
        <v>129</v>
      </c>
    </row>
    <row r="112" spans="1:395" ht="14.1" customHeight="1" x14ac:dyDescent="0.2">
      <c r="A112" s="156"/>
      <c r="B112" s="236"/>
      <c r="C112" s="236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156"/>
      <c r="R112" s="156"/>
      <c r="S112" s="156"/>
      <c r="T112" s="156"/>
      <c r="U112" s="156"/>
      <c r="V112" s="156"/>
      <c r="W112" s="156"/>
      <c r="X112" s="156"/>
      <c r="Y112" s="156"/>
      <c r="Z112" s="156"/>
      <c r="AA112" s="156"/>
      <c r="AB112" s="156"/>
      <c r="AC112" s="156"/>
      <c r="AD112" s="156"/>
      <c r="AE112" s="156"/>
      <c r="AF112" s="156"/>
      <c r="AG112" s="156"/>
      <c r="AH112" s="156"/>
      <c r="AI112" s="156"/>
      <c r="AJ112" s="156"/>
      <c r="AK112" s="156"/>
      <c r="AL112" s="156"/>
      <c r="AM112" s="156"/>
      <c r="AN112" s="156"/>
      <c r="AO112" s="156"/>
      <c r="AP112" s="156"/>
      <c r="AQ112" s="156"/>
      <c r="AR112" s="156"/>
      <c r="AS112" s="156"/>
      <c r="AT112" s="156"/>
      <c r="AU112" s="156"/>
      <c r="AV112" s="156"/>
      <c r="AW112" s="156"/>
      <c r="AX112" s="156"/>
      <c r="AY112" s="156"/>
      <c r="AZ112" s="156"/>
      <c r="BA112" s="156"/>
      <c r="BB112" s="156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156"/>
      <c r="CP112" s="156"/>
      <c r="CQ112" s="156"/>
      <c r="CR112" s="156"/>
      <c r="CS112" s="156"/>
      <c r="CT112" s="156"/>
      <c r="CU112" s="156"/>
      <c r="CV112" s="156"/>
      <c r="CW112" s="156"/>
      <c r="CX112" s="156"/>
      <c r="CY112" s="156"/>
      <c r="CZ112" s="156"/>
      <c r="DA112" s="156"/>
      <c r="DB112" s="156"/>
      <c r="DC112" s="156"/>
      <c r="DD112" s="156"/>
      <c r="DE112" s="156"/>
      <c r="DF112" s="156"/>
      <c r="DG112" s="156"/>
      <c r="DH112" s="156"/>
      <c r="DI112" s="156"/>
      <c r="DJ112" s="156"/>
      <c r="DK112" s="156"/>
      <c r="DL112" s="156"/>
      <c r="DM112" s="156"/>
      <c r="DN112" s="156"/>
      <c r="DO112" s="156"/>
      <c r="DP112" s="156"/>
      <c r="DQ112" s="156"/>
      <c r="DR112" s="156"/>
      <c r="DS112" s="156"/>
      <c r="DT112" s="156"/>
      <c r="DU112" s="156"/>
      <c r="DV112" s="156"/>
      <c r="DW112" s="156"/>
      <c r="DX112" s="156"/>
      <c r="DY112" s="156"/>
      <c r="DZ112" s="156"/>
      <c r="EA112" s="156"/>
      <c r="EB112" s="156"/>
      <c r="EC112" s="156"/>
      <c r="ED112" s="156"/>
      <c r="EE112" s="156"/>
      <c r="EF112" s="156"/>
      <c r="EG112" s="156"/>
      <c r="EH112" s="156"/>
      <c r="EI112" s="156"/>
      <c r="EJ112" s="156"/>
      <c r="EK112" s="156"/>
      <c r="EL112" s="156"/>
      <c r="EM112" s="156"/>
      <c r="EN112" s="156"/>
      <c r="EO112" s="156"/>
      <c r="EP112" s="156"/>
      <c r="EQ112" s="156"/>
      <c r="ER112" s="156"/>
      <c r="ES112" s="156"/>
      <c r="ET112" s="156"/>
      <c r="EU112" s="156"/>
      <c r="EV112" s="156"/>
      <c r="EW112" s="156"/>
      <c r="EX112" s="156"/>
      <c r="EY112" s="156"/>
      <c r="EZ112" s="156"/>
      <c r="FA112" s="156"/>
      <c r="FB112" s="156"/>
      <c r="FC112" s="156"/>
      <c r="FD112" s="156"/>
      <c r="FE112" s="156"/>
      <c r="FF112" s="156"/>
      <c r="FG112" s="156"/>
      <c r="FH112" s="156"/>
      <c r="FI112" s="156"/>
      <c r="FJ112" s="156"/>
      <c r="FK112" s="156"/>
      <c r="FL112" s="156"/>
      <c r="FM112" s="156"/>
      <c r="FN112" s="156"/>
      <c r="FO112" s="156"/>
      <c r="FP112" s="156"/>
      <c r="FQ112" s="156"/>
      <c r="FR112" s="156"/>
      <c r="FS112" s="156"/>
      <c r="FT112" s="156"/>
      <c r="FU112" s="156"/>
      <c r="FV112" s="156"/>
      <c r="FW112" s="156"/>
      <c r="FX112" s="156"/>
      <c r="FY112" s="156"/>
      <c r="FZ112" s="156"/>
      <c r="GA112" s="156"/>
      <c r="GB112" s="156"/>
      <c r="GC112" s="156"/>
      <c r="GD112" s="156"/>
      <c r="GE112" s="156"/>
      <c r="GF112" s="156"/>
      <c r="GG112" s="156"/>
      <c r="GH112" s="156"/>
      <c r="GI112" s="156"/>
      <c r="GJ112" s="156"/>
      <c r="GK112" s="156"/>
      <c r="GL112" s="156"/>
      <c r="GM112" s="156"/>
      <c r="GN112" s="156"/>
      <c r="GO112" s="156"/>
      <c r="GP112" s="156"/>
      <c r="GQ112" s="156"/>
      <c r="GR112" s="156"/>
      <c r="GS112" s="156"/>
      <c r="GT112" s="156"/>
      <c r="GU112" s="156"/>
      <c r="GV112" s="156"/>
      <c r="GW112" s="156"/>
      <c r="GX112" s="156"/>
      <c r="GY112" s="156"/>
      <c r="GZ112" s="156"/>
      <c r="HA112" s="156"/>
      <c r="HB112" s="156"/>
      <c r="HC112" s="156"/>
      <c r="HD112" s="156"/>
      <c r="HE112" s="156"/>
      <c r="HF112" s="156"/>
      <c r="HG112" s="156"/>
      <c r="HH112" s="156"/>
      <c r="HI112" s="156"/>
      <c r="HJ112" s="156"/>
      <c r="HK112" s="156"/>
      <c r="HL112" s="156"/>
      <c r="HP112" s="527">
        <v>0.15</v>
      </c>
      <c r="HQ112" s="527"/>
      <c r="HR112" s="428">
        <f>IF(HT98&gt;=0.15,1,0)</f>
        <v>1</v>
      </c>
      <c r="HS112" s="428">
        <f>IF(HT98&lt;0.175,1,0)</f>
        <v>0</v>
      </c>
      <c r="HT112" s="194">
        <f t="shared" si="6"/>
        <v>1</v>
      </c>
      <c r="HV112" s="527">
        <v>0.15</v>
      </c>
      <c r="HW112" s="527"/>
      <c r="HX112" s="428">
        <f>IF(HX98&gt;=0.15,1,0)</f>
        <v>1</v>
      </c>
      <c r="HY112" s="428">
        <f>IF(HX98&lt;0.175,1,0)</f>
        <v>0</v>
      </c>
      <c r="HZ112" s="194">
        <f t="shared" si="7"/>
        <v>1</v>
      </c>
      <c r="IB112" s="527">
        <v>0.15</v>
      </c>
      <c r="IC112" s="527"/>
      <c r="ID112" s="428">
        <f>IF(IB98&gt;=0.15,1,0)</f>
        <v>1</v>
      </c>
      <c r="IE112" s="428">
        <f>IF(IB98&lt;0.175,1,0)</f>
        <v>0</v>
      </c>
      <c r="IF112" s="194">
        <f t="shared" si="8"/>
        <v>1</v>
      </c>
      <c r="IG112" s="214"/>
      <c r="IH112" s="214"/>
      <c r="II112" s="442"/>
      <c r="IL112" s="438" t="s">
        <v>84</v>
      </c>
      <c r="IM112" s="442"/>
      <c r="IN112" s="442" t="s">
        <v>85</v>
      </c>
      <c r="IO112" s="442"/>
      <c r="IP112" s="174" t="str">
        <f t="shared" si="4"/>
        <v>DB32</v>
      </c>
      <c r="IQ112" s="174"/>
      <c r="IR112" s="174" t="str">
        <f t="shared" si="5"/>
        <v>RB25</v>
      </c>
      <c r="IS112" s="174"/>
      <c r="IT112" s="442"/>
      <c r="IU112" s="442"/>
      <c r="IV112" s="442"/>
      <c r="IW112" s="442"/>
      <c r="IX112" s="442"/>
      <c r="IY112" s="442"/>
      <c r="IZ112" s="442"/>
      <c r="JA112" s="442"/>
      <c r="JB112" s="442"/>
      <c r="JC112" s="442"/>
      <c r="JD112" s="442"/>
      <c r="JE112" s="442"/>
      <c r="JF112" s="442"/>
      <c r="JG112" s="442"/>
      <c r="JH112" s="442"/>
      <c r="JI112" s="442"/>
      <c r="JJ112" s="442"/>
      <c r="JK112" s="442"/>
      <c r="JL112" s="442"/>
      <c r="JM112" s="442"/>
      <c r="JN112" s="442"/>
      <c r="JO112" s="442"/>
      <c r="JP112" s="442"/>
      <c r="JQ112" s="442"/>
      <c r="JR112" s="442"/>
      <c r="JS112" s="442"/>
      <c r="JT112" s="442"/>
      <c r="JU112" s="442"/>
      <c r="JV112" s="442"/>
      <c r="JW112" s="442"/>
      <c r="JX112" s="442"/>
      <c r="JY112" s="442"/>
      <c r="JZ112" s="442"/>
      <c r="KA112" s="442"/>
      <c r="KB112" s="442"/>
      <c r="KC112" s="442"/>
      <c r="KD112" s="442"/>
      <c r="KE112" s="442"/>
      <c r="KF112" s="442"/>
      <c r="KG112" s="442"/>
      <c r="KH112" s="442"/>
      <c r="KI112" s="442"/>
      <c r="KJ112" s="442"/>
      <c r="KK112" s="442"/>
      <c r="KL112" s="442"/>
      <c r="KM112" s="442"/>
      <c r="KN112" s="442"/>
      <c r="KO112" s="442"/>
      <c r="KP112" s="442"/>
      <c r="KQ112" s="442"/>
      <c r="KR112" s="442"/>
      <c r="KS112" s="442"/>
      <c r="KT112" s="442"/>
      <c r="KU112" s="442"/>
      <c r="KV112" s="442"/>
      <c r="KW112" s="442"/>
      <c r="KX112" s="442"/>
      <c r="KY112" s="442"/>
      <c r="KZ112" s="442"/>
      <c r="LA112" s="442"/>
      <c r="LB112" s="442"/>
      <c r="LC112" s="442"/>
      <c r="LD112" s="442"/>
      <c r="LE112" s="442"/>
      <c r="LF112" s="442"/>
      <c r="LG112" s="442"/>
      <c r="LH112" s="442"/>
      <c r="LI112" s="442"/>
      <c r="LJ112" s="442"/>
      <c r="LK112" s="442"/>
      <c r="LL112" s="442"/>
      <c r="LM112" s="442"/>
      <c r="LN112" s="442"/>
      <c r="LO112" s="442"/>
      <c r="LP112" s="442"/>
      <c r="LQ112" s="442"/>
      <c r="LR112" s="442"/>
      <c r="LS112" s="442"/>
      <c r="LT112" s="442"/>
      <c r="LU112" s="442"/>
      <c r="LV112" s="442"/>
      <c r="LW112" s="442"/>
      <c r="LX112" s="442"/>
      <c r="LY112" s="442"/>
      <c r="LZ112" s="442"/>
      <c r="MA112" s="442"/>
      <c r="MB112" s="442"/>
      <c r="MC112" s="442"/>
      <c r="MD112" s="442"/>
      <c r="ME112" s="442"/>
      <c r="MF112" s="442"/>
      <c r="MG112" s="442"/>
      <c r="MH112" s="442"/>
      <c r="MI112" s="442"/>
      <c r="MJ112" s="442"/>
      <c r="MK112" s="442"/>
      <c r="ML112" s="442"/>
      <c r="MM112" s="442"/>
      <c r="MN112" s="442"/>
      <c r="MO112" s="442"/>
      <c r="MP112" s="442"/>
      <c r="MQ112" s="442"/>
      <c r="MR112" s="442"/>
      <c r="MS112" s="442"/>
      <c r="MT112" s="442"/>
      <c r="MU112" s="442"/>
      <c r="NT112" s="199" t="s">
        <v>22</v>
      </c>
      <c r="NU112" s="200">
        <f>IF(H38=4,0,IF(H38=7,0,IF(H38=9,0,NU109-0.2)))</f>
        <v>-3.7</v>
      </c>
      <c r="NV112" s="201">
        <f>NU112</f>
        <v>-3.7</v>
      </c>
      <c r="NX112" s="199" t="s">
        <v>22</v>
      </c>
      <c r="NY112" s="200">
        <f>IF(H38=1,NV109+0.2,IF(H38=2,NV109+0.2,IF(H38=6,NV109+0.2,0)))</f>
        <v>3.7</v>
      </c>
      <c r="NZ112" s="201">
        <f>NY112</f>
        <v>3.7</v>
      </c>
    </row>
    <row r="113" spans="1:401" ht="14.1" customHeight="1" x14ac:dyDescent="0.2">
      <c r="A113" s="156"/>
      <c r="B113" s="236"/>
      <c r="C113" s="236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156"/>
      <c r="R113" s="156"/>
      <c r="S113" s="156"/>
      <c r="T113" s="156"/>
      <c r="U113" s="156"/>
      <c r="V113" s="156"/>
      <c r="W113" s="156"/>
      <c r="X113" s="156"/>
      <c r="Y113" s="156"/>
      <c r="Z113" s="156"/>
      <c r="AA113" s="156"/>
      <c r="AB113" s="156"/>
      <c r="AC113" s="156"/>
      <c r="AD113" s="156"/>
      <c r="AE113" s="156"/>
      <c r="AF113" s="156"/>
      <c r="AG113" s="156"/>
      <c r="AH113" s="156"/>
      <c r="AI113" s="156"/>
      <c r="AJ113" s="156"/>
      <c r="AK113" s="156"/>
      <c r="AL113" s="156"/>
      <c r="AM113" s="156"/>
      <c r="AN113" s="156"/>
      <c r="AO113" s="156"/>
      <c r="AP113" s="156"/>
      <c r="AQ113" s="156"/>
      <c r="AR113" s="156"/>
      <c r="AS113" s="156"/>
      <c r="AT113" s="156"/>
      <c r="AU113" s="156"/>
      <c r="AV113" s="156"/>
      <c r="AW113" s="156"/>
      <c r="AX113" s="156"/>
      <c r="AY113" s="156"/>
      <c r="AZ113" s="156"/>
      <c r="BA113" s="156"/>
      <c r="BB113" s="156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156"/>
      <c r="CP113" s="156"/>
      <c r="CQ113" s="156"/>
      <c r="CR113" s="156"/>
      <c r="CS113" s="156"/>
      <c r="CT113" s="156"/>
      <c r="CU113" s="156"/>
      <c r="CV113" s="156"/>
      <c r="CW113" s="156"/>
      <c r="CX113" s="156"/>
      <c r="CY113" s="156"/>
      <c r="CZ113" s="156"/>
      <c r="DA113" s="156"/>
      <c r="DB113" s="156"/>
      <c r="DC113" s="156"/>
      <c r="DD113" s="156"/>
      <c r="DE113" s="156"/>
      <c r="DF113" s="156"/>
      <c r="DG113" s="156"/>
      <c r="DH113" s="156"/>
      <c r="DI113" s="156"/>
      <c r="DJ113" s="156"/>
      <c r="DK113" s="156"/>
      <c r="DL113" s="156"/>
      <c r="DM113" s="156"/>
      <c r="DN113" s="156"/>
      <c r="DO113" s="156"/>
      <c r="DP113" s="156"/>
      <c r="DQ113" s="156"/>
      <c r="DR113" s="156"/>
      <c r="DS113" s="156"/>
      <c r="DT113" s="156"/>
      <c r="DU113" s="156"/>
      <c r="DV113" s="156"/>
      <c r="DW113" s="156"/>
      <c r="DX113" s="156"/>
      <c r="DY113" s="156"/>
      <c r="DZ113" s="156"/>
      <c r="EA113" s="156"/>
      <c r="EB113" s="156"/>
      <c r="EC113" s="156"/>
      <c r="ED113" s="156"/>
      <c r="EE113" s="156"/>
      <c r="EF113" s="156"/>
      <c r="EG113" s="156"/>
      <c r="EH113" s="156"/>
      <c r="EI113" s="156"/>
      <c r="EJ113" s="156"/>
      <c r="EK113" s="156"/>
      <c r="EL113" s="156"/>
      <c r="EM113" s="156"/>
      <c r="EN113" s="156"/>
      <c r="EO113" s="156"/>
      <c r="EP113" s="156"/>
      <c r="EQ113" s="156"/>
      <c r="ER113" s="156"/>
      <c r="ES113" s="156"/>
      <c r="ET113" s="156"/>
      <c r="EU113" s="156"/>
      <c r="EV113" s="156"/>
      <c r="EW113" s="156"/>
      <c r="EX113" s="156"/>
      <c r="EY113" s="156"/>
      <c r="EZ113" s="156"/>
      <c r="FA113" s="156"/>
      <c r="FB113" s="156"/>
      <c r="FC113" s="156"/>
      <c r="FD113" s="156"/>
      <c r="FE113" s="156"/>
      <c r="FF113" s="156"/>
      <c r="FG113" s="156"/>
      <c r="FH113" s="156"/>
      <c r="FI113" s="156"/>
      <c r="FJ113" s="156"/>
      <c r="FK113" s="156"/>
      <c r="FL113" s="156"/>
      <c r="FM113" s="156"/>
      <c r="FN113" s="156"/>
      <c r="FO113" s="156"/>
      <c r="FP113" s="156"/>
      <c r="FQ113" s="156"/>
      <c r="FR113" s="156"/>
      <c r="FS113" s="156"/>
      <c r="FT113" s="156"/>
      <c r="FU113" s="156"/>
      <c r="FV113" s="156"/>
      <c r="FW113" s="156"/>
      <c r="FX113" s="156"/>
      <c r="FY113" s="156"/>
      <c r="FZ113" s="156"/>
      <c r="GA113" s="156"/>
      <c r="GB113" s="156"/>
      <c r="GC113" s="156"/>
      <c r="GD113" s="156"/>
      <c r="GE113" s="156"/>
      <c r="GF113" s="156"/>
      <c r="GG113" s="156"/>
      <c r="GH113" s="156"/>
      <c r="GI113" s="156"/>
      <c r="GJ113" s="156"/>
      <c r="GK113" s="156"/>
      <c r="GL113" s="156"/>
      <c r="GM113" s="156"/>
      <c r="GN113" s="156"/>
      <c r="GO113" s="156"/>
      <c r="GP113" s="156"/>
      <c r="GQ113" s="156"/>
      <c r="GR113" s="156"/>
      <c r="GS113" s="156"/>
      <c r="GT113" s="156"/>
      <c r="GU113" s="156"/>
      <c r="GV113" s="156"/>
      <c r="GW113" s="156"/>
      <c r="GX113" s="156"/>
      <c r="GY113" s="156"/>
      <c r="GZ113" s="156"/>
      <c r="HA113" s="156"/>
      <c r="HB113" s="156"/>
      <c r="HC113" s="156"/>
      <c r="HD113" s="156"/>
      <c r="HE113" s="156"/>
      <c r="HF113" s="156"/>
      <c r="HG113" s="156"/>
      <c r="HH113" s="156"/>
      <c r="HI113" s="156"/>
      <c r="HJ113" s="156"/>
      <c r="HK113" s="156"/>
      <c r="HL113" s="156"/>
      <c r="HP113" s="527">
        <v>0.17499999999999999</v>
      </c>
      <c r="HQ113" s="527"/>
      <c r="HR113" s="428">
        <f>IF(HT98&gt;=0.175,1,0)</f>
        <v>1</v>
      </c>
      <c r="HS113" s="428">
        <f>IF(HT98&lt;0.2,1,0)</f>
        <v>0</v>
      </c>
      <c r="HT113" s="194">
        <f t="shared" si="6"/>
        <v>1</v>
      </c>
      <c r="HV113" s="527">
        <v>0.17499999999999999</v>
      </c>
      <c r="HW113" s="527"/>
      <c r="HX113" s="428">
        <f>IF(HX98&gt;=0.175,1,0)</f>
        <v>1</v>
      </c>
      <c r="HY113" s="428">
        <f>IF(HX98&lt;0.2,1,0)</f>
        <v>0</v>
      </c>
      <c r="HZ113" s="194">
        <f t="shared" si="7"/>
        <v>1</v>
      </c>
      <c r="IB113" s="527">
        <v>0.17499999999999999</v>
      </c>
      <c r="IC113" s="527"/>
      <c r="ID113" s="428">
        <f>IF(IB98&gt;=0.175,1,0)</f>
        <v>1</v>
      </c>
      <c r="IE113" s="428">
        <f>IF(IB98&lt;0.2,1,0)</f>
        <v>0</v>
      </c>
      <c r="IF113" s="194">
        <f t="shared" si="8"/>
        <v>1</v>
      </c>
      <c r="IG113" s="214"/>
      <c r="IH113" s="214"/>
      <c r="II113" s="442"/>
      <c r="IL113" s="442"/>
      <c r="IM113" s="442"/>
      <c r="IN113" s="442"/>
      <c r="IO113" s="442"/>
      <c r="IP113" s="442"/>
      <c r="IQ113" s="442"/>
      <c r="IR113" s="442"/>
      <c r="IS113" s="442"/>
      <c r="IT113" s="442"/>
      <c r="IU113" s="442"/>
      <c r="IV113" s="442"/>
      <c r="IW113" s="442"/>
      <c r="IX113" s="442"/>
      <c r="IY113" s="442"/>
      <c r="IZ113" s="442"/>
      <c r="JA113" s="442"/>
      <c r="JB113" s="442"/>
      <c r="JC113" s="442"/>
      <c r="JD113" s="442"/>
      <c r="JE113" s="442"/>
      <c r="JF113" s="442"/>
      <c r="JG113" s="442"/>
      <c r="JH113" s="442"/>
      <c r="JI113" s="442"/>
      <c r="JJ113" s="442"/>
      <c r="JK113" s="442"/>
      <c r="JL113" s="442"/>
      <c r="JM113" s="442"/>
      <c r="JN113" s="442"/>
      <c r="JO113" s="442"/>
      <c r="JP113" s="442"/>
      <c r="JQ113" s="442"/>
      <c r="JR113" s="442"/>
      <c r="JS113" s="442"/>
      <c r="JT113" s="442"/>
      <c r="JU113" s="442"/>
      <c r="JV113" s="442"/>
      <c r="JW113" s="442"/>
      <c r="JX113" s="442"/>
      <c r="JY113" s="442"/>
      <c r="JZ113" s="442"/>
      <c r="KA113" s="442"/>
      <c r="KB113" s="442"/>
      <c r="KC113" s="442"/>
      <c r="KD113" s="442"/>
      <c r="KE113" s="442"/>
      <c r="KF113" s="442"/>
      <c r="KG113" s="442"/>
      <c r="KH113" s="442"/>
      <c r="KI113" s="442"/>
      <c r="KJ113" s="442"/>
      <c r="KK113" s="442"/>
      <c r="KL113" s="442"/>
      <c r="KM113" s="442"/>
      <c r="KN113" s="442"/>
      <c r="KO113" s="442"/>
      <c r="KP113" s="442"/>
      <c r="KQ113" s="442"/>
      <c r="KR113" s="442"/>
      <c r="KS113" s="442"/>
      <c r="KT113" s="442"/>
      <c r="KU113" s="442"/>
      <c r="KV113" s="442"/>
      <c r="KW113" s="442"/>
      <c r="KX113" s="442"/>
      <c r="KY113" s="442"/>
      <c r="KZ113" s="442"/>
      <c r="LA113" s="442"/>
      <c r="LB113" s="442"/>
      <c r="LC113" s="442"/>
      <c r="LD113" s="442"/>
      <c r="LE113" s="442"/>
      <c r="LF113" s="442"/>
      <c r="LG113" s="442"/>
      <c r="LH113" s="442"/>
      <c r="LI113" s="442"/>
      <c r="LJ113" s="442"/>
      <c r="LK113" s="442"/>
      <c r="LL113" s="442"/>
      <c r="LM113" s="442"/>
      <c r="LN113" s="442"/>
      <c r="LO113" s="442"/>
      <c r="LP113" s="442"/>
      <c r="LQ113" s="442"/>
      <c r="LR113" s="442"/>
      <c r="LS113" s="442"/>
      <c r="LT113" s="442"/>
      <c r="LU113" s="442"/>
      <c r="LV113" s="442"/>
      <c r="LW113" s="442"/>
      <c r="LX113" s="442"/>
      <c r="LY113" s="442"/>
      <c r="LZ113" s="442"/>
      <c r="MA113" s="442"/>
      <c r="MB113" s="442"/>
      <c r="MC113" s="442"/>
      <c r="MD113" s="442"/>
      <c r="ME113" s="442"/>
      <c r="MF113" s="442"/>
      <c r="MG113" s="442"/>
      <c r="MH113" s="442"/>
      <c r="MI113" s="442"/>
      <c r="MJ113" s="442"/>
      <c r="MK113" s="442"/>
      <c r="ML113" s="442"/>
      <c r="MM113" s="442"/>
      <c r="MN113" s="442"/>
      <c r="MO113" s="442"/>
      <c r="MP113" s="442"/>
      <c r="MQ113" s="442"/>
      <c r="MR113" s="442"/>
      <c r="MS113" s="442"/>
      <c r="MT113" s="442"/>
      <c r="MU113" s="442"/>
      <c r="NT113" s="202" t="s">
        <v>23</v>
      </c>
      <c r="NU113" s="205">
        <f>IF(H38=4,0,IF(H38=7,0,IF(H38=9,0,NU110)))</f>
        <v>1.5</v>
      </c>
      <c r="NV113" s="206">
        <f>IF(H38=4,0,IF(H38=7,0,IF(H38=9,0,NW110)))</f>
        <v>-1.5</v>
      </c>
      <c r="NX113" s="202" t="s">
        <v>23</v>
      </c>
      <c r="NY113" s="205">
        <f>IF(H38=1,NU110,IF(H38=2,NU110,IF(H38=6,NU110,0)))</f>
        <v>1.5</v>
      </c>
      <c r="NZ113" s="206">
        <f>IF(H38=1,NW110,IF(H38=2,NW110,IF(H38=6,NW110,0)))</f>
        <v>-1.5</v>
      </c>
    </row>
    <row r="114" spans="1:401" ht="14.1" customHeight="1" x14ac:dyDescent="0.2">
      <c r="A114" s="156"/>
      <c r="B114" s="236"/>
      <c r="C114" s="236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156"/>
      <c r="R114" s="156"/>
      <c r="S114" s="156"/>
      <c r="T114" s="156"/>
      <c r="U114" s="156"/>
      <c r="V114" s="156"/>
      <c r="W114" s="156"/>
      <c r="X114" s="156"/>
      <c r="Y114" s="156"/>
      <c r="Z114" s="156"/>
      <c r="AA114" s="156"/>
      <c r="AB114" s="156"/>
      <c r="AC114" s="156"/>
      <c r="AD114" s="156"/>
      <c r="AE114" s="156"/>
      <c r="AF114" s="156"/>
      <c r="AG114" s="156"/>
      <c r="AH114" s="156"/>
      <c r="AI114" s="156"/>
      <c r="AJ114" s="156"/>
      <c r="AK114" s="156"/>
      <c r="AL114" s="156"/>
      <c r="AM114" s="156"/>
      <c r="AN114" s="156"/>
      <c r="AO114" s="156"/>
      <c r="AP114" s="156"/>
      <c r="AQ114" s="156"/>
      <c r="AR114" s="156"/>
      <c r="AS114" s="156"/>
      <c r="AT114" s="156"/>
      <c r="AU114" s="156"/>
      <c r="AV114" s="156"/>
      <c r="AW114" s="156"/>
      <c r="AX114" s="156"/>
      <c r="AY114" s="156"/>
      <c r="AZ114" s="156"/>
      <c r="BA114" s="156"/>
      <c r="BB114" s="156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156"/>
      <c r="CP114" s="156"/>
      <c r="CQ114" s="156"/>
      <c r="CR114" s="156"/>
      <c r="CS114" s="156"/>
      <c r="CT114" s="156"/>
      <c r="CU114" s="156"/>
      <c r="CV114" s="156"/>
      <c r="CW114" s="156"/>
      <c r="CX114" s="156"/>
      <c r="CY114" s="156"/>
      <c r="CZ114" s="156"/>
      <c r="DA114" s="156"/>
      <c r="DB114" s="156"/>
      <c r="DC114" s="156"/>
      <c r="DD114" s="156"/>
      <c r="DE114" s="156"/>
      <c r="DF114" s="156"/>
      <c r="DG114" s="156"/>
      <c r="DH114" s="156"/>
      <c r="DI114" s="156"/>
      <c r="DJ114" s="156"/>
      <c r="DK114" s="156"/>
      <c r="DL114" s="156"/>
      <c r="DM114" s="156"/>
      <c r="DN114" s="156"/>
      <c r="DO114" s="156"/>
      <c r="DP114" s="156"/>
      <c r="DQ114" s="156"/>
      <c r="DR114" s="156"/>
      <c r="DS114" s="156"/>
      <c r="DT114" s="156"/>
      <c r="DU114" s="156"/>
      <c r="DV114" s="156"/>
      <c r="DW114" s="156"/>
      <c r="DX114" s="156"/>
      <c r="DY114" s="156"/>
      <c r="DZ114" s="156"/>
      <c r="EA114" s="156"/>
      <c r="EB114" s="156"/>
      <c r="EC114" s="156"/>
      <c r="ED114" s="156"/>
      <c r="EE114" s="156"/>
      <c r="EF114" s="156"/>
      <c r="EG114" s="156"/>
      <c r="EH114" s="156"/>
      <c r="EI114" s="156"/>
      <c r="EJ114" s="156"/>
      <c r="EK114" s="156"/>
      <c r="EL114" s="156"/>
      <c r="EM114" s="156"/>
      <c r="EN114" s="156"/>
      <c r="EO114" s="156"/>
      <c r="EP114" s="156"/>
      <c r="EQ114" s="156"/>
      <c r="ER114" s="156"/>
      <c r="ES114" s="156"/>
      <c r="ET114" s="156"/>
      <c r="EU114" s="156"/>
      <c r="EV114" s="156"/>
      <c r="EW114" s="156"/>
      <c r="EX114" s="156"/>
      <c r="EY114" s="156"/>
      <c r="EZ114" s="156"/>
      <c r="FA114" s="156"/>
      <c r="FB114" s="156"/>
      <c r="FC114" s="156"/>
      <c r="FD114" s="156"/>
      <c r="FE114" s="156"/>
      <c r="FF114" s="156"/>
      <c r="FG114" s="156"/>
      <c r="FH114" s="156"/>
      <c r="FI114" s="156"/>
      <c r="FJ114" s="156"/>
      <c r="FK114" s="156"/>
      <c r="FL114" s="156"/>
      <c r="FM114" s="156"/>
      <c r="FN114" s="156"/>
      <c r="FO114" s="156"/>
      <c r="FP114" s="156"/>
      <c r="FQ114" s="156"/>
      <c r="FR114" s="156"/>
      <c r="FS114" s="156"/>
      <c r="FT114" s="156"/>
      <c r="FU114" s="156"/>
      <c r="FV114" s="156"/>
      <c r="FW114" s="156"/>
      <c r="FX114" s="156"/>
      <c r="FY114" s="156"/>
      <c r="FZ114" s="156"/>
      <c r="GA114" s="156"/>
      <c r="GB114" s="156"/>
      <c r="GC114" s="156"/>
      <c r="GD114" s="156"/>
      <c r="GE114" s="156"/>
      <c r="GF114" s="156"/>
      <c r="GG114" s="156"/>
      <c r="GH114" s="156"/>
      <c r="GI114" s="156"/>
      <c r="GJ114" s="156"/>
      <c r="GK114" s="156"/>
      <c r="GL114" s="156"/>
      <c r="GM114" s="156"/>
      <c r="GN114" s="156"/>
      <c r="GO114" s="156"/>
      <c r="GP114" s="156"/>
      <c r="GQ114" s="156"/>
      <c r="GR114" s="156"/>
      <c r="GS114" s="156"/>
      <c r="GT114" s="156"/>
      <c r="GU114" s="156"/>
      <c r="GV114" s="156"/>
      <c r="GW114" s="156"/>
      <c r="GX114" s="156"/>
      <c r="GY114" s="156"/>
      <c r="GZ114" s="156"/>
      <c r="HA114" s="156"/>
      <c r="HB114" s="156"/>
      <c r="HC114" s="156"/>
      <c r="HD114" s="156"/>
      <c r="HE114" s="156"/>
      <c r="HF114" s="156"/>
      <c r="HG114" s="156"/>
      <c r="HH114" s="156"/>
      <c r="HI114" s="156"/>
      <c r="HJ114" s="156"/>
      <c r="HK114" s="156"/>
      <c r="HL114" s="156"/>
      <c r="HP114" s="527">
        <v>0.2</v>
      </c>
      <c r="HQ114" s="527"/>
      <c r="HR114" s="428">
        <f>IF(HT98&gt;=0.2,1,0)</f>
        <v>1</v>
      </c>
      <c r="HS114" s="428">
        <f>IF(HT98&lt;0.225,1,0)</f>
        <v>0</v>
      </c>
      <c r="HT114" s="194">
        <f t="shared" si="6"/>
        <v>1</v>
      </c>
      <c r="HV114" s="527">
        <v>0.2</v>
      </c>
      <c r="HW114" s="527"/>
      <c r="HX114" s="428">
        <f>IF(HX98&gt;=0.2,1,0)</f>
        <v>1</v>
      </c>
      <c r="HY114" s="428">
        <f>IF(HX98&lt;0.225,1,0)</f>
        <v>0</v>
      </c>
      <c r="HZ114" s="194">
        <f t="shared" si="7"/>
        <v>1</v>
      </c>
      <c r="IB114" s="527">
        <v>0.2</v>
      </c>
      <c r="IC114" s="527"/>
      <c r="ID114" s="428">
        <f>IF(IB98&gt;=0.2,1,0)</f>
        <v>1</v>
      </c>
      <c r="IE114" s="428">
        <f>IF(IB98&lt;0.225,1,0)</f>
        <v>0</v>
      </c>
      <c r="IF114" s="194">
        <f t="shared" si="8"/>
        <v>1</v>
      </c>
      <c r="IG114" s="214"/>
      <c r="IH114" s="214"/>
      <c r="II114" s="442"/>
      <c r="IL114" s="442"/>
      <c r="IM114" s="442"/>
      <c r="IN114" s="442"/>
      <c r="IO114" s="442"/>
      <c r="IP114" s="442"/>
      <c r="IQ114" s="442"/>
      <c r="IR114" s="442"/>
      <c r="IS114" s="442"/>
      <c r="IT114" s="442"/>
      <c r="IU114" s="442"/>
      <c r="IV114" s="442"/>
      <c r="IW114" s="442"/>
      <c r="IX114" s="442"/>
      <c r="IY114" s="442"/>
      <c r="IZ114" s="442"/>
      <c r="JA114" s="442"/>
      <c r="JB114" s="442"/>
      <c r="JC114" s="442"/>
      <c r="JD114" s="442"/>
      <c r="JE114" s="442"/>
      <c r="JF114" s="442"/>
      <c r="JG114" s="442"/>
      <c r="JH114" s="442"/>
      <c r="JI114" s="442"/>
      <c r="JJ114" s="442"/>
      <c r="JK114" s="442"/>
      <c r="JL114" s="442"/>
      <c r="JM114" s="442"/>
      <c r="JN114" s="442"/>
      <c r="JO114" s="442"/>
      <c r="JP114" s="442"/>
      <c r="JQ114" s="442"/>
      <c r="JR114" s="442"/>
      <c r="JS114" s="442"/>
      <c r="JT114" s="442"/>
      <c r="JU114" s="442"/>
      <c r="JV114" s="442"/>
      <c r="JW114" s="442"/>
      <c r="JX114" s="442"/>
      <c r="JY114" s="442"/>
      <c r="JZ114" s="442"/>
      <c r="KA114" s="442"/>
      <c r="KB114" s="442"/>
      <c r="KC114" s="442"/>
      <c r="KD114" s="442"/>
      <c r="KE114" s="442"/>
      <c r="KF114" s="442"/>
      <c r="KG114" s="442"/>
      <c r="KH114" s="442"/>
      <c r="KI114" s="442"/>
      <c r="KJ114" s="442"/>
      <c r="KK114" s="442"/>
      <c r="KL114" s="442"/>
      <c r="KM114" s="442"/>
      <c r="KN114" s="442"/>
      <c r="KO114" s="442"/>
      <c r="KP114" s="442"/>
      <c r="KQ114" s="442"/>
      <c r="KR114" s="442"/>
      <c r="KS114" s="442"/>
      <c r="KT114" s="442"/>
      <c r="KU114" s="442"/>
      <c r="KV114" s="442"/>
      <c r="KW114" s="442"/>
      <c r="KX114" s="442"/>
      <c r="KY114" s="442"/>
      <c r="KZ114" s="442"/>
      <c r="LA114" s="442"/>
      <c r="LB114" s="442"/>
      <c r="LC114" s="442"/>
      <c r="LD114" s="442"/>
      <c r="LE114" s="442"/>
      <c r="LF114" s="442"/>
      <c r="LG114" s="442"/>
      <c r="LH114" s="442"/>
      <c r="LI114" s="442"/>
      <c r="LJ114" s="442"/>
      <c r="LK114" s="442"/>
      <c r="LL114" s="442"/>
      <c r="LM114" s="442"/>
      <c r="LN114" s="442"/>
      <c r="LO114" s="442"/>
      <c r="LP114" s="442"/>
      <c r="LQ114" s="442"/>
      <c r="LR114" s="442"/>
      <c r="LS114" s="442"/>
      <c r="LT114" s="442"/>
      <c r="LU114" s="442"/>
      <c r="LV114" s="442"/>
      <c r="LW114" s="442"/>
      <c r="LX114" s="442"/>
      <c r="LY114" s="442"/>
      <c r="LZ114" s="442"/>
      <c r="MA114" s="442"/>
      <c r="MB114" s="442"/>
      <c r="MC114" s="442"/>
      <c r="MD114" s="442"/>
      <c r="ME114" s="442"/>
      <c r="MF114" s="442"/>
      <c r="MG114" s="442"/>
      <c r="MH114" s="442"/>
      <c r="MI114" s="442"/>
      <c r="MJ114" s="442"/>
      <c r="MK114" s="442"/>
      <c r="ML114" s="442"/>
      <c r="MM114" s="442"/>
      <c r="MN114" s="442"/>
      <c r="MO114" s="442"/>
      <c r="MP114" s="442"/>
      <c r="MQ114" s="442"/>
      <c r="MR114" s="442"/>
      <c r="MS114" s="442"/>
      <c r="MT114" s="442"/>
      <c r="MU114" s="442"/>
      <c r="NT114" s="149" t="s">
        <v>130</v>
      </c>
      <c r="NX114" s="149" t="s">
        <v>131</v>
      </c>
    </row>
    <row r="115" spans="1:401" ht="14.1" customHeight="1" x14ac:dyDescent="0.2">
      <c r="A115" s="156"/>
      <c r="B115" s="236"/>
      <c r="C115" s="236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156"/>
      <c r="R115" s="156"/>
      <c r="S115" s="156"/>
      <c r="T115" s="156"/>
      <c r="U115" s="156"/>
      <c r="V115" s="156"/>
      <c r="W115" s="156"/>
      <c r="X115" s="156"/>
      <c r="Y115" s="156"/>
      <c r="Z115" s="156"/>
      <c r="AA115" s="156"/>
      <c r="AB115" s="156"/>
      <c r="AC115" s="156"/>
      <c r="AD115" s="156"/>
      <c r="AE115" s="156"/>
      <c r="AF115" s="156"/>
      <c r="AG115" s="156"/>
      <c r="AH115" s="156"/>
      <c r="AI115" s="156"/>
      <c r="AJ115" s="156"/>
      <c r="AK115" s="156"/>
      <c r="AL115" s="156"/>
      <c r="AM115" s="156"/>
      <c r="AN115" s="156"/>
      <c r="AO115" s="156"/>
      <c r="AP115" s="156"/>
      <c r="AQ115" s="156"/>
      <c r="AR115" s="156"/>
      <c r="AS115" s="156"/>
      <c r="AT115" s="156"/>
      <c r="AU115" s="156"/>
      <c r="AV115" s="156"/>
      <c r="AW115" s="156"/>
      <c r="AX115" s="156"/>
      <c r="AY115" s="156"/>
      <c r="AZ115" s="156"/>
      <c r="BA115" s="156"/>
      <c r="BB115" s="156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156"/>
      <c r="CP115" s="156"/>
      <c r="CQ115" s="156"/>
      <c r="CR115" s="156"/>
      <c r="CS115" s="156"/>
      <c r="CT115" s="156"/>
      <c r="CU115" s="156"/>
      <c r="CV115" s="156"/>
      <c r="CW115" s="156"/>
      <c r="CX115" s="156"/>
      <c r="CY115" s="156"/>
      <c r="CZ115" s="156"/>
      <c r="DA115" s="156"/>
      <c r="DB115" s="156"/>
      <c r="DC115" s="156"/>
      <c r="DD115" s="156"/>
      <c r="DE115" s="156"/>
      <c r="DF115" s="156"/>
      <c r="DG115" s="156"/>
      <c r="DH115" s="156"/>
      <c r="DI115" s="156"/>
      <c r="DJ115" s="156"/>
      <c r="DK115" s="156"/>
      <c r="DL115" s="156"/>
      <c r="DM115" s="156"/>
      <c r="DN115" s="156"/>
      <c r="DO115" s="156"/>
      <c r="DP115" s="156"/>
      <c r="DQ115" s="156"/>
      <c r="DR115" s="156"/>
      <c r="DS115" s="156"/>
      <c r="DT115" s="156"/>
      <c r="DU115" s="156"/>
      <c r="DV115" s="156"/>
      <c r="DW115" s="156"/>
      <c r="DX115" s="156"/>
      <c r="DY115" s="156"/>
      <c r="DZ115" s="156"/>
      <c r="EA115" s="156"/>
      <c r="EB115" s="156"/>
      <c r="EC115" s="156"/>
      <c r="ED115" s="156"/>
      <c r="EE115" s="156"/>
      <c r="EF115" s="156"/>
      <c r="EG115" s="156"/>
      <c r="EH115" s="156"/>
      <c r="EI115" s="156"/>
      <c r="EJ115" s="156"/>
      <c r="EK115" s="156"/>
      <c r="EL115" s="156"/>
      <c r="EM115" s="156"/>
      <c r="EN115" s="156"/>
      <c r="EO115" s="156"/>
      <c r="EP115" s="156"/>
      <c r="EQ115" s="156"/>
      <c r="ER115" s="156"/>
      <c r="ES115" s="156"/>
      <c r="ET115" s="156"/>
      <c r="EU115" s="156"/>
      <c r="EV115" s="156"/>
      <c r="EW115" s="156"/>
      <c r="EX115" s="156"/>
      <c r="EY115" s="156"/>
      <c r="EZ115" s="156"/>
      <c r="FA115" s="156"/>
      <c r="FB115" s="156"/>
      <c r="FC115" s="156"/>
      <c r="FD115" s="156"/>
      <c r="FE115" s="156"/>
      <c r="FF115" s="156"/>
      <c r="FG115" s="156"/>
      <c r="FH115" s="156"/>
      <c r="FI115" s="156"/>
      <c r="FJ115" s="156"/>
      <c r="FK115" s="156"/>
      <c r="FL115" s="156"/>
      <c r="FM115" s="156"/>
      <c r="FN115" s="156"/>
      <c r="FO115" s="156"/>
      <c r="FP115" s="156"/>
      <c r="FQ115" s="156"/>
      <c r="FR115" s="156"/>
      <c r="FS115" s="156"/>
      <c r="FT115" s="156"/>
      <c r="FU115" s="156"/>
      <c r="FV115" s="156"/>
      <c r="FW115" s="156"/>
      <c r="FX115" s="156"/>
      <c r="FY115" s="156"/>
      <c r="FZ115" s="156"/>
      <c r="GA115" s="156"/>
      <c r="GB115" s="156"/>
      <c r="GC115" s="156"/>
      <c r="GD115" s="156"/>
      <c r="GE115" s="156"/>
      <c r="GF115" s="156"/>
      <c r="GG115" s="156"/>
      <c r="GH115" s="156"/>
      <c r="GI115" s="156"/>
      <c r="GJ115" s="156"/>
      <c r="GK115" s="156"/>
      <c r="GL115" s="156"/>
      <c r="GM115" s="156"/>
      <c r="GN115" s="156"/>
      <c r="GO115" s="156"/>
      <c r="GP115" s="156"/>
      <c r="GQ115" s="156"/>
      <c r="GR115" s="156"/>
      <c r="GS115" s="156"/>
      <c r="GT115" s="156"/>
      <c r="GU115" s="156"/>
      <c r="GV115" s="156"/>
      <c r="GW115" s="156"/>
      <c r="GX115" s="156"/>
      <c r="GY115" s="156"/>
      <c r="GZ115" s="156"/>
      <c r="HA115" s="156"/>
      <c r="HB115" s="156"/>
      <c r="HC115" s="156"/>
      <c r="HD115" s="156"/>
      <c r="HE115" s="156"/>
      <c r="HF115" s="156"/>
      <c r="HG115" s="156"/>
      <c r="HH115" s="156"/>
      <c r="HI115" s="156"/>
      <c r="HJ115" s="156"/>
      <c r="HK115" s="156"/>
      <c r="HL115" s="156"/>
      <c r="HP115" s="527">
        <v>0.22500000000000001</v>
      </c>
      <c r="HQ115" s="527"/>
      <c r="HR115" s="428">
        <f>IF(HT98&gt;=0.225,1,0)</f>
        <v>1</v>
      </c>
      <c r="HS115" s="428">
        <f>IF(HT98&lt;0.25,1,0)</f>
        <v>0</v>
      </c>
      <c r="HT115" s="194">
        <f t="shared" si="6"/>
        <v>1</v>
      </c>
      <c r="HV115" s="527">
        <v>0.22500000000000001</v>
      </c>
      <c r="HW115" s="527"/>
      <c r="HX115" s="428">
        <f>IF(HX98&gt;=0.225,1,0)</f>
        <v>1</v>
      </c>
      <c r="HY115" s="428">
        <f>IF(HX98&lt;0.25,1,0)</f>
        <v>0</v>
      </c>
      <c r="HZ115" s="194">
        <f t="shared" si="7"/>
        <v>1</v>
      </c>
      <c r="IB115" s="527">
        <v>0.22500000000000001</v>
      </c>
      <c r="IC115" s="527"/>
      <c r="ID115" s="428">
        <f>IF(IB98&gt;=0.225,1,0)</f>
        <v>1</v>
      </c>
      <c r="IE115" s="428">
        <f>IF(IB98&lt;0.25,1,0)</f>
        <v>0</v>
      </c>
      <c r="IF115" s="194">
        <f t="shared" si="8"/>
        <v>1</v>
      </c>
      <c r="IG115" s="214"/>
      <c r="IH115" s="214"/>
      <c r="II115" s="442"/>
      <c r="IL115" s="438"/>
      <c r="IM115" s="442"/>
      <c r="IN115" s="442"/>
      <c r="IO115" s="442"/>
      <c r="IP115" s="468" t="s">
        <v>205</v>
      </c>
      <c r="IQ115" s="468"/>
      <c r="IR115" s="468"/>
      <c r="IS115" s="468" t="s">
        <v>206</v>
      </c>
      <c r="IT115" s="468"/>
      <c r="IU115" s="468"/>
      <c r="IV115" s="468" t="s">
        <v>207</v>
      </c>
      <c r="IW115" s="468"/>
      <c r="IX115" s="468"/>
      <c r="IY115" s="31"/>
      <c r="IZ115" s="31"/>
      <c r="JA115" s="31"/>
      <c r="JB115" s="442"/>
      <c r="JC115" s="442"/>
      <c r="JD115" s="442"/>
      <c r="JE115" s="442"/>
      <c r="JF115" s="442"/>
      <c r="JG115" s="442"/>
      <c r="JH115" s="442"/>
      <c r="JI115" s="442"/>
      <c r="JJ115" s="442"/>
      <c r="JK115" s="442"/>
      <c r="JL115" s="442"/>
      <c r="JM115" s="442"/>
      <c r="JN115" s="442"/>
      <c r="JO115" s="442"/>
      <c r="JP115" s="442"/>
      <c r="JQ115" s="442"/>
      <c r="JR115" s="442"/>
      <c r="JS115" s="442"/>
      <c r="JT115" s="442"/>
      <c r="JU115" s="442"/>
      <c r="JV115" s="442"/>
      <c r="JW115" s="442"/>
      <c r="JX115" s="442"/>
      <c r="JY115" s="442"/>
      <c r="JZ115" s="442"/>
      <c r="KA115" s="442"/>
      <c r="KB115" s="442"/>
      <c r="KC115" s="442"/>
      <c r="KD115" s="442"/>
      <c r="KE115" s="442"/>
      <c r="KF115" s="442"/>
      <c r="KG115" s="442"/>
      <c r="KH115" s="442"/>
      <c r="KI115" s="442"/>
      <c r="KJ115" s="442"/>
      <c r="KK115" s="442"/>
      <c r="KL115" s="442"/>
      <c r="KM115" s="442"/>
      <c r="KN115" s="442"/>
      <c r="KO115" s="442"/>
      <c r="KP115" s="442"/>
      <c r="KQ115" s="442"/>
      <c r="KR115" s="442"/>
      <c r="KS115" s="442"/>
      <c r="KT115" s="442"/>
      <c r="KU115" s="442"/>
      <c r="KV115" s="442"/>
      <c r="KW115" s="442"/>
      <c r="KX115" s="442"/>
      <c r="KY115" s="442"/>
      <c r="KZ115" s="442"/>
      <c r="LA115" s="442"/>
      <c r="LB115" s="442"/>
      <c r="LC115" s="442"/>
      <c r="LD115" s="442"/>
      <c r="LE115" s="442"/>
      <c r="LF115" s="442"/>
      <c r="LG115" s="442"/>
      <c r="LH115" s="442"/>
      <c r="LI115" s="442"/>
      <c r="LJ115" s="442"/>
      <c r="LK115" s="442"/>
      <c r="LL115" s="442"/>
      <c r="LM115" s="442"/>
      <c r="LN115" s="442"/>
      <c r="LO115" s="442"/>
      <c r="LP115" s="442"/>
      <c r="LQ115" s="442"/>
      <c r="LR115" s="442"/>
      <c r="LS115" s="442"/>
      <c r="LT115" s="442"/>
      <c r="LU115" s="442"/>
      <c r="LV115" s="442"/>
      <c r="LW115" s="442"/>
      <c r="LX115" s="442"/>
      <c r="LY115" s="442"/>
      <c r="LZ115" s="442"/>
      <c r="MA115" s="442"/>
      <c r="MB115" s="442"/>
      <c r="MC115" s="442"/>
      <c r="MD115" s="442"/>
      <c r="ME115" s="442"/>
      <c r="MF115" s="442"/>
      <c r="MG115" s="442"/>
      <c r="MH115" s="442"/>
      <c r="MI115" s="442"/>
      <c r="MJ115" s="442"/>
      <c r="MK115" s="442"/>
      <c r="ML115" s="442"/>
      <c r="MM115" s="442"/>
      <c r="MN115" s="442"/>
      <c r="MO115" s="442"/>
      <c r="MP115" s="442"/>
      <c r="MQ115" s="442"/>
      <c r="MR115" s="442"/>
      <c r="MS115" s="442"/>
      <c r="MT115" s="442"/>
      <c r="MU115" s="442"/>
      <c r="NT115" s="199" t="s">
        <v>22</v>
      </c>
      <c r="NU115" s="200">
        <f>IF(H38=2,NU109,IF(H38=3,NU109,0))</f>
        <v>0</v>
      </c>
      <c r="NV115" s="201">
        <f>IF(H38=2,NV109,IF(H38=3,NV109,0))</f>
        <v>0</v>
      </c>
      <c r="NX115" s="199" t="s">
        <v>22</v>
      </c>
      <c r="NY115" s="200">
        <f>IF(H38=3,NU109,0)</f>
        <v>0</v>
      </c>
      <c r="NZ115" s="201">
        <f>IF(H38=3,NV109,0)</f>
        <v>0</v>
      </c>
    </row>
    <row r="116" spans="1:401" ht="14.1" customHeight="1" x14ac:dyDescent="0.2">
      <c r="A116" s="156"/>
      <c r="B116" s="236"/>
      <c r="C116" s="236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156"/>
      <c r="R116" s="156"/>
      <c r="S116" s="156"/>
      <c r="T116" s="156"/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  <c r="AF116" s="156"/>
      <c r="AG116" s="156"/>
      <c r="AH116" s="156"/>
      <c r="AI116" s="156"/>
      <c r="AJ116" s="156"/>
      <c r="AK116" s="156"/>
      <c r="AL116" s="156"/>
      <c r="AM116" s="156"/>
      <c r="AN116" s="156"/>
      <c r="AO116" s="156"/>
      <c r="AP116" s="156"/>
      <c r="AQ116" s="156"/>
      <c r="AR116" s="156"/>
      <c r="AS116" s="156"/>
      <c r="AT116" s="156"/>
      <c r="AU116" s="156"/>
      <c r="AV116" s="156"/>
      <c r="AW116" s="156"/>
      <c r="AX116" s="156"/>
      <c r="AY116" s="156"/>
      <c r="AZ116" s="156"/>
      <c r="BA116" s="156"/>
      <c r="BB116" s="156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156"/>
      <c r="CP116" s="156"/>
      <c r="CQ116" s="156"/>
      <c r="CR116" s="156"/>
      <c r="CS116" s="156"/>
      <c r="CT116" s="156"/>
      <c r="CU116" s="156"/>
      <c r="CV116" s="156"/>
      <c r="CW116" s="156"/>
      <c r="CX116" s="156"/>
      <c r="CY116" s="156"/>
      <c r="CZ116" s="156"/>
      <c r="DA116" s="156"/>
      <c r="DB116" s="156"/>
      <c r="DC116" s="156"/>
      <c r="DD116" s="156"/>
      <c r="DE116" s="156"/>
      <c r="DF116" s="156"/>
      <c r="DG116" s="156"/>
      <c r="DH116" s="156"/>
      <c r="DI116" s="156"/>
      <c r="DJ116" s="156"/>
      <c r="DK116" s="156"/>
      <c r="DL116" s="156"/>
      <c r="DM116" s="156"/>
      <c r="DN116" s="156"/>
      <c r="DO116" s="156"/>
      <c r="DP116" s="156"/>
      <c r="DQ116" s="156"/>
      <c r="DR116" s="156"/>
      <c r="DS116" s="156"/>
      <c r="DT116" s="156"/>
      <c r="DU116" s="156"/>
      <c r="DV116" s="156"/>
      <c r="DW116" s="156"/>
      <c r="DX116" s="156"/>
      <c r="DY116" s="156"/>
      <c r="DZ116" s="156"/>
      <c r="EA116" s="156"/>
      <c r="EB116" s="156"/>
      <c r="EC116" s="156"/>
      <c r="ED116" s="156"/>
      <c r="EE116" s="156"/>
      <c r="EF116" s="156"/>
      <c r="EG116" s="156"/>
      <c r="EH116" s="156"/>
      <c r="EI116" s="156"/>
      <c r="EJ116" s="156"/>
      <c r="EK116" s="156"/>
      <c r="EL116" s="156"/>
      <c r="EM116" s="156"/>
      <c r="EN116" s="156"/>
      <c r="EO116" s="156"/>
      <c r="EP116" s="156"/>
      <c r="EQ116" s="156"/>
      <c r="ER116" s="156"/>
      <c r="ES116" s="156"/>
      <c r="ET116" s="156"/>
      <c r="EU116" s="156"/>
      <c r="EV116" s="156"/>
      <c r="EW116" s="156"/>
      <c r="EX116" s="156"/>
      <c r="EY116" s="156"/>
      <c r="EZ116" s="156"/>
      <c r="FA116" s="156"/>
      <c r="FB116" s="156"/>
      <c r="FC116" s="156"/>
      <c r="FD116" s="156"/>
      <c r="FE116" s="156"/>
      <c r="FF116" s="156"/>
      <c r="FG116" s="156"/>
      <c r="FH116" s="156"/>
      <c r="FI116" s="156"/>
      <c r="FJ116" s="156"/>
      <c r="FK116" s="156"/>
      <c r="FL116" s="156"/>
      <c r="FM116" s="156"/>
      <c r="FN116" s="156"/>
      <c r="FO116" s="156"/>
      <c r="FP116" s="156"/>
      <c r="FQ116" s="156"/>
      <c r="FR116" s="156"/>
      <c r="FS116" s="156"/>
      <c r="FT116" s="156"/>
      <c r="FU116" s="156"/>
      <c r="FV116" s="156"/>
      <c r="FW116" s="156"/>
      <c r="FX116" s="156"/>
      <c r="FY116" s="156"/>
      <c r="FZ116" s="156"/>
      <c r="GA116" s="156"/>
      <c r="GB116" s="156"/>
      <c r="GC116" s="156"/>
      <c r="GD116" s="156"/>
      <c r="GE116" s="156"/>
      <c r="GF116" s="156"/>
      <c r="GG116" s="156"/>
      <c r="GH116" s="156"/>
      <c r="GI116" s="156"/>
      <c r="GJ116" s="156"/>
      <c r="GK116" s="156"/>
      <c r="GL116" s="156"/>
      <c r="GM116" s="156"/>
      <c r="GN116" s="156"/>
      <c r="GO116" s="156"/>
      <c r="GP116" s="156"/>
      <c r="GQ116" s="156"/>
      <c r="GR116" s="156"/>
      <c r="GS116" s="156"/>
      <c r="GT116" s="156"/>
      <c r="GU116" s="156"/>
      <c r="GV116" s="156"/>
      <c r="GW116" s="156"/>
      <c r="GX116" s="156"/>
      <c r="GY116" s="156"/>
      <c r="GZ116" s="156"/>
      <c r="HA116" s="156"/>
      <c r="HB116" s="156"/>
      <c r="HC116" s="156"/>
      <c r="HD116" s="156"/>
      <c r="HE116" s="156"/>
      <c r="HF116" s="156"/>
      <c r="HG116" s="156"/>
      <c r="HH116" s="156"/>
      <c r="HI116" s="156"/>
      <c r="HJ116" s="156"/>
      <c r="HK116" s="156"/>
      <c r="HL116" s="156"/>
      <c r="HP116" s="527">
        <v>0.25</v>
      </c>
      <c r="HQ116" s="527"/>
      <c r="HR116" s="428">
        <f>IF(HT98&gt;=0.25,1,0)</f>
        <v>1</v>
      </c>
      <c r="HS116" s="428">
        <f>IF(HT98&lt;0.275,1,0)</f>
        <v>0</v>
      </c>
      <c r="HT116" s="194">
        <f t="shared" si="6"/>
        <v>1</v>
      </c>
      <c r="HV116" s="527">
        <v>0.25</v>
      </c>
      <c r="HW116" s="527"/>
      <c r="HX116" s="428">
        <f>IF(HX98&gt;=0.25,1,0)</f>
        <v>1</v>
      </c>
      <c r="HY116" s="428">
        <f>IF(HX98&lt;0.275,1,0)</f>
        <v>0</v>
      </c>
      <c r="HZ116" s="194">
        <f t="shared" si="7"/>
        <v>1</v>
      </c>
      <c r="IB116" s="527">
        <v>0.25</v>
      </c>
      <c r="IC116" s="527"/>
      <c r="ID116" s="428">
        <f>IF(IB98&gt;=0.25,1,0)</f>
        <v>1</v>
      </c>
      <c r="IE116" s="428">
        <f>IF(IB98&lt;0.275,1,0)</f>
        <v>0</v>
      </c>
      <c r="IF116" s="194">
        <f t="shared" si="8"/>
        <v>1</v>
      </c>
      <c r="IG116" s="214"/>
      <c r="IH116" s="214"/>
      <c r="II116" s="442"/>
      <c r="IL116" s="21" t="s">
        <v>33</v>
      </c>
      <c r="IM116" s="21"/>
      <c r="IN116" s="21"/>
      <c r="IO116" s="442" t="s">
        <v>1</v>
      </c>
      <c r="IP116" s="533">
        <f>ROUND(0.85*(HT70/HT71)*(1-SQRT(1-((2*HT94)/(0.85*HT70)))),4)</f>
        <v>1.9E-3</v>
      </c>
      <c r="IQ116" s="533"/>
      <c r="IR116" s="533"/>
      <c r="IS116" s="533">
        <f>ROUND(0.85*(HT70/HT71)*(1-SQRT(1-((2*HX94)/(0.85*HT70)))),4)</f>
        <v>1.2999999999999999E-3</v>
      </c>
      <c r="IT116" s="533"/>
      <c r="IU116" s="533"/>
      <c r="IV116" s="533">
        <f>ROUND(0.85*(HT70/HT71)*(1-SQRT(1-((2*IB94)/(0.85*HT70)))),4)</f>
        <v>1.9E-3</v>
      </c>
      <c r="IW116" s="533"/>
      <c r="IX116" s="533"/>
      <c r="IY116" s="442"/>
      <c r="IZ116" s="442"/>
      <c r="JA116" s="442"/>
      <c r="JB116" s="442"/>
      <c r="JC116" s="442"/>
      <c r="JD116" s="442"/>
      <c r="JE116" s="442"/>
      <c r="JF116" s="442"/>
      <c r="JG116" s="442"/>
      <c r="JH116" s="442"/>
      <c r="JI116" s="442"/>
      <c r="JJ116" s="442"/>
      <c r="JK116" s="442"/>
      <c r="JL116" s="442"/>
      <c r="JM116" s="442"/>
      <c r="JN116" s="442"/>
      <c r="JO116" s="442"/>
      <c r="JP116" s="442"/>
      <c r="JQ116" s="442"/>
      <c r="JR116" s="442"/>
      <c r="JS116" s="442"/>
      <c r="JT116" s="442"/>
      <c r="JU116" s="442"/>
      <c r="JV116" s="442"/>
      <c r="JW116" s="442"/>
      <c r="JX116" s="442"/>
      <c r="JY116" s="442"/>
      <c r="JZ116" s="442"/>
      <c r="KA116" s="442"/>
      <c r="KB116" s="442"/>
      <c r="KC116" s="442"/>
      <c r="KD116" s="442"/>
      <c r="KE116" s="442"/>
      <c r="KF116" s="442"/>
      <c r="KG116" s="442"/>
      <c r="KH116" s="442"/>
      <c r="KI116" s="442"/>
      <c r="KJ116" s="442"/>
      <c r="KK116" s="442"/>
      <c r="KL116" s="442"/>
      <c r="KM116" s="442"/>
      <c r="KN116" s="442"/>
      <c r="KO116" s="442"/>
      <c r="KP116" s="442"/>
      <c r="KQ116" s="442"/>
      <c r="KR116" s="442"/>
      <c r="KS116" s="442"/>
      <c r="KT116" s="442"/>
      <c r="KU116" s="442"/>
      <c r="KV116" s="442"/>
      <c r="KW116" s="442"/>
      <c r="KX116" s="442"/>
      <c r="KY116" s="442"/>
      <c r="KZ116" s="442"/>
      <c r="LA116" s="442"/>
      <c r="LB116" s="442"/>
      <c r="LC116" s="442"/>
      <c r="LD116" s="442"/>
      <c r="LE116" s="442"/>
      <c r="LF116" s="442"/>
      <c r="LG116" s="442"/>
      <c r="LH116" s="442"/>
      <c r="LI116" s="442"/>
      <c r="LJ116" s="442"/>
      <c r="LK116" s="442"/>
      <c r="LL116" s="442"/>
      <c r="LM116" s="442"/>
      <c r="LN116" s="442"/>
      <c r="LO116" s="442"/>
      <c r="LP116" s="442"/>
      <c r="LQ116" s="442"/>
      <c r="LR116" s="442"/>
      <c r="LS116" s="442"/>
      <c r="LT116" s="442"/>
      <c r="LU116" s="442"/>
      <c r="LV116" s="442"/>
      <c r="LW116" s="442"/>
      <c r="LX116" s="442"/>
      <c r="LY116" s="442"/>
      <c r="LZ116" s="442"/>
      <c r="MA116" s="442"/>
      <c r="MB116" s="442"/>
      <c r="MC116" s="442"/>
      <c r="MD116" s="442"/>
      <c r="ME116" s="442"/>
      <c r="MF116" s="442"/>
      <c r="MG116" s="442"/>
      <c r="MH116" s="442"/>
      <c r="MI116" s="442"/>
      <c r="MJ116" s="442"/>
      <c r="MK116" s="442"/>
      <c r="ML116" s="442"/>
      <c r="MM116" s="442"/>
      <c r="MN116" s="442"/>
      <c r="MO116" s="442"/>
      <c r="MP116" s="442"/>
      <c r="MQ116" s="442"/>
      <c r="MR116" s="442"/>
      <c r="MS116" s="442"/>
      <c r="MT116" s="442"/>
      <c r="MU116" s="442"/>
      <c r="NT116" s="202" t="s">
        <v>23</v>
      </c>
      <c r="NU116" s="207">
        <f>IF(H38=6,0,IF(H38=8,0,IF(H38=9,0,NU110+0.2)))</f>
        <v>1.7</v>
      </c>
      <c r="NV116" s="204">
        <f>NU116</f>
        <v>1.7</v>
      </c>
      <c r="NX116" s="202" t="s">
        <v>23</v>
      </c>
      <c r="NY116" s="207">
        <f>IF(H38=1,NX110-0.2,IF(H38=3,NX110-0.2,IF(H38=4,NX110-0.2,0)))</f>
        <v>-1.7</v>
      </c>
      <c r="NZ116" s="204">
        <f>NY116</f>
        <v>-1.7</v>
      </c>
    </row>
    <row r="117" spans="1:401" ht="14.1" customHeight="1" x14ac:dyDescent="0.2">
      <c r="A117" s="156"/>
      <c r="B117" s="236"/>
      <c r="C117" s="236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156"/>
      <c r="R117" s="156"/>
      <c r="S117" s="156"/>
      <c r="T117" s="156"/>
      <c r="U117" s="156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/>
      <c r="AF117" s="156"/>
      <c r="AG117" s="156"/>
      <c r="AH117" s="156"/>
      <c r="AI117" s="156"/>
      <c r="AJ117" s="156"/>
      <c r="AK117" s="156"/>
      <c r="AL117" s="156"/>
      <c r="AM117" s="156"/>
      <c r="AN117" s="156"/>
      <c r="AO117" s="156"/>
      <c r="AP117" s="156"/>
      <c r="AQ117" s="156"/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156"/>
      <c r="CP117" s="156"/>
      <c r="CQ117" s="156"/>
      <c r="CR117" s="156"/>
      <c r="CS117" s="156"/>
      <c r="CT117" s="156"/>
      <c r="CU117" s="156"/>
      <c r="CV117" s="156"/>
      <c r="CW117" s="156"/>
      <c r="CX117" s="156"/>
      <c r="CY117" s="156"/>
      <c r="CZ117" s="156"/>
      <c r="DA117" s="156"/>
      <c r="DB117" s="156"/>
      <c r="DC117" s="156"/>
      <c r="DD117" s="156"/>
      <c r="DE117" s="156"/>
      <c r="DF117" s="156"/>
      <c r="DG117" s="156"/>
      <c r="DH117" s="156"/>
      <c r="DI117" s="156"/>
      <c r="DJ117" s="156"/>
      <c r="DK117" s="156"/>
      <c r="DL117" s="156"/>
      <c r="DM117" s="156"/>
      <c r="DN117" s="156"/>
      <c r="DO117" s="156"/>
      <c r="DP117" s="156"/>
      <c r="DQ117" s="156"/>
      <c r="DR117" s="156"/>
      <c r="DS117" s="156"/>
      <c r="DT117" s="156"/>
      <c r="DU117" s="156"/>
      <c r="DV117" s="156"/>
      <c r="DW117" s="156"/>
      <c r="DX117" s="156"/>
      <c r="DY117" s="156"/>
      <c r="DZ117" s="156"/>
      <c r="EA117" s="156"/>
      <c r="EB117" s="156"/>
      <c r="EC117" s="156"/>
      <c r="ED117" s="156"/>
      <c r="EE117" s="156"/>
      <c r="EF117" s="156"/>
      <c r="EG117" s="156"/>
      <c r="EH117" s="156"/>
      <c r="EI117" s="156"/>
      <c r="EJ117" s="156"/>
      <c r="EK117" s="156"/>
      <c r="EL117" s="156"/>
      <c r="EM117" s="156"/>
      <c r="EN117" s="156"/>
      <c r="EO117" s="156"/>
      <c r="EP117" s="156"/>
      <c r="EQ117" s="156"/>
      <c r="ER117" s="156"/>
      <c r="ES117" s="156"/>
      <c r="ET117" s="156"/>
      <c r="EU117" s="156"/>
      <c r="EV117" s="156"/>
      <c r="EW117" s="156"/>
      <c r="EX117" s="156"/>
      <c r="EY117" s="156"/>
      <c r="EZ117" s="156"/>
      <c r="FA117" s="156"/>
      <c r="FB117" s="156"/>
      <c r="FC117" s="156"/>
      <c r="FD117" s="156"/>
      <c r="FE117" s="156"/>
      <c r="FF117" s="156"/>
      <c r="FG117" s="156"/>
      <c r="FH117" s="156"/>
      <c r="FI117" s="156"/>
      <c r="FJ117" s="156"/>
      <c r="FK117" s="156"/>
      <c r="FL117" s="156"/>
      <c r="FM117" s="156"/>
      <c r="FN117" s="156"/>
      <c r="FO117" s="156"/>
      <c r="FP117" s="156"/>
      <c r="FQ117" s="156"/>
      <c r="FR117" s="156"/>
      <c r="FS117" s="156"/>
      <c r="FT117" s="156"/>
      <c r="FU117" s="156"/>
      <c r="FV117" s="156"/>
      <c r="FW117" s="156"/>
      <c r="FX117" s="156"/>
      <c r="FY117" s="156"/>
      <c r="FZ117" s="156"/>
      <c r="GA117" s="156"/>
      <c r="GB117" s="156"/>
      <c r="GC117" s="156"/>
      <c r="GD117" s="156"/>
      <c r="GE117" s="156"/>
      <c r="GF117" s="156"/>
      <c r="GG117" s="156"/>
      <c r="GH117" s="156"/>
      <c r="GI117" s="156"/>
      <c r="GJ117" s="156"/>
      <c r="GK117" s="156"/>
      <c r="GL117" s="156"/>
      <c r="GM117" s="156"/>
      <c r="GN117" s="156"/>
      <c r="GO117" s="156"/>
      <c r="GP117" s="156"/>
      <c r="GQ117" s="156"/>
      <c r="GR117" s="156"/>
      <c r="GS117" s="156"/>
      <c r="GT117" s="156"/>
      <c r="GU117" s="156"/>
      <c r="GV117" s="156"/>
      <c r="GW117" s="156"/>
      <c r="GX117" s="156"/>
      <c r="GY117" s="156"/>
      <c r="GZ117" s="156"/>
      <c r="HA117" s="156"/>
      <c r="HB117" s="156"/>
      <c r="HC117" s="156"/>
      <c r="HD117" s="156"/>
      <c r="HE117" s="156"/>
      <c r="HF117" s="156"/>
      <c r="HG117" s="156"/>
      <c r="HH117" s="156"/>
      <c r="HI117" s="156"/>
      <c r="HJ117" s="156"/>
      <c r="HK117" s="156"/>
      <c r="HL117" s="156"/>
      <c r="HP117" s="527">
        <v>0.27500000000000002</v>
      </c>
      <c r="HQ117" s="527"/>
      <c r="HR117" s="428">
        <f>IF(HT98&gt;=0.275,1,0)</f>
        <v>1</v>
      </c>
      <c r="HS117" s="428">
        <f>IF(HT98&lt;0.3,1,0)</f>
        <v>0</v>
      </c>
      <c r="HT117" s="194">
        <f t="shared" si="6"/>
        <v>1</v>
      </c>
      <c r="HV117" s="527">
        <v>0.27500000000000002</v>
      </c>
      <c r="HW117" s="527"/>
      <c r="HX117" s="428">
        <f>IF(HX98&gt;=0.275,1,0)</f>
        <v>1</v>
      </c>
      <c r="HY117" s="428">
        <f>IF(HX98&lt;0.3,1,0)</f>
        <v>0</v>
      </c>
      <c r="HZ117" s="194">
        <f t="shared" si="7"/>
        <v>1</v>
      </c>
      <c r="IB117" s="527">
        <v>0.27500000000000002</v>
      </c>
      <c r="IC117" s="527"/>
      <c r="ID117" s="428">
        <f>IF(IB98&gt;=0.275,1,0)</f>
        <v>1</v>
      </c>
      <c r="IE117" s="428">
        <f>IF(IB98&lt;0.3,1,0)</f>
        <v>0</v>
      </c>
      <c r="IF117" s="194">
        <f t="shared" si="8"/>
        <v>1</v>
      </c>
      <c r="IG117" s="442"/>
      <c r="IH117" s="442"/>
      <c r="II117" s="442"/>
      <c r="IL117" s="21" t="s">
        <v>32</v>
      </c>
      <c r="IM117" s="442"/>
      <c r="IN117" s="442"/>
      <c r="IO117" s="442" t="s">
        <v>1</v>
      </c>
      <c r="IP117" s="522">
        <f>ROUND(14/HT71,4)</f>
        <v>4.7000000000000002E-3</v>
      </c>
      <c r="IQ117" s="522"/>
      <c r="IR117" s="522"/>
      <c r="IS117" s="522">
        <f>ROUND(14/HT71,4)</f>
        <v>4.7000000000000002E-3</v>
      </c>
      <c r="IT117" s="522"/>
      <c r="IU117" s="522"/>
      <c r="IV117" s="522">
        <f>ROUND(14/HT71,4)</f>
        <v>4.7000000000000002E-3</v>
      </c>
      <c r="IW117" s="522"/>
      <c r="IX117" s="522"/>
      <c r="IY117" s="442" t="s">
        <v>0</v>
      </c>
      <c r="IZ117" s="442"/>
      <c r="JA117" s="442"/>
      <c r="JB117" s="442"/>
      <c r="JC117" s="442"/>
      <c r="JD117" s="442"/>
      <c r="JE117" s="442"/>
      <c r="JF117" s="442"/>
      <c r="JG117" s="442"/>
      <c r="JH117" s="442"/>
      <c r="JI117" s="442"/>
      <c r="JJ117" s="442"/>
      <c r="JK117" s="442"/>
      <c r="JL117" s="442"/>
      <c r="JM117" s="442"/>
      <c r="JN117" s="442"/>
      <c r="JO117" s="442"/>
      <c r="JP117" s="442"/>
      <c r="JQ117" s="442"/>
      <c r="JR117" s="442"/>
      <c r="JS117" s="442"/>
      <c r="JT117" s="442"/>
      <c r="JU117" s="442"/>
      <c r="JV117" s="442"/>
      <c r="JW117" s="442"/>
      <c r="JX117" s="442"/>
      <c r="JY117" s="442"/>
      <c r="JZ117" s="442"/>
      <c r="KA117" s="442"/>
      <c r="KB117" s="442"/>
      <c r="KC117" s="442"/>
      <c r="KD117" s="442"/>
      <c r="KE117" s="442"/>
      <c r="KF117" s="442"/>
      <c r="KG117" s="442"/>
      <c r="KH117" s="442"/>
      <c r="KI117" s="442"/>
      <c r="KJ117" s="442"/>
      <c r="KK117" s="442"/>
      <c r="KL117" s="442"/>
      <c r="KM117" s="442"/>
      <c r="KN117" s="442"/>
      <c r="KO117" s="442"/>
      <c r="KP117" s="442"/>
      <c r="KQ117" s="442"/>
      <c r="KR117" s="442"/>
      <c r="KS117" s="442"/>
      <c r="KT117" s="442"/>
      <c r="KU117" s="442"/>
      <c r="KV117" s="442"/>
      <c r="KW117" s="442"/>
      <c r="KX117" s="442"/>
      <c r="KY117" s="442"/>
      <c r="KZ117" s="442"/>
      <c r="LA117" s="442"/>
      <c r="LB117" s="442"/>
      <c r="LC117" s="442"/>
      <c r="LD117" s="442"/>
      <c r="LE117" s="442"/>
      <c r="LF117" s="442"/>
      <c r="LG117" s="442"/>
      <c r="LH117" s="442"/>
      <c r="LI117" s="442"/>
      <c r="LJ117" s="442"/>
      <c r="LK117" s="442"/>
      <c r="LL117" s="442"/>
      <c r="LM117" s="442"/>
      <c r="LN117" s="442"/>
      <c r="LO117" s="442"/>
      <c r="LP117" s="442"/>
      <c r="LQ117" s="442"/>
      <c r="LR117" s="442"/>
      <c r="LS117" s="442"/>
      <c r="LT117" s="442"/>
      <c r="LU117" s="442"/>
      <c r="LV117" s="442"/>
      <c r="LW117" s="442"/>
      <c r="LX117" s="442"/>
      <c r="LY117" s="442"/>
      <c r="LZ117" s="442"/>
      <c r="MA117" s="442"/>
      <c r="MB117" s="442"/>
      <c r="MC117" s="442"/>
      <c r="MD117" s="442"/>
      <c r="ME117" s="442"/>
      <c r="MF117" s="442"/>
      <c r="MG117" s="442"/>
      <c r="MH117" s="442"/>
      <c r="MI117" s="442"/>
      <c r="MJ117" s="442"/>
      <c r="MK117" s="442"/>
      <c r="ML117" s="442"/>
      <c r="MM117" s="442"/>
      <c r="MN117" s="442"/>
      <c r="MO117" s="442"/>
      <c r="MP117" s="442"/>
      <c r="MQ117" s="442"/>
      <c r="MR117" s="442"/>
      <c r="MS117" s="442"/>
      <c r="MT117" s="442"/>
      <c r="MU117" s="442"/>
      <c r="NT117" s="149" t="s">
        <v>134</v>
      </c>
    </row>
    <row r="118" spans="1:401" ht="14.1" customHeight="1" x14ac:dyDescent="0.2">
      <c r="A118" s="156"/>
      <c r="B118" s="236"/>
      <c r="C118" s="236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156"/>
      <c r="R118" s="156"/>
      <c r="S118" s="156"/>
      <c r="T118" s="156"/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  <c r="AF118" s="156"/>
      <c r="AG118" s="156"/>
      <c r="AH118" s="156"/>
      <c r="AI118" s="156"/>
      <c r="AJ118" s="156"/>
      <c r="AK118" s="156"/>
      <c r="AL118" s="156"/>
      <c r="AM118" s="156"/>
      <c r="AN118" s="156"/>
      <c r="AO118" s="156"/>
      <c r="AP118" s="156"/>
      <c r="AQ118" s="156"/>
      <c r="AR118" s="156"/>
      <c r="AS118" s="156"/>
      <c r="AT118" s="156"/>
      <c r="AU118" s="156"/>
      <c r="AV118" s="156"/>
      <c r="AW118" s="156"/>
      <c r="AX118" s="156"/>
      <c r="AY118" s="156"/>
      <c r="AZ118" s="156"/>
      <c r="BA118" s="156"/>
      <c r="BB118" s="156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156"/>
      <c r="CP118" s="156"/>
      <c r="CQ118" s="156"/>
      <c r="CR118" s="156"/>
      <c r="CS118" s="156"/>
      <c r="CT118" s="156"/>
      <c r="CU118" s="156"/>
      <c r="CV118" s="156"/>
      <c r="CW118" s="156"/>
      <c r="CX118" s="156"/>
      <c r="CY118" s="156"/>
      <c r="CZ118" s="156"/>
      <c r="DA118" s="156"/>
      <c r="DB118" s="156"/>
      <c r="DC118" s="156"/>
      <c r="DD118" s="156"/>
      <c r="DE118" s="156"/>
      <c r="DF118" s="156"/>
      <c r="DG118" s="156"/>
      <c r="DH118" s="156"/>
      <c r="DI118" s="156"/>
      <c r="DJ118" s="156"/>
      <c r="DK118" s="156"/>
      <c r="DL118" s="156"/>
      <c r="DM118" s="156"/>
      <c r="DN118" s="156"/>
      <c r="DO118" s="156"/>
      <c r="DP118" s="156"/>
      <c r="DQ118" s="156"/>
      <c r="DR118" s="156"/>
      <c r="DS118" s="156"/>
      <c r="DT118" s="156"/>
      <c r="DU118" s="156"/>
      <c r="DV118" s="156"/>
      <c r="DW118" s="156"/>
      <c r="DX118" s="156"/>
      <c r="DY118" s="156"/>
      <c r="DZ118" s="156"/>
      <c r="EA118" s="156"/>
      <c r="EB118" s="156"/>
      <c r="EC118" s="156"/>
      <c r="ED118" s="156"/>
      <c r="EE118" s="156"/>
      <c r="EF118" s="156"/>
      <c r="EG118" s="156"/>
      <c r="EH118" s="156"/>
      <c r="EI118" s="156"/>
      <c r="EJ118" s="156"/>
      <c r="EK118" s="156"/>
      <c r="EL118" s="156"/>
      <c r="EM118" s="156"/>
      <c r="EN118" s="156"/>
      <c r="EO118" s="156"/>
      <c r="EP118" s="156"/>
      <c r="EQ118" s="156"/>
      <c r="ER118" s="156"/>
      <c r="ES118" s="156"/>
      <c r="ET118" s="156"/>
      <c r="EU118" s="156"/>
      <c r="EV118" s="156"/>
      <c r="EW118" s="156"/>
      <c r="EX118" s="156"/>
      <c r="EY118" s="156"/>
      <c r="EZ118" s="156"/>
      <c r="FA118" s="156"/>
      <c r="FB118" s="156"/>
      <c r="FC118" s="156"/>
      <c r="FD118" s="156"/>
      <c r="FE118" s="156"/>
      <c r="FF118" s="156"/>
      <c r="FG118" s="156"/>
      <c r="FH118" s="156"/>
      <c r="FI118" s="156"/>
      <c r="FJ118" s="156"/>
      <c r="FK118" s="156"/>
      <c r="FL118" s="156"/>
      <c r="FM118" s="156"/>
      <c r="FN118" s="156"/>
      <c r="FO118" s="156"/>
      <c r="FP118" s="156"/>
      <c r="FQ118" s="156"/>
      <c r="FR118" s="156"/>
      <c r="FS118" s="156"/>
      <c r="FT118" s="156"/>
      <c r="FU118" s="156"/>
      <c r="FV118" s="156"/>
      <c r="FW118" s="156"/>
      <c r="FX118" s="156"/>
      <c r="FY118" s="156"/>
      <c r="FZ118" s="156"/>
      <c r="GA118" s="156"/>
      <c r="GB118" s="156"/>
      <c r="GC118" s="156"/>
      <c r="GD118" s="156"/>
      <c r="GE118" s="156"/>
      <c r="GF118" s="156"/>
      <c r="GG118" s="156"/>
      <c r="GH118" s="156"/>
      <c r="GI118" s="156"/>
      <c r="GJ118" s="156"/>
      <c r="GK118" s="156"/>
      <c r="GL118" s="156"/>
      <c r="GM118" s="156"/>
      <c r="GN118" s="156"/>
      <c r="GO118" s="156"/>
      <c r="GP118" s="156"/>
      <c r="GQ118" s="156"/>
      <c r="GR118" s="156"/>
      <c r="GS118" s="156"/>
      <c r="GT118" s="156"/>
      <c r="GU118" s="156"/>
      <c r="GV118" s="156"/>
      <c r="GW118" s="156"/>
      <c r="GX118" s="156"/>
      <c r="GY118" s="156"/>
      <c r="GZ118" s="156"/>
      <c r="HA118" s="156"/>
      <c r="HB118" s="156"/>
      <c r="HC118" s="156"/>
      <c r="HD118" s="156"/>
      <c r="HE118" s="156"/>
      <c r="HF118" s="156"/>
      <c r="HG118" s="156"/>
      <c r="HH118" s="156"/>
      <c r="HI118" s="156"/>
      <c r="HJ118" s="156"/>
      <c r="HK118" s="156"/>
      <c r="HL118" s="156"/>
      <c r="HP118" s="527">
        <v>0.3</v>
      </c>
      <c r="HQ118" s="527"/>
      <c r="HR118" s="428">
        <f>IF(HT98&gt;=0.3,1,0)</f>
        <v>1</v>
      </c>
      <c r="HS118" s="428">
        <f>IF(HT98&lt;0.325,1,0)</f>
        <v>1</v>
      </c>
      <c r="HT118" s="194">
        <f t="shared" si="6"/>
        <v>2</v>
      </c>
      <c r="HV118" s="527">
        <v>0.3</v>
      </c>
      <c r="HW118" s="527"/>
      <c r="HX118" s="428">
        <f>IF(HX98&gt;=0.3,1,0)</f>
        <v>1</v>
      </c>
      <c r="HY118" s="428">
        <f>IF(HX98&lt;0.325,1,0)</f>
        <v>1</v>
      </c>
      <c r="HZ118" s="194">
        <f t="shared" si="7"/>
        <v>2</v>
      </c>
      <c r="IB118" s="527">
        <v>0.3</v>
      </c>
      <c r="IC118" s="527"/>
      <c r="ID118" s="428">
        <f>IF(IB98&gt;=0.3,1,0)</f>
        <v>1</v>
      </c>
      <c r="IE118" s="428">
        <f>IF(IB98&lt;0.325,1,0)</f>
        <v>1</v>
      </c>
      <c r="IF118" s="194">
        <f t="shared" si="8"/>
        <v>2</v>
      </c>
      <c r="IG118" s="442"/>
      <c r="IH118" s="442"/>
      <c r="II118" s="442"/>
      <c r="IL118" s="31" t="s">
        <v>97</v>
      </c>
      <c r="IM118" s="442"/>
      <c r="IN118" s="442"/>
      <c r="IO118" s="442" t="s">
        <v>1</v>
      </c>
      <c r="IP118" s="522">
        <f>ROUND(MAX(IP116:IR117)*100*IZ79,2)</f>
        <v>3.01</v>
      </c>
      <c r="IQ118" s="522"/>
      <c r="IR118" s="522"/>
      <c r="IS118" s="522">
        <f>ROUND(MAX(IS116:IU117)*100*IZ80,2)</f>
        <v>3.01</v>
      </c>
      <c r="IT118" s="522"/>
      <c r="IU118" s="522"/>
      <c r="IV118" s="522">
        <f>ROUND(MAX(IV116:IX117)*100*IZ81,2)</f>
        <v>3.01</v>
      </c>
      <c r="IW118" s="522"/>
      <c r="IX118" s="522"/>
      <c r="IY118" s="442"/>
      <c r="IZ118" s="442"/>
      <c r="JA118" s="442"/>
      <c r="JB118" s="442"/>
      <c r="JC118" s="442"/>
      <c r="JD118" s="442"/>
      <c r="JE118" s="442"/>
      <c r="JF118" s="442"/>
      <c r="JG118" s="442"/>
      <c r="JH118" s="442"/>
      <c r="JI118" s="442"/>
      <c r="JJ118" s="442"/>
      <c r="JK118" s="442"/>
      <c r="JL118" s="442"/>
      <c r="JM118" s="442"/>
      <c r="JN118" s="442"/>
      <c r="JO118" s="442"/>
      <c r="JP118" s="442"/>
      <c r="JQ118" s="442"/>
      <c r="JR118" s="442"/>
      <c r="JS118" s="442"/>
      <c r="JT118" s="442"/>
      <c r="JU118" s="442"/>
      <c r="JV118" s="442"/>
      <c r="JW118" s="442"/>
      <c r="JX118" s="442"/>
      <c r="JY118" s="442"/>
      <c r="JZ118" s="442"/>
      <c r="KA118" s="442"/>
      <c r="KB118" s="442"/>
      <c r="KC118" s="442"/>
      <c r="KD118" s="442"/>
      <c r="KE118" s="442"/>
      <c r="KF118" s="442"/>
      <c r="KG118" s="442"/>
      <c r="KH118" s="442"/>
      <c r="KI118" s="442"/>
      <c r="KJ118" s="442"/>
      <c r="KK118" s="442"/>
      <c r="KL118" s="442"/>
      <c r="KM118" s="442"/>
      <c r="KN118" s="442"/>
      <c r="KO118" s="442"/>
      <c r="KP118" s="442"/>
      <c r="KQ118" s="442"/>
      <c r="KR118" s="442"/>
      <c r="KS118" s="442"/>
      <c r="KT118" s="442"/>
      <c r="KU118" s="442"/>
      <c r="KV118" s="442"/>
      <c r="KW118" s="442"/>
      <c r="KX118" s="442"/>
      <c r="KY118" s="442"/>
      <c r="KZ118" s="442"/>
      <c r="LA118" s="442"/>
      <c r="LB118" s="442"/>
      <c r="LC118" s="442"/>
      <c r="LD118" s="442"/>
      <c r="LE118" s="442"/>
      <c r="LF118" s="442"/>
      <c r="LG118" s="442"/>
      <c r="LH118" s="442"/>
      <c r="LI118" s="442"/>
      <c r="LJ118" s="442"/>
      <c r="LK118" s="442"/>
      <c r="LL118" s="442"/>
      <c r="LM118" s="442"/>
      <c r="LN118" s="442"/>
      <c r="LO118" s="442"/>
      <c r="LP118" s="442"/>
      <c r="LQ118" s="442"/>
      <c r="LR118" s="442"/>
      <c r="LS118" s="442"/>
      <c r="LT118" s="442"/>
      <c r="LU118" s="442"/>
      <c r="LV118" s="442"/>
      <c r="LW118" s="442"/>
      <c r="LX118" s="442"/>
      <c r="LY118" s="442"/>
      <c r="LZ118" s="442"/>
      <c r="MA118" s="442"/>
      <c r="MB118" s="442"/>
      <c r="MC118" s="442"/>
      <c r="MD118" s="442"/>
      <c r="ME118" s="442"/>
      <c r="MF118" s="442"/>
      <c r="MG118" s="442"/>
      <c r="MH118" s="442"/>
      <c r="MI118" s="442"/>
      <c r="MJ118" s="442"/>
      <c r="MK118" s="442"/>
      <c r="ML118" s="442"/>
      <c r="MM118" s="442"/>
      <c r="MN118" s="442"/>
      <c r="MO118" s="442"/>
      <c r="MP118" s="442"/>
      <c r="MQ118" s="442"/>
      <c r="MR118" s="442"/>
      <c r="MS118" s="442"/>
      <c r="MT118" s="442"/>
      <c r="MU118" s="442"/>
      <c r="NT118" s="199" t="s">
        <v>22</v>
      </c>
      <c r="NU118" s="200">
        <f>NU109+0.2</f>
        <v>-3.3</v>
      </c>
      <c r="NV118" s="200">
        <f>NV109-0.2</f>
        <v>3.3</v>
      </c>
      <c r="NW118" s="208">
        <v>0</v>
      </c>
      <c r="NX118" s="209">
        <v>0</v>
      </c>
      <c r="NY118" s="103" t="s">
        <v>9</v>
      </c>
      <c r="NZ118" s="532">
        <f>H24</f>
        <v>1.5</v>
      </c>
      <c r="OA118" s="532"/>
      <c r="OB118" s="532"/>
    </row>
    <row r="119" spans="1:401" ht="14.1" customHeight="1" x14ac:dyDescent="0.2">
      <c r="A119" s="156"/>
      <c r="B119" s="236"/>
      <c r="C119" s="236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156"/>
      <c r="R119" s="156"/>
      <c r="S119" s="156"/>
      <c r="T119" s="156"/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  <c r="AF119" s="156"/>
      <c r="AG119" s="156"/>
      <c r="AH119" s="156"/>
      <c r="AI119" s="156"/>
      <c r="AJ119" s="156"/>
      <c r="AK119" s="156"/>
      <c r="AL119" s="156"/>
      <c r="AM119" s="156"/>
      <c r="AN119" s="156"/>
      <c r="AO119" s="156"/>
      <c r="AP119" s="156"/>
      <c r="AQ119" s="156"/>
      <c r="AR119" s="156"/>
      <c r="AS119" s="156"/>
      <c r="AT119" s="156"/>
      <c r="AU119" s="156"/>
      <c r="AV119" s="156"/>
      <c r="AW119" s="156"/>
      <c r="AX119" s="156"/>
      <c r="AY119" s="156"/>
      <c r="AZ119" s="156"/>
      <c r="BA119" s="156"/>
      <c r="BB119" s="156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156"/>
      <c r="CP119" s="156"/>
      <c r="CQ119" s="156"/>
      <c r="CR119" s="156"/>
      <c r="CS119" s="156"/>
      <c r="CT119" s="156"/>
      <c r="CU119" s="156"/>
      <c r="CV119" s="156"/>
      <c r="CW119" s="156"/>
      <c r="CX119" s="156"/>
      <c r="CY119" s="156"/>
      <c r="CZ119" s="156"/>
      <c r="DA119" s="156"/>
      <c r="DB119" s="156"/>
      <c r="DC119" s="156"/>
      <c r="DD119" s="156"/>
      <c r="DE119" s="156"/>
      <c r="DF119" s="156"/>
      <c r="DG119" s="156"/>
      <c r="DH119" s="156"/>
      <c r="DI119" s="156"/>
      <c r="DJ119" s="156"/>
      <c r="DK119" s="156"/>
      <c r="DL119" s="156"/>
      <c r="DM119" s="156"/>
      <c r="DN119" s="156"/>
      <c r="DO119" s="156"/>
      <c r="DP119" s="156"/>
      <c r="DQ119" s="156"/>
      <c r="DR119" s="156"/>
      <c r="DS119" s="156"/>
      <c r="DT119" s="156"/>
      <c r="DU119" s="156"/>
      <c r="DV119" s="156"/>
      <c r="DW119" s="156"/>
      <c r="DX119" s="156"/>
      <c r="DY119" s="156"/>
      <c r="DZ119" s="156"/>
      <c r="EA119" s="156"/>
      <c r="EB119" s="156"/>
      <c r="EC119" s="156"/>
      <c r="ED119" s="156"/>
      <c r="EE119" s="156"/>
      <c r="EF119" s="156"/>
      <c r="EG119" s="156"/>
      <c r="EH119" s="156"/>
      <c r="EI119" s="156"/>
      <c r="EJ119" s="156"/>
      <c r="EK119" s="156"/>
      <c r="EL119" s="156"/>
      <c r="EM119" s="156"/>
      <c r="EN119" s="156"/>
      <c r="EO119" s="156"/>
      <c r="EP119" s="156"/>
      <c r="EQ119" s="156"/>
      <c r="ER119" s="156"/>
      <c r="ES119" s="156"/>
      <c r="ET119" s="156"/>
      <c r="EU119" s="156"/>
      <c r="EV119" s="156"/>
      <c r="EW119" s="156"/>
      <c r="EX119" s="156"/>
      <c r="EY119" s="156"/>
      <c r="EZ119" s="156"/>
      <c r="FA119" s="156"/>
      <c r="FB119" s="156"/>
      <c r="FC119" s="156"/>
      <c r="FD119" s="156"/>
      <c r="FE119" s="156"/>
      <c r="FF119" s="156"/>
      <c r="FG119" s="156"/>
      <c r="FH119" s="156"/>
      <c r="FI119" s="156"/>
      <c r="FJ119" s="156"/>
      <c r="FK119" s="156"/>
      <c r="FL119" s="156"/>
      <c r="FM119" s="156"/>
      <c r="FN119" s="156"/>
      <c r="FO119" s="156"/>
      <c r="FP119" s="156"/>
      <c r="FQ119" s="156"/>
      <c r="FR119" s="156"/>
      <c r="FS119" s="156"/>
      <c r="FT119" s="156"/>
      <c r="FU119" s="156"/>
      <c r="FV119" s="156"/>
      <c r="FW119" s="156"/>
      <c r="FX119" s="156"/>
      <c r="FY119" s="156"/>
      <c r="FZ119" s="156"/>
      <c r="GA119" s="156"/>
      <c r="GB119" s="156"/>
      <c r="GC119" s="156"/>
      <c r="GD119" s="156"/>
      <c r="GE119" s="156"/>
      <c r="GF119" s="156"/>
      <c r="GG119" s="156"/>
      <c r="GH119" s="156"/>
      <c r="GI119" s="156"/>
      <c r="GJ119" s="156"/>
      <c r="GK119" s="156"/>
      <c r="GL119" s="156"/>
      <c r="GM119" s="156"/>
      <c r="GN119" s="156"/>
      <c r="GO119" s="156"/>
      <c r="GP119" s="156"/>
      <c r="GQ119" s="156"/>
      <c r="GR119" s="156"/>
      <c r="GS119" s="156"/>
      <c r="GT119" s="156"/>
      <c r="GU119" s="156"/>
      <c r="GV119" s="156"/>
      <c r="GW119" s="156"/>
      <c r="GX119" s="156"/>
      <c r="GY119" s="156"/>
      <c r="GZ119" s="156"/>
      <c r="HA119" s="156"/>
      <c r="HB119" s="156"/>
      <c r="HC119" s="156"/>
      <c r="HD119" s="156"/>
      <c r="HE119" s="156"/>
      <c r="HF119" s="156"/>
      <c r="HG119" s="156"/>
      <c r="HH119" s="156"/>
      <c r="HI119" s="156"/>
      <c r="HJ119" s="156"/>
      <c r="HK119" s="156"/>
      <c r="HL119" s="156"/>
      <c r="HP119" s="527">
        <v>0.32500000000000001</v>
      </c>
      <c r="HQ119" s="527"/>
      <c r="HR119" s="428">
        <f>IF(HT98&gt;=0.325,1,0)</f>
        <v>0</v>
      </c>
      <c r="HS119" s="428">
        <f>IF(HT98&lt;0.35,1,0)</f>
        <v>1</v>
      </c>
      <c r="HT119" s="194">
        <f t="shared" si="6"/>
        <v>1</v>
      </c>
      <c r="HV119" s="527">
        <v>0.32500000000000001</v>
      </c>
      <c r="HW119" s="527"/>
      <c r="HX119" s="428">
        <f>IF(HX98&gt;=0.325,1,0)</f>
        <v>0</v>
      </c>
      <c r="HY119" s="428">
        <f>IF(HX98&lt;0.35,1,0)</f>
        <v>1</v>
      </c>
      <c r="HZ119" s="194">
        <f t="shared" si="7"/>
        <v>1</v>
      </c>
      <c r="IB119" s="527">
        <v>0.32500000000000001</v>
      </c>
      <c r="IC119" s="527"/>
      <c r="ID119" s="428">
        <f>IF(IB98&gt;=0.325,1,0)</f>
        <v>0</v>
      </c>
      <c r="IE119" s="428">
        <f>IF(IB98&lt;0.35,1,0)</f>
        <v>1</v>
      </c>
      <c r="IF119" s="194">
        <f t="shared" si="8"/>
        <v>1</v>
      </c>
      <c r="IG119" s="442"/>
      <c r="IH119" s="442"/>
      <c r="II119" s="442"/>
      <c r="IL119" s="24" t="s">
        <v>99</v>
      </c>
      <c r="IM119" s="442"/>
      <c r="IN119" s="442"/>
      <c r="IO119" s="442" t="s">
        <v>1</v>
      </c>
      <c r="IP119" s="529">
        <f>ROUND(IO83*100*HT78,2)</f>
        <v>2</v>
      </c>
      <c r="IQ119" s="529"/>
      <c r="IR119" s="529"/>
      <c r="IS119" s="529">
        <f>ROUND(IO83*100*HT78,2)</f>
        <v>2</v>
      </c>
      <c r="IT119" s="529"/>
      <c r="IU119" s="529"/>
      <c r="IV119" s="529">
        <f>ROUND(IO83*100*HT78,2)</f>
        <v>2</v>
      </c>
      <c r="IW119" s="529"/>
      <c r="IX119" s="529"/>
      <c r="IY119" s="441" t="s">
        <v>98</v>
      </c>
      <c r="IZ119" s="442"/>
      <c r="JA119" s="442"/>
      <c r="JB119" s="442"/>
      <c r="JC119" s="442"/>
      <c r="JD119" s="442"/>
      <c r="JE119" s="442"/>
      <c r="JF119" s="442"/>
      <c r="JG119" s="442"/>
      <c r="JH119" s="442"/>
      <c r="JI119" s="442"/>
      <c r="JJ119" s="442"/>
      <c r="JK119" s="442"/>
      <c r="JL119" s="442"/>
      <c r="JM119" s="442"/>
      <c r="JN119" s="442"/>
      <c r="JO119" s="442"/>
      <c r="JP119" s="442"/>
      <c r="JQ119" s="442"/>
      <c r="JR119" s="442"/>
      <c r="JS119" s="442"/>
      <c r="JT119" s="442"/>
      <c r="JU119" s="442"/>
      <c r="JV119" s="442"/>
      <c r="JW119" s="442"/>
      <c r="JX119" s="442"/>
      <c r="JY119" s="442"/>
      <c r="JZ119" s="442"/>
      <c r="KA119" s="442"/>
      <c r="KB119" s="442"/>
      <c r="KC119" s="442"/>
      <c r="KD119" s="442"/>
      <c r="KE119" s="442"/>
      <c r="KF119" s="442"/>
      <c r="KG119" s="442"/>
      <c r="KH119" s="442"/>
      <c r="KI119" s="442"/>
      <c r="KJ119" s="442"/>
      <c r="KK119" s="442"/>
      <c r="KL119" s="442"/>
      <c r="KM119" s="442"/>
      <c r="KN119" s="442"/>
      <c r="KO119" s="442"/>
      <c r="KP119" s="442"/>
      <c r="KQ119" s="442"/>
      <c r="KR119" s="442"/>
      <c r="KS119" s="442"/>
      <c r="KT119" s="442"/>
      <c r="KU119" s="442"/>
      <c r="KV119" s="442"/>
      <c r="KW119" s="442"/>
      <c r="KX119" s="442"/>
      <c r="KY119" s="442"/>
      <c r="KZ119" s="442"/>
      <c r="LA119" s="442"/>
      <c r="LB119" s="442"/>
      <c r="LC119" s="442"/>
      <c r="LD119" s="442"/>
      <c r="LE119" s="442"/>
      <c r="LF119" s="442"/>
      <c r="LG119" s="442"/>
      <c r="LH119" s="442"/>
      <c r="LI119" s="442"/>
      <c r="LJ119" s="442"/>
      <c r="LK119" s="442"/>
      <c r="LL119" s="442"/>
      <c r="LM119" s="442"/>
      <c r="LN119" s="442"/>
      <c r="LO119" s="442"/>
      <c r="LP119" s="442"/>
      <c r="LQ119" s="442"/>
      <c r="LR119" s="442"/>
      <c r="LS119" s="442"/>
      <c r="LT119" s="442"/>
      <c r="LU119" s="442"/>
      <c r="LV119" s="442"/>
      <c r="LW119" s="442"/>
      <c r="LX119" s="442"/>
      <c r="LY119" s="442"/>
      <c r="LZ119" s="442"/>
      <c r="MA119" s="442"/>
      <c r="MB119" s="442"/>
      <c r="MC119" s="442"/>
      <c r="MD119" s="442"/>
      <c r="ME119" s="442"/>
      <c r="MF119" s="442"/>
      <c r="MG119" s="442"/>
      <c r="MH119" s="442"/>
      <c r="MI119" s="442"/>
      <c r="MJ119" s="442"/>
      <c r="MK119" s="442"/>
      <c r="ML119" s="442"/>
      <c r="MM119" s="442"/>
      <c r="MN119" s="442"/>
      <c r="MO119" s="442"/>
      <c r="MP119" s="442"/>
      <c r="MQ119" s="442"/>
      <c r="MR119" s="442"/>
      <c r="MS119" s="442"/>
      <c r="MT119" s="442"/>
      <c r="MU119" s="442"/>
      <c r="NT119" s="202" t="s">
        <v>23</v>
      </c>
      <c r="NU119" s="207">
        <v>0</v>
      </c>
      <c r="NV119" s="207">
        <v>0</v>
      </c>
      <c r="NW119" s="207">
        <f>NU110-0.2</f>
        <v>1.3</v>
      </c>
      <c r="NX119" s="204">
        <f>NW110+0.2</f>
        <v>-1.3</v>
      </c>
      <c r="NY119" s="103" t="s">
        <v>4</v>
      </c>
      <c r="NZ119" s="532">
        <f>H26</f>
        <v>4</v>
      </c>
      <c r="OA119" s="532"/>
      <c r="OB119" s="532"/>
    </row>
    <row r="120" spans="1:401" ht="14.1" customHeight="1" x14ac:dyDescent="0.2">
      <c r="A120" s="156"/>
      <c r="B120" s="236"/>
      <c r="C120" s="236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156"/>
      <c r="R120" s="156"/>
      <c r="S120" s="156"/>
      <c r="T120" s="156"/>
      <c r="U120" s="156"/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/>
      <c r="AF120" s="156"/>
      <c r="AG120" s="156"/>
      <c r="AH120" s="156"/>
      <c r="AI120" s="156"/>
      <c r="AJ120" s="156"/>
      <c r="AK120" s="156"/>
      <c r="AL120" s="156"/>
      <c r="AM120" s="156"/>
      <c r="AN120" s="156"/>
      <c r="AO120" s="156"/>
      <c r="AP120" s="156"/>
      <c r="AQ120" s="156"/>
      <c r="AR120" s="156"/>
      <c r="AS120" s="156"/>
      <c r="AT120" s="156"/>
      <c r="AU120" s="156"/>
      <c r="AV120" s="156"/>
      <c r="AW120" s="156"/>
      <c r="AX120" s="156"/>
      <c r="AY120" s="156"/>
      <c r="AZ120" s="156"/>
      <c r="BA120" s="156"/>
      <c r="BB120" s="156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156"/>
      <c r="CP120" s="156"/>
      <c r="CQ120" s="156"/>
      <c r="CR120" s="156"/>
      <c r="CS120" s="156"/>
      <c r="CT120" s="156"/>
      <c r="CU120" s="156"/>
      <c r="CV120" s="156"/>
      <c r="CW120" s="156"/>
      <c r="CX120" s="156"/>
      <c r="CY120" s="156"/>
      <c r="CZ120" s="156"/>
      <c r="DA120" s="156"/>
      <c r="DB120" s="156"/>
      <c r="DC120" s="156"/>
      <c r="DD120" s="156"/>
      <c r="DE120" s="156"/>
      <c r="DF120" s="156"/>
      <c r="DG120" s="156"/>
      <c r="DH120" s="156"/>
      <c r="DI120" s="156"/>
      <c r="DJ120" s="156"/>
      <c r="DK120" s="156"/>
      <c r="DL120" s="156"/>
      <c r="DM120" s="156"/>
      <c r="DN120" s="156"/>
      <c r="DO120" s="156"/>
      <c r="DP120" s="156"/>
      <c r="DQ120" s="156"/>
      <c r="DR120" s="156"/>
      <c r="DS120" s="156"/>
      <c r="DT120" s="156"/>
      <c r="DU120" s="156"/>
      <c r="DV120" s="156"/>
      <c r="DW120" s="156"/>
      <c r="DX120" s="156"/>
      <c r="DY120" s="156"/>
      <c r="DZ120" s="156"/>
      <c r="EA120" s="156"/>
      <c r="EB120" s="156"/>
      <c r="EC120" s="156"/>
      <c r="ED120" s="156"/>
      <c r="EE120" s="156"/>
      <c r="EF120" s="156"/>
      <c r="EG120" s="156"/>
      <c r="EH120" s="156"/>
      <c r="EI120" s="156"/>
      <c r="EJ120" s="156"/>
      <c r="EK120" s="156"/>
      <c r="EL120" s="156"/>
      <c r="EM120" s="156"/>
      <c r="EN120" s="156"/>
      <c r="EO120" s="156"/>
      <c r="EP120" s="156"/>
      <c r="EQ120" s="156"/>
      <c r="ER120" s="156"/>
      <c r="ES120" s="156"/>
      <c r="ET120" s="156"/>
      <c r="EU120" s="156"/>
      <c r="EV120" s="156"/>
      <c r="EW120" s="156"/>
      <c r="EX120" s="156"/>
      <c r="EY120" s="156"/>
      <c r="EZ120" s="156"/>
      <c r="FA120" s="156"/>
      <c r="FB120" s="156"/>
      <c r="FC120" s="156"/>
      <c r="FD120" s="156"/>
      <c r="FE120" s="156"/>
      <c r="FF120" s="156"/>
      <c r="FG120" s="156"/>
      <c r="FH120" s="156"/>
      <c r="FI120" s="156"/>
      <c r="FJ120" s="156"/>
      <c r="FK120" s="156"/>
      <c r="FL120" s="156"/>
      <c r="FM120" s="156"/>
      <c r="FN120" s="156"/>
      <c r="FO120" s="156"/>
      <c r="FP120" s="156"/>
      <c r="FQ120" s="156"/>
      <c r="FR120" s="156"/>
      <c r="FS120" s="156"/>
      <c r="FT120" s="156"/>
      <c r="FU120" s="156"/>
      <c r="FV120" s="156"/>
      <c r="FW120" s="156"/>
      <c r="FX120" s="156"/>
      <c r="FY120" s="156"/>
      <c r="FZ120" s="156"/>
      <c r="GA120" s="156"/>
      <c r="GB120" s="156"/>
      <c r="GC120" s="156"/>
      <c r="GD120" s="156"/>
      <c r="GE120" s="156"/>
      <c r="GF120" s="156"/>
      <c r="GG120" s="156"/>
      <c r="GH120" s="156"/>
      <c r="GI120" s="156"/>
      <c r="GJ120" s="156"/>
      <c r="GK120" s="156"/>
      <c r="GL120" s="156"/>
      <c r="GM120" s="156"/>
      <c r="GN120" s="156"/>
      <c r="GO120" s="156"/>
      <c r="GP120" s="156"/>
      <c r="GQ120" s="156"/>
      <c r="GR120" s="156"/>
      <c r="GS120" s="156"/>
      <c r="GT120" s="156"/>
      <c r="GU120" s="156"/>
      <c r="GV120" s="156"/>
      <c r="GW120" s="156"/>
      <c r="GX120" s="156"/>
      <c r="GY120" s="156"/>
      <c r="GZ120" s="156"/>
      <c r="HA120" s="156"/>
      <c r="HB120" s="156"/>
      <c r="HC120" s="156"/>
      <c r="HD120" s="156"/>
      <c r="HE120" s="156"/>
      <c r="HF120" s="156"/>
      <c r="HG120" s="156"/>
      <c r="HH120" s="156"/>
      <c r="HI120" s="156"/>
      <c r="HJ120" s="156"/>
      <c r="HK120" s="156"/>
      <c r="HL120" s="156"/>
      <c r="HP120" s="527">
        <v>0.35</v>
      </c>
      <c r="HQ120" s="527"/>
      <c r="HR120" s="428">
        <f>IF(HT98&gt;=0.35,1,0)</f>
        <v>0</v>
      </c>
      <c r="HS120" s="428">
        <f>IF(HT98&lt;0.375,1,0)</f>
        <v>1</v>
      </c>
      <c r="HT120" s="194">
        <f t="shared" si="6"/>
        <v>1</v>
      </c>
      <c r="HV120" s="527">
        <v>0.35</v>
      </c>
      <c r="HW120" s="527"/>
      <c r="HX120" s="428">
        <f>IF(HX98&gt;=0.35,1,0)</f>
        <v>0</v>
      </c>
      <c r="HY120" s="428">
        <f>IF(HX98&lt;0.375,1,0)</f>
        <v>1</v>
      </c>
      <c r="HZ120" s="194">
        <f t="shared" si="7"/>
        <v>1</v>
      </c>
      <c r="IB120" s="527">
        <v>0.35</v>
      </c>
      <c r="IC120" s="527"/>
      <c r="ID120" s="428">
        <f>IF(IB98&gt;=0.35,1,0)</f>
        <v>0</v>
      </c>
      <c r="IE120" s="428">
        <f>IF(IB98&lt;0.375,1,0)</f>
        <v>1</v>
      </c>
      <c r="IF120" s="194">
        <f t="shared" si="8"/>
        <v>1</v>
      </c>
      <c r="IG120" s="442"/>
      <c r="IH120" s="442"/>
      <c r="II120" s="442"/>
      <c r="IL120" s="442" t="s">
        <v>100</v>
      </c>
      <c r="IM120" s="442"/>
      <c r="IN120" s="442"/>
      <c r="IO120" s="442" t="s">
        <v>1</v>
      </c>
      <c r="IP120" s="531">
        <f>W20</f>
        <v>12</v>
      </c>
      <c r="IQ120" s="531"/>
      <c r="IR120" s="531"/>
      <c r="IS120" s="531">
        <f>W20</f>
        <v>12</v>
      </c>
      <c r="IT120" s="531"/>
      <c r="IU120" s="531"/>
      <c r="IV120" s="531">
        <f>W20</f>
        <v>12</v>
      </c>
      <c r="IW120" s="531"/>
      <c r="IX120" s="531"/>
      <c r="IY120" s="442" t="str">
        <f>IF(HT71&gt;2400,IN88,IL88)</f>
        <v>mm. (DB)</v>
      </c>
      <c r="IZ120" s="442"/>
      <c r="JA120" s="442"/>
      <c r="JB120" s="442"/>
      <c r="JC120" s="442"/>
      <c r="JD120" s="442"/>
      <c r="JE120" s="442"/>
      <c r="JF120" s="442"/>
      <c r="JG120" s="442"/>
      <c r="JH120" s="442"/>
      <c r="JI120" s="442"/>
      <c r="JJ120" s="442"/>
      <c r="JK120" s="442"/>
      <c r="JL120" s="442"/>
      <c r="JM120" s="442"/>
      <c r="JN120" s="442"/>
      <c r="JO120" s="442"/>
      <c r="JP120" s="442"/>
      <c r="JQ120" s="442"/>
      <c r="JR120" s="442"/>
      <c r="JS120" s="442"/>
      <c r="JT120" s="442"/>
      <c r="JU120" s="442"/>
      <c r="JV120" s="442"/>
      <c r="JW120" s="442"/>
      <c r="JX120" s="442"/>
      <c r="JY120" s="442"/>
      <c r="JZ120" s="442"/>
      <c r="KA120" s="442"/>
      <c r="KB120" s="442"/>
      <c r="KC120" s="442"/>
      <c r="KD120" s="442"/>
      <c r="KE120" s="442"/>
      <c r="KF120" s="442"/>
      <c r="KG120" s="442"/>
      <c r="KH120" s="442"/>
      <c r="KI120" s="442"/>
      <c r="KJ120" s="442"/>
      <c r="KK120" s="442"/>
      <c r="KL120" s="442"/>
      <c r="KM120" s="442"/>
      <c r="KN120" s="442"/>
      <c r="KO120" s="442"/>
      <c r="KP120" s="442"/>
      <c r="KQ120" s="442"/>
      <c r="KR120" s="442"/>
      <c r="KS120" s="442"/>
      <c r="KT120" s="442"/>
      <c r="KU120" s="442"/>
      <c r="KV120" s="442"/>
      <c r="KW120" s="442"/>
      <c r="KX120" s="442"/>
      <c r="KY120" s="442"/>
      <c r="KZ120" s="442"/>
      <c r="LA120" s="442"/>
      <c r="LB120" s="442"/>
      <c r="LC120" s="442"/>
      <c r="LD120" s="442"/>
      <c r="LE120" s="442"/>
      <c r="LF120" s="442"/>
      <c r="LG120" s="442"/>
      <c r="LH120" s="442"/>
      <c r="LI120" s="442"/>
      <c r="LJ120" s="442"/>
      <c r="LK120" s="442"/>
      <c r="LL120" s="442"/>
      <c r="LM120" s="442"/>
      <c r="LN120" s="442"/>
      <c r="LO120" s="442"/>
      <c r="LP120" s="442"/>
      <c r="LQ120" s="442"/>
      <c r="LR120" s="442"/>
      <c r="LS120" s="442"/>
      <c r="LT120" s="442"/>
      <c r="LU120" s="442"/>
      <c r="LV120" s="442"/>
      <c r="LW120" s="442"/>
      <c r="LX120" s="442"/>
      <c r="LY120" s="442"/>
      <c r="LZ120" s="442"/>
      <c r="MA120" s="442"/>
      <c r="MB120" s="442"/>
      <c r="MC120" s="442"/>
      <c r="MD120" s="442"/>
      <c r="ME120" s="442"/>
      <c r="MF120" s="442"/>
      <c r="MG120" s="442"/>
      <c r="MH120" s="442"/>
      <c r="MI120" s="442"/>
      <c r="MJ120" s="442"/>
      <c r="MK120" s="442"/>
      <c r="ML120" s="442"/>
      <c r="MM120" s="442"/>
      <c r="MN120" s="442"/>
      <c r="MO120" s="442"/>
      <c r="MP120" s="442"/>
      <c r="MQ120" s="442"/>
      <c r="MR120" s="442"/>
      <c r="MS120" s="442"/>
      <c r="MT120" s="442"/>
      <c r="MU120" s="442"/>
      <c r="NT120" s="149" t="s">
        <v>22</v>
      </c>
      <c r="NW120" s="149" t="s">
        <v>23</v>
      </c>
      <c r="NY120" s="103" t="s">
        <v>136</v>
      </c>
      <c r="NZ120" s="530">
        <f>W17/100</f>
        <v>0.1</v>
      </c>
      <c r="OA120" s="530"/>
      <c r="OB120" s="530"/>
      <c r="OC120" s="530"/>
    </row>
    <row r="121" spans="1:401" ht="14.1" customHeight="1" x14ac:dyDescent="0.2">
      <c r="A121" s="156"/>
      <c r="B121" s="236"/>
      <c r="C121" s="236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236"/>
      <c r="R121" s="236"/>
      <c r="S121" s="236"/>
      <c r="T121" s="236"/>
      <c r="U121" s="236"/>
      <c r="V121" s="236"/>
      <c r="W121" s="236"/>
      <c r="X121" s="236"/>
      <c r="Y121" s="236"/>
      <c r="Z121" s="236"/>
      <c r="AA121" s="236"/>
      <c r="AB121" s="236"/>
      <c r="AC121" s="236"/>
      <c r="AD121" s="236"/>
      <c r="AE121" s="236"/>
      <c r="AF121" s="236"/>
      <c r="AG121" s="236"/>
      <c r="AH121" s="236"/>
      <c r="AI121" s="236"/>
      <c r="AJ121" s="236"/>
      <c r="AK121" s="236"/>
      <c r="AL121" s="236"/>
      <c r="AM121" s="236"/>
      <c r="AN121" s="236"/>
      <c r="AO121" s="236"/>
      <c r="AP121" s="236"/>
      <c r="AQ121" s="236"/>
      <c r="AR121" s="236"/>
      <c r="AS121" s="236"/>
      <c r="AT121" s="236"/>
      <c r="AU121" s="236"/>
      <c r="AV121" s="236"/>
      <c r="AW121" s="236"/>
      <c r="AX121" s="236"/>
      <c r="AY121" s="236"/>
      <c r="AZ121" s="236"/>
      <c r="BA121" s="236"/>
      <c r="BB121" s="236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156"/>
      <c r="CP121" s="156"/>
      <c r="CQ121" s="156"/>
      <c r="CR121" s="156"/>
      <c r="CS121" s="156"/>
      <c r="CT121" s="156"/>
      <c r="CU121" s="156"/>
      <c r="CV121" s="156"/>
      <c r="CW121" s="156"/>
      <c r="CX121" s="156"/>
      <c r="CY121" s="156"/>
      <c r="CZ121" s="156"/>
      <c r="DA121" s="156"/>
      <c r="DB121" s="156"/>
      <c r="DC121" s="156"/>
      <c r="DD121" s="156"/>
      <c r="DE121" s="156"/>
      <c r="DF121" s="156"/>
      <c r="DG121" s="156"/>
      <c r="DH121" s="156"/>
      <c r="DI121" s="156"/>
      <c r="DJ121" s="156"/>
      <c r="DK121" s="156"/>
      <c r="DL121" s="156"/>
      <c r="DM121" s="156"/>
      <c r="DN121" s="156"/>
      <c r="DO121" s="156"/>
      <c r="DP121" s="156"/>
      <c r="DQ121" s="156"/>
      <c r="DR121" s="156"/>
      <c r="DS121" s="156"/>
      <c r="DT121" s="156"/>
      <c r="DU121" s="156"/>
      <c r="DV121" s="156"/>
      <c r="DW121" s="156"/>
      <c r="DX121" s="156"/>
      <c r="DY121" s="156"/>
      <c r="DZ121" s="156"/>
      <c r="EA121" s="156"/>
      <c r="EB121" s="156"/>
      <c r="EC121" s="156"/>
      <c r="ED121" s="156"/>
      <c r="EE121" s="156"/>
      <c r="EF121" s="156"/>
      <c r="EG121" s="156"/>
      <c r="EH121" s="156"/>
      <c r="EI121" s="156"/>
      <c r="EJ121" s="156"/>
      <c r="EK121" s="156"/>
      <c r="EL121" s="156"/>
      <c r="EM121" s="156"/>
      <c r="EN121" s="156"/>
      <c r="EO121" s="156"/>
      <c r="EP121" s="156"/>
      <c r="EQ121" s="156"/>
      <c r="ER121" s="156"/>
      <c r="ES121" s="156"/>
      <c r="ET121" s="156"/>
      <c r="EU121" s="156"/>
      <c r="EV121" s="156"/>
      <c r="EW121" s="156"/>
      <c r="EX121" s="156"/>
      <c r="EY121" s="156"/>
      <c r="EZ121" s="156"/>
      <c r="FA121" s="156"/>
      <c r="FB121" s="156"/>
      <c r="FC121" s="156"/>
      <c r="FD121" s="156"/>
      <c r="FE121" s="156"/>
      <c r="FF121" s="156"/>
      <c r="FG121" s="156"/>
      <c r="FH121" s="156"/>
      <c r="FI121" s="156"/>
      <c r="FJ121" s="156"/>
      <c r="FK121" s="156"/>
      <c r="FL121" s="156"/>
      <c r="FM121" s="156"/>
      <c r="FN121" s="156"/>
      <c r="FO121" s="156"/>
      <c r="FP121" s="156"/>
      <c r="FQ121" s="156"/>
      <c r="FR121" s="156"/>
      <c r="FS121" s="156"/>
      <c r="FT121" s="156"/>
      <c r="FU121" s="156"/>
      <c r="FV121" s="156"/>
      <c r="FW121" s="156"/>
      <c r="FX121" s="156"/>
      <c r="FY121" s="156"/>
      <c r="FZ121" s="156"/>
      <c r="GA121" s="156"/>
      <c r="GB121" s="156"/>
      <c r="GC121" s="156"/>
      <c r="GD121" s="156"/>
      <c r="GE121" s="156"/>
      <c r="GF121" s="156"/>
      <c r="GG121" s="156"/>
      <c r="GH121" s="156"/>
      <c r="GI121" s="156"/>
      <c r="GJ121" s="156"/>
      <c r="GK121" s="156"/>
      <c r="GL121" s="156"/>
      <c r="GM121" s="156"/>
      <c r="GN121" s="156"/>
      <c r="GO121" s="156"/>
      <c r="GP121" s="156"/>
      <c r="GQ121" s="156"/>
      <c r="GR121" s="156"/>
      <c r="GS121" s="156"/>
      <c r="GT121" s="156"/>
      <c r="GU121" s="156"/>
      <c r="GV121" s="156"/>
      <c r="GW121" s="156"/>
      <c r="GX121" s="156"/>
      <c r="GY121" s="156"/>
      <c r="GZ121" s="156"/>
      <c r="HA121" s="156"/>
      <c r="HB121" s="156"/>
      <c r="HC121" s="156"/>
      <c r="HD121" s="156"/>
      <c r="HE121" s="156"/>
      <c r="HF121" s="156"/>
      <c r="HG121" s="156"/>
      <c r="HH121" s="156"/>
      <c r="HI121" s="156"/>
      <c r="HJ121" s="156"/>
      <c r="HK121" s="156"/>
      <c r="HL121" s="156"/>
      <c r="HP121" s="527">
        <v>0.375</v>
      </c>
      <c r="HQ121" s="527"/>
      <c r="HR121" s="428">
        <f>IF(HT98&gt;=0.375,1,0)</f>
        <v>0</v>
      </c>
      <c r="HS121" s="428">
        <f>IF(HT98&lt;0.4,1,0)</f>
        <v>1</v>
      </c>
      <c r="HT121" s="194">
        <f t="shared" si="6"/>
        <v>1</v>
      </c>
      <c r="HV121" s="527">
        <v>0.375</v>
      </c>
      <c r="HW121" s="527"/>
      <c r="HX121" s="428">
        <f>IF(HX98&gt;=0.375,1,0)</f>
        <v>0</v>
      </c>
      <c r="HY121" s="428">
        <f>IF(HX98&lt;0.4,1,0)</f>
        <v>1</v>
      </c>
      <c r="HZ121" s="194">
        <f t="shared" si="7"/>
        <v>1</v>
      </c>
      <c r="IB121" s="527">
        <v>0.375</v>
      </c>
      <c r="IC121" s="527"/>
      <c r="ID121" s="428">
        <f>IF(IB98&gt;=0.375,1,0)</f>
        <v>0</v>
      </c>
      <c r="IE121" s="428">
        <f>IF(IB98&lt;0.4,1,0)</f>
        <v>1</v>
      </c>
      <c r="IF121" s="194">
        <f t="shared" si="8"/>
        <v>1</v>
      </c>
      <c r="IG121" s="442"/>
      <c r="IH121" s="442"/>
      <c r="II121" s="442"/>
      <c r="IL121" s="37" t="s">
        <v>101</v>
      </c>
      <c r="IM121" s="442"/>
      <c r="IN121" s="442"/>
      <c r="IO121" s="442" t="s">
        <v>1</v>
      </c>
      <c r="IP121" s="522">
        <f>ROUNDDOWN((ROUND(PI()*IP120^2/400,2))/MAX(IP118:IR119),2)</f>
        <v>0.37</v>
      </c>
      <c r="IQ121" s="522"/>
      <c r="IR121" s="522"/>
      <c r="IS121" s="522">
        <f>ROUNDDOWN((ROUND(PI()*IS120^2/400,2))/MAX(IS118:IU119),2)</f>
        <v>0.37</v>
      </c>
      <c r="IT121" s="522"/>
      <c r="IU121" s="522"/>
      <c r="IV121" s="522">
        <f>ROUNDDOWN((ROUND(PI()*IV120^2/400,2))/MAX(IV118:IX119),2)</f>
        <v>0.37</v>
      </c>
      <c r="IW121" s="522"/>
      <c r="IX121" s="522"/>
      <c r="IY121" s="460" t="s">
        <v>13</v>
      </c>
      <c r="IZ121" s="442"/>
      <c r="JA121" s="442"/>
      <c r="JB121" s="442"/>
      <c r="JC121" s="442"/>
      <c r="JD121" s="442"/>
      <c r="JE121" s="442"/>
      <c r="JF121" s="442"/>
      <c r="JG121" s="442"/>
      <c r="JH121" s="442"/>
      <c r="JI121" s="442"/>
      <c r="JJ121" s="442"/>
      <c r="JK121" s="442"/>
      <c r="JL121" s="442"/>
      <c r="JM121" s="442"/>
      <c r="JN121" s="442"/>
      <c r="JO121" s="442"/>
      <c r="JP121" s="442"/>
      <c r="JQ121" s="442"/>
      <c r="JR121" s="442"/>
      <c r="JS121" s="442"/>
      <c r="JT121" s="442"/>
      <c r="JU121" s="442"/>
      <c r="JV121" s="442"/>
      <c r="JW121" s="442"/>
      <c r="JX121" s="442"/>
      <c r="JY121" s="442"/>
      <c r="JZ121" s="442"/>
      <c r="KA121" s="442"/>
      <c r="KB121" s="442"/>
      <c r="KC121" s="442"/>
      <c r="KD121" s="442"/>
      <c r="KE121" s="442"/>
      <c r="KF121" s="442"/>
      <c r="KG121" s="442"/>
      <c r="KH121" s="442"/>
      <c r="KI121" s="442"/>
      <c r="KJ121" s="442"/>
      <c r="KK121" s="442"/>
      <c r="KL121" s="442"/>
      <c r="KM121" s="442"/>
      <c r="KN121" s="442"/>
      <c r="KO121" s="442"/>
      <c r="KP121" s="442"/>
      <c r="KQ121" s="442"/>
      <c r="KR121" s="442"/>
      <c r="KS121" s="442"/>
      <c r="KT121" s="442"/>
      <c r="KU121" s="442"/>
      <c r="KV121" s="442"/>
      <c r="KW121" s="442"/>
      <c r="KX121" s="442"/>
      <c r="KY121" s="442"/>
      <c r="KZ121" s="442"/>
      <c r="LA121" s="442"/>
      <c r="LB121" s="442"/>
      <c r="LC121" s="442"/>
      <c r="LD121" s="442"/>
      <c r="LE121" s="442"/>
      <c r="LF121" s="442"/>
      <c r="LG121" s="442"/>
      <c r="LH121" s="442"/>
      <c r="LI121" s="442"/>
      <c r="LJ121" s="442"/>
      <c r="LK121" s="442"/>
      <c r="LL121" s="442"/>
      <c r="LM121" s="442"/>
      <c r="LN121" s="442"/>
      <c r="LO121" s="442"/>
      <c r="LP121" s="442"/>
      <c r="LQ121" s="442"/>
      <c r="LR121" s="442"/>
      <c r="LS121" s="442"/>
      <c r="LT121" s="442"/>
      <c r="LU121" s="442"/>
      <c r="LV121" s="442"/>
      <c r="LW121" s="442"/>
      <c r="LX121" s="442"/>
      <c r="LY121" s="442"/>
      <c r="LZ121" s="442"/>
      <c r="MA121" s="442"/>
      <c r="MB121" s="442"/>
      <c r="MC121" s="442"/>
      <c r="MD121" s="442"/>
      <c r="ME121" s="442"/>
      <c r="MF121" s="442"/>
      <c r="MG121" s="442"/>
      <c r="MH121" s="442"/>
      <c r="MI121" s="442"/>
      <c r="MJ121" s="442"/>
      <c r="MK121" s="442"/>
      <c r="ML121" s="442"/>
      <c r="MM121" s="442"/>
      <c r="MN121" s="442"/>
      <c r="MO121" s="442"/>
      <c r="MP121" s="442"/>
      <c r="MQ121" s="442"/>
      <c r="MR121" s="442"/>
      <c r="MS121" s="442"/>
      <c r="MT121" s="442"/>
      <c r="MU121" s="442"/>
      <c r="NT121" s="199" t="s">
        <v>22</v>
      </c>
      <c r="NU121" s="208">
        <v>0</v>
      </c>
      <c r="NV121" s="209">
        <v>1</v>
      </c>
      <c r="NW121" s="199" t="s">
        <v>22</v>
      </c>
      <c r="NX121" s="208">
        <v>0</v>
      </c>
      <c r="NY121" s="209">
        <v>0</v>
      </c>
    </row>
    <row r="122" spans="1:401" ht="14.1" customHeight="1" x14ac:dyDescent="0.2">
      <c r="A122" s="156"/>
      <c r="B122" s="236"/>
      <c r="C122" s="236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236"/>
      <c r="R122" s="236"/>
      <c r="S122" s="236"/>
      <c r="T122" s="236"/>
      <c r="U122" s="236"/>
      <c r="V122" s="236"/>
      <c r="W122" s="236"/>
      <c r="X122" s="236"/>
      <c r="Y122" s="236"/>
      <c r="Z122" s="236"/>
      <c r="AA122" s="236"/>
      <c r="AB122" s="236"/>
      <c r="AC122" s="236"/>
      <c r="AD122" s="236"/>
      <c r="AE122" s="236"/>
      <c r="AF122" s="236"/>
      <c r="AG122" s="236"/>
      <c r="AH122" s="236"/>
      <c r="AI122" s="236"/>
      <c r="AJ122" s="236"/>
      <c r="AK122" s="236"/>
      <c r="AL122" s="236"/>
      <c r="AM122" s="236"/>
      <c r="AN122" s="236"/>
      <c r="AO122" s="236"/>
      <c r="AP122" s="236"/>
      <c r="AQ122" s="236"/>
      <c r="AR122" s="236"/>
      <c r="AS122" s="236"/>
      <c r="AT122" s="236"/>
      <c r="AU122" s="118"/>
      <c r="AV122" s="118"/>
      <c r="AW122" s="118"/>
      <c r="AX122" s="118"/>
      <c r="AY122" s="240"/>
      <c r="AZ122" s="240"/>
      <c r="BA122" s="240"/>
      <c r="BB122" s="24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156"/>
      <c r="CP122" s="156"/>
      <c r="CQ122" s="156"/>
      <c r="CR122" s="156"/>
      <c r="CS122" s="156"/>
      <c r="CT122" s="156"/>
      <c r="CU122" s="156"/>
      <c r="CV122" s="156"/>
      <c r="CW122" s="156"/>
      <c r="CX122" s="156"/>
      <c r="CY122" s="156"/>
      <c r="CZ122" s="156"/>
      <c r="DA122" s="156"/>
      <c r="DB122" s="156"/>
      <c r="DC122" s="156"/>
      <c r="DD122" s="156"/>
      <c r="DE122" s="156"/>
      <c r="DF122" s="156"/>
      <c r="DG122" s="156"/>
      <c r="DH122" s="156"/>
      <c r="DI122" s="156"/>
      <c r="DJ122" s="156"/>
      <c r="DK122" s="156"/>
      <c r="DL122" s="156"/>
      <c r="DM122" s="156"/>
      <c r="DN122" s="156"/>
      <c r="DO122" s="156"/>
      <c r="DP122" s="156"/>
      <c r="DQ122" s="156"/>
      <c r="DR122" s="156"/>
      <c r="DS122" s="156"/>
      <c r="DT122" s="156"/>
      <c r="DU122" s="156"/>
      <c r="DV122" s="156"/>
      <c r="DW122" s="156"/>
      <c r="DX122" s="156"/>
      <c r="DY122" s="156"/>
      <c r="DZ122" s="156"/>
      <c r="EA122" s="156"/>
      <c r="EB122" s="156"/>
      <c r="EC122" s="156"/>
      <c r="ED122" s="156"/>
      <c r="EE122" s="156"/>
      <c r="EF122" s="156"/>
      <c r="EG122" s="156"/>
      <c r="EH122" s="156"/>
      <c r="EI122" s="156"/>
      <c r="EJ122" s="156"/>
      <c r="EK122" s="156"/>
      <c r="EL122" s="156"/>
      <c r="EM122" s="156"/>
      <c r="EN122" s="156"/>
      <c r="EO122" s="156"/>
      <c r="EP122" s="156"/>
      <c r="EQ122" s="156"/>
      <c r="ER122" s="156"/>
      <c r="ES122" s="156"/>
      <c r="ET122" s="156"/>
      <c r="EU122" s="156"/>
      <c r="EV122" s="156"/>
      <c r="EW122" s="156"/>
      <c r="EX122" s="156"/>
      <c r="EY122" s="156"/>
      <c r="EZ122" s="156"/>
      <c r="FA122" s="156"/>
      <c r="FB122" s="156"/>
      <c r="FC122" s="156"/>
      <c r="FD122" s="156"/>
      <c r="FE122" s="156"/>
      <c r="FF122" s="156"/>
      <c r="FG122" s="156"/>
      <c r="FH122" s="156"/>
      <c r="FI122" s="156"/>
      <c r="FJ122" s="156"/>
      <c r="FK122" s="156"/>
      <c r="FL122" s="156"/>
      <c r="FM122" s="156"/>
      <c r="FN122" s="156"/>
      <c r="FO122" s="156"/>
      <c r="FP122" s="156"/>
      <c r="FQ122" s="156"/>
      <c r="FR122" s="156"/>
      <c r="FS122" s="156"/>
      <c r="FT122" s="156"/>
      <c r="FU122" s="156"/>
      <c r="FV122" s="156"/>
      <c r="FW122" s="156"/>
      <c r="FX122" s="156"/>
      <c r="FY122" s="156"/>
      <c r="FZ122" s="156"/>
      <c r="GA122" s="156"/>
      <c r="GB122" s="156"/>
      <c r="GC122" s="156"/>
      <c r="GD122" s="156"/>
      <c r="GE122" s="156"/>
      <c r="GF122" s="156"/>
      <c r="GG122" s="156"/>
      <c r="GH122" s="156"/>
      <c r="GI122" s="156"/>
      <c r="GJ122" s="156"/>
      <c r="GK122" s="156"/>
      <c r="GL122" s="156"/>
      <c r="GM122" s="156"/>
      <c r="GN122" s="156"/>
      <c r="GO122" s="156"/>
      <c r="GP122" s="156"/>
      <c r="GQ122" s="156"/>
      <c r="GR122" s="156"/>
      <c r="GS122" s="156"/>
      <c r="GT122" s="156"/>
      <c r="GU122" s="156"/>
      <c r="GV122" s="156"/>
      <c r="GW122" s="156"/>
      <c r="GX122" s="156"/>
      <c r="GY122" s="156"/>
      <c r="GZ122" s="156"/>
      <c r="HA122" s="156"/>
      <c r="HB122" s="156"/>
      <c r="HC122" s="156"/>
      <c r="HD122" s="156"/>
      <c r="HE122" s="156"/>
      <c r="HF122" s="156"/>
      <c r="HG122" s="156"/>
      <c r="HH122" s="156"/>
      <c r="HI122" s="156"/>
      <c r="HJ122" s="156"/>
      <c r="HK122" s="156"/>
      <c r="HL122" s="156"/>
      <c r="HP122" s="527">
        <v>0.4</v>
      </c>
      <c r="HQ122" s="527"/>
      <c r="HR122" s="428">
        <f>IF(HT98&gt;=0.4,1,0)</f>
        <v>0</v>
      </c>
      <c r="HS122" s="428">
        <f>IF(HT98&lt;0.425,1,0)</f>
        <v>1</v>
      </c>
      <c r="HT122" s="194">
        <f t="shared" si="6"/>
        <v>1</v>
      </c>
      <c r="HV122" s="527">
        <v>0.4</v>
      </c>
      <c r="HW122" s="527"/>
      <c r="HX122" s="428">
        <f>IF(HX98&gt;=0.4,1,0)</f>
        <v>0</v>
      </c>
      <c r="HY122" s="428">
        <f>IF(HX98&lt;0.425,1,0)</f>
        <v>1</v>
      </c>
      <c r="HZ122" s="194">
        <f t="shared" si="7"/>
        <v>1</v>
      </c>
      <c r="IB122" s="527">
        <v>0.4</v>
      </c>
      <c r="IC122" s="527"/>
      <c r="ID122" s="428">
        <f>IF(IB98&gt;=0.4,1,0)</f>
        <v>0</v>
      </c>
      <c r="IE122" s="428">
        <f>IF(IB98&lt;0.425,1,0)</f>
        <v>1</v>
      </c>
      <c r="IF122" s="194">
        <f t="shared" si="8"/>
        <v>1</v>
      </c>
      <c r="IG122" s="442"/>
      <c r="IH122" s="442"/>
      <c r="II122" s="442"/>
      <c r="IL122" s="442" t="s">
        <v>102</v>
      </c>
      <c r="IM122" s="442"/>
      <c r="IN122" s="442"/>
      <c r="IO122" s="442" t="s">
        <v>1</v>
      </c>
      <c r="IP122" s="529">
        <f>3*HT78/100</f>
        <v>0.3</v>
      </c>
      <c r="IQ122" s="529"/>
      <c r="IR122" s="529"/>
      <c r="IS122" s="529">
        <f>3*HT78/100</f>
        <v>0.3</v>
      </c>
      <c r="IT122" s="529"/>
      <c r="IU122" s="529"/>
      <c r="IV122" s="529">
        <f>3*HT78/100</f>
        <v>0.3</v>
      </c>
      <c r="IW122" s="529"/>
      <c r="IX122" s="529"/>
      <c r="IY122" s="460" t="s">
        <v>13</v>
      </c>
      <c r="IZ122" s="442"/>
      <c r="JA122" s="442"/>
      <c r="JB122" s="442"/>
      <c r="JC122" s="442"/>
      <c r="JD122" s="442"/>
      <c r="JE122" s="442"/>
      <c r="JF122" s="442"/>
      <c r="JG122" s="442"/>
      <c r="JH122" s="442"/>
      <c r="JI122" s="442"/>
      <c r="JJ122" s="442"/>
      <c r="JK122" s="442"/>
      <c r="JL122" s="442"/>
      <c r="JM122" s="442"/>
      <c r="JN122" s="442"/>
      <c r="JO122" s="442"/>
      <c r="JP122" s="442"/>
      <c r="JQ122" s="442"/>
      <c r="JR122" s="442"/>
      <c r="JS122" s="442"/>
      <c r="JT122" s="442"/>
      <c r="JU122" s="442"/>
      <c r="JV122" s="442"/>
      <c r="JW122" s="442"/>
      <c r="JX122" s="442"/>
      <c r="JY122" s="442"/>
      <c r="JZ122" s="442"/>
      <c r="KA122" s="442"/>
      <c r="KB122" s="442"/>
      <c r="KC122" s="442"/>
      <c r="KD122" s="442"/>
      <c r="KE122" s="442"/>
      <c r="KF122" s="442"/>
      <c r="KG122" s="442"/>
      <c r="KH122" s="442"/>
      <c r="KI122" s="442"/>
      <c r="KJ122" s="442"/>
      <c r="KK122" s="442"/>
      <c r="KL122" s="442"/>
      <c r="KM122" s="442"/>
      <c r="KN122" s="442"/>
      <c r="KO122" s="442"/>
      <c r="KP122" s="442"/>
      <c r="KQ122" s="442"/>
      <c r="KR122" s="442"/>
      <c r="KS122" s="442"/>
      <c r="KT122" s="442"/>
      <c r="KU122" s="442"/>
      <c r="KV122" s="442"/>
      <c r="KW122" s="442"/>
      <c r="KX122" s="442"/>
      <c r="KY122" s="442"/>
      <c r="KZ122" s="442"/>
      <c r="LA122" s="442"/>
      <c r="LB122" s="442"/>
      <c r="LC122" s="442"/>
      <c r="LD122" s="442"/>
      <c r="LE122" s="442"/>
      <c r="LF122" s="442"/>
      <c r="LG122" s="442"/>
      <c r="LH122" s="442"/>
      <c r="LI122" s="442"/>
      <c r="LJ122" s="442"/>
      <c r="LK122" s="442"/>
      <c r="LL122" s="442"/>
      <c r="LM122" s="442"/>
      <c r="LN122" s="442"/>
      <c r="LO122" s="442"/>
      <c r="LP122" s="442"/>
      <c r="LQ122" s="442"/>
      <c r="LR122" s="442"/>
      <c r="LS122" s="442"/>
      <c r="LT122" s="442"/>
      <c r="LU122" s="442"/>
      <c r="LV122" s="442"/>
      <c r="LW122" s="442"/>
      <c r="LX122" s="442"/>
      <c r="LY122" s="442"/>
      <c r="LZ122" s="442"/>
      <c r="MA122" s="442"/>
      <c r="MB122" s="442"/>
      <c r="MC122" s="442"/>
      <c r="MD122" s="442"/>
      <c r="ME122" s="442"/>
      <c r="MF122" s="442"/>
      <c r="MG122" s="442"/>
      <c r="MH122" s="442"/>
      <c r="MI122" s="442"/>
      <c r="MJ122" s="442"/>
      <c r="MK122" s="442"/>
      <c r="ML122" s="442"/>
      <c r="MM122" s="442"/>
      <c r="MN122" s="442"/>
      <c r="MO122" s="442"/>
      <c r="MP122" s="442"/>
      <c r="MQ122" s="442"/>
      <c r="MR122" s="442"/>
      <c r="MS122" s="442"/>
      <c r="MT122" s="442"/>
      <c r="MU122" s="442"/>
      <c r="NT122" s="202" t="s">
        <v>23</v>
      </c>
      <c r="NU122" s="207">
        <v>0</v>
      </c>
      <c r="NV122" s="204">
        <v>0</v>
      </c>
      <c r="NW122" s="202" t="s">
        <v>23</v>
      </c>
      <c r="NX122" s="207">
        <v>0</v>
      </c>
      <c r="NY122" s="204">
        <v>1</v>
      </c>
    </row>
    <row r="123" spans="1:401" ht="14.1" customHeight="1" x14ac:dyDescent="0.2">
      <c r="A123" s="156"/>
      <c r="B123" s="236"/>
      <c r="C123" s="236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236"/>
      <c r="R123" s="236"/>
      <c r="S123" s="236"/>
      <c r="T123" s="236"/>
      <c r="U123" s="236"/>
      <c r="V123" s="236"/>
      <c r="W123" s="236"/>
      <c r="X123" s="236"/>
      <c r="Y123" s="236"/>
      <c r="Z123" s="236"/>
      <c r="AA123" s="236"/>
      <c r="AB123" s="236"/>
      <c r="AC123" s="236"/>
      <c r="AD123" s="236"/>
      <c r="AE123" s="236"/>
      <c r="AF123" s="236"/>
      <c r="AG123" s="236"/>
      <c r="AH123" s="236"/>
      <c r="AI123" s="236"/>
      <c r="AJ123" s="236"/>
      <c r="AK123" s="236"/>
      <c r="AL123" s="236"/>
      <c r="AM123" s="236"/>
      <c r="AN123" s="236"/>
      <c r="AO123" s="236"/>
      <c r="AP123" s="236"/>
      <c r="AQ123" s="236"/>
      <c r="AR123" s="236"/>
      <c r="AS123" s="236"/>
      <c r="AT123" s="236"/>
      <c r="AU123" s="118"/>
      <c r="AV123" s="118"/>
      <c r="AW123" s="118"/>
      <c r="AX123" s="118"/>
      <c r="AY123" s="240"/>
      <c r="AZ123" s="240"/>
      <c r="BA123" s="240"/>
      <c r="BB123" s="24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156"/>
      <c r="CP123" s="156"/>
      <c r="CQ123" s="156"/>
      <c r="CR123" s="156"/>
      <c r="CS123" s="156"/>
      <c r="CT123" s="156"/>
      <c r="CU123" s="156"/>
      <c r="CV123" s="156"/>
      <c r="CW123" s="156"/>
      <c r="CX123" s="156"/>
      <c r="CY123" s="156"/>
      <c r="CZ123" s="156"/>
      <c r="DA123" s="156"/>
      <c r="DB123" s="156"/>
      <c r="DC123" s="156"/>
      <c r="DD123" s="156"/>
      <c r="DE123" s="156"/>
      <c r="DF123" s="156"/>
      <c r="DG123" s="156"/>
      <c r="DH123" s="156"/>
      <c r="DI123" s="156"/>
      <c r="DJ123" s="156"/>
      <c r="DK123" s="156"/>
      <c r="DL123" s="156"/>
      <c r="DM123" s="156"/>
      <c r="DN123" s="156"/>
      <c r="DO123" s="156"/>
      <c r="DP123" s="156"/>
      <c r="DQ123" s="156"/>
      <c r="DR123" s="156"/>
      <c r="DS123" s="156"/>
      <c r="DT123" s="156"/>
      <c r="DU123" s="156"/>
      <c r="DV123" s="156"/>
      <c r="DW123" s="156"/>
      <c r="DX123" s="156"/>
      <c r="DY123" s="156"/>
      <c r="DZ123" s="156"/>
      <c r="EA123" s="156"/>
      <c r="EB123" s="156"/>
      <c r="EC123" s="156"/>
      <c r="ED123" s="156"/>
      <c r="EE123" s="156"/>
      <c r="EF123" s="156"/>
      <c r="EG123" s="156"/>
      <c r="EH123" s="156"/>
      <c r="EI123" s="156"/>
      <c r="EJ123" s="156"/>
      <c r="EK123" s="156"/>
      <c r="EL123" s="156"/>
      <c r="EM123" s="156"/>
      <c r="EN123" s="156"/>
      <c r="EO123" s="156"/>
      <c r="EP123" s="156"/>
      <c r="EQ123" s="156"/>
      <c r="ER123" s="156"/>
      <c r="ES123" s="156"/>
      <c r="ET123" s="156"/>
      <c r="EU123" s="156"/>
      <c r="EV123" s="156"/>
      <c r="EW123" s="156"/>
      <c r="EX123" s="156"/>
      <c r="EY123" s="156"/>
      <c r="EZ123" s="156"/>
      <c r="FA123" s="156"/>
      <c r="FB123" s="156"/>
      <c r="FC123" s="156"/>
      <c r="FD123" s="156"/>
      <c r="FE123" s="156"/>
      <c r="FF123" s="156"/>
      <c r="FG123" s="156"/>
      <c r="FH123" s="156"/>
      <c r="FI123" s="156"/>
      <c r="FJ123" s="156"/>
      <c r="FK123" s="156"/>
      <c r="FL123" s="156"/>
      <c r="FM123" s="156"/>
      <c r="FN123" s="156"/>
      <c r="FO123" s="156"/>
      <c r="FP123" s="156"/>
      <c r="FQ123" s="156"/>
      <c r="FR123" s="156"/>
      <c r="FS123" s="156"/>
      <c r="FT123" s="156"/>
      <c r="FU123" s="156"/>
      <c r="FV123" s="156"/>
      <c r="FW123" s="156"/>
      <c r="FX123" s="156"/>
      <c r="FY123" s="156"/>
      <c r="FZ123" s="156"/>
      <c r="GA123" s="156"/>
      <c r="GB123" s="156"/>
      <c r="GC123" s="156"/>
      <c r="GD123" s="156"/>
      <c r="GE123" s="156"/>
      <c r="GF123" s="156"/>
      <c r="GG123" s="156"/>
      <c r="GH123" s="156"/>
      <c r="GI123" s="156"/>
      <c r="GJ123" s="156"/>
      <c r="GK123" s="156"/>
      <c r="GL123" s="156"/>
      <c r="GM123" s="156"/>
      <c r="GN123" s="156"/>
      <c r="GO123" s="156"/>
      <c r="GP123" s="156"/>
      <c r="GQ123" s="156"/>
      <c r="GR123" s="156"/>
      <c r="GS123" s="156"/>
      <c r="GT123" s="156"/>
      <c r="GU123" s="156"/>
      <c r="GV123" s="156"/>
      <c r="GW123" s="156"/>
      <c r="GX123" s="156"/>
      <c r="GY123" s="156"/>
      <c r="GZ123" s="156"/>
      <c r="HA123" s="156"/>
      <c r="HB123" s="156"/>
      <c r="HC123" s="156"/>
      <c r="HD123" s="156"/>
      <c r="HE123" s="156"/>
      <c r="HF123" s="156"/>
      <c r="HG123" s="156"/>
      <c r="HH123" s="156"/>
      <c r="HI123" s="156"/>
      <c r="HJ123" s="156"/>
      <c r="HK123" s="156"/>
      <c r="HL123" s="156"/>
      <c r="HP123" s="527">
        <v>0.42499999999999999</v>
      </c>
      <c r="HQ123" s="527"/>
      <c r="HR123" s="428">
        <f>IF(HT98&gt;=0.425,1,0)</f>
        <v>0</v>
      </c>
      <c r="HS123" s="428">
        <f>IF(HT98&lt;0.45,1,0)</f>
        <v>1</v>
      </c>
      <c r="HT123" s="194">
        <f t="shared" si="6"/>
        <v>1</v>
      </c>
      <c r="HV123" s="527">
        <v>0.42499999999999999</v>
      </c>
      <c r="HW123" s="527"/>
      <c r="HX123" s="428">
        <f>IF(HX98&gt;=0.425,1,0)</f>
        <v>0</v>
      </c>
      <c r="HY123" s="428">
        <f>IF(HX98&lt;0.45,1,0)</f>
        <v>1</v>
      </c>
      <c r="HZ123" s="194">
        <f t="shared" si="7"/>
        <v>1</v>
      </c>
      <c r="IB123" s="527">
        <v>0.42499999999999999</v>
      </c>
      <c r="IC123" s="527"/>
      <c r="ID123" s="428">
        <f>IF(IB98&gt;=0.425,1,0)</f>
        <v>0</v>
      </c>
      <c r="IE123" s="428">
        <f>IF(IB98&lt;0.45,1,0)</f>
        <v>1</v>
      </c>
      <c r="IF123" s="194">
        <f t="shared" si="8"/>
        <v>1</v>
      </c>
      <c r="IG123" s="442"/>
      <c r="IH123" s="442"/>
      <c r="II123" s="442"/>
      <c r="IL123" s="522" t="s">
        <v>103</v>
      </c>
      <c r="IM123" s="522"/>
      <c r="IN123" s="442"/>
      <c r="IO123" s="442" t="s">
        <v>1</v>
      </c>
      <c r="IP123" s="522">
        <v>0.45</v>
      </c>
      <c r="IQ123" s="522"/>
      <c r="IR123" s="522"/>
      <c r="IS123" s="522">
        <v>0.45</v>
      </c>
      <c r="IT123" s="522"/>
      <c r="IU123" s="522"/>
      <c r="IV123" s="522">
        <v>0.45</v>
      </c>
      <c r="IW123" s="522"/>
      <c r="IX123" s="522"/>
      <c r="IY123" s="460" t="s">
        <v>13</v>
      </c>
      <c r="IZ123" s="442"/>
      <c r="JA123" s="442"/>
      <c r="JB123" s="442"/>
      <c r="JC123" s="442"/>
      <c r="JD123" s="442"/>
      <c r="JE123" s="442"/>
      <c r="JF123" s="442"/>
      <c r="JG123" s="442"/>
      <c r="JH123" s="442"/>
      <c r="JI123" s="442"/>
      <c r="JJ123" s="442"/>
      <c r="JK123" s="442"/>
      <c r="JL123" s="442"/>
      <c r="JM123" s="442"/>
      <c r="JN123" s="442"/>
      <c r="JO123" s="442"/>
      <c r="JP123" s="442"/>
      <c r="JQ123" s="442"/>
      <c r="JR123" s="442"/>
      <c r="JS123" s="442"/>
      <c r="JT123" s="442"/>
      <c r="JU123" s="442"/>
      <c r="JV123" s="442"/>
      <c r="JW123" s="442"/>
      <c r="JX123" s="442"/>
      <c r="JY123" s="442"/>
      <c r="JZ123" s="442"/>
      <c r="KA123" s="442"/>
      <c r="KB123" s="442"/>
      <c r="KC123" s="442"/>
      <c r="KD123" s="442"/>
      <c r="KE123" s="442"/>
      <c r="KF123" s="442"/>
      <c r="KG123" s="442"/>
      <c r="KH123" s="442"/>
      <c r="KI123" s="442"/>
      <c r="KJ123" s="442"/>
      <c r="KK123" s="442"/>
      <c r="KL123" s="442"/>
      <c r="KM123" s="442"/>
      <c r="KN123" s="442"/>
      <c r="KO123" s="442"/>
      <c r="KP123" s="442"/>
      <c r="KQ123" s="442"/>
      <c r="KR123" s="442"/>
      <c r="KS123" s="442"/>
      <c r="KT123" s="442"/>
      <c r="KU123" s="442"/>
      <c r="KV123" s="442"/>
      <c r="KW123" s="442"/>
      <c r="KX123" s="442"/>
      <c r="KY123" s="442"/>
      <c r="KZ123" s="442"/>
      <c r="LA123" s="442"/>
      <c r="LB123" s="442"/>
      <c r="LC123" s="442"/>
      <c r="LD123" s="442"/>
      <c r="LE123" s="442"/>
      <c r="LF123" s="442"/>
      <c r="LG123" s="442"/>
      <c r="LH123" s="442"/>
      <c r="LI123" s="442"/>
      <c r="LJ123" s="442"/>
      <c r="LK123" s="442"/>
      <c r="LL123" s="442"/>
      <c r="LM123" s="442"/>
      <c r="LN123" s="442"/>
      <c r="LO123" s="442"/>
      <c r="LP123" s="442"/>
      <c r="LQ123" s="442"/>
      <c r="LR123" s="442"/>
      <c r="LS123" s="442"/>
      <c r="LT123" s="442"/>
      <c r="LU123" s="442"/>
      <c r="LV123" s="442"/>
      <c r="LW123" s="442"/>
      <c r="LX123" s="442"/>
      <c r="LY123" s="442"/>
      <c r="LZ123" s="442"/>
      <c r="MA123" s="442"/>
      <c r="MB123" s="442"/>
      <c r="MC123" s="442"/>
      <c r="MD123" s="442"/>
      <c r="ME123" s="442"/>
      <c r="MF123" s="442"/>
      <c r="MG123" s="442"/>
      <c r="MH123" s="442"/>
      <c r="MI123" s="442"/>
      <c r="MJ123" s="442"/>
      <c r="MK123" s="442"/>
      <c r="ML123" s="442"/>
      <c r="MM123" s="442"/>
      <c r="MN123" s="442"/>
      <c r="MO123" s="442"/>
      <c r="MP123" s="442"/>
      <c r="MQ123" s="442"/>
      <c r="MR123" s="442"/>
      <c r="MS123" s="442"/>
      <c r="MT123" s="442"/>
      <c r="MU123" s="442"/>
    </row>
    <row r="124" spans="1:401" ht="14.1" customHeight="1" x14ac:dyDescent="0.2">
      <c r="A124" s="156"/>
      <c r="B124" s="236"/>
      <c r="C124" s="236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236"/>
      <c r="R124" s="236"/>
      <c r="S124" s="236"/>
      <c r="T124" s="236"/>
      <c r="U124" s="236"/>
      <c r="V124" s="236"/>
      <c r="W124" s="236"/>
      <c r="X124" s="236"/>
      <c r="Y124" s="236"/>
      <c r="Z124" s="236"/>
      <c r="AA124" s="236"/>
      <c r="AB124" s="236"/>
      <c r="AC124" s="236"/>
      <c r="AD124" s="236"/>
      <c r="AE124" s="236"/>
      <c r="AF124" s="236"/>
      <c r="AG124" s="236"/>
      <c r="AH124" s="236"/>
      <c r="AI124" s="236"/>
      <c r="AJ124" s="236"/>
      <c r="AK124" s="236"/>
      <c r="AL124" s="236"/>
      <c r="AM124" s="236"/>
      <c r="AN124" s="236"/>
      <c r="AO124" s="236"/>
      <c r="AP124" s="236"/>
      <c r="AQ124" s="236"/>
      <c r="AR124" s="236"/>
      <c r="AS124" s="236"/>
      <c r="AT124" s="236"/>
      <c r="AU124" s="236"/>
      <c r="AV124" s="236"/>
      <c r="AW124" s="236"/>
      <c r="AX124" s="236"/>
      <c r="AY124" s="236"/>
      <c r="AZ124" s="236"/>
      <c r="BA124" s="236"/>
      <c r="BB124" s="236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156"/>
      <c r="CP124" s="156"/>
      <c r="CQ124" s="156"/>
      <c r="CR124" s="156"/>
      <c r="CS124" s="156"/>
      <c r="CT124" s="156"/>
      <c r="CU124" s="156"/>
      <c r="CV124" s="156"/>
      <c r="CW124" s="156"/>
      <c r="CX124" s="156"/>
      <c r="CY124" s="156"/>
      <c r="CZ124" s="156"/>
      <c r="DA124" s="156"/>
      <c r="DB124" s="156"/>
      <c r="DC124" s="156"/>
      <c r="DD124" s="156"/>
      <c r="DE124" s="156"/>
      <c r="DF124" s="156"/>
      <c r="DG124" s="156"/>
      <c r="DH124" s="156"/>
      <c r="DI124" s="156"/>
      <c r="DJ124" s="156"/>
      <c r="DK124" s="156"/>
      <c r="DL124" s="156"/>
      <c r="DM124" s="156"/>
      <c r="DN124" s="156"/>
      <c r="DO124" s="156"/>
      <c r="DP124" s="156"/>
      <c r="DQ124" s="156"/>
      <c r="DR124" s="156"/>
      <c r="DS124" s="156"/>
      <c r="DT124" s="156"/>
      <c r="DU124" s="156"/>
      <c r="DV124" s="156"/>
      <c r="DW124" s="156"/>
      <c r="DX124" s="156"/>
      <c r="DY124" s="156"/>
      <c r="DZ124" s="156"/>
      <c r="EA124" s="156"/>
      <c r="EB124" s="156"/>
      <c r="EC124" s="156"/>
      <c r="ED124" s="156"/>
      <c r="EE124" s="156"/>
      <c r="EF124" s="156"/>
      <c r="EG124" s="156"/>
      <c r="EH124" s="156"/>
      <c r="EI124" s="156"/>
      <c r="EJ124" s="156"/>
      <c r="EK124" s="156"/>
      <c r="EL124" s="156"/>
      <c r="EM124" s="156"/>
      <c r="EN124" s="156"/>
      <c r="EO124" s="156"/>
      <c r="EP124" s="156"/>
      <c r="EQ124" s="156"/>
      <c r="ER124" s="156"/>
      <c r="ES124" s="156"/>
      <c r="ET124" s="156"/>
      <c r="EU124" s="156"/>
      <c r="EV124" s="156"/>
      <c r="EW124" s="156"/>
      <c r="EX124" s="156"/>
      <c r="EY124" s="156"/>
      <c r="EZ124" s="156"/>
      <c r="FA124" s="156"/>
      <c r="FB124" s="156"/>
      <c r="FC124" s="156"/>
      <c r="FD124" s="156"/>
      <c r="FE124" s="156"/>
      <c r="FF124" s="156"/>
      <c r="FG124" s="156"/>
      <c r="FH124" s="156"/>
      <c r="FI124" s="156"/>
      <c r="FJ124" s="156"/>
      <c r="FK124" s="156"/>
      <c r="FL124" s="156"/>
      <c r="FM124" s="156"/>
      <c r="FN124" s="156"/>
      <c r="FO124" s="156"/>
      <c r="FP124" s="156"/>
      <c r="FQ124" s="156"/>
      <c r="FR124" s="156"/>
      <c r="FS124" s="156"/>
      <c r="FT124" s="156"/>
      <c r="FU124" s="156"/>
      <c r="FV124" s="156"/>
      <c r="FW124" s="156"/>
      <c r="FX124" s="156"/>
      <c r="FY124" s="156"/>
      <c r="FZ124" s="156"/>
      <c r="GA124" s="156"/>
      <c r="GB124" s="156"/>
      <c r="GC124" s="156"/>
      <c r="GD124" s="156"/>
      <c r="GE124" s="156"/>
      <c r="GF124" s="156"/>
      <c r="GG124" s="156"/>
      <c r="GH124" s="156"/>
      <c r="GI124" s="156"/>
      <c r="GJ124" s="156"/>
      <c r="GK124" s="156"/>
      <c r="GL124" s="156"/>
      <c r="GM124" s="156"/>
      <c r="GN124" s="156"/>
      <c r="GO124" s="156"/>
      <c r="GP124" s="156"/>
      <c r="GQ124" s="156"/>
      <c r="GR124" s="156"/>
      <c r="GS124" s="156"/>
      <c r="GT124" s="156"/>
      <c r="GU124" s="156"/>
      <c r="GV124" s="156"/>
      <c r="GW124" s="156"/>
      <c r="GX124" s="156"/>
      <c r="GY124" s="156"/>
      <c r="GZ124" s="156"/>
      <c r="HA124" s="156"/>
      <c r="HB124" s="156"/>
      <c r="HC124" s="156"/>
      <c r="HD124" s="156"/>
      <c r="HE124" s="156"/>
      <c r="HF124" s="156"/>
      <c r="HG124" s="156"/>
      <c r="HH124" s="156"/>
      <c r="HI124" s="156"/>
      <c r="HJ124" s="156"/>
      <c r="HK124" s="156"/>
      <c r="HL124" s="156"/>
      <c r="HP124" s="527">
        <v>0.45</v>
      </c>
      <c r="HQ124" s="527"/>
      <c r="HR124" s="428">
        <f>IF(HT98&gt;=0.5,1,0)</f>
        <v>0</v>
      </c>
      <c r="HS124" s="428">
        <f>IF(HT98&lt;1,1,0)</f>
        <v>1</v>
      </c>
      <c r="HT124" s="194">
        <f t="shared" si="6"/>
        <v>1</v>
      </c>
      <c r="HV124" s="527">
        <v>0.45</v>
      </c>
      <c r="HW124" s="527"/>
      <c r="HX124" s="428">
        <f>IF(HX98&gt;=0.5,1,0)</f>
        <v>0</v>
      </c>
      <c r="HY124" s="428">
        <f>IF(HX98&lt;1,1,0)</f>
        <v>1</v>
      </c>
      <c r="HZ124" s="194">
        <f t="shared" si="7"/>
        <v>1</v>
      </c>
      <c r="IB124" s="527">
        <v>0.45</v>
      </c>
      <c r="IC124" s="527"/>
      <c r="ID124" s="428">
        <f>IF(IB98&gt;=0.5,1,0)</f>
        <v>0</v>
      </c>
      <c r="IE124" s="428">
        <f>IF(IB98&lt;1,1,0)</f>
        <v>1</v>
      </c>
      <c r="IF124" s="194">
        <f t="shared" si="8"/>
        <v>1</v>
      </c>
      <c r="IG124" s="113"/>
      <c r="IH124" s="113"/>
      <c r="II124" s="113"/>
      <c r="IL124" s="35" t="s">
        <v>200</v>
      </c>
      <c r="IM124" s="442"/>
      <c r="IN124" s="442"/>
      <c r="IO124" s="442"/>
      <c r="IP124" s="178"/>
      <c r="IQ124" s="178"/>
      <c r="IR124" s="528">
        <f>W21</f>
        <v>9</v>
      </c>
      <c r="IS124" s="528"/>
      <c r="IT124" s="178"/>
      <c r="IU124" s="178"/>
      <c r="IV124" s="178"/>
      <c r="IW124" s="178"/>
      <c r="IX124" s="178"/>
      <c r="IY124" s="460"/>
      <c r="IZ124" s="442"/>
      <c r="JA124" s="442"/>
      <c r="JB124" s="442"/>
      <c r="JC124" s="442"/>
      <c r="JD124" s="442"/>
      <c r="JE124" s="442"/>
      <c r="JF124" s="442"/>
      <c r="JG124" s="442"/>
      <c r="JH124" s="442"/>
      <c r="JI124" s="442"/>
      <c r="JJ124" s="442"/>
      <c r="JK124" s="442"/>
      <c r="JL124" s="442"/>
      <c r="JM124" s="442"/>
      <c r="JN124" s="442"/>
      <c r="JO124" s="442"/>
      <c r="JP124" s="442"/>
      <c r="JQ124" s="442"/>
      <c r="JR124" s="442"/>
      <c r="JS124" s="442"/>
      <c r="JT124" s="442"/>
      <c r="JU124" s="442"/>
      <c r="JV124" s="442"/>
      <c r="JW124" s="442"/>
      <c r="JX124" s="442"/>
      <c r="JY124" s="442"/>
      <c r="JZ124" s="442"/>
      <c r="KA124" s="442"/>
      <c r="KB124" s="442"/>
      <c r="KC124" s="442"/>
      <c r="KD124" s="442"/>
      <c r="KE124" s="442"/>
      <c r="KF124" s="442"/>
      <c r="KG124" s="442"/>
      <c r="KH124" s="442"/>
      <c r="KI124" s="442"/>
      <c r="KJ124" s="442"/>
      <c r="KK124" s="442"/>
      <c r="KL124" s="442"/>
      <c r="KM124" s="442"/>
      <c r="KN124" s="442"/>
      <c r="KO124" s="442"/>
      <c r="KP124" s="442"/>
      <c r="KQ124" s="442"/>
      <c r="KR124" s="442"/>
      <c r="KS124" s="442"/>
      <c r="KT124" s="442"/>
      <c r="KU124" s="442"/>
      <c r="KV124" s="442"/>
      <c r="KW124" s="442"/>
      <c r="KX124" s="442"/>
      <c r="KY124" s="442"/>
      <c r="KZ124" s="442"/>
      <c r="LA124" s="442"/>
      <c r="LB124" s="442"/>
      <c r="LC124" s="442"/>
      <c r="LD124" s="442"/>
      <c r="LE124" s="442"/>
      <c r="LF124" s="442"/>
      <c r="LG124" s="442"/>
      <c r="LH124" s="442"/>
      <c r="LI124" s="442"/>
      <c r="LJ124" s="442"/>
      <c r="LK124" s="442"/>
      <c r="LL124" s="442"/>
      <c r="LM124" s="442"/>
      <c r="LN124" s="442"/>
      <c r="LO124" s="442"/>
      <c r="LP124" s="442"/>
      <c r="LQ124" s="442"/>
      <c r="LR124" s="442"/>
      <c r="LS124" s="442"/>
      <c r="LT124" s="442"/>
      <c r="LU124" s="442"/>
      <c r="LV124" s="442"/>
      <c r="LW124" s="442"/>
      <c r="LX124" s="442"/>
      <c r="LY124" s="442"/>
      <c r="LZ124" s="442"/>
      <c r="MA124" s="442"/>
      <c r="MB124" s="442"/>
      <c r="MC124" s="442"/>
      <c r="MD124" s="442"/>
      <c r="ME124" s="442"/>
      <c r="MF124" s="442"/>
      <c r="MG124" s="442"/>
      <c r="MH124" s="442"/>
      <c r="MI124" s="442"/>
      <c r="MJ124" s="442"/>
      <c r="MK124" s="442"/>
      <c r="ML124" s="442"/>
      <c r="MM124" s="442"/>
      <c r="MN124" s="442"/>
      <c r="MO124" s="442"/>
      <c r="MP124" s="442"/>
      <c r="MQ124" s="442"/>
      <c r="MR124" s="442"/>
      <c r="MS124" s="442"/>
      <c r="MT124" s="442"/>
      <c r="MU124" s="442"/>
    </row>
    <row r="125" spans="1:401" ht="14.1" customHeight="1" x14ac:dyDescent="0.2">
      <c r="A125" s="156"/>
      <c r="B125" s="156"/>
      <c r="C125" s="156"/>
      <c r="D125" s="156"/>
      <c r="E125" s="156"/>
      <c r="F125" s="156"/>
      <c r="G125" s="156"/>
      <c r="H125" s="156"/>
      <c r="I125" s="156"/>
      <c r="J125" s="156"/>
      <c r="K125" s="156"/>
      <c r="L125" s="156"/>
      <c r="M125" s="156"/>
      <c r="N125" s="156"/>
      <c r="O125" s="156"/>
      <c r="P125" s="156"/>
      <c r="Q125" s="156"/>
      <c r="R125" s="156"/>
      <c r="S125" s="156"/>
      <c r="T125" s="156"/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  <c r="AF125" s="156"/>
      <c r="AG125" s="156"/>
      <c r="AH125" s="156"/>
      <c r="AI125" s="156"/>
      <c r="AJ125" s="156"/>
      <c r="AK125" s="156"/>
      <c r="AL125" s="156"/>
      <c r="AM125" s="156"/>
      <c r="AN125" s="156"/>
      <c r="AO125" s="156"/>
      <c r="AP125" s="156"/>
      <c r="AQ125" s="156"/>
      <c r="AR125" s="156"/>
      <c r="AS125" s="156"/>
      <c r="AT125" s="156"/>
      <c r="AU125" s="156"/>
      <c r="AV125" s="156"/>
      <c r="AW125" s="156"/>
      <c r="AX125" s="156"/>
      <c r="AY125" s="156"/>
      <c r="AZ125" s="156"/>
      <c r="BA125" s="156"/>
      <c r="BB125" s="156"/>
      <c r="BC125" s="156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242"/>
      <c r="CP125" s="242"/>
      <c r="CQ125" s="242"/>
      <c r="CR125" s="242"/>
      <c r="CS125" s="242"/>
      <c r="CT125" s="242"/>
      <c r="CU125" s="242"/>
      <c r="CV125" s="242"/>
      <c r="CW125" s="242"/>
      <c r="CX125" s="242"/>
      <c r="CY125" s="242"/>
      <c r="CZ125" s="242"/>
      <c r="DA125" s="242"/>
      <c r="DB125" s="242"/>
      <c r="DC125" s="242"/>
      <c r="DD125" s="156"/>
      <c r="DE125" s="156"/>
      <c r="DF125" s="156"/>
      <c r="DG125" s="156"/>
      <c r="DH125" s="156"/>
      <c r="DI125" s="156"/>
      <c r="DJ125" s="156"/>
      <c r="DK125" s="156"/>
      <c r="DL125" s="156"/>
      <c r="DM125" s="156"/>
      <c r="DN125" s="156"/>
      <c r="DO125" s="156"/>
      <c r="DP125" s="156"/>
      <c r="DQ125" s="156"/>
      <c r="DR125" s="156"/>
      <c r="DS125" s="156"/>
      <c r="DT125" s="156"/>
      <c r="DU125" s="156"/>
      <c r="DV125" s="156"/>
      <c r="DW125" s="156"/>
      <c r="DX125" s="156"/>
      <c r="DY125" s="156"/>
      <c r="DZ125" s="156"/>
      <c r="EA125" s="156"/>
      <c r="EB125" s="156"/>
      <c r="EC125" s="156"/>
      <c r="ED125" s="156"/>
      <c r="EE125" s="156"/>
      <c r="EF125" s="156"/>
      <c r="EG125" s="156"/>
      <c r="EH125" s="156"/>
      <c r="EI125" s="156"/>
      <c r="EJ125" s="156"/>
      <c r="EK125" s="156"/>
      <c r="EL125" s="156"/>
      <c r="EM125" s="156"/>
      <c r="EN125" s="156"/>
      <c r="EO125" s="156"/>
      <c r="EP125" s="156"/>
      <c r="EQ125" s="156"/>
      <c r="ER125" s="156"/>
      <c r="ES125" s="156"/>
      <c r="ET125" s="156"/>
      <c r="EU125" s="156"/>
      <c r="EV125" s="156"/>
      <c r="EW125" s="156"/>
      <c r="EX125" s="156"/>
      <c r="EY125" s="156"/>
      <c r="EZ125" s="156"/>
      <c r="FA125" s="156"/>
      <c r="FB125" s="156"/>
      <c r="FC125" s="156"/>
      <c r="FD125" s="156"/>
      <c r="FE125" s="156"/>
      <c r="FF125" s="156"/>
      <c r="FG125" s="156"/>
      <c r="FH125" s="156"/>
      <c r="FI125" s="156"/>
      <c r="FJ125" s="156"/>
      <c r="FK125" s="156"/>
      <c r="FL125" s="156"/>
      <c r="FM125" s="156"/>
      <c r="FN125" s="156"/>
      <c r="FO125" s="156"/>
      <c r="FP125" s="156"/>
      <c r="FQ125" s="156"/>
      <c r="FR125" s="156"/>
      <c r="FS125" s="156"/>
      <c r="FT125" s="156"/>
      <c r="FU125" s="156"/>
      <c r="FV125" s="156"/>
      <c r="FW125" s="156"/>
      <c r="FX125" s="156"/>
      <c r="FY125" s="156"/>
      <c r="FZ125" s="156"/>
      <c r="GA125" s="156"/>
      <c r="GB125" s="156"/>
      <c r="GC125" s="156"/>
      <c r="GD125" s="156"/>
      <c r="GE125" s="156"/>
      <c r="GF125" s="156"/>
      <c r="GG125" s="156"/>
      <c r="GH125" s="156"/>
      <c r="GI125" s="156"/>
      <c r="GJ125" s="156"/>
      <c r="GK125" s="156"/>
      <c r="GL125" s="156"/>
      <c r="GM125" s="156"/>
      <c r="GN125" s="156"/>
      <c r="GO125" s="156"/>
      <c r="GP125" s="156"/>
      <c r="GQ125" s="156"/>
      <c r="GR125" s="156"/>
      <c r="GS125" s="156"/>
      <c r="GT125" s="156"/>
      <c r="GU125" s="156"/>
      <c r="GV125" s="156"/>
      <c r="GW125" s="156"/>
      <c r="GX125" s="156"/>
      <c r="GY125" s="156"/>
      <c r="GZ125" s="156"/>
      <c r="HA125" s="156"/>
      <c r="HB125" s="156"/>
      <c r="HC125" s="156"/>
      <c r="HD125" s="156"/>
      <c r="HE125" s="156"/>
      <c r="HF125" s="156"/>
      <c r="HG125" s="156"/>
      <c r="HH125" s="156"/>
      <c r="HI125" s="156"/>
      <c r="HJ125" s="156"/>
      <c r="HK125" s="156"/>
      <c r="HL125" s="156"/>
      <c r="IL125" s="442" t="s">
        <v>104</v>
      </c>
      <c r="IM125" s="442"/>
      <c r="IN125" s="442"/>
      <c r="IO125" s="442" t="s">
        <v>1</v>
      </c>
      <c r="IP125" s="522">
        <f>ROUNDDOWN((ROUND(PI()*IR124^2/400,2))/HT100,2)</f>
        <v>0.25</v>
      </c>
      <c r="IQ125" s="522"/>
      <c r="IR125" s="522"/>
      <c r="IS125" s="460" t="s">
        <v>13</v>
      </c>
      <c r="IT125" s="469"/>
      <c r="IU125" s="469"/>
      <c r="IV125" s="469"/>
      <c r="IW125" s="469"/>
      <c r="IX125" s="469"/>
      <c r="IY125" s="442"/>
      <c r="IZ125" s="442"/>
      <c r="JA125" s="442"/>
      <c r="JB125" s="442"/>
      <c r="JC125" s="442"/>
      <c r="JD125" s="442"/>
      <c r="JE125" s="442"/>
      <c r="JF125" s="442"/>
      <c r="JG125" s="442"/>
      <c r="JH125" s="442"/>
      <c r="JI125" s="442"/>
      <c r="JJ125" s="442"/>
      <c r="JK125" s="442"/>
      <c r="JL125" s="442"/>
      <c r="JM125" s="442"/>
      <c r="JN125" s="442"/>
      <c r="JO125" s="442"/>
      <c r="JP125" s="442"/>
      <c r="JQ125" s="442"/>
      <c r="JR125" s="442"/>
      <c r="JS125" s="442"/>
      <c r="JT125" s="442"/>
      <c r="JU125" s="442"/>
      <c r="JV125" s="442"/>
      <c r="JW125" s="442"/>
      <c r="JX125" s="442"/>
      <c r="JY125" s="442"/>
      <c r="JZ125" s="442"/>
      <c r="KA125" s="442"/>
      <c r="KB125" s="442"/>
      <c r="KC125" s="442"/>
      <c r="KD125" s="442"/>
      <c r="KE125" s="442"/>
      <c r="KF125" s="442"/>
      <c r="KG125" s="442"/>
      <c r="KH125" s="442"/>
      <c r="KI125" s="442"/>
      <c r="KJ125" s="442"/>
      <c r="KK125" s="442"/>
      <c r="KL125" s="442"/>
      <c r="KM125" s="442"/>
      <c r="KN125" s="442"/>
      <c r="KO125" s="442"/>
      <c r="KP125" s="442"/>
      <c r="KQ125" s="442"/>
      <c r="KR125" s="442"/>
      <c r="KS125" s="442"/>
      <c r="KT125" s="442"/>
      <c r="KU125" s="442"/>
      <c r="KV125" s="442"/>
      <c r="KW125" s="442"/>
      <c r="KX125" s="442"/>
      <c r="KY125" s="442"/>
      <c r="KZ125" s="442"/>
      <c r="LA125" s="442"/>
      <c r="LB125" s="442"/>
      <c r="LC125" s="442"/>
      <c r="LD125" s="442"/>
      <c r="LE125" s="442"/>
      <c r="LF125" s="442"/>
      <c r="LG125" s="442"/>
      <c r="LH125" s="442"/>
      <c r="LI125" s="442"/>
      <c r="LJ125" s="442"/>
      <c r="LK125" s="442"/>
      <c r="LL125" s="442"/>
      <c r="LM125" s="442"/>
      <c r="LN125" s="442"/>
      <c r="LO125" s="442"/>
      <c r="LP125" s="442"/>
      <c r="LQ125" s="442"/>
      <c r="LR125" s="442"/>
      <c r="LS125" s="442"/>
      <c r="LT125" s="442"/>
      <c r="LU125" s="442"/>
      <c r="LV125" s="442"/>
      <c r="LW125" s="442"/>
      <c r="LX125" s="442"/>
      <c r="LY125" s="442"/>
      <c r="LZ125" s="442"/>
      <c r="MA125" s="442"/>
      <c r="MB125" s="442"/>
      <c r="MC125" s="442"/>
      <c r="MD125" s="442"/>
      <c r="ME125" s="442"/>
      <c r="MF125" s="442"/>
      <c r="MG125" s="442"/>
      <c r="MH125" s="442"/>
      <c r="MI125" s="442"/>
      <c r="MJ125" s="442"/>
      <c r="MK125" s="442"/>
      <c r="ML125" s="442"/>
      <c r="MM125" s="442"/>
      <c r="MN125" s="442"/>
      <c r="MO125" s="442"/>
      <c r="MP125" s="442"/>
      <c r="MQ125" s="442"/>
      <c r="MR125" s="442"/>
      <c r="MS125" s="442"/>
      <c r="MT125" s="442"/>
      <c r="MU125" s="442"/>
    </row>
    <row r="126" spans="1:401" ht="14.1" customHeight="1" x14ac:dyDescent="0.2">
      <c r="BD126" s="442"/>
      <c r="BE126" s="442"/>
      <c r="BF126" s="442"/>
      <c r="BG126" s="442"/>
      <c r="BH126" s="442"/>
      <c r="BI126" s="442"/>
      <c r="BJ126" s="442"/>
      <c r="BK126" s="442"/>
      <c r="BL126" s="442"/>
      <c r="BM126" s="442"/>
      <c r="BN126" s="442"/>
      <c r="BO126" s="442"/>
      <c r="BP126" s="442"/>
      <c r="BQ126" s="442"/>
      <c r="BR126" s="442"/>
      <c r="BS126" s="442"/>
      <c r="BT126" s="442"/>
      <c r="BU126" s="442"/>
      <c r="BV126" s="442"/>
      <c r="BW126" s="442"/>
      <c r="BX126" s="442"/>
      <c r="BY126" s="442"/>
      <c r="BZ126" s="442"/>
      <c r="CA126" s="442"/>
      <c r="CB126" s="442"/>
      <c r="CC126" s="442"/>
      <c r="CD126" s="442"/>
      <c r="CE126" s="442"/>
      <c r="CF126" s="442"/>
      <c r="CG126" s="442"/>
      <c r="CH126" s="442"/>
      <c r="CI126" s="442"/>
      <c r="CJ126" s="442"/>
      <c r="CK126" s="442"/>
      <c r="CL126" s="442"/>
      <c r="CM126" s="442"/>
      <c r="CN126" s="442"/>
      <c r="CO126" s="442"/>
      <c r="CP126" s="442"/>
      <c r="CQ126" s="442"/>
      <c r="CR126" s="442"/>
      <c r="CS126" s="442"/>
      <c r="CT126" s="442"/>
      <c r="CU126" s="442"/>
      <c r="CV126" s="442"/>
      <c r="CW126" s="442"/>
      <c r="CX126" s="442"/>
      <c r="CY126" s="442"/>
      <c r="CZ126" s="442"/>
      <c r="DA126" s="442"/>
      <c r="DB126" s="442"/>
      <c r="DC126" s="442"/>
      <c r="IL126" s="442" t="s">
        <v>208</v>
      </c>
      <c r="IM126" s="442"/>
      <c r="IN126" s="460"/>
      <c r="IO126" s="442" t="s">
        <v>1</v>
      </c>
      <c r="IP126" s="521">
        <f>5*HT78/100</f>
        <v>0.5</v>
      </c>
      <c r="IQ126" s="521"/>
      <c r="IR126" s="521"/>
      <c r="IS126" s="460" t="s">
        <v>13</v>
      </c>
      <c r="IT126" s="442"/>
      <c r="IU126" s="442"/>
      <c r="IV126" s="442"/>
      <c r="IW126" s="442"/>
      <c r="IX126" s="442"/>
      <c r="IY126" s="442"/>
      <c r="IZ126" s="442"/>
      <c r="JA126" s="442"/>
      <c r="JB126" s="442"/>
      <c r="JC126" s="442"/>
      <c r="JD126" s="442"/>
      <c r="JE126" s="442"/>
      <c r="JF126" s="442"/>
      <c r="JG126" s="442"/>
      <c r="JH126" s="442"/>
      <c r="JI126" s="442"/>
      <c r="JJ126" s="442"/>
      <c r="JK126" s="442"/>
      <c r="JL126" s="442"/>
      <c r="JM126" s="442"/>
      <c r="JN126" s="442"/>
      <c r="JO126" s="442"/>
      <c r="JP126" s="442"/>
      <c r="JQ126" s="442"/>
      <c r="JR126" s="442"/>
      <c r="JS126" s="442"/>
      <c r="JT126" s="442"/>
      <c r="JU126" s="442"/>
      <c r="JV126" s="442"/>
      <c r="JW126" s="442"/>
      <c r="JX126" s="442"/>
      <c r="JY126" s="442"/>
      <c r="JZ126" s="442"/>
      <c r="KA126" s="442"/>
      <c r="KB126" s="442"/>
      <c r="KC126" s="442"/>
      <c r="KD126" s="442"/>
      <c r="KE126" s="442"/>
      <c r="KF126" s="442"/>
      <c r="KG126" s="442"/>
      <c r="KH126" s="442"/>
      <c r="KI126" s="442"/>
      <c r="KJ126" s="442"/>
      <c r="KK126" s="442"/>
      <c r="KL126" s="442"/>
      <c r="KM126" s="442"/>
      <c r="KN126" s="442"/>
      <c r="KO126" s="442"/>
      <c r="KP126" s="442"/>
      <c r="KQ126" s="442"/>
      <c r="KR126" s="442"/>
      <c r="KS126" s="442"/>
      <c r="KT126" s="442"/>
      <c r="KU126" s="442"/>
      <c r="KV126" s="442"/>
      <c r="KW126" s="442"/>
      <c r="KX126" s="442"/>
      <c r="KY126" s="442"/>
      <c r="KZ126" s="442"/>
      <c r="LA126" s="442"/>
      <c r="LB126" s="442"/>
      <c r="LC126" s="442"/>
      <c r="LD126" s="442"/>
      <c r="LE126" s="442"/>
      <c r="LF126" s="442"/>
      <c r="LG126" s="442"/>
      <c r="LH126" s="442"/>
      <c r="LI126" s="442"/>
      <c r="LJ126" s="442"/>
      <c r="LK126" s="442"/>
      <c r="LL126" s="442"/>
      <c r="LM126" s="442"/>
      <c r="LN126" s="442"/>
      <c r="LO126" s="442"/>
      <c r="LP126" s="442"/>
      <c r="LQ126" s="442"/>
      <c r="LR126" s="442"/>
      <c r="LS126" s="442"/>
      <c r="LT126" s="442"/>
      <c r="LU126" s="442"/>
      <c r="LV126" s="442"/>
      <c r="LW126" s="442"/>
      <c r="LX126" s="442"/>
      <c r="LY126" s="442"/>
      <c r="LZ126" s="442"/>
      <c r="MA126" s="442"/>
      <c r="MB126" s="442"/>
      <c r="MC126" s="442"/>
      <c r="MD126" s="442"/>
      <c r="ME126" s="442"/>
      <c r="MF126" s="442"/>
      <c r="MG126" s="442"/>
      <c r="MH126" s="442"/>
      <c r="MI126" s="442"/>
      <c r="MJ126" s="442"/>
      <c r="MK126" s="442"/>
      <c r="ML126" s="442"/>
      <c r="MM126" s="442"/>
      <c r="MN126" s="442"/>
      <c r="MO126" s="442"/>
      <c r="MP126" s="442"/>
      <c r="MQ126" s="442"/>
      <c r="MR126" s="442"/>
      <c r="MS126" s="442"/>
      <c r="MT126" s="442"/>
      <c r="MU126" s="442"/>
      <c r="NT126" s="107" t="s">
        <v>229</v>
      </c>
      <c r="NU126" s="107"/>
      <c r="NV126" s="107"/>
      <c r="NW126" s="107"/>
      <c r="NX126" s="107"/>
      <c r="NY126" s="107"/>
      <c r="NZ126" s="107"/>
      <c r="OA126" s="106" t="s">
        <v>230</v>
      </c>
      <c r="OB126" s="106"/>
      <c r="OC126" s="106"/>
      <c r="OD126" s="106"/>
      <c r="OE126" s="106"/>
      <c r="OF126" s="107"/>
      <c r="OG126" s="107"/>
      <c r="OH126" s="107"/>
      <c r="OI126" s="107"/>
      <c r="OJ126" s="107"/>
      <c r="OK126" s="107"/>
    </row>
    <row r="127" spans="1:401" ht="14.1" customHeight="1" x14ac:dyDescent="0.2">
      <c r="W127" s="298"/>
      <c r="X127" s="298"/>
      <c r="Y127" s="298"/>
      <c r="AO127" s="298"/>
      <c r="AP127" s="192"/>
      <c r="AQ127" s="192"/>
      <c r="AR127" s="192"/>
      <c r="AS127" s="192"/>
      <c r="AT127" s="69"/>
      <c r="AU127" s="69"/>
      <c r="AV127" s="69"/>
      <c r="AW127" s="69"/>
      <c r="AX127" s="192"/>
      <c r="AY127" s="192"/>
      <c r="AZ127" s="192"/>
      <c r="BA127" s="192"/>
      <c r="BD127" s="37"/>
      <c r="BE127" s="37"/>
      <c r="BF127" s="37"/>
      <c r="BG127" s="37"/>
      <c r="BH127" s="37"/>
      <c r="BI127" s="37"/>
      <c r="BJ127" s="37"/>
      <c r="BK127" s="37"/>
      <c r="BL127" s="37"/>
      <c r="BM127" s="37"/>
      <c r="BN127" s="37"/>
      <c r="BO127" s="37"/>
      <c r="BP127" s="37"/>
      <c r="BQ127" s="37"/>
      <c r="BR127" s="37"/>
      <c r="BS127" s="37"/>
      <c r="BT127" s="37"/>
      <c r="BU127" s="37"/>
      <c r="BV127" s="37"/>
      <c r="BW127" s="37"/>
      <c r="BX127" s="37"/>
      <c r="BY127" s="37"/>
      <c r="BZ127" s="37"/>
      <c r="CA127" s="37"/>
      <c r="CB127" s="37"/>
      <c r="CC127" s="37"/>
      <c r="CD127" s="37"/>
      <c r="CE127" s="37"/>
      <c r="CF127" s="37"/>
      <c r="CG127" s="37"/>
      <c r="CH127" s="37"/>
      <c r="CI127" s="37"/>
      <c r="CJ127" s="37"/>
      <c r="CK127" s="37"/>
      <c r="CL127" s="37"/>
      <c r="CM127" s="37"/>
      <c r="CN127" s="37"/>
      <c r="CO127" s="37"/>
      <c r="CP127" s="37"/>
      <c r="CQ127" s="37"/>
      <c r="CR127" s="37"/>
      <c r="CS127" s="37"/>
      <c r="CT127" s="37"/>
      <c r="CU127" s="37"/>
      <c r="CV127" s="37"/>
      <c r="CW127" s="37"/>
      <c r="CX127" s="37"/>
      <c r="CY127" s="442"/>
      <c r="CZ127" s="442"/>
      <c r="DA127" s="442"/>
      <c r="DB127" s="442"/>
      <c r="DC127" s="442"/>
      <c r="IL127" s="522">
        <v>0.45</v>
      </c>
      <c r="IM127" s="522"/>
      <c r="IN127" s="460"/>
      <c r="IO127" s="442" t="s">
        <v>1</v>
      </c>
      <c r="IP127" s="523">
        <v>0.45</v>
      </c>
      <c r="IQ127" s="523"/>
      <c r="IR127" s="523"/>
      <c r="IS127" s="460" t="s">
        <v>13</v>
      </c>
      <c r="IT127" s="442"/>
      <c r="IU127" s="442"/>
      <c r="IV127" s="442"/>
      <c r="IW127" s="442"/>
      <c r="IX127" s="442"/>
      <c r="IY127" s="442"/>
      <c r="IZ127" s="442"/>
      <c r="JA127" s="442"/>
      <c r="JB127" s="442"/>
      <c r="JC127" s="442"/>
      <c r="JD127" s="442"/>
      <c r="JE127" s="442"/>
      <c r="JF127" s="442"/>
      <c r="JG127" s="442"/>
      <c r="JH127" s="442"/>
      <c r="JI127" s="442"/>
      <c r="JJ127" s="442"/>
      <c r="JK127" s="442"/>
      <c r="JL127" s="442"/>
      <c r="JM127" s="442"/>
      <c r="JN127" s="442"/>
      <c r="JO127" s="442"/>
      <c r="JP127" s="442"/>
      <c r="JQ127" s="442"/>
      <c r="JR127" s="442"/>
      <c r="JS127" s="442"/>
      <c r="JT127" s="442"/>
      <c r="JU127" s="442"/>
      <c r="JV127" s="442"/>
      <c r="JW127" s="442"/>
      <c r="JX127" s="442"/>
      <c r="JY127" s="442"/>
      <c r="JZ127" s="442"/>
      <c r="KA127" s="442"/>
      <c r="KB127" s="442"/>
      <c r="KC127" s="442"/>
      <c r="KD127" s="442"/>
      <c r="KE127" s="442"/>
      <c r="KF127" s="442"/>
      <c r="KG127" s="442"/>
      <c r="KH127" s="442"/>
      <c r="KI127" s="442"/>
      <c r="KJ127" s="442"/>
      <c r="KK127" s="442"/>
      <c r="KL127" s="442"/>
      <c r="KM127" s="442"/>
      <c r="KN127" s="442"/>
      <c r="KO127" s="442"/>
      <c r="KP127" s="442"/>
      <c r="KQ127" s="442"/>
      <c r="KR127" s="442"/>
      <c r="KS127" s="442"/>
      <c r="KT127" s="442"/>
      <c r="KU127" s="442"/>
      <c r="KV127" s="442"/>
      <c r="KW127" s="442"/>
      <c r="KX127" s="442"/>
      <c r="KY127" s="442"/>
      <c r="KZ127" s="442"/>
      <c r="LA127" s="442"/>
      <c r="LB127" s="442"/>
      <c r="LC127" s="442"/>
      <c r="LD127" s="442"/>
      <c r="LE127" s="442"/>
      <c r="LF127" s="442"/>
      <c r="LG127" s="442"/>
      <c r="LH127" s="442"/>
      <c r="LI127" s="442"/>
      <c r="LJ127" s="442"/>
      <c r="LK127" s="442"/>
      <c r="LL127" s="442"/>
      <c r="LM127" s="442"/>
      <c r="LN127" s="442"/>
      <c r="LO127" s="442"/>
      <c r="LP127" s="442"/>
      <c r="LQ127" s="442"/>
      <c r="LR127" s="442"/>
      <c r="LS127" s="442"/>
      <c r="LT127" s="442"/>
      <c r="LU127" s="442"/>
      <c r="LV127" s="442"/>
      <c r="LW127" s="442"/>
      <c r="LX127" s="442"/>
      <c r="LY127" s="442"/>
      <c r="LZ127" s="442"/>
      <c r="MA127" s="442"/>
      <c r="MB127" s="442"/>
      <c r="MC127" s="442"/>
      <c r="MD127" s="442"/>
      <c r="ME127" s="442"/>
      <c r="MF127" s="442"/>
      <c r="MG127" s="442"/>
      <c r="MH127" s="442"/>
      <c r="MI127" s="442"/>
      <c r="MJ127" s="442"/>
      <c r="MK127" s="442"/>
      <c r="ML127" s="442"/>
      <c r="MM127" s="442"/>
      <c r="MN127" s="442"/>
      <c r="MO127" s="442"/>
      <c r="MP127" s="442"/>
      <c r="MQ127" s="442"/>
      <c r="MR127" s="442"/>
      <c r="MS127" s="442"/>
      <c r="MT127" s="442"/>
      <c r="MU127" s="442"/>
      <c r="NT127" s="106" t="s">
        <v>22</v>
      </c>
      <c r="NU127" s="106">
        <v>0</v>
      </c>
      <c r="NV127" s="106">
        <v>2</v>
      </c>
      <c r="NW127" s="106">
        <v>2</v>
      </c>
      <c r="NX127" s="106">
        <v>0</v>
      </c>
      <c r="NY127" s="106">
        <v>0</v>
      </c>
      <c r="NZ127" s="107"/>
      <c r="OA127" s="106">
        <v>-0.1</v>
      </c>
      <c r="OB127" s="106">
        <v>2.1</v>
      </c>
      <c r="OC127" s="106">
        <v>2.1</v>
      </c>
      <c r="OD127" s="106">
        <v>-0.1</v>
      </c>
      <c r="OE127" s="106">
        <v>-0.1</v>
      </c>
      <c r="OF127" s="107"/>
      <c r="OG127" s="107"/>
      <c r="OH127" s="107"/>
      <c r="OI127" s="107"/>
      <c r="OJ127" s="107"/>
      <c r="OK127" s="107"/>
    </row>
    <row r="128" spans="1:401" ht="14.1" customHeight="1" x14ac:dyDescent="0.2">
      <c r="AO128" s="298"/>
      <c r="AP128" s="192"/>
      <c r="AQ128" s="192"/>
      <c r="AR128" s="192"/>
      <c r="AS128" s="192"/>
      <c r="AT128" s="69"/>
      <c r="AU128" s="69"/>
      <c r="AV128" s="69"/>
      <c r="AW128" s="69"/>
      <c r="AX128" s="192"/>
      <c r="AY128" s="192"/>
      <c r="AZ128" s="192"/>
      <c r="BA128" s="192"/>
      <c r="BD128" s="442"/>
      <c r="BE128" s="442"/>
      <c r="BF128" s="442"/>
      <c r="BG128" s="442"/>
      <c r="BH128" s="442"/>
      <c r="BI128" s="442"/>
      <c r="BJ128" s="442"/>
      <c r="BK128" s="442"/>
      <c r="BL128" s="442"/>
      <c r="BM128" s="442"/>
      <c r="BN128" s="442"/>
      <c r="BO128" s="442"/>
      <c r="BP128" s="442"/>
      <c r="BQ128" s="442"/>
      <c r="BR128" s="442"/>
      <c r="BS128" s="442"/>
      <c r="BT128" s="442"/>
      <c r="BU128" s="442"/>
      <c r="BV128" s="442"/>
      <c r="BW128" s="442"/>
      <c r="BX128" s="442"/>
      <c r="BY128" s="442"/>
      <c r="BZ128" s="442"/>
      <c r="CA128" s="442"/>
      <c r="CB128" s="442"/>
      <c r="CC128" s="442"/>
      <c r="CD128" s="442"/>
      <c r="CE128" s="442"/>
      <c r="CF128" s="442"/>
      <c r="CG128" s="442"/>
      <c r="CH128" s="442"/>
      <c r="CI128" s="442"/>
      <c r="CJ128" s="442"/>
      <c r="CK128" s="442"/>
      <c r="CL128" s="442"/>
      <c r="CM128" s="442"/>
      <c r="CN128" s="442"/>
      <c r="CO128" s="442"/>
      <c r="CP128" s="442"/>
      <c r="CQ128" s="442"/>
      <c r="CR128" s="442"/>
      <c r="CS128" s="442"/>
      <c r="CT128" s="442"/>
      <c r="CU128" s="442"/>
      <c r="CV128" s="442"/>
      <c r="CW128" s="442"/>
      <c r="CX128" s="442"/>
      <c r="CY128" s="442"/>
      <c r="CZ128" s="442"/>
      <c r="DA128" s="442"/>
      <c r="DB128" s="442"/>
      <c r="DC128" s="442"/>
      <c r="IL128" s="442"/>
      <c r="IM128" s="442"/>
      <c r="IN128" s="442"/>
      <c r="IO128" s="442"/>
      <c r="IP128" s="442"/>
      <c r="IQ128" s="442"/>
      <c r="IR128" s="442"/>
      <c r="IS128" s="442"/>
      <c r="IT128" s="442"/>
      <c r="IU128" s="442"/>
      <c r="IV128" s="442"/>
      <c r="IW128" s="442"/>
      <c r="IX128" s="442"/>
      <c r="IY128" s="442"/>
      <c r="IZ128" s="442"/>
      <c r="JA128" s="442"/>
      <c r="JB128" s="442"/>
      <c r="JC128" s="442"/>
      <c r="JD128" s="442"/>
      <c r="JE128" s="442"/>
      <c r="JF128" s="442"/>
      <c r="JG128" s="442"/>
      <c r="JH128" s="442"/>
      <c r="JI128" s="442"/>
      <c r="JJ128" s="442"/>
      <c r="JK128" s="442"/>
      <c r="JL128" s="442"/>
      <c r="JM128" s="442"/>
      <c r="JN128" s="442"/>
      <c r="JO128" s="442"/>
      <c r="JP128" s="442"/>
      <c r="JQ128" s="442"/>
      <c r="JR128" s="442"/>
      <c r="JS128" s="442"/>
      <c r="JT128" s="442"/>
      <c r="JU128" s="442"/>
      <c r="JV128" s="442"/>
      <c r="JW128" s="442"/>
      <c r="JX128" s="442"/>
      <c r="JY128" s="442"/>
      <c r="JZ128" s="442"/>
      <c r="KA128" s="442"/>
      <c r="KB128" s="442"/>
      <c r="KC128" s="442"/>
      <c r="KD128" s="442"/>
      <c r="KE128" s="442"/>
      <c r="KF128" s="442"/>
      <c r="KG128" s="442"/>
      <c r="KH128" s="442"/>
      <c r="KI128" s="442"/>
      <c r="KJ128" s="442"/>
      <c r="KK128" s="442"/>
      <c r="KL128" s="442"/>
      <c r="KM128" s="442"/>
      <c r="KN128" s="442"/>
      <c r="KO128" s="442"/>
      <c r="KP128" s="442"/>
      <c r="KQ128" s="442"/>
      <c r="KR128" s="442"/>
      <c r="KS128" s="442"/>
      <c r="KT128" s="442"/>
      <c r="KU128" s="442"/>
      <c r="KV128" s="442"/>
      <c r="KW128" s="442"/>
      <c r="KX128" s="442"/>
      <c r="KY128" s="442"/>
      <c r="KZ128" s="442"/>
      <c r="LA128" s="442"/>
      <c r="LB128" s="442"/>
      <c r="LC128" s="442"/>
      <c r="LD128" s="442"/>
      <c r="LE128" s="442"/>
      <c r="LF128" s="442"/>
      <c r="LG128" s="442"/>
      <c r="LH128" s="442"/>
      <c r="LI128" s="442"/>
      <c r="LJ128" s="442"/>
      <c r="LK128" s="442"/>
      <c r="LL128" s="442"/>
      <c r="LM128" s="442"/>
      <c r="LN128" s="442"/>
      <c r="LO128" s="442"/>
      <c r="LP128" s="442"/>
      <c r="LQ128" s="442"/>
      <c r="LR128" s="442"/>
      <c r="LS128" s="442"/>
      <c r="LT128" s="442"/>
      <c r="LU128" s="442"/>
      <c r="LV128" s="442"/>
      <c r="LW128" s="442"/>
      <c r="LX128" s="442"/>
      <c r="LY128" s="442"/>
      <c r="LZ128" s="442"/>
      <c r="MA128" s="442"/>
      <c r="MB128" s="442"/>
      <c r="MC128" s="442"/>
      <c r="MD128" s="442"/>
      <c r="ME128" s="442"/>
      <c r="MF128" s="442"/>
      <c r="MG128" s="442"/>
      <c r="MH128" s="442"/>
      <c r="MI128" s="442"/>
      <c r="MJ128" s="442"/>
      <c r="MK128" s="442"/>
      <c r="ML128" s="442"/>
      <c r="MM128" s="442"/>
      <c r="MN128" s="442"/>
      <c r="MO128" s="442"/>
      <c r="MP128" s="442"/>
      <c r="MQ128" s="442"/>
      <c r="MR128" s="442"/>
      <c r="MS128" s="442"/>
      <c r="MT128" s="442"/>
      <c r="MU128" s="442"/>
      <c r="NT128" s="106" t="s">
        <v>23</v>
      </c>
      <c r="NU128" s="106">
        <v>0</v>
      </c>
      <c r="NV128" s="106">
        <v>0</v>
      </c>
      <c r="NW128" s="106">
        <v>1.5</v>
      </c>
      <c r="NX128" s="106">
        <v>1.5</v>
      </c>
      <c r="NY128" s="106">
        <v>0</v>
      </c>
      <c r="NZ128" s="107"/>
      <c r="OA128" s="106">
        <v>-0.1</v>
      </c>
      <c r="OB128" s="106">
        <v>-0.1</v>
      </c>
      <c r="OC128" s="106">
        <v>1.6</v>
      </c>
      <c r="OD128" s="106">
        <v>1.6</v>
      </c>
      <c r="OE128" s="106">
        <v>-0.1</v>
      </c>
      <c r="OF128" s="107"/>
      <c r="OG128" s="107"/>
      <c r="OH128" s="107"/>
      <c r="OI128" s="107"/>
      <c r="OJ128" s="107"/>
      <c r="OK128" s="107"/>
    </row>
    <row r="129" spans="41:401" ht="14.1" customHeight="1" x14ac:dyDescent="0.2">
      <c r="AO129" s="299"/>
      <c r="BD129" s="442"/>
      <c r="BE129" s="442"/>
      <c r="BF129" s="442"/>
      <c r="BG129" s="442"/>
      <c r="BH129" s="442"/>
      <c r="BI129" s="442"/>
      <c r="BJ129" s="442"/>
      <c r="BK129" s="442"/>
      <c r="BL129" s="442"/>
      <c r="BM129" s="442"/>
      <c r="BN129" s="442"/>
      <c r="BO129" s="442"/>
      <c r="BP129" s="442"/>
      <c r="BQ129" s="442"/>
      <c r="BR129" s="442"/>
      <c r="BS129" s="442"/>
      <c r="BT129" s="442"/>
      <c r="BU129" s="442"/>
      <c r="BV129" s="442"/>
      <c r="BW129" s="442"/>
      <c r="BX129" s="442"/>
      <c r="BY129" s="442"/>
      <c r="BZ129" s="442"/>
      <c r="CA129" s="442"/>
      <c r="CB129" s="442"/>
      <c r="CC129" s="442"/>
      <c r="CD129" s="442"/>
      <c r="CE129" s="442"/>
      <c r="CF129" s="442"/>
      <c r="CG129" s="442"/>
      <c r="CH129" s="442"/>
      <c r="CI129" s="442"/>
      <c r="CJ129" s="442"/>
      <c r="CK129" s="442"/>
      <c r="CL129" s="442"/>
      <c r="CM129" s="442"/>
      <c r="CN129" s="442"/>
      <c r="CO129" s="442"/>
      <c r="CP129" s="442"/>
      <c r="CQ129" s="442"/>
      <c r="CR129" s="442"/>
      <c r="CS129" s="442"/>
      <c r="CT129" s="442"/>
      <c r="CU129" s="442"/>
      <c r="CV129" s="442"/>
      <c r="CW129" s="442"/>
      <c r="CX129" s="442"/>
      <c r="CY129" s="442"/>
      <c r="CZ129" s="442"/>
      <c r="DA129" s="442"/>
      <c r="DB129" s="442"/>
      <c r="DC129" s="442"/>
      <c r="NT129" s="107" t="s">
        <v>153</v>
      </c>
      <c r="NU129" s="107"/>
      <c r="NV129" s="107"/>
      <c r="NW129" s="107"/>
      <c r="NX129" s="107" t="s">
        <v>154</v>
      </c>
      <c r="NY129" s="107"/>
      <c r="NZ129" s="107"/>
      <c r="OA129" s="107"/>
      <c r="OB129" s="107"/>
      <c r="OC129" s="107"/>
      <c r="OD129" s="107"/>
      <c r="OE129" s="107"/>
      <c r="OF129" s="107"/>
      <c r="OG129" s="107"/>
      <c r="OH129" s="107"/>
      <c r="OI129" s="107"/>
      <c r="OJ129" s="107"/>
      <c r="OK129" s="107"/>
    </row>
    <row r="130" spans="41:401" ht="14.1" customHeight="1" x14ac:dyDescent="0.2">
      <c r="AO130" s="296"/>
      <c r="BD130" s="442"/>
      <c r="BE130" s="442"/>
      <c r="BF130" s="442"/>
      <c r="BG130" s="442"/>
      <c r="BH130" s="442"/>
      <c r="BI130" s="442"/>
      <c r="BJ130" s="442"/>
      <c r="BK130" s="442"/>
      <c r="BL130" s="442"/>
      <c r="BM130" s="442"/>
      <c r="BN130" s="442"/>
      <c r="BO130" s="442"/>
      <c r="BP130" s="442"/>
      <c r="BQ130" s="442"/>
      <c r="BR130" s="442"/>
      <c r="BS130" s="442"/>
      <c r="BT130" s="442"/>
      <c r="BU130" s="442"/>
      <c r="BV130" s="442"/>
      <c r="BW130" s="442"/>
      <c r="BX130" s="442"/>
      <c r="BY130" s="442"/>
      <c r="BZ130" s="442"/>
      <c r="CA130" s="442"/>
      <c r="CB130" s="442"/>
      <c r="CC130" s="442"/>
      <c r="CD130" s="442"/>
      <c r="CE130" s="442"/>
      <c r="CF130" s="442"/>
      <c r="CG130" s="442"/>
      <c r="CH130" s="442"/>
      <c r="CI130" s="442"/>
      <c r="CJ130" s="442"/>
      <c r="CK130" s="442"/>
      <c r="CL130" s="442"/>
      <c r="CM130" s="442"/>
      <c r="CN130" s="442"/>
      <c r="CO130" s="442"/>
      <c r="CP130" s="442"/>
      <c r="CQ130" s="442"/>
      <c r="CR130" s="442"/>
      <c r="CS130" s="442"/>
      <c r="CT130" s="442"/>
      <c r="CU130" s="442"/>
      <c r="CV130" s="442"/>
      <c r="CW130" s="442"/>
      <c r="CX130" s="442"/>
      <c r="CY130" s="442"/>
      <c r="CZ130" s="442"/>
      <c r="DA130" s="442"/>
      <c r="DB130" s="442"/>
      <c r="DC130" s="442"/>
      <c r="NT130" s="69" t="s">
        <v>22</v>
      </c>
      <c r="NU130" s="69">
        <v>-0.1</v>
      </c>
      <c r="NV130" s="69">
        <v>2.1</v>
      </c>
      <c r="NW130" s="69"/>
      <c r="NX130" s="69">
        <v>-0.1</v>
      </c>
      <c r="NY130" s="69">
        <v>2.1</v>
      </c>
      <c r="NZ130" s="69"/>
      <c r="OA130" s="69"/>
      <c r="OB130" s="69"/>
      <c r="OC130" s="69"/>
      <c r="OD130" s="69"/>
      <c r="OE130" s="69"/>
      <c r="OF130" s="69"/>
      <c r="OG130" s="69"/>
      <c r="OH130" s="69"/>
      <c r="OI130" s="69"/>
      <c r="OJ130" s="69"/>
      <c r="OK130" s="69"/>
    </row>
    <row r="131" spans="41:401" ht="14.1" customHeight="1" x14ac:dyDescent="0.2">
      <c r="AO131" s="296"/>
      <c r="BD131" s="442"/>
      <c r="BE131" s="442"/>
      <c r="BF131" s="442"/>
      <c r="BG131" s="442"/>
      <c r="BH131" s="442"/>
      <c r="BI131" s="442"/>
      <c r="BJ131" s="442"/>
      <c r="BK131" s="442"/>
      <c r="BL131" s="442"/>
      <c r="BM131" s="442"/>
      <c r="BN131" s="442"/>
      <c r="BO131" s="442"/>
      <c r="BP131" s="442"/>
      <c r="BQ131" s="442"/>
      <c r="BR131" s="442"/>
      <c r="BS131" s="442"/>
      <c r="BT131" s="442"/>
      <c r="BU131" s="442"/>
      <c r="BV131" s="442"/>
      <c r="BW131" s="442"/>
      <c r="BX131" s="442"/>
      <c r="BY131" s="442"/>
      <c r="BZ131" s="442"/>
      <c r="CA131" s="442"/>
      <c r="CB131" s="442"/>
      <c r="CC131" s="442"/>
      <c r="CD131" s="442"/>
      <c r="CE131" s="442"/>
      <c r="CF131" s="442"/>
      <c r="CG131" s="442"/>
      <c r="CH131" s="442"/>
      <c r="CI131" s="442"/>
      <c r="CJ131" s="442"/>
      <c r="CK131" s="442"/>
      <c r="CL131" s="442"/>
      <c r="CM131" s="442"/>
      <c r="CN131" s="442"/>
      <c r="CO131" s="442"/>
      <c r="CP131" s="442"/>
      <c r="CQ131" s="442"/>
      <c r="CR131" s="442"/>
      <c r="CS131" s="442"/>
      <c r="CT131" s="442"/>
      <c r="CU131" s="442"/>
      <c r="CV131" s="442"/>
      <c r="CW131" s="442"/>
      <c r="CX131" s="442"/>
      <c r="CY131" s="442"/>
      <c r="CZ131" s="442"/>
      <c r="DA131" s="442"/>
      <c r="DB131" s="442"/>
      <c r="DC131" s="442"/>
      <c r="HP131" s="512" t="s">
        <v>137</v>
      </c>
      <c r="HQ131" s="513"/>
      <c r="HR131" s="513"/>
      <c r="HS131" s="513"/>
      <c r="HT131" s="513"/>
      <c r="HU131" s="513"/>
      <c r="HV131" s="513"/>
      <c r="HW131" s="513"/>
      <c r="HX131" s="513"/>
      <c r="HY131" s="513"/>
      <c r="HZ131" s="513"/>
      <c r="IA131" s="513"/>
      <c r="IB131" s="513"/>
      <c r="IC131" s="513"/>
      <c r="ID131" s="513"/>
      <c r="IE131" s="513"/>
      <c r="IF131" s="513"/>
      <c r="IG131" s="513"/>
      <c r="IH131" s="513"/>
      <c r="II131" s="514"/>
      <c r="NT131" s="69" t="s">
        <v>23</v>
      </c>
      <c r="NU131" s="69">
        <v>1.4</v>
      </c>
      <c r="NV131" s="69">
        <v>1.4</v>
      </c>
      <c r="NW131" s="69"/>
      <c r="NX131" s="69">
        <v>0.1</v>
      </c>
      <c r="NY131" s="69">
        <v>0.1</v>
      </c>
      <c r="NZ131" s="69"/>
      <c r="OA131" s="69"/>
      <c r="OB131" s="69"/>
      <c r="OC131" s="69"/>
      <c r="OD131" s="69"/>
      <c r="OE131" s="69"/>
      <c r="OF131" s="69"/>
      <c r="OG131" s="69"/>
      <c r="OH131" s="69"/>
      <c r="OI131" s="69"/>
      <c r="OJ131" s="69"/>
      <c r="OK131" s="69"/>
    </row>
    <row r="132" spans="41:401" ht="14.1" customHeight="1" x14ac:dyDescent="0.2">
      <c r="AO132" s="297"/>
      <c r="BD132" s="442"/>
      <c r="BE132" s="442"/>
      <c r="BF132" s="442"/>
      <c r="BG132" s="442"/>
      <c r="BH132" s="442"/>
      <c r="BI132" s="442"/>
      <c r="BJ132" s="442"/>
      <c r="BK132" s="442"/>
      <c r="BL132" s="442"/>
      <c r="BM132" s="442"/>
      <c r="BN132" s="442"/>
      <c r="BO132" s="442"/>
      <c r="BP132" s="442"/>
      <c r="BQ132" s="442"/>
      <c r="BR132" s="442"/>
      <c r="BS132" s="442"/>
      <c r="BT132" s="442"/>
      <c r="BU132" s="442"/>
      <c r="BV132" s="442"/>
      <c r="BW132" s="442"/>
      <c r="BX132" s="442"/>
      <c r="BY132" s="442"/>
      <c r="BZ132" s="442"/>
      <c r="CA132" s="442"/>
      <c r="CB132" s="442"/>
      <c r="CC132" s="442"/>
      <c r="CD132" s="442"/>
      <c r="CE132" s="442"/>
      <c r="CF132" s="442"/>
      <c r="CG132" s="442"/>
      <c r="CH132" s="442"/>
      <c r="CI132" s="442"/>
      <c r="CJ132" s="442"/>
      <c r="CK132" s="442"/>
      <c r="CL132" s="442"/>
      <c r="CM132" s="442"/>
      <c r="CN132" s="442"/>
      <c r="CO132" s="442"/>
      <c r="CP132" s="442"/>
      <c r="CQ132" s="442"/>
      <c r="CR132" s="442"/>
      <c r="CS132" s="442"/>
      <c r="CT132" s="442"/>
      <c r="CU132" s="442"/>
      <c r="CV132" s="442"/>
      <c r="CW132" s="442"/>
      <c r="CX132" s="442"/>
      <c r="CY132" s="442"/>
      <c r="CZ132" s="442"/>
      <c r="DA132" s="442"/>
      <c r="DB132" s="442"/>
      <c r="DC132" s="442"/>
      <c r="HP132" s="477" t="s">
        <v>42</v>
      </c>
      <c r="HQ132" s="478"/>
      <c r="HR132" s="478"/>
      <c r="HS132" s="478"/>
      <c r="HT132" s="478"/>
      <c r="HU132" s="478"/>
      <c r="HV132" s="478"/>
      <c r="HW132" s="478"/>
      <c r="HX132" s="478"/>
      <c r="HY132" s="478"/>
      <c r="HZ132" s="478"/>
      <c r="IA132" s="479"/>
      <c r="IB132" s="524" t="s">
        <v>43</v>
      </c>
      <c r="IC132" s="525"/>
      <c r="ID132" s="525"/>
      <c r="IE132" s="525"/>
      <c r="IF132" s="525"/>
      <c r="IG132" s="525"/>
      <c r="IH132" s="525"/>
      <c r="II132" s="526"/>
      <c r="NT132" s="107" t="s">
        <v>231</v>
      </c>
      <c r="NU132" s="107"/>
      <c r="NV132" s="107"/>
      <c r="NW132" s="107"/>
      <c r="NX132" s="107" t="s">
        <v>232</v>
      </c>
      <c r="NY132" s="69"/>
      <c r="NZ132" s="69"/>
      <c r="OA132" s="69"/>
      <c r="OB132" s="69"/>
      <c r="OC132" s="69"/>
      <c r="OD132" s="69"/>
      <c r="OE132" s="69"/>
      <c r="OF132" s="69"/>
      <c r="OG132" s="69"/>
      <c r="OH132" s="69"/>
      <c r="OI132" s="69"/>
      <c r="OJ132" s="69"/>
      <c r="OK132" s="69"/>
    </row>
    <row r="133" spans="41:401" ht="14.1" customHeight="1" x14ac:dyDescent="0.2">
      <c r="AO133" s="69"/>
      <c r="BD133" s="442"/>
      <c r="BE133" s="442"/>
      <c r="BF133" s="442"/>
      <c r="BG133" s="442"/>
      <c r="BH133" s="442"/>
      <c r="BI133" s="442"/>
      <c r="BJ133" s="442"/>
      <c r="BK133" s="442"/>
      <c r="BL133" s="442"/>
      <c r="BM133" s="442"/>
      <c r="BN133" s="442"/>
      <c r="BO133" s="442"/>
      <c r="BP133" s="442"/>
      <c r="BQ133" s="442"/>
      <c r="BR133" s="442"/>
      <c r="BS133" s="442"/>
      <c r="BT133" s="442"/>
      <c r="BU133" s="442"/>
      <c r="BV133" s="442"/>
      <c r="BW133" s="442"/>
      <c r="BX133" s="442"/>
      <c r="BY133" s="442"/>
      <c r="BZ133" s="442"/>
      <c r="CA133" s="442"/>
      <c r="CB133" s="442"/>
      <c r="CC133" s="442"/>
      <c r="CD133" s="442"/>
      <c r="CE133" s="442"/>
      <c r="CF133" s="442"/>
      <c r="CG133" s="442"/>
      <c r="CH133" s="442"/>
      <c r="CI133" s="442"/>
      <c r="CJ133" s="442"/>
      <c r="CK133" s="442"/>
      <c r="CL133" s="442"/>
      <c r="CM133" s="442"/>
      <c r="CN133" s="442"/>
      <c r="CO133" s="442"/>
      <c r="CP133" s="442"/>
      <c r="CQ133" s="442"/>
      <c r="CR133" s="442"/>
      <c r="CS133" s="442"/>
      <c r="CT133" s="442"/>
      <c r="CU133" s="442"/>
      <c r="CV133" s="442"/>
      <c r="CW133" s="442"/>
      <c r="CX133" s="442"/>
      <c r="CY133" s="442"/>
      <c r="CZ133" s="442"/>
      <c r="DA133" s="442"/>
      <c r="DB133" s="442"/>
      <c r="DC133" s="442"/>
      <c r="HP133" s="509" t="str">
        <f>W27</f>
        <v>Con.-</v>
      </c>
      <c r="HQ133" s="510"/>
      <c r="HR133" s="510"/>
      <c r="HS133" s="511"/>
      <c r="HT133" s="512" t="str">
        <f>Z27</f>
        <v>Mid.+</v>
      </c>
      <c r="HU133" s="513"/>
      <c r="HV133" s="513"/>
      <c r="HW133" s="514"/>
      <c r="HX133" s="509" t="str">
        <f>AC27</f>
        <v>Con.-</v>
      </c>
      <c r="HY133" s="510"/>
      <c r="HZ133" s="510"/>
      <c r="IA133" s="511"/>
      <c r="IB133" s="477" t="s">
        <v>214</v>
      </c>
      <c r="IC133" s="478"/>
      <c r="ID133" s="478"/>
      <c r="IE133" s="478"/>
      <c r="IF133" s="478"/>
      <c r="IG133" s="478"/>
      <c r="IH133" s="478"/>
      <c r="II133" s="479"/>
      <c r="NT133" s="69" t="s">
        <v>22</v>
      </c>
      <c r="NU133" s="69">
        <v>1</v>
      </c>
      <c r="NV133" s="69">
        <v>1</v>
      </c>
      <c r="NW133" s="69"/>
      <c r="NX133" s="69">
        <v>1</v>
      </c>
      <c r="NY133" s="69">
        <v>1</v>
      </c>
      <c r="NZ133" s="69"/>
      <c r="OA133" s="69"/>
      <c r="OB133" s="69"/>
      <c r="OC133" s="69"/>
      <c r="OD133" s="69"/>
      <c r="OE133" s="69"/>
      <c r="OF133" s="69"/>
      <c r="OG133" s="69"/>
      <c r="OH133" s="69"/>
      <c r="OI133" s="69"/>
      <c r="OJ133" s="69"/>
      <c r="OK133" s="69"/>
    </row>
    <row r="134" spans="41:401" ht="14.1" customHeight="1" x14ac:dyDescent="0.2">
      <c r="AO134" s="69"/>
      <c r="AP134" s="69"/>
      <c r="AQ134" s="69"/>
      <c r="AR134" s="69"/>
      <c r="AS134" s="69"/>
      <c r="AT134" s="69"/>
      <c r="AU134" s="69"/>
      <c r="AV134" s="69"/>
      <c r="AW134" s="69"/>
      <c r="AX134" s="69"/>
      <c r="AY134" s="69"/>
      <c r="AZ134" s="69"/>
      <c r="BA134" s="69"/>
      <c r="DC134" s="442"/>
      <c r="HP134" s="515" t="str">
        <f>CONCATENATE(V20,W20,"@",IF(HR109&lt;ID109,HR109,ID109))</f>
        <v>DB12@0.3</v>
      </c>
      <c r="HQ134" s="515"/>
      <c r="HR134" s="515"/>
      <c r="HS134" s="515"/>
      <c r="HT134" s="515" t="str">
        <f>CONCATENATE(V20,W20,"@",HX109)</f>
        <v>DB12@0.3</v>
      </c>
      <c r="HU134" s="515"/>
      <c r="HV134" s="515"/>
      <c r="HW134" s="515"/>
      <c r="HX134" s="515" t="str">
        <f>CONCATENATE(V20,W20,"@",IF(ID109&lt;HR109,ID109,HR109))</f>
        <v>DB12@0.3</v>
      </c>
      <c r="HY134" s="515"/>
      <c r="HZ134" s="515"/>
      <c r="IA134" s="515"/>
      <c r="IB134" s="517" t="str">
        <f>CONCATENATE(V21,W21,"@",HT101)</f>
        <v>RB9@0.25</v>
      </c>
      <c r="IC134" s="518"/>
      <c r="ID134" s="518"/>
      <c r="IE134" s="518"/>
      <c r="IF134" s="518"/>
      <c r="IG134" s="518"/>
      <c r="IH134" s="518"/>
      <c r="II134" s="518"/>
      <c r="NT134" s="69" t="s">
        <v>23</v>
      </c>
      <c r="NU134" s="69">
        <v>-0.1</v>
      </c>
      <c r="NV134" s="69">
        <v>0.3</v>
      </c>
      <c r="NW134" s="69"/>
      <c r="NX134" s="69">
        <v>1.2</v>
      </c>
      <c r="NY134" s="69">
        <v>1.6</v>
      </c>
      <c r="NZ134" s="69"/>
      <c r="OA134" s="69"/>
      <c r="OB134" s="69"/>
      <c r="OC134" s="69"/>
      <c r="OD134" s="69"/>
      <c r="OE134" s="69"/>
      <c r="OF134" s="69"/>
      <c r="OG134" s="69"/>
      <c r="OH134" s="69"/>
      <c r="OI134" s="69"/>
      <c r="OJ134" s="69"/>
      <c r="OK134" s="69"/>
    </row>
    <row r="135" spans="41:401" ht="14.1" customHeight="1" x14ac:dyDescent="0.2">
      <c r="AO135" s="69"/>
      <c r="AP135" s="69"/>
      <c r="AQ135" s="69"/>
      <c r="AR135" s="69"/>
      <c r="AS135" s="69"/>
      <c r="AT135" s="69"/>
      <c r="AU135" s="69"/>
      <c r="AV135" s="69"/>
      <c r="AW135" s="69"/>
      <c r="AX135" s="69"/>
      <c r="AY135" s="69"/>
      <c r="AZ135" s="69"/>
      <c r="BA135" s="69"/>
      <c r="DC135" s="442"/>
      <c r="HP135" s="516"/>
      <c r="HQ135" s="516"/>
      <c r="HR135" s="516"/>
      <c r="HS135" s="516"/>
      <c r="HT135" s="516"/>
      <c r="HU135" s="516"/>
      <c r="HV135" s="516"/>
      <c r="HW135" s="516"/>
      <c r="HX135" s="516"/>
      <c r="HY135" s="516"/>
      <c r="HZ135" s="516"/>
      <c r="IA135" s="516"/>
      <c r="IB135" s="519"/>
      <c r="IC135" s="520"/>
      <c r="ID135" s="520"/>
      <c r="IE135" s="520"/>
      <c r="IF135" s="520"/>
      <c r="IG135" s="520"/>
      <c r="IH135" s="520"/>
      <c r="II135" s="520"/>
      <c r="NT135" s="69" t="s">
        <v>233</v>
      </c>
      <c r="NU135" s="69"/>
      <c r="NV135" s="69"/>
      <c r="NW135" s="69"/>
      <c r="NX135" s="69"/>
      <c r="NY135" s="69"/>
      <c r="NZ135" s="69"/>
      <c r="OA135" s="69"/>
      <c r="OB135" s="69"/>
      <c r="OC135" s="69"/>
      <c r="OD135" s="69"/>
      <c r="OE135" s="69"/>
      <c r="OF135" s="69"/>
      <c r="OG135" s="69"/>
      <c r="OH135" s="69"/>
      <c r="OI135" s="69"/>
      <c r="OJ135" s="69"/>
      <c r="OK135" s="69"/>
    </row>
    <row r="136" spans="41:401" ht="14.1" customHeight="1" x14ac:dyDescent="0.2">
      <c r="AO136" s="69"/>
      <c r="AP136" s="69"/>
      <c r="AQ136" s="69"/>
      <c r="AR136" s="69"/>
      <c r="AS136" s="69"/>
      <c r="AT136" s="69"/>
      <c r="AU136" s="69"/>
      <c r="AV136" s="69"/>
      <c r="AW136" s="69"/>
      <c r="AX136" s="69"/>
      <c r="AY136" s="69"/>
      <c r="AZ136" s="69"/>
      <c r="BA136" s="69"/>
      <c r="DC136" s="442"/>
      <c r="NT136" s="69" t="s">
        <v>22</v>
      </c>
      <c r="NU136" s="69">
        <v>0</v>
      </c>
      <c r="NV136" s="69">
        <v>2</v>
      </c>
      <c r="NW136" s="69"/>
      <c r="NX136" s="69">
        <v>1</v>
      </c>
      <c r="NY136" s="69"/>
      <c r="NZ136" s="69"/>
      <c r="OA136" s="69"/>
      <c r="OB136" s="69"/>
      <c r="OC136" s="69"/>
      <c r="OD136" s="69"/>
      <c r="OE136" s="69"/>
      <c r="OF136" s="69"/>
      <c r="OG136" s="69"/>
      <c r="OH136" s="69"/>
      <c r="OI136" s="69"/>
      <c r="OJ136" s="69"/>
      <c r="OK136" s="69"/>
    </row>
    <row r="137" spans="41:401" ht="14.1" customHeight="1" x14ac:dyDescent="0.2">
      <c r="DC137" s="442"/>
      <c r="NT137" s="69" t="s">
        <v>23</v>
      </c>
      <c r="NU137" s="69">
        <v>0.2</v>
      </c>
      <c r="NV137" s="69">
        <v>0.2</v>
      </c>
      <c r="NW137" s="69"/>
      <c r="NX137" s="69">
        <v>0.2</v>
      </c>
      <c r="NY137" s="69"/>
      <c r="NZ137" s="69"/>
      <c r="OA137" s="69"/>
      <c r="OB137" s="69"/>
      <c r="OC137" s="69"/>
      <c r="OD137" s="69"/>
      <c r="OE137" s="69"/>
      <c r="OF137" s="69"/>
      <c r="OG137" s="69"/>
      <c r="OH137" s="69"/>
      <c r="OI137" s="69"/>
      <c r="OJ137" s="69"/>
      <c r="OK137" s="69"/>
    </row>
    <row r="138" spans="41:401" ht="14.1" customHeight="1" x14ac:dyDescent="0.2">
      <c r="DC138" s="442"/>
      <c r="NT138" s="69" t="s">
        <v>234</v>
      </c>
      <c r="NU138" s="69"/>
      <c r="NV138" s="69"/>
      <c r="NW138" s="69"/>
      <c r="NX138" s="69"/>
      <c r="NY138" s="69"/>
      <c r="NZ138" s="69"/>
      <c r="OA138" s="69"/>
      <c r="OB138" s="69"/>
      <c r="OC138" s="69"/>
      <c r="OD138" s="69"/>
      <c r="OE138" s="69"/>
      <c r="OF138" s="69"/>
      <c r="OG138" s="69"/>
      <c r="OH138" s="69"/>
      <c r="OI138" s="69"/>
      <c r="OJ138" s="69"/>
      <c r="OK138" s="69"/>
    </row>
    <row r="139" spans="41:401" ht="14.1" customHeight="1" x14ac:dyDescent="0.2">
      <c r="DC139" s="442"/>
      <c r="NT139" s="69" t="s">
        <v>22</v>
      </c>
      <c r="NU139" s="69">
        <v>0</v>
      </c>
      <c r="NV139" s="69">
        <v>2</v>
      </c>
      <c r="NW139" s="69"/>
      <c r="NX139" s="69">
        <v>1</v>
      </c>
      <c r="NY139" s="69"/>
      <c r="NZ139" s="69"/>
      <c r="OA139" s="69"/>
      <c r="OB139" s="69"/>
      <c r="OC139" s="69"/>
      <c r="OD139" s="69"/>
      <c r="OE139" s="69"/>
      <c r="OF139" s="69"/>
      <c r="OG139" s="69"/>
      <c r="OH139" s="69"/>
      <c r="OI139" s="69"/>
      <c r="OJ139" s="69"/>
      <c r="OK139" s="69"/>
    </row>
    <row r="140" spans="41:401" ht="14.1" customHeight="1" x14ac:dyDescent="0.2">
      <c r="DC140" s="442"/>
      <c r="NT140" s="69" t="s">
        <v>23</v>
      </c>
      <c r="NU140" s="69">
        <v>1.3</v>
      </c>
      <c r="NV140" s="69">
        <v>1.3</v>
      </c>
      <c r="NW140" s="69"/>
      <c r="NX140" s="69">
        <v>1.3</v>
      </c>
      <c r="NY140" s="69"/>
      <c r="NZ140" s="69"/>
      <c r="OA140" s="69"/>
      <c r="OB140" s="69"/>
      <c r="OC140" s="69"/>
      <c r="OD140" s="69"/>
      <c r="OE140" s="69"/>
      <c r="OF140" s="69"/>
      <c r="OG140" s="69"/>
      <c r="OH140" s="69"/>
      <c r="OI140" s="69"/>
      <c r="OJ140" s="69"/>
      <c r="OK140" s="69"/>
    </row>
    <row r="141" spans="41:401" ht="14.1" customHeight="1" x14ac:dyDescent="0.2">
      <c r="DC141" s="442"/>
      <c r="NT141" s="69" t="s">
        <v>235</v>
      </c>
      <c r="NU141" s="69"/>
      <c r="NV141" s="69"/>
      <c r="NW141" s="69"/>
      <c r="NX141" s="69"/>
      <c r="NY141" s="69"/>
      <c r="NZ141" s="69"/>
      <c r="OA141" s="69"/>
      <c r="OB141" s="69"/>
      <c r="OC141" s="69"/>
      <c r="OD141" s="69"/>
      <c r="OE141" s="69"/>
      <c r="OF141" s="69"/>
      <c r="OG141" s="69"/>
      <c r="OH141" s="69"/>
      <c r="OI141" s="69"/>
      <c r="OJ141" s="69"/>
      <c r="OK141" s="69"/>
    </row>
    <row r="142" spans="41:401" ht="14.1" customHeight="1" x14ac:dyDescent="0.2">
      <c r="DC142" s="442"/>
      <c r="NT142" s="69" t="s">
        <v>22</v>
      </c>
      <c r="NU142" s="69">
        <v>0.5</v>
      </c>
      <c r="NV142" s="69">
        <v>0.5</v>
      </c>
      <c r="NW142" s="69"/>
      <c r="NX142" s="69">
        <v>0.5</v>
      </c>
      <c r="NY142" s="69"/>
      <c r="NZ142" s="69"/>
      <c r="OA142" s="69"/>
      <c r="OB142" s="69"/>
      <c r="OC142" s="69"/>
      <c r="OD142" s="69"/>
      <c r="OE142" s="69"/>
      <c r="OF142" s="69"/>
      <c r="OG142" s="69"/>
      <c r="OH142" s="69"/>
      <c r="OI142" s="69"/>
      <c r="OJ142" s="69"/>
      <c r="OK142" s="69"/>
    </row>
    <row r="143" spans="41:401" ht="14.1" customHeight="1" x14ac:dyDescent="0.2">
      <c r="DC143" s="442"/>
      <c r="NT143" s="69" t="s">
        <v>23</v>
      </c>
      <c r="NU143" s="69">
        <v>1.2</v>
      </c>
      <c r="NV143" s="69">
        <v>1.5</v>
      </c>
      <c r="NW143" s="69"/>
      <c r="NX143" s="69">
        <v>1.4</v>
      </c>
      <c r="NY143" s="69"/>
      <c r="NZ143" s="69"/>
      <c r="OA143" s="69"/>
      <c r="OB143" s="69"/>
      <c r="OC143" s="69"/>
      <c r="OD143" s="69"/>
      <c r="OE143" s="69"/>
      <c r="OF143" s="69"/>
      <c r="OG143" s="69"/>
      <c r="OH143" s="69"/>
      <c r="OI143" s="69"/>
      <c r="OJ143" s="69"/>
      <c r="OK143" s="69"/>
    </row>
    <row r="144" spans="41:401" ht="14.1" customHeight="1" x14ac:dyDescent="0.2">
      <c r="DC144" s="442"/>
      <c r="NT144" s="69" t="s">
        <v>236</v>
      </c>
      <c r="NU144" s="69"/>
      <c r="NV144" s="69"/>
      <c r="NW144" s="69"/>
      <c r="NX144" s="69"/>
      <c r="NY144" s="69"/>
      <c r="NZ144" s="69"/>
      <c r="OA144" s="69"/>
      <c r="OB144" s="69"/>
      <c r="OC144" s="69"/>
      <c r="OD144" s="69"/>
      <c r="OE144" s="69"/>
      <c r="OF144" s="69"/>
      <c r="OG144" s="69"/>
      <c r="OH144" s="69"/>
      <c r="OI144" s="69"/>
      <c r="OJ144" s="69"/>
      <c r="OK144" s="69"/>
    </row>
    <row r="145" spans="107:401" ht="14.1" customHeight="1" x14ac:dyDescent="0.2">
      <c r="DC145" s="442"/>
      <c r="NT145" s="69" t="s">
        <v>22</v>
      </c>
      <c r="NU145" s="101">
        <v>0.5</v>
      </c>
      <c r="NV145" s="101">
        <v>0.5</v>
      </c>
      <c r="NW145" s="101"/>
      <c r="NX145" s="69">
        <v>0.5</v>
      </c>
      <c r="NY145" s="101"/>
      <c r="NZ145" s="101">
        <v>0.45</v>
      </c>
      <c r="OA145" s="101">
        <v>0.55000000000000004</v>
      </c>
      <c r="OB145" s="69"/>
      <c r="OC145" s="101"/>
      <c r="OD145" s="101">
        <f>NZ145</f>
        <v>0.45</v>
      </c>
      <c r="OE145" s="101">
        <f>OA145</f>
        <v>0.55000000000000004</v>
      </c>
      <c r="OF145" s="69"/>
      <c r="OG145" s="101"/>
      <c r="OH145" s="101"/>
      <c r="OI145" s="101"/>
      <c r="OJ145" s="69"/>
      <c r="OK145" s="101"/>
    </row>
    <row r="146" spans="107:401" ht="14.1" customHeight="1" x14ac:dyDescent="0.2">
      <c r="DC146" s="442"/>
      <c r="NT146" s="69" t="s">
        <v>23</v>
      </c>
      <c r="NU146" s="101">
        <v>0</v>
      </c>
      <c r="NV146" s="101">
        <v>0.3</v>
      </c>
      <c r="NW146" s="101"/>
      <c r="NX146" s="101">
        <v>0.1</v>
      </c>
      <c r="NY146" s="101"/>
      <c r="NZ146" s="101">
        <v>0.3</v>
      </c>
      <c r="OA146" s="101">
        <v>0.3</v>
      </c>
      <c r="OB146" s="101"/>
      <c r="OC146" s="101"/>
      <c r="OD146" s="101">
        <v>1.2</v>
      </c>
      <c r="OE146" s="101">
        <v>1.2</v>
      </c>
      <c r="OF146" s="101"/>
      <c r="OG146" s="101"/>
      <c r="OH146" s="101"/>
      <c r="OI146" s="101"/>
      <c r="OJ146" s="101"/>
      <c r="OK146" s="101"/>
    </row>
    <row r="147" spans="107:401" ht="14.1" customHeight="1" x14ac:dyDescent="0.2">
      <c r="DC147" s="442"/>
      <c r="NT147" s="69" t="s">
        <v>237</v>
      </c>
      <c r="NU147" s="69"/>
      <c r="NV147" s="69"/>
      <c r="NW147" s="69"/>
      <c r="NX147" s="69"/>
      <c r="NY147" s="69"/>
      <c r="NZ147" s="69"/>
      <c r="OA147" s="69"/>
      <c r="OB147" s="69"/>
      <c r="OC147" s="69"/>
      <c r="OD147" s="69" t="s">
        <v>256</v>
      </c>
      <c r="OE147" s="69"/>
      <c r="OF147" s="69"/>
      <c r="OG147" s="69"/>
      <c r="OH147" s="69"/>
      <c r="OI147" s="69"/>
      <c r="OJ147" s="69"/>
      <c r="OK147" s="69"/>
    </row>
    <row r="148" spans="107:401" ht="14.1" customHeight="1" x14ac:dyDescent="0.2">
      <c r="DC148" s="442"/>
      <c r="NT148" s="69" t="s">
        <v>22</v>
      </c>
      <c r="NU148" s="69">
        <v>-0.4</v>
      </c>
      <c r="NV148" s="69">
        <v>-0.4</v>
      </c>
      <c r="NW148" s="69"/>
      <c r="NX148" s="69">
        <v>-0.45</v>
      </c>
      <c r="NY148" s="69">
        <v>-0.35</v>
      </c>
      <c r="NZ148" s="69"/>
      <c r="OA148" s="69">
        <f>NX148</f>
        <v>-0.45</v>
      </c>
      <c r="OB148" s="69">
        <f>NY148</f>
        <v>-0.35</v>
      </c>
      <c r="OC148" s="69"/>
      <c r="OD148" s="69">
        <f>NU148</f>
        <v>-0.4</v>
      </c>
      <c r="OE148" s="69">
        <f>NU148</f>
        <v>-0.4</v>
      </c>
      <c r="OF148" s="69"/>
      <c r="OG148" s="69">
        <f>OA148</f>
        <v>-0.45</v>
      </c>
      <c r="OH148" s="69">
        <f>OB148</f>
        <v>-0.35</v>
      </c>
      <c r="OI148" s="69"/>
      <c r="OJ148" s="69">
        <f>NU148</f>
        <v>-0.4</v>
      </c>
      <c r="OK148" s="69"/>
    </row>
    <row r="149" spans="107:401" ht="14.1" customHeight="1" x14ac:dyDescent="0.2">
      <c r="DC149" s="442"/>
      <c r="NT149" s="69" t="s">
        <v>23</v>
      </c>
      <c r="NU149" s="69">
        <v>-0.05</v>
      </c>
      <c r="NV149" s="69">
        <v>0.3</v>
      </c>
      <c r="NW149" s="69"/>
      <c r="NX149" s="69">
        <v>-0.05</v>
      </c>
      <c r="NY149" s="69">
        <v>-0.05</v>
      </c>
      <c r="NZ149" s="69"/>
      <c r="OA149" s="69">
        <v>0.3</v>
      </c>
      <c r="OB149" s="69">
        <v>0.3</v>
      </c>
      <c r="OC149" s="69"/>
      <c r="OD149" s="69">
        <v>-0.05</v>
      </c>
      <c r="OE149" s="69">
        <v>1.55</v>
      </c>
      <c r="OF149" s="69"/>
      <c r="OG149" s="69">
        <v>1.55</v>
      </c>
      <c r="OH149" s="69">
        <f>OG149</f>
        <v>1.55</v>
      </c>
      <c r="OI149" s="69"/>
      <c r="OJ149" s="69">
        <v>0.75</v>
      </c>
      <c r="OK149" s="69"/>
    </row>
    <row r="150" spans="107:401" ht="14.1" customHeight="1" x14ac:dyDescent="0.2">
      <c r="DC150" s="442"/>
      <c r="NT150" s="69" t="s">
        <v>238</v>
      </c>
      <c r="NU150" s="69"/>
      <c r="NV150" s="69"/>
      <c r="NW150" s="69"/>
      <c r="NX150" s="69"/>
      <c r="NY150" s="69"/>
      <c r="NZ150" s="69"/>
      <c r="OA150" s="69"/>
      <c r="OB150" s="69"/>
      <c r="OC150" s="69"/>
      <c r="OD150" s="69"/>
      <c r="OE150" s="69"/>
      <c r="OF150" s="69"/>
      <c r="OG150" s="69"/>
      <c r="OH150" s="69"/>
      <c r="OI150" s="69"/>
      <c r="OJ150" s="69"/>
      <c r="OK150" s="69"/>
    </row>
    <row r="151" spans="107:401" ht="14.1" customHeight="1" x14ac:dyDescent="0.2">
      <c r="DC151" s="442"/>
      <c r="NT151" s="69" t="s">
        <v>22</v>
      </c>
      <c r="NU151" s="69">
        <f>NU148</f>
        <v>-0.4</v>
      </c>
      <c r="NV151" s="69">
        <f>NV148</f>
        <v>-0.4</v>
      </c>
      <c r="NW151" s="69"/>
      <c r="NX151" s="69">
        <f>NX148</f>
        <v>-0.45</v>
      </c>
      <c r="NY151" s="69">
        <f>NY148</f>
        <v>-0.35</v>
      </c>
      <c r="NZ151" s="69"/>
      <c r="OA151" s="69">
        <f>NX151</f>
        <v>-0.45</v>
      </c>
      <c r="OB151" s="69">
        <f>NY151</f>
        <v>-0.35</v>
      </c>
      <c r="OC151" s="69"/>
      <c r="OD151" s="69"/>
      <c r="OE151" s="69"/>
      <c r="OF151" s="69"/>
      <c r="OG151" s="69"/>
      <c r="OH151" s="69"/>
      <c r="OI151" s="69"/>
      <c r="OJ151" s="69"/>
      <c r="OK151" s="69"/>
    </row>
    <row r="152" spans="107:401" ht="14.1" customHeight="1" x14ac:dyDescent="0.2">
      <c r="DC152" s="442"/>
      <c r="NT152" s="69" t="s">
        <v>23</v>
      </c>
      <c r="NU152" s="69">
        <v>1.2</v>
      </c>
      <c r="NV152" s="69">
        <v>1.55</v>
      </c>
      <c r="NW152" s="69"/>
      <c r="NX152" s="69">
        <v>1.2</v>
      </c>
      <c r="NY152" s="69">
        <v>1.2</v>
      </c>
      <c r="NZ152" s="69"/>
      <c r="OA152" s="69">
        <v>1.55</v>
      </c>
      <c r="OB152" s="69">
        <v>1.55</v>
      </c>
      <c r="OC152" s="69"/>
      <c r="OD152" s="69"/>
      <c r="OE152" s="69"/>
      <c r="OF152" s="69"/>
      <c r="OG152" s="69"/>
      <c r="OH152" s="69"/>
      <c r="OI152" s="69"/>
      <c r="OJ152" s="69"/>
      <c r="OK152" s="69"/>
    </row>
    <row r="153" spans="107:401" ht="14.1" customHeight="1" x14ac:dyDescent="0.2">
      <c r="DC153" s="442"/>
      <c r="NT153" s="69" t="s">
        <v>239</v>
      </c>
      <c r="NU153" s="69"/>
      <c r="NV153" s="69"/>
      <c r="NW153" s="69"/>
      <c r="NX153" s="69"/>
      <c r="NY153" s="69"/>
      <c r="NZ153" s="69"/>
      <c r="OA153" s="69"/>
      <c r="OB153" s="69"/>
      <c r="OC153" s="69"/>
      <c r="OD153" s="69" t="s">
        <v>257</v>
      </c>
      <c r="OE153" s="69"/>
      <c r="OF153" s="69"/>
      <c r="OG153" s="69"/>
      <c r="OH153" s="69"/>
      <c r="OI153" s="69"/>
      <c r="OJ153" s="69"/>
      <c r="OK153" s="69"/>
    </row>
    <row r="154" spans="107:401" ht="14.1" customHeight="1" x14ac:dyDescent="0.2">
      <c r="DC154" s="442"/>
      <c r="NT154" s="69" t="s">
        <v>22</v>
      </c>
      <c r="NU154" s="69">
        <v>-0.05</v>
      </c>
      <c r="NV154" s="69">
        <v>0.4</v>
      </c>
      <c r="NW154" s="69"/>
      <c r="NX154" s="69">
        <v>-0.05</v>
      </c>
      <c r="NY154" s="69">
        <v>-0.05</v>
      </c>
      <c r="NZ154" s="69"/>
      <c r="OA154" s="69">
        <v>0.4</v>
      </c>
      <c r="OB154" s="69">
        <v>0.4</v>
      </c>
      <c r="OC154" s="69"/>
      <c r="OD154" s="69">
        <v>-0.05</v>
      </c>
      <c r="OE154" s="69">
        <v>2.0499999999999998</v>
      </c>
      <c r="OF154" s="69"/>
      <c r="OG154" s="69">
        <f>OE154</f>
        <v>2.0499999999999998</v>
      </c>
      <c r="OH154" s="69">
        <f>OE154</f>
        <v>2.0499999999999998</v>
      </c>
      <c r="OI154" s="69"/>
      <c r="OJ154" s="69">
        <v>1</v>
      </c>
      <c r="OK154" s="69"/>
    </row>
    <row r="155" spans="107:401" ht="14.1" customHeight="1" x14ac:dyDescent="0.2">
      <c r="DC155" s="442"/>
      <c r="NT155" s="69" t="s">
        <v>23</v>
      </c>
      <c r="NU155" s="69">
        <v>-0.4</v>
      </c>
      <c r="NV155" s="69">
        <v>-0.4</v>
      </c>
      <c r="NW155" s="69"/>
      <c r="NX155" s="69">
        <v>-0.35</v>
      </c>
      <c r="NY155" s="69">
        <v>-0.45</v>
      </c>
      <c r="NZ155" s="69"/>
      <c r="OA155" s="69">
        <f>NX155</f>
        <v>-0.35</v>
      </c>
      <c r="OB155" s="297">
        <f>NY155</f>
        <v>-0.45</v>
      </c>
      <c r="OC155" s="69"/>
      <c r="OD155" s="69">
        <f>NU155</f>
        <v>-0.4</v>
      </c>
      <c r="OE155" s="69">
        <f>OD155</f>
        <v>-0.4</v>
      </c>
      <c r="OF155" s="69"/>
      <c r="OG155" s="69">
        <f>OA155</f>
        <v>-0.35</v>
      </c>
      <c r="OH155" s="69">
        <f>OB155</f>
        <v>-0.45</v>
      </c>
      <c r="OI155" s="69"/>
      <c r="OJ155" s="69">
        <v>-0.43</v>
      </c>
      <c r="OK155" s="69"/>
    </row>
    <row r="156" spans="107:401" ht="14.1" customHeight="1" x14ac:dyDescent="0.2">
      <c r="DC156" s="442"/>
      <c r="NT156" s="69" t="s">
        <v>240</v>
      </c>
      <c r="NU156" s="69"/>
      <c r="NV156" s="69"/>
      <c r="NW156" s="69"/>
      <c r="NX156" s="69"/>
      <c r="NY156" s="69"/>
      <c r="NZ156" s="69"/>
      <c r="OA156" s="69"/>
      <c r="OB156" s="308"/>
      <c r="OC156" s="69"/>
      <c r="OD156" s="69"/>
      <c r="OE156" s="69"/>
      <c r="OF156" s="69"/>
      <c r="OG156" s="69"/>
      <c r="OH156" s="69"/>
      <c r="OI156" s="69"/>
      <c r="OJ156" s="69"/>
      <c r="OK156" s="69"/>
    </row>
    <row r="157" spans="107:401" ht="14.1" customHeight="1" x14ac:dyDescent="0.2">
      <c r="DC157" s="442"/>
      <c r="NT157" s="69" t="s">
        <v>22</v>
      </c>
      <c r="NU157" s="69">
        <v>1.6</v>
      </c>
      <c r="NV157" s="69">
        <v>2.0499999999999998</v>
      </c>
      <c r="NW157" s="69"/>
      <c r="NX157" s="69">
        <v>1.6</v>
      </c>
      <c r="NY157" s="69">
        <v>1.6</v>
      </c>
      <c r="NZ157" s="69"/>
      <c r="OA157" s="69">
        <v>2.0499999999999998</v>
      </c>
      <c r="OB157" s="69">
        <v>2.0499999999999998</v>
      </c>
      <c r="OC157" s="69"/>
      <c r="OD157" s="69"/>
      <c r="OE157" s="69"/>
      <c r="OF157" s="69"/>
      <c r="OG157" s="69"/>
      <c r="OH157" s="69"/>
      <c r="OI157" s="69"/>
      <c r="OJ157" s="69"/>
      <c r="OK157" s="69"/>
    </row>
    <row r="158" spans="107:401" ht="14.1" customHeight="1" x14ac:dyDescent="0.2">
      <c r="DC158" s="442"/>
      <c r="NT158" s="69" t="s">
        <v>23</v>
      </c>
      <c r="NU158" s="69">
        <f>NU155</f>
        <v>-0.4</v>
      </c>
      <c r="NV158" s="69">
        <f>NV155</f>
        <v>-0.4</v>
      </c>
      <c r="NW158" s="69"/>
      <c r="NX158" s="69">
        <f>NX155</f>
        <v>-0.35</v>
      </c>
      <c r="NY158" s="69">
        <f>NY155</f>
        <v>-0.45</v>
      </c>
      <c r="NZ158" s="69"/>
      <c r="OA158" s="69">
        <f>OA155</f>
        <v>-0.35</v>
      </c>
      <c r="OB158" s="69">
        <f>OB155</f>
        <v>-0.45</v>
      </c>
      <c r="OC158" s="69"/>
      <c r="OD158" s="69"/>
      <c r="OE158" s="69"/>
      <c r="OF158" s="69"/>
      <c r="OG158" s="69"/>
      <c r="OH158" s="69"/>
      <c r="OI158" s="69"/>
      <c r="OJ158" s="69"/>
      <c r="OK158" s="69"/>
    </row>
    <row r="159" spans="107:401" ht="14.1" customHeight="1" x14ac:dyDescent="0.2">
      <c r="DC159" s="442"/>
      <c r="NT159" s="107" t="s">
        <v>241</v>
      </c>
      <c r="NU159" s="107"/>
      <c r="NV159" s="107"/>
      <c r="NW159" s="107"/>
      <c r="NX159" s="107" t="s">
        <v>248</v>
      </c>
      <c r="NY159" s="107"/>
      <c r="NZ159" s="107"/>
      <c r="OA159" s="107" t="s">
        <v>249</v>
      </c>
      <c r="OB159" s="107"/>
      <c r="OC159" s="107"/>
      <c r="OD159" s="107" t="s">
        <v>250</v>
      </c>
      <c r="OE159" s="107"/>
      <c r="OF159" s="107"/>
      <c r="OG159" s="107"/>
      <c r="OH159" s="107"/>
      <c r="OI159" s="107"/>
      <c r="OJ159" s="107"/>
      <c r="OK159" s="107"/>
    </row>
    <row r="160" spans="107:401" ht="14.1" customHeight="1" x14ac:dyDescent="0.2">
      <c r="DC160" s="442"/>
      <c r="NT160" s="107" t="s">
        <v>22</v>
      </c>
      <c r="NU160" s="107">
        <f>IF(H38=4,0,IF(H38=7,0,IF(H38=9,0,OA127-0.05)))</f>
        <v>-0.15000000000000002</v>
      </c>
      <c r="NV160" s="107">
        <f>NU160</f>
        <v>-0.15000000000000002</v>
      </c>
      <c r="NW160" s="107"/>
      <c r="NX160" s="107" t="e">
        <f>IF(#REF!=1,2.15,IF(#REF!=2,2.15,IF(#REF!=6,2.15,0)))</f>
        <v>#REF!</v>
      </c>
      <c r="NY160" s="107" t="e">
        <f>NX160</f>
        <v>#REF!</v>
      </c>
      <c r="NZ160" s="107"/>
      <c r="OA160" s="107">
        <v>-0.1</v>
      </c>
      <c r="OB160" s="107">
        <f>IF(H38=3,-0.1,2.1)</f>
        <v>2.1</v>
      </c>
      <c r="OC160" s="107"/>
      <c r="OD160" s="107">
        <v>-0.1</v>
      </c>
      <c r="OE160" s="107">
        <f>IF(H38=1,2.1,-0.1)</f>
        <v>2.1</v>
      </c>
      <c r="OF160" s="107"/>
      <c r="OG160" s="107"/>
      <c r="OH160" s="107"/>
      <c r="OI160" s="107"/>
      <c r="OJ160" s="107"/>
      <c r="OK160" s="107"/>
    </row>
    <row r="161" spans="1:401" ht="14.1" customHeight="1" x14ac:dyDescent="0.2">
      <c r="DC161" s="442"/>
      <c r="NT161" s="107" t="s">
        <v>23</v>
      </c>
      <c r="NU161" s="107">
        <v>-0.1</v>
      </c>
      <c r="NV161" s="107" t="e">
        <f>IF(#REF!=4,-0.1,IF(#REF!=7,-0.1,IF(#REF!=9,-0.1,1.6)))</f>
        <v>#REF!</v>
      </c>
      <c r="NW161" s="107"/>
      <c r="NX161" s="107">
        <v>-0.1</v>
      </c>
      <c r="NY161" s="107" t="e">
        <f>IF(#REF!=1,1.6,IF(#REF!=2,1.6,IF(#REF!=6,1.6,-0.1)))</f>
        <v>#REF!</v>
      </c>
      <c r="NZ161" s="107"/>
      <c r="OA161" s="107">
        <v>1.65</v>
      </c>
      <c r="OB161" s="107">
        <f>OA161</f>
        <v>1.65</v>
      </c>
      <c r="OC161" s="107"/>
      <c r="OD161" s="107">
        <v>-0.15</v>
      </c>
      <c r="OE161" s="107">
        <f>OD161</f>
        <v>-0.15</v>
      </c>
      <c r="OF161" s="107"/>
      <c r="OG161" s="107"/>
      <c r="OH161" s="107"/>
      <c r="OI161" s="107"/>
      <c r="OJ161" s="107"/>
      <c r="OK161" s="107"/>
    </row>
    <row r="162" spans="1:401" ht="14.1" customHeight="1" x14ac:dyDescent="0.2">
      <c r="DC162" s="442"/>
      <c r="NT162" s="107" t="s">
        <v>251</v>
      </c>
      <c r="NU162" s="107"/>
      <c r="NV162" s="107"/>
      <c r="NW162" s="107"/>
      <c r="NX162" s="107" t="s">
        <v>252</v>
      </c>
      <c r="NY162" s="107"/>
      <c r="NZ162" s="107" t="s">
        <v>253</v>
      </c>
      <c r="OA162" s="107"/>
      <c r="OB162" s="107" t="s">
        <v>254</v>
      </c>
      <c r="OC162" s="107"/>
      <c r="OD162" s="107" t="s">
        <v>255</v>
      </c>
      <c r="OE162" s="107"/>
      <c r="OF162" s="107"/>
      <c r="OG162" s="107"/>
      <c r="OH162" s="107"/>
      <c r="OI162" s="107"/>
      <c r="OJ162" s="107"/>
      <c r="OK162" s="107"/>
    </row>
    <row r="163" spans="1:401" ht="14.1" customHeight="1" x14ac:dyDescent="0.2">
      <c r="DC163" s="442"/>
      <c r="NT163" s="107" t="s">
        <v>22</v>
      </c>
      <c r="NU163" s="107">
        <v>1</v>
      </c>
      <c r="NV163" s="107"/>
      <c r="NW163" s="107"/>
      <c r="NX163" s="107">
        <v>-0.4</v>
      </c>
      <c r="NY163" s="107"/>
      <c r="NZ163" s="107">
        <f>NX163</f>
        <v>-0.4</v>
      </c>
      <c r="OA163" s="107"/>
      <c r="OB163" s="107">
        <v>0.17499999999999999</v>
      </c>
      <c r="OC163" s="107"/>
      <c r="OD163" s="107">
        <v>1.825</v>
      </c>
      <c r="OE163" s="107"/>
      <c r="OF163" s="107"/>
      <c r="OG163" s="107"/>
      <c r="OH163" s="107"/>
      <c r="OI163" s="107"/>
      <c r="OJ163" s="107"/>
      <c r="OK163" s="107"/>
    </row>
    <row r="164" spans="1:401" ht="14.1" customHeight="1" x14ac:dyDescent="0.2">
      <c r="DC164" s="442"/>
      <c r="NT164" s="107" t="s">
        <v>23</v>
      </c>
      <c r="NU164" s="107">
        <v>0.75</v>
      </c>
      <c r="NV164" s="107"/>
      <c r="NW164" s="107"/>
      <c r="NX164" s="107">
        <v>1.375</v>
      </c>
      <c r="NY164" s="107"/>
      <c r="NZ164" s="107">
        <v>0.125</v>
      </c>
      <c r="OA164" s="107"/>
      <c r="OB164" s="107">
        <v>-0.43</v>
      </c>
      <c r="OC164" s="107"/>
      <c r="OD164" s="107">
        <v>-0.43</v>
      </c>
      <c r="OE164" s="107"/>
      <c r="OF164" s="107"/>
      <c r="OG164" s="107"/>
      <c r="OH164" s="107"/>
      <c r="OI164" s="107"/>
      <c r="OJ164" s="107"/>
      <c r="OK164" s="107"/>
    </row>
    <row r="165" spans="1:401" ht="14.1" customHeight="1" x14ac:dyDescent="0.2">
      <c r="DC165" s="442"/>
      <c r="NT165" s="107" t="s">
        <v>242</v>
      </c>
      <c r="NU165" s="107"/>
      <c r="NV165" s="107"/>
      <c r="NW165" s="107"/>
      <c r="NX165" s="107" t="s">
        <v>243</v>
      </c>
      <c r="NY165" s="107"/>
      <c r="NZ165" s="107"/>
      <c r="OA165" s="107"/>
      <c r="OB165" s="107" t="s">
        <v>244</v>
      </c>
      <c r="OC165" s="107"/>
      <c r="OD165" s="107"/>
      <c r="OE165" s="107"/>
      <c r="OF165" s="107"/>
      <c r="OG165" s="107"/>
      <c r="OH165" s="107"/>
      <c r="OI165" s="107"/>
      <c r="OJ165" s="107"/>
      <c r="OK165" s="107"/>
    </row>
    <row r="166" spans="1:401" ht="14.1" customHeight="1" x14ac:dyDescent="0.2">
      <c r="DC166" s="442"/>
      <c r="NT166" s="107" t="str">
        <f>CONCATENATE(V20,W20,"@",W32)</f>
        <v>DB12@0.25</v>
      </c>
      <c r="NU166" s="107"/>
      <c r="NV166" s="107"/>
      <c r="NW166" s="107"/>
      <c r="NX166" s="107" t="str">
        <f>CONCATENATE(V20,W20,"@",Z32)</f>
        <v>DB12@0.25</v>
      </c>
      <c r="NY166" s="107"/>
      <c r="NZ166" s="107"/>
      <c r="OA166" s="107"/>
      <c r="OB166" s="107" t="str">
        <f>CONCATENATE(V20,W20,"@",AC32)</f>
        <v>DB12@0.25</v>
      </c>
      <c r="OC166" s="107"/>
      <c r="OD166" s="107"/>
      <c r="OE166" s="107"/>
      <c r="OF166" s="107"/>
      <c r="OG166" s="107"/>
      <c r="OH166" s="107"/>
      <c r="OI166" s="107"/>
      <c r="OJ166" s="107"/>
      <c r="OK166" s="107"/>
    </row>
    <row r="167" spans="1:401" ht="14.1" customHeight="1" x14ac:dyDescent="0.2">
      <c r="DC167" s="442"/>
      <c r="NT167" s="107" t="s">
        <v>22</v>
      </c>
      <c r="NU167" s="107">
        <v>1</v>
      </c>
      <c r="NV167" s="107"/>
      <c r="NW167" s="107"/>
      <c r="NX167" s="107">
        <f>1</f>
        <v>1</v>
      </c>
      <c r="NY167" s="107"/>
      <c r="NZ167" s="107"/>
      <c r="OA167" s="107"/>
      <c r="OB167" s="107">
        <v>1</v>
      </c>
      <c r="OC167" s="107"/>
      <c r="OD167" s="107"/>
      <c r="OE167" s="107"/>
      <c r="OF167" s="107"/>
      <c r="OG167" s="107"/>
      <c r="OH167" s="107"/>
      <c r="OI167" s="107"/>
      <c r="OJ167" s="107"/>
      <c r="OK167" s="107"/>
    </row>
    <row r="168" spans="1:401" ht="14.1" customHeight="1" x14ac:dyDescent="0.2">
      <c r="DC168" s="442"/>
      <c r="NT168" s="69" t="s">
        <v>23</v>
      </c>
      <c r="NU168" s="69">
        <v>1.5</v>
      </c>
      <c r="NV168" s="69"/>
      <c r="NW168" s="69"/>
      <c r="NX168" s="69">
        <v>1.5</v>
      </c>
      <c r="NY168" s="69"/>
      <c r="NZ168" s="69"/>
      <c r="OA168" s="69"/>
      <c r="OB168" s="69">
        <v>0</v>
      </c>
      <c r="OC168" s="69"/>
      <c r="OD168" s="69"/>
      <c r="OE168" s="69"/>
      <c r="OF168" s="69"/>
      <c r="OG168" s="69"/>
      <c r="OH168" s="69"/>
      <c r="OI168" s="69"/>
      <c r="OJ168" s="69"/>
      <c r="OK168" s="69"/>
    </row>
    <row r="169" spans="1:401" ht="14.1" customHeight="1" x14ac:dyDescent="0.2">
      <c r="A169" s="442"/>
      <c r="AM169" s="442"/>
      <c r="AN169" s="442"/>
      <c r="AO169" s="442"/>
      <c r="AP169" s="442"/>
      <c r="AQ169" s="442"/>
      <c r="AR169" s="441"/>
      <c r="DC169" s="442"/>
      <c r="NT169" s="69" t="s">
        <v>245</v>
      </c>
      <c r="NU169" s="69"/>
      <c r="NV169" s="69"/>
      <c r="NW169" s="69"/>
      <c r="NX169" s="69" t="s">
        <v>247</v>
      </c>
      <c r="NY169" s="69"/>
      <c r="NZ169" s="69"/>
      <c r="OA169" s="69"/>
      <c r="OB169" s="69" t="s">
        <v>246</v>
      </c>
      <c r="OC169" s="69"/>
      <c r="OD169" s="69"/>
      <c r="OE169" s="69"/>
      <c r="OF169" s="69"/>
      <c r="OG169" s="69"/>
      <c r="OH169" s="69"/>
      <c r="OI169" s="69"/>
      <c r="OJ169" s="69"/>
      <c r="OK169" s="69"/>
    </row>
    <row r="170" spans="1:401" ht="14.1" customHeight="1" x14ac:dyDescent="0.2">
      <c r="A170" s="442"/>
      <c r="AM170" s="442"/>
      <c r="AN170" s="442"/>
      <c r="AO170" s="442"/>
      <c r="AP170" s="442"/>
      <c r="AQ170" s="442"/>
      <c r="AR170" s="441"/>
      <c r="DC170" s="442"/>
      <c r="NT170" s="69" t="str">
        <f>CONCATENATE(V21,W21,"@",W38)</f>
        <v>RB9@0.25</v>
      </c>
      <c r="NU170" s="69"/>
      <c r="NV170" s="69"/>
      <c r="NW170" s="69"/>
      <c r="NX170" s="69" t="str">
        <f>CONCATENATE(V21,W21,"@",W38)</f>
        <v>RB9@0.25</v>
      </c>
      <c r="NY170" s="69"/>
      <c r="NZ170" s="69"/>
      <c r="OA170" s="69"/>
      <c r="OB170" s="69" t="str">
        <f>CONCATENATE(V21,W21,"@",W38)</f>
        <v>RB9@0.25</v>
      </c>
      <c r="OC170" s="69"/>
      <c r="OD170" s="69"/>
      <c r="OE170" s="69"/>
      <c r="OF170" s="69"/>
      <c r="OG170" s="69"/>
      <c r="OH170" s="69"/>
      <c r="OI170" s="69"/>
      <c r="OJ170" s="69"/>
      <c r="OK170" s="69"/>
    </row>
    <row r="171" spans="1:401" ht="14.1" customHeight="1" x14ac:dyDescent="0.2">
      <c r="A171" s="442"/>
      <c r="AM171" s="442"/>
      <c r="AN171" s="442"/>
      <c r="AO171" s="442"/>
      <c r="AP171" s="442"/>
      <c r="AQ171" s="442"/>
      <c r="AR171" s="442"/>
      <c r="DC171" s="442"/>
      <c r="NT171" s="69" t="s">
        <v>22</v>
      </c>
      <c r="NU171" s="69">
        <v>0.5</v>
      </c>
      <c r="NV171" s="69"/>
      <c r="NW171" s="69"/>
      <c r="NX171" s="69">
        <f>0</f>
        <v>0</v>
      </c>
      <c r="NY171" s="69"/>
      <c r="NZ171" s="69"/>
      <c r="OA171" s="69"/>
      <c r="OB171" s="69">
        <v>0.5</v>
      </c>
      <c r="OC171" s="69"/>
      <c r="OD171" s="69"/>
      <c r="OE171" s="69"/>
      <c r="OF171" s="69"/>
      <c r="OG171" s="69"/>
      <c r="OH171" s="69"/>
      <c r="OI171" s="69"/>
      <c r="OJ171" s="69"/>
      <c r="OK171" s="69"/>
    </row>
    <row r="172" spans="1:401" ht="14.1" customHeight="1" x14ac:dyDescent="0.2">
      <c r="A172" s="442"/>
      <c r="AM172" s="442"/>
      <c r="AN172" s="442"/>
      <c r="AO172" s="442"/>
      <c r="AP172" s="442"/>
      <c r="AQ172" s="442"/>
      <c r="AR172" s="442"/>
      <c r="DC172" s="442"/>
      <c r="NT172" s="69" t="s">
        <v>23</v>
      </c>
      <c r="NU172" s="69">
        <v>1.2</v>
      </c>
      <c r="NV172" s="69"/>
      <c r="NW172" s="69"/>
      <c r="NX172" s="69">
        <v>0.75</v>
      </c>
      <c r="NY172" s="69"/>
      <c r="NZ172" s="69"/>
      <c r="OA172" s="69"/>
      <c r="OB172" s="69">
        <v>0.3</v>
      </c>
      <c r="OC172" s="69"/>
      <c r="OD172" s="69"/>
      <c r="OE172" s="69"/>
      <c r="OF172" s="69"/>
      <c r="OG172" s="69"/>
      <c r="OH172" s="69"/>
      <c r="OI172" s="69"/>
      <c r="OJ172" s="69"/>
      <c r="OK172" s="69"/>
    </row>
    <row r="173" spans="1:401" ht="14.1" customHeight="1" x14ac:dyDescent="0.2">
      <c r="A173" s="442"/>
      <c r="AM173" s="442"/>
      <c r="AN173" s="442"/>
      <c r="AO173" s="442"/>
      <c r="AP173" s="442"/>
      <c r="AQ173" s="442"/>
      <c r="AR173" s="442"/>
      <c r="DC173" s="442"/>
      <c r="NT173" s="69"/>
      <c r="NU173" s="69"/>
      <c r="NV173" s="69"/>
      <c r="NW173" s="69"/>
      <c r="NX173" s="69"/>
      <c r="NY173" s="69"/>
      <c r="NZ173" s="69"/>
      <c r="OA173" s="69"/>
      <c r="OB173" s="69"/>
      <c r="OC173" s="69"/>
      <c r="OD173" s="69"/>
      <c r="OE173" s="69"/>
      <c r="OF173" s="69"/>
      <c r="OG173" s="69"/>
      <c r="OH173" s="69"/>
      <c r="OI173" s="69"/>
      <c r="OJ173" s="69"/>
      <c r="OK173" s="69"/>
    </row>
    <row r="174" spans="1:401" ht="14.1" customHeight="1" x14ac:dyDescent="0.2">
      <c r="A174" s="442"/>
      <c r="AM174" s="442"/>
      <c r="AN174" s="442"/>
      <c r="AO174" s="442"/>
      <c r="AP174" s="442"/>
      <c r="AQ174" s="442"/>
      <c r="AR174" s="442"/>
      <c r="DC174" s="442"/>
      <c r="NT174" s="69" t="s">
        <v>258</v>
      </c>
      <c r="NU174" s="69"/>
      <c r="NV174" s="69"/>
      <c r="NW174" s="69"/>
      <c r="NX174" s="69" t="s">
        <v>259</v>
      </c>
      <c r="NY174" s="69"/>
      <c r="NZ174" s="69"/>
      <c r="OA174" s="69"/>
      <c r="OB174" s="69"/>
      <c r="OC174" s="69"/>
      <c r="OD174" s="69"/>
      <c r="OE174" s="69"/>
      <c r="OF174" s="69"/>
      <c r="OG174" s="69"/>
      <c r="OH174" s="69"/>
      <c r="OI174" s="69"/>
      <c r="OJ174" s="69"/>
      <c r="OK174" s="69"/>
    </row>
    <row r="175" spans="1:401" ht="14.1" customHeight="1" x14ac:dyDescent="0.2">
      <c r="A175" s="442"/>
      <c r="AM175" s="442"/>
      <c r="AN175" s="442"/>
      <c r="AO175" s="442"/>
      <c r="AP175" s="442"/>
      <c r="AQ175" s="442"/>
      <c r="AR175" s="442"/>
      <c r="DC175" s="442"/>
      <c r="NT175" s="69" t="s">
        <v>22</v>
      </c>
      <c r="NU175" s="69">
        <v>1</v>
      </c>
      <c r="NV175" s="69">
        <v>1</v>
      </c>
      <c r="NW175" s="69"/>
      <c r="NX175" s="69">
        <v>-0.1</v>
      </c>
      <c r="NY175" s="69">
        <v>2.1</v>
      </c>
      <c r="NZ175" s="69"/>
      <c r="OA175" s="69"/>
      <c r="OB175" s="69">
        <v>0.2</v>
      </c>
      <c r="OC175" s="69">
        <v>0.2</v>
      </c>
      <c r="OD175" s="69"/>
      <c r="OE175" s="69">
        <v>0.2</v>
      </c>
      <c r="OF175" s="69"/>
      <c r="OG175" s="69"/>
      <c r="OH175" s="69"/>
      <c r="OI175" s="69"/>
      <c r="OJ175" s="69"/>
      <c r="OK175" s="69"/>
    </row>
    <row r="176" spans="1:401" ht="14.1" customHeight="1" x14ac:dyDescent="0.2">
      <c r="A176" s="442"/>
      <c r="AM176" s="442"/>
      <c r="AN176" s="442"/>
      <c r="AO176" s="442"/>
      <c r="AP176" s="442"/>
      <c r="AQ176" s="442"/>
      <c r="AR176" s="442"/>
      <c r="DC176" s="442"/>
      <c r="NT176" s="69" t="s">
        <v>23</v>
      </c>
      <c r="NU176" s="69">
        <v>-0.1</v>
      </c>
      <c r="NV176" s="69">
        <v>1.6</v>
      </c>
      <c r="NW176" s="69"/>
      <c r="NX176" s="69">
        <v>0.75</v>
      </c>
      <c r="NY176" s="69">
        <v>0.75</v>
      </c>
      <c r="NZ176" s="69"/>
      <c r="OA176" s="69"/>
      <c r="OB176" s="69">
        <v>0</v>
      </c>
      <c r="OC176" s="69">
        <v>1.5</v>
      </c>
      <c r="OD176" s="69"/>
      <c r="OE176" s="69">
        <v>0.75</v>
      </c>
      <c r="OF176" s="69"/>
      <c r="OG176" s="69"/>
      <c r="OH176" s="69"/>
      <c r="OI176" s="69"/>
      <c r="OJ176" s="69"/>
      <c r="OK176" s="69"/>
    </row>
    <row r="177" spans="1:107" ht="14.1" customHeight="1" x14ac:dyDescent="0.2">
      <c r="A177" s="442"/>
      <c r="AM177" s="442"/>
      <c r="AN177" s="442"/>
      <c r="AO177" s="442"/>
      <c r="AP177" s="442"/>
      <c r="AQ177" s="442"/>
      <c r="AR177" s="442"/>
      <c r="DC177" s="442"/>
    </row>
    <row r="178" spans="1:107" ht="14.1" customHeight="1" x14ac:dyDescent="0.2">
      <c r="A178" s="442"/>
      <c r="W178" s="442"/>
      <c r="X178" s="442"/>
      <c r="Y178" s="442"/>
      <c r="Z178" s="442"/>
      <c r="AA178" s="442"/>
      <c r="AB178" s="442"/>
      <c r="AC178" s="442"/>
      <c r="AD178" s="442"/>
      <c r="AE178" s="442"/>
      <c r="AF178" s="442"/>
      <c r="AG178" s="442"/>
      <c r="AH178" s="442"/>
      <c r="AI178" s="442"/>
      <c r="AJ178" s="442"/>
      <c r="AK178" s="442"/>
      <c r="AL178" s="442"/>
      <c r="AM178" s="442"/>
      <c r="AN178" s="442"/>
      <c r="AO178" s="442"/>
      <c r="AP178" s="442"/>
      <c r="AQ178" s="442"/>
      <c r="AR178" s="442"/>
      <c r="DC178" s="442"/>
    </row>
    <row r="179" spans="1:107" ht="14.1" customHeight="1" x14ac:dyDescent="0.2">
      <c r="A179" s="442"/>
      <c r="W179" s="442"/>
      <c r="X179" s="442"/>
      <c r="Y179" s="442"/>
      <c r="Z179" s="442"/>
      <c r="AA179" s="442"/>
      <c r="AB179" s="442"/>
      <c r="AC179" s="442"/>
      <c r="AD179" s="442"/>
      <c r="AE179" s="442"/>
      <c r="AF179" s="442"/>
      <c r="AG179" s="442"/>
      <c r="AH179" s="442"/>
      <c r="AI179" s="442"/>
      <c r="AJ179" s="442"/>
      <c r="AK179" s="442"/>
      <c r="AL179" s="442"/>
      <c r="AM179" s="442"/>
      <c r="AN179" s="442"/>
      <c r="AO179" s="442"/>
      <c r="AP179" s="442"/>
      <c r="AQ179" s="442"/>
      <c r="AR179" s="442"/>
      <c r="DC179" s="442"/>
    </row>
    <row r="180" spans="1:107" ht="14.1" customHeight="1" x14ac:dyDescent="0.2">
      <c r="A180" s="442"/>
      <c r="W180" s="442"/>
      <c r="X180" s="442"/>
      <c r="Y180" s="442"/>
      <c r="Z180" s="442"/>
      <c r="AA180" s="442"/>
      <c r="AB180" s="442"/>
      <c r="AC180" s="442"/>
      <c r="AD180" s="442"/>
      <c r="AE180" s="442"/>
      <c r="AF180" s="442"/>
      <c r="AG180" s="442"/>
      <c r="AH180" s="442"/>
      <c r="AI180" s="442"/>
      <c r="AJ180" s="442"/>
      <c r="AK180" s="442"/>
      <c r="AL180" s="442"/>
      <c r="AM180" s="442"/>
      <c r="AN180" s="442"/>
      <c r="AO180" s="442"/>
      <c r="AP180" s="442"/>
      <c r="AQ180" s="442"/>
      <c r="AR180" s="442"/>
      <c r="DC180" s="442"/>
    </row>
    <row r="181" spans="1:107" ht="14.1" customHeight="1" x14ac:dyDescent="0.2">
      <c r="A181" s="442"/>
      <c r="W181" s="442"/>
      <c r="X181" s="442"/>
      <c r="Y181" s="442"/>
      <c r="Z181" s="442"/>
      <c r="AA181" s="1"/>
      <c r="AB181" s="442"/>
      <c r="AC181" s="442"/>
      <c r="AD181" s="439"/>
      <c r="AE181" s="31"/>
      <c r="AF181" s="31"/>
      <c r="AG181" s="31"/>
      <c r="AH181" s="31"/>
      <c r="AI181" s="31"/>
      <c r="AJ181" s="31"/>
      <c r="AK181" s="31"/>
      <c r="AL181" s="31"/>
      <c r="AM181" s="442"/>
      <c r="AN181" s="442"/>
      <c r="AO181" s="442"/>
      <c r="AP181" s="442"/>
      <c r="AQ181" s="442"/>
      <c r="AR181" s="442"/>
      <c r="DC181" s="442"/>
    </row>
    <row r="182" spans="1:107" ht="14.1" customHeight="1" x14ac:dyDescent="0.2">
      <c r="A182" s="442"/>
      <c r="W182" s="442"/>
      <c r="X182" s="442"/>
      <c r="Y182" s="442"/>
      <c r="Z182" s="442"/>
      <c r="AA182" s="1"/>
      <c r="AB182" s="442"/>
      <c r="AC182" s="442"/>
      <c r="AD182" s="439"/>
      <c r="AE182" s="31"/>
      <c r="AF182" s="31"/>
      <c r="AG182" s="31"/>
      <c r="AH182" s="31"/>
      <c r="AI182" s="31"/>
      <c r="AJ182" s="31"/>
      <c r="AK182" s="31"/>
      <c r="AL182" s="31"/>
      <c r="AM182" s="442"/>
      <c r="AN182" s="442"/>
      <c r="AO182" s="442"/>
      <c r="AP182" s="442"/>
      <c r="AQ182" s="442"/>
      <c r="AR182" s="442"/>
      <c r="DC182" s="442"/>
    </row>
    <row r="183" spans="1:107" ht="14.1" customHeight="1" x14ac:dyDescent="0.2">
      <c r="A183" s="442"/>
      <c r="W183" s="117"/>
      <c r="X183" s="117"/>
      <c r="Y183" s="117"/>
      <c r="Z183" s="117"/>
      <c r="AA183" s="117"/>
      <c r="AB183" s="117"/>
      <c r="AC183" s="117"/>
      <c r="AD183" s="117"/>
      <c r="AE183" s="117"/>
      <c r="AF183" s="117"/>
      <c r="AG183" s="117"/>
      <c r="AH183" s="117"/>
      <c r="AI183" s="117"/>
      <c r="AJ183" s="117"/>
      <c r="AK183" s="117"/>
      <c r="AL183" s="117"/>
      <c r="AM183" s="442"/>
      <c r="AN183" s="442"/>
      <c r="AO183" s="442"/>
      <c r="AP183" s="442"/>
      <c r="AQ183" s="442"/>
      <c r="AR183" s="442"/>
      <c r="DC183" s="442"/>
    </row>
    <row r="184" spans="1:107" ht="14.1" customHeight="1" x14ac:dyDescent="0.2">
      <c r="A184" s="442"/>
      <c r="W184" s="117"/>
      <c r="X184" s="117"/>
      <c r="Y184" s="117"/>
      <c r="Z184" s="117"/>
      <c r="AA184" s="117"/>
      <c r="AB184" s="117"/>
      <c r="AC184" s="117"/>
      <c r="AD184" s="117"/>
      <c r="AE184" s="117"/>
      <c r="AF184" s="117"/>
      <c r="AG184" s="117"/>
      <c r="AH184" s="117"/>
      <c r="AI184" s="117"/>
      <c r="AJ184" s="117"/>
      <c r="AK184" s="117"/>
      <c r="AL184" s="117"/>
      <c r="AM184" s="442"/>
      <c r="AN184" s="442"/>
      <c r="AO184" s="442"/>
      <c r="AP184" s="442"/>
      <c r="AQ184" s="442"/>
      <c r="AR184" s="442"/>
      <c r="DC184" s="442"/>
    </row>
    <row r="185" spans="1:107" ht="14.1" customHeight="1" x14ac:dyDescent="0.2">
      <c r="A185" s="442"/>
      <c r="W185" s="442"/>
      <c r="X185" s="442"/>
      <c r="Y185" s="442"/>
      <c r="Z185" s="442"/>
      <c r="AA185" s="442"/>
      <c r="AB185" s="442"/>
      <c r="AC185" s="442"/>
      <c r="AD185" s="442"/>
      <c r="AE185" s="442"/>
      <c r="AF185" s="442"/>
      <c r="AG185" s="442"/>
      <c r="AH185" s="442"/>
      <c r="AI185" s="442"/>
      <c r="AJ185" s="442"/>
      <c r="AK185" s="442"/>
      <c r="AL185" s="442"/>
      <c r="AM185" s="442"/>
      <c r="AN185" s="442"/>
      <c r="AO185" s="442"/>
      <c r="AP185" s="442"/>
      <c r="AQ185" s="442"/>
      <c r="AR185" s="442"/>
      <c r="DC185" s="442"/>
    </row>
    <row r="186" spans="1:107" ht="14.1" customHeight="1" x14ac:dyDescent="0.2">
      <c r="A186" s="442"/>
      <c r="W186" s="442"/>
      <c r="X186" s="442"/>
      <c r="Y186" s="442"/>
      <c r="Z186" s="442"/>
      <c r="AA186" s="442"/>
      <c r="AB186" s="442"/>
      <c r="AC186" s="442"/>
      <c r="AD186" s="442"/>
      <c r="AE186" s="442"/>
      <c r="AF186" s="442"/>
      <c r="AG186" s="442"/>
      <c r="AH186" s="442"/>
      <c r="AI186" s="442"/>
      <c r="AJ186" s="442"/>
      <c r="AK186" s="442"/>
      <c r="AL186" s="442"/>
      <c r="AM186" s="442"/>
      <c r="AN186" s="442"/>
      <c r="AO186" s="442"/>
      <c r="AP186" s="442"/>
      <c r="AQ186" s="442"/>
      <c r="AR186" s="442"/>
      <c r="DC186" s="442"/>
    </row>
    <row r="187" spans="1:107" ht="14.1" customHeight="1" x14ac:dyDescent="0.2">
      <c r="A187" s="442"/>
      <c r="W187" s="442"/>
      <c r="X187" s="442"/>
      <c r="Y187" s="442"/>
      <c r="Z187" s="442"/>
      <c r="AA187" s="442"/>
      <c r="AB187" s="442"/>
      <c r="AC187" s="442"/>
      <c r="AD187" s="442"/>
      <c r="AE187" s="442"/>
      <c r="AF187" s="442"/>
      <c r="AG187" s="442"/>
      <c r="AH187" s="442"/>
      <c r="AI187" s="442"/>
      <c r="AJ187" s="442"/>
      <c r="AK187" s="442"/>
      <c r="AL187" s="442"/>
      <c r="AM187" s="442"/>
      <c r="AN187" s="442"/>
      <c r="AO187" s="442"/>
      <c r="AP187" s="442"/>
      <c r="AQ187" s="442"/>
      <c r="AR187" s="442"/>
      <c r="DC187" s="442"/>
    </row>
    <row r="188" spans="1:107" ht="14.1" customHeight="1" x14ac:dyDescent="0.2">
      <c r="A188" s="442"/>
      <c r="W188" s="442"/>
      <c r="X188" s="442"/>
      <c r="Y188" s="442"/>
      <c r="Z188" s="442"/>
      <c r="AA188" s="442"/>
      <c r="AB188" s="442"/>
      <c r="AC188" s="442"/>
      <c r="AD188" s="442"/>
      <c r="AE188" s="442"/>
      <c r="AF188" s="442"/>
      <c r="AG188" s="442"/>
      <c r="AH188" s="442"/>
      <c r="AI188" s="442"/>
      <c r="AJ188" s="442"/>
      <c r="AK188" s="442"/>
      <c r="AL188" s="442"/>
      <c r="AM188" s="442"/>
      <c r="AN188" s="442"/>
      <c r="AO188" s="442"/>
      <c r="AP188" s="442"/>
      <c r="AQ188" s="442"/>
      <c r="AR188" s="442"/>
      <c r="DC188" s="442"/>
    </row>
    <row r="189" spans="1:107" ht="14.1" customHeight="1" x14ac:dyDescent="0.2">
      <c r="A189" s="442"/>
      <c r="W189" s="442"/>
      <c r="X189" s="442"/>
      <c r="Y189" s="442"/>
      <c r="Z189" s="442"/>
      <c r="AA189" s="442"/>
      <c r="AB189" s="442"/>
      <c r="AC189" s="442"/>
      <c r="AD189" s="442"/>
      <c r="AE189" s="442"/>
      <c r="AF189" s="442"/>
      <c r="AG189" s="442"/>
      <c r="AH189" s="442"/>
      <c r="AI189" s="442"/>
      <c r="AJ189" s="442"/>
      <c r="AK189" s="442"/>
      <c r="AL189" s="442"/>
      <c r="AM189" s="442"/>
      <c r="AN189" s="442"/>
      <c r="AO189" s="442"/>
      <c r="AP189" s="442"/>
      <c r="AQ189" s="442"/>
      <c r="AR189" s="442"/>
      <c r="DC189" s="442"/>
    </row>
    <row r="190" spans="1:107" ht="14.1" customHeight="1" x14ac:dyDescent="0.2">
      <c r="A190" s="442"/>
      <c r="B190" s="442"/>
      <c r="C190" s="442"/>
      <c r="D190" s="442"/>
      <c r="E190" s="442"/>
      <c r="F190" s="442"/>
      <c r="G190" s="442"/>
      <c r="H190" s="442"/>
      <c r="I190" s="442"/>
      <c r="J190" s="442"/>
      <c r="K190" s="442"/>
      <c r="L190" s="442"/>
      <c r="M190" s="442"/>
      <c r="N190" s="442"/>
      <c r="O190" s="442"/>
      <c r="P190" s="442"/>
      <c r="Q190" s="442"/>
      <c r="R190" s="442"/>
      <c r="S190" s="442"/>
      <c r="T190" s="442"/>
      <c r="U190" s="442"/>
      <c r="V190" s="442"/>
      <c r="W190" s="442"/>
      <c r="X190" s="442"/>
      <c r="Y190" s="442"/>
      <c r="Z190" s="442"/>
      <c r="AA190" s="442"/>
      <c r="AB190" s="442"/>
      <c r="AC190" s="442"/>
      <c r="AD190" s="442"/>
      <c r="AE190" s="442"/>
      <c r="AF190" s="442"/>
      <c r="AG190" s="442"/>
      <c r="AH190" s="442"/>
      <c r="AI190" s="442"/>
      <c r="AJ190" s="442"/>
      <c r="AK190" s="442"/>
      <c r="AL190" s="442"/>
      <c r="AM190" s="442"/>
      <c r="AN190" s="442"/>
      <c r="AO190" s="442"/>
      <c r="AP190" s="442"/>
      <c r="AQ190" s="442"/>
      <c r="AR190" s="442"/>
      <c r="DC190" s="442"/>
    </row>
    <row r="191" spans="1:107" ht="14.1" customHeight="1" x14ac:dyDescent="0.2">
      <c r="A191" s="442"/>
      <c r="B191" s="442"/>
      <c r="C191" s="442"/>
      <c r="D191" s="442"/>
      <c r="E191" s="442"/>
      <c r="F191" s="442"/>
      <c r="G191" s="442"/>
      <c r="H191" s="442"/>
      <c r="I191" s="442"/>
      <c r="J191" s="442"/>
      <c r="K191" s="442"/>
      <c r="L191" s="442"/>
      <c r="M191" s="442"/>
      <c r="N191" s="442"/>
      <c r="O191" s="442"/>
      <c r="P191" s="442"/>
      <c r="Q191" s="442"/>
      <c r="R191" s="442"/>
      <c r="S191" s="442"/>
      <c r="T191" s="442"/>
      <c r="U191" s="442"/>
      <c r="V191" s="442"/>
      <c r="W191" s="442"/>
      <c r="X191" s="442"/>
      <c r="Y191" s="442"/>
      <c r="Z191" s="442"/>
      <c r="AA191" s="442"/>
      <c r="AB191" s="442"/>
      <c r="AC191" s="442"/>
      <c r="AD191" s="442"/>
      <c r="AE191" s="442"/>
      <c r="AF191" s="442"/>
      <c r="AG191" s="442"/>
      <c r="AH191" s="442"/>
      <c r="AI191" s="442"/>
      <c r="AJ191" s="442"/>
      <c r="AK191" s="442"/>
      <c r="AL191" s="442"/>
      <c r="AM191" s="442"/>
      <c r="AN191" s="442"/>
      <c r="AO191" s="442"/>
      <c r="AP191" s="442"/>
      <c r="AQ191" s="442"/>
      <c r="AR191" s="442"/>
      <c r="DC191" s="442"/>
    </row>
    <row r="192" spans="1:107" ht="14.1" customHeight="1" x14ac:dyDescent="0.2">
      <c r="A192" s="442"/>
      <c r="B192" s="442"/>
      <c r="C192" s="442"/>
      <c r="D192" s="442"/>
      <c r="E192" s="442"/>
      <c r="F192" s="442"/>
      <c r="G192" s="442"/>
      <c r="H192" s="442"/>
      <c r="I192" s="442"/>
      <c r="J192" s="442"/>
      <c r="K192" s="442"/>
      <c r="L192" s="442"/>
      <c r="M192" s="442"/>
      <c r="N192" s="442"/>
      <c r="O192" s="442"/>
      <c r="P192" s="442"/>
      <c r="Q192" s="442"/>
      <c r="R192" s="442"/>
      <c r="S192" s="442"/>
      <c r="T192" s="442"/>
      <c r="U192" s="442"/>
      <c r="V192" s="442"/>
      <c r="W192" s="442"/>
      <c r="X192" s="442"/>
      <c r="Y192" s="442"/>
      <c r="Z192" s="442"/>
      <c r="AA192" s="442"/>
      <c r="AB192" s="442"/>
      <c r="AC192" s="442"/>
      <c r="AD192" s="442"/>
      <c r="AE192" s="442"/>
      <c r="AF192" s="442"/>
      <c r="AG192" s="442"/>
      <c r="AH192" s="442"/>
      <c r="AI192" s="442"/>
      <c r="AJ192" s="442"/>
      <c r="AK192" s="442"/>
      <c r="AL192" s="442"/>
      <c r="AM192" s="442"/>
      <c r="AN192" s="442"/>
      <c r="AO192" s="442"/>
      <c r="AP192" s="442"/>
      <c r="AQ192" s="442"/>
      <c r="AR192" s="442"/>
      <c r="DC192" s="442"/>
    </row>
    <row r="193" spans="1:107" ht="14.1" customHeight="1" x14ac:dyDescent="0.2">
      <c r="A193" s="442"/>
      <c r="B193" s="442"/>
      <c r="C193" s="442"/>
      <c r="D193" s="442"/>
      <c r="E193" s="442"/>
      <c r="F193" s="442"/>
      <c r="G193" s="442"/>
      <c r="H193" s="442"/>
      <c r="I193" s="442"/>
      <c r="J193" s="442"/>
      <c r="K193" s="442"/>
      <c r="L193" s="442"/>
      <c r="M193" s="442"/>
      <c r="N193" s="442"/>
      <c r="O193" s="442"/>
      <c r="P193" s="442"/>
      <c r="Q193" s="442"/>
      <c r="R193" s="442"/>
      <c r="S193" s="442"/>
      <c r="T193" s="442"/>
      <c r="U193" s="442"/>
      <c r="V193" s="442"/>
      <c r="W193" s="442"/>
      <c r="X193" s="442"/>
      <c r="Y193" s="442"/>
      <c r="Z193" s="442"/>
      <c r="AA193" s="442"/>
      <c r="AB193" s="442"/>
      <c r="AC193" s="442"/>
      <c r="AD193" s="442"/>
      <c r="AE193" s="442"/>
      <c r="AF193" s="442"/>
      <c r="AG193" s="442"/>
      <c r="AH193" s="442"/>
      <c r="AI193" s="442"/>
      <c r="AJ193" s="442"/>
      <c r="AK193" s="442"/>
      <c r="AL193" s="442"/>
      <c r="AM193" s="442"/>
      <c r="AN193" s="442"/>
      <c r="AO193" s="442"/>
      <c r="AP193" s="442"/>
      <c r="AQ193" s="442"/>
      <c r="AR193" s="442"/>
      <c r="DC193" s="442"/>
    </row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</sheetData>
  <sheetProtection password="CA20" sheet="1" objects="1" scenarios="1"/>
  <customSheetViews>
    <customSheetView guid="{EDFC4C12-2844-47F2-A6A6-59EDD90C46DD}" showGridLines="0" showRowCol="0" hiddenColumns="1">
      <pageMargins left="0.70866141732283472" right="0.39370078740157483" top="0.39370078740157483" bottom="0.39370078740157483" header="0.27559055118110237" footer="0.19685039370078741"/>
      <printOptions horizontalCentered="1"/>
      <pageSetup paperSize="9" scale="88" orientation="portrait" horizontalDpi="1200" verticalDpi="1200" r:id="rId1"/>
      <headerFooter>
        <oddHeader>&amp;C&amp;6STRENGTH  DESIGN  METHOD : Quick SDM Plus</oddHeader>
        <oddFooter>&amp;C&amp;8Design Calculation</oddFooter>
      </headerFooter>
    </customSheetView>
  </customSheetViews>
  <mergeCells count="322">
    <mergeCell ref="AC26:AE26"/>
    <mergeCell ref="T31:V31"/>
    <mergeCell ref="T32:V32"/>
    <mergeCell ref="T33:V33"/>
    <mergeCell ref="W29:Y29"/>
    <mergeCell ref="Z29:AB29"/>
    <mergeCell ref="AC29:AE29"/>
    <mergeCell ref="W28:Y28"/>
    <mergeCell ref="Z28:AB28"/>
    <mergeCell ref="AC28:AE28"/>
    <mergeCell ref="W30:Y30"/>
    <mergeCell ref="Z30:AB30"/>
    <mergeCell ref="AC30:AE30"/>
    <mergeCell ref="W31:Y31"/>
    <mergeCell ref="Z31:AB31"/>
    <mergeCell ref="AC31:AE31"/>
    <mergeCell ref="W32:Y32"/>
    <mergeCell ref="Z32:AB32"/>
    <mergeCell ref="AC32:AE32"/>
    <mergeCell ref="IR124:IS124"/>
    <mergeCell ref="IP125:IR125"/>
    <mergeCell ref="IP126:IR126"/>
    <mergeCell ref="IL127:IM127"/>
    <mergeCell ref="IP127:IR127"/>
    <mergeCell ref="H6:J6"/>
    <mergeCell ref="IP122:IR122"/>
    <mergeCell ref="IS122:IU122"/>
    <mergeCell ref="IL103:IM103"/>
    <mergeCell ref="IT85:IU85"/>
    <mergeCell ref="HT77:HV77"/>
    <mergeCell ref="IN77:IO77"/>
    <mergeCell ref="HT73:HV73"/>
    <mergeCell ref="HP99:II99"/>
    <mergeCell ref="HP100:HS100"/>
    <mergeCell ref="HT100:IE100"/>
    <mergeCell ref="IF100:II100"/>
    <mergeCell ref="HP124:HQ124"/>
    <mergeCell ref="HV124:HW124"/>
    <mergeCell ref="IB124:IC124"/>
    <mergeCell ref="HP123:HQ123"/>
    <mergeCell ref="HV123:HW123"/>
    <mergeCell ref="Q22:S24"/>
    <mergeCell ref="HP98:HS98"/>
    <mergeCell ref="IV122:IX122"/>
    <mergeCell ref="IL123:IM123"/>
    <mergeCell ref="IP123:IR123"/>
    <mergeCell ref="IS123:IU123"/>
    <mergeCell ref="IV123:IX123"/>
    <mergeCell ref="IS119:IU119"/>
    <mergeCell ref="IV119:IX119"/>
    <mergeCell ref="IP120:IR120"/>
    <mergeCell ref="IS120:IU120"/>
    <mergeCell ref="IV120:IX120"/>
    <mergeCell ref="IP121:IR121"/>
    <mergeCell ref="IS121:IU121"/>
    <mergeCell ref="IV121:IX121"/>
    <mergeCell ref="IV116:IX116"/>
    <mergeCell ref="IP117:IR117"/>
    <mergeCell ref="IS117:IU117"/>
    <mergeCell ref="IV117:IX117"/>
    <mergeCell ref="IP118:IR118"/>
    <mergeCell ref="IS118:IU118"/>
    <mergeCell ref="IV118:IX118"/>
    <mergeCell ref="IP119:IR119"/>
    <mergeCell ref="IT104:IU104"/>
    <mergeCell ref="IN105:IP105"/>
    <mergeCell ref="IS105:IU105"/>
    <mergeCell ref="IP116:IR116"/>
    <mergeCell ref="IS116:IU116"/>
    <mergeCell ref="IN104:IO104"/>
    <mergeCell ref="IR104:IS104"/>
    <mergeCell ref="IS84:IT84"/>
    <mergeCell ref="HP95:HS95"/>
    <mergeCell ref="HT95:HW95"/>
    <mergeCell ref="HX95:IA95"/>
    <mergeCell ref="IB95:IE95"/>
    <mergeCell ref="IZ81:JA81"/>
    <mergeCell ref="HP94:HS94"/>
    <mergeCell ref="HT94:HW94"/>
    <mergeCell ref="HX94:IA94"/>
    <mergeCell ref="IB94:IE94"/>
    <mergeCell ref="IF94:II94"/>
    <mergeCell ref="HP93:HS93"/>
    <mergeCell ref="HT93:HW93"/>
    <mergeCell ref="HX93:IA93"/>
    <mergeCell ref="IB93:IE93"/>
    <mergeCell ref="IF93:II93"/>
    <mergeCell ref="IT81:IV81"/>
    <mergeCell ref="IV85:IW85"/>
    <mergeCell ref="IY85:IZ85"/>
    <mergeCell ref="IT86:IU86"/>
    <mergeCell ref="IV86:IW86"/>
    <mergeCell ref="IY88:IZ88"/>
    <mergeCell ref="IY86:IZ86"/>
    <mergeCell ref="IY87:IZ87"/>
    <mergeCell ref="JF77:JG77"/>
    <mergeCell ref="IL78:IM78"/>
    <mergeCell ref="HT75:HV75"/>
    <mergeCell ref="HT79:HV79"/>
    <mergeCell ref="IN75:IO75"/>
    <mergeCell ref="JF75:JG75"/>
    <mergeCell ref="HT76:HV76"/>
    <mergeCell ref="IY76:IZ76"/>
    <mergeCell ref="JF76:JG76"/>
    <mergeCell ref="IZ79:JA79"/>
    <mergeCell ref="JD79:JE79"/>
    <mergeCell ref="IT79:IV79"/>
    <mergeCell ref="OF80:OG80"/>
    <mergeCell ref="HP122:HQ122"/>
    <mergeCell ref="HV122:HW122"/>
    <mergeCell ref="IB122:IC122"/>
    <mergeCell ref="HP121:HQ121"/>
    <mergeCell ref="HV121:HW121"/>
    <mergeCell ref="IB121:IC121"/>
    <mergeCell ref="HP120:HQ120"/>
    <mergeCell ref="HV120:HW120"/>
    <mergeCell ref="IB120:IC120"/>
    <mergeCell ref="NZ120:OC120"/>
    <mergeCell ref="NZ118:OB118"/>
    <mergeCell ref="HP113:HQ113"/>
    <mergeCell ref="HV113:HW113"/>
    <mergeCell ref="IB113:IC113"/>
    <mergeCell ref="HP112:HQ112"/>
    <mergeCell ref="HV112:HW112"/>
    <mergeCell ref="IB112:IC112"/>
    <mergeCell ref="HP111:HQ111"/>
    <mergeCell ref="OD86:OF86"/>
    <mergeCell ref="OD83:OF83"/>
    <mergeCell ref="OG83:OI83"/>
    <mergeCell ref="HT83:HV83"/>
    <mergeCell ref="HT82:HV82"/>
    <mergeCell ref="IW83:IY83"/>
    <mergeCell ref="HV111:HW111"/>
    <mergeCell ref="IB111:IC111"/>
    <mergeCell ref="HP110:HQ110"/>
    <mergeCell ref="NZ119:OB119"/>
    <mergeCell ref="OG86:OI86"/>
    <mergeCell ref="OD77:OE77"/>
    <mergeCell ref="HP119:HQ119"/>
    <mergeCell ref="HV119:HW119"/>
    <mergeCell ref="IB119:IC119"/>
    <mergeCell ref="HV118:HW118"/>
    <mergeCell ref="IB118:IC118"/>
    <mergeCell ref="HP118:HQ118"/>
    <mergeCell ref="HP117:HQ117"/>
    <mergeCell ref="HV117:HW117"/>
    <mergeCell ref="IB117:IC117"/>
    <mergeCell ref="HP116:HQ116"/>
    <mergeCell ref="HV116:HW116"/>
    <mergeCell ref="IB116:IC116"/>
    <mergeCell ref="HV115:HW115"/>
    <mergeCell ref="IB115:IC115"/>
    <mergeCell ref="OD80:OE80"/>
    <mergeCell ref="HT87:HV87"/>
    <mergeCell ref="HT85:HV85"/>
    <mergeCell ref="IO83:IQ83"/>
    <mergeCell ref="HV110:HW110"/>
    <mergeCell ref="IB110:IC110"/>
    <mergeCell ref="HR109:HT109"/>
    <mergeCell ref="HX109:HZ109"/>
    <mergeCell ref="ID109:IF109"/>
    <mergeCell ref="HT84:HV84"/>
    <mergeCell ref="HP92:HS92"/>
    <mergeCell ref="HT92:HW92"/>
    <mergeCell ref="HX92:IA92"/>
    <mergeCell ref="IB92:IE92"/>
    <mergeCell ref="IF92:II92"/>
    <mergeCell ref="HP91:HS91"/>
    <mergeCell ref="HT91:HW91"/>
    <mergeCell ref="HX91:IA91"/>
    <mergeCell ref="IB91:IE91"/>
    <mergeCell ref="IF91:II91"/>
    <mergeCell ref="HT86:HV86"/>
    <mergeCell ref="HP101:HS101"/>
    <mergeCell ref="HT101:IE101"/>
    <mergeCell ref="IF101:II101"/>
    <mergeCell ref="HT98:HW98"/>
    <mergeCell ref="HX98:IA98"/>
    <mergeCell ref="IB98:IE98"/>
    <mergeCell ref="IJ54:IK54"/>
    <mergeCell ref="IJ55:IK55"/>
    <mergeCell ref="IE52:IF52"/>
    <mergeCell ref="IG52:IH52"/>
    <mergeCell ref="IJ52:IK52"/>
    <mergeCell ref="IE53:IF53"/>
    <mergeCell ref="IG53:IH53"/>
    <mergeCell ref="IJ53:IK53"/>
    <mergeCell ref="JD80:JE80"/>
    <mergeCell ref="IX69:IZ69"/>
    <mergeCell ref="JB69:JD69"/>
    <mergeCell ref="JE69:JG69"/>
    <mergeCell ref="IX70:IZ70"/>
    <mergeCell ref="JB70:JD70"/>
    <mergeCell ref="IF70:IH70"/>
    <mergeCell ref="JB73:JD73"/>
    <mergeCell ref="IF71:IH71"/>
    <mergeCell ref="IX71:IZ71"/>
    <mergeCell ref="JB71:JD71"/>
    <mergeCell ref="IF72:IH72"/>
    <mergeCell ref="IT80:IV80"/>
    <mergeCell ref="IZ80:JA80"/>
    <mergeCell ref="IX72:IZ72"/>
    <mergeCell ref="JB72:JD72"/>
    <mergeCell ref="IJ44:IK44"/>
    <mergeCell ref="D32:I33"/>
    <mergeCell ref="HR46:HS46"/>
    <mergeCell ref="IJ46:IK46"/>
    <mergeCell ref="HP47:HQ47"/>
    <mergeCell ref="HP48:HR48"/>
    <mergeCell ref="IC45:ID45"/>
    <mergeCell ref="IJ45:IK45"/>
    <mergeCell ref="D34:F35"/>
    <mergeCell ref="H34:J35"/>
    <mergeCell ref="L34:N35"/>
    <mergeCell ref="W34:AE34"/>
    <mergeCell ref="W35:AB35"/>
    <mergeCell ref="T36:V36"/>
    <mergeCell ref="T37:V37"/>
    <mergeCell ref="T38:V38"/>
    <mergeCell ref="T39:V39"/>
    <mergeCell ref="Q25:S39"/>
    <mergeCell ref="W36:AB36"/>
    <mergeCell ref="W37:AB37"/>
    <mergeCell ref="W38:AB38"/>
    <mergeCell ref="W39:AB39"/>
    <mergeCell ref="W25:AE25"/>
    <mergeCell ref="W26:Y26"/>
    <mergeCell ref="IB134:II135"/>
    <mergeCell ref="W33:Y33"/>
    <mergeCell ref="Z33:AB33"/>
    <mergeCell ref="AC33:AE33"/>
    <mergeCell ref="T34:V34"/>
    <mergeCell ref="T35:V35"/>
    <mergeCell ref="HS52:HU52"/>
    <mergeCell ref="IA52:IC52"/>
    <mergeCell ref="HR44:HS44"/>
    <mergeCell ref="HP133:HS133"/>
    <mergeCell ref="HT133:HW133"/>
    <mergeCell ref="HX133:IA133"/>
    <mergeCell ref="HP132:IA132"/>
    <mergeCell ref="IE59:IF59"/>
    <mergeCell ref="IE58:IF58"/>
    <mergeCell ref="IE56:IF56"/>
    <mergeCell ref="IG56:IH56"/>
    <mergeCell ref="IE57:IF57"/>
    <mergeCell ref="HT81:HV81"/>
    <mergeCell ref="HT80:HV80"/>
    <mergeCell ref="IB123:IC123"/>
    <mergeCell ref="HP115:HQ115"/>
    <mergeCell ref="HV114:HW114"/>
    <mergeCell ref="IB114:IC114"/>
    <mergeCell ref="D2:F3"/>
    <mergeCell ref="R2:W3"/>
    <mergeCell ref="H4:J4"/>
    <mergeCell ref="H8:J8"/>
    <mergeCell ref="H30:J30"/>
    <mergeCell ref="H28:J28"/>
    <mergeCell ref="HP134:HS135"/>
    <mergeCell ref="HT134:HW135"/>
    <mergeCell ref="HX134:IA135"/>
    <mergeCell ref="HP114:HQ114"/>
    <mergeCell ref="HT70:HV70"/>
    <mergeCell ref="HT69:HZ69"/>
    <mergeCell ref="HT78:HV78"/>
    <mergeCell ref="HT74:HV74"/>
    <mergeCell ref="HT71:HV71"/>
    <mergeCell ref="HT72:HV72"/>
    <mergeCell ref="HP97:HS97"/>
    <mergeCell ref="HT97:HW97"/>
    <mergeCell ref="HX97:IA97"/>
    <mergeCell ref="HP96:II96"/>
    <mergeCell ref="W22:AB22"/>
    <mergeCell ref="AC22:AE22"/>
    <mergeCell ref="T23:V23"/>
    <mergeCell ref="W23:AB23"/>
    <mergeCell ref="IB133:II133"/>
    <mergeCell ref="HP131:II131"/>
    <mergeCell ref="IB132:II132"/>
    <mergeCell ref="H38:J38"/>
    <mergeCell ref="U4:AD4"/>
    <mergeCell ref="U6:AD6"/>
    <mergeCell ref="U8:AD8"/>
    <mergeCell ref="U10:AD10"/>
    <mergeCell ref="U12:AD12"/>
    <mergeCell ref="U14:AD14"/>
    <mergeCell ref="AC17:AE17"/>
    <mergeCell ref="AC18:AE18"/>
    <mergeCell ref="AC19:AE19"/>
    <mergeCell ref="H14:J14"/>
    <mergeCell ref="D10:K11"/>
    <mergeCell ref="H12:J12"/>
    <mergeCell ref="IF98:II98"/>
    <mergeCell ref="IB97:IE97"/>
    <mergeCell ref="IF97:II97"/>
    <mergeCell ref="IF95:II95"/>
    <mergeCell ref="AC23:AE23"/>
    <mergeCell ref="T24:V24"/>
    <mergeCell ref="W24:AB24"/>
    <mergeCell ref="AC24:AE24"/>
    <mergeCell ref="D22:F23"/>
    <mergeCell ref="H24:J24"/>
    <mergeCell ref="H26:J26"/>
    <mergeCell ref="T17:V17"/>
    <mergeCell ref="T18:V18"/>
    <mergeCell ref="T19:V19"/>
    <mergeCell ref="Q17:S21"/>
    <mergeCell ref="W17:AB17"/>
    <mergeCell ref="W18:AB18"/>
    <mergeCell ref="W20:AB20"/>
    <mergeCell ref="W21:AB21"/>
    <mergeCell ref="H20:K20"/>
    <mergeCell ref="D18:H19"/>
    <mergeCell ref="T22:V22"/>
    <mergeCell ref="H16:J16"/>
    <mergeCell ref="W19:AB19"/>
    <mergeCell ref="T25:V25"/>
    <mergeCell ref="T26:V26"/>
    <mergeCell ref="T27:V27"/>
    <mergeCell ref="T28:V28"/>
    <mergeCell ref="T29:V29"/>
    <mergeCell ref="T30:V30"/>
    <mergeCell ref="Z26:AB26"/>
  </mergeCells>
  <dataValidations count="17">
    <dataValidation type="list" allowBlank="1" showInputMessage="1" showErrorMessage="1" sqref="H30:J30">
      <formula1>$IL$52:$IL$57</formula1>
    </dataValidation>
    <dataValidation type="list" allowBlank="1" showInputMessage="1" showErrorMessage="1" sqref="H28:J28">
      <formula1>$IN$52:$IN$61</formula1>
    </dataValidation>
    <dataValidation type="list" allowBlank="1" showInputMessage="1" showErrorMessage="1" sqref="H20">
      <formula1>$IN$31:$IN$35</formula1>
    </dataValidation>
    <dataValidation type="list" allowBlank="1" showInputMessage="1" showErrorMessage="1" sqref="H14">
      <formula1>$IZ$52:$IZ$54</formula1>
    </dataValidation>
    <dataValidation type="list" allowBlank="1" showInputMessage="1" showErrorMessage="1" sqref="H12">
      <formula1>$IY$52:$IY$54</formula1>
    </dataValidation>
    <dataValidation type="list" allowBlank="1" showInputMessage="1" showErrorMessage="1" sqref="H38">
      <formula1>$IR$31:$IR$33</formula1>
    </dataValidation>
    <dataValidation type="list" allowBlank="1" showInputMessage="1" showErrorMessage="1" sqref="W38 W32 Z32 AC32">
      <formula1>$JE$83:$JE$99</formula1>
    </dataValidation>
    <dataValidation type="list" allowBlank="1" showInputMessage="1" showErrorMessage="1" sqref="W23">
      <formula1>$IS$52:$IS$61</formula1>
    </dataValidation>
    <dataValidation type="list" allowBlank="1" showInputMessage="1" showErrorMessage="1" sqref="W22">
      <formula1>$IW$52:$IW$62</formula1>
    </dataValidation>
    <dataValidation type="list" allowBlank="1" showInputMessage="1" showErrorMessage="1" sqref="W20">
      <formula1>$II$61:$II$67</formula1>
    </dataValidation>
    <dataValidation type="list" allowBlank="1" showInputMessage="1" showErrorMessage="1" sqref="AN30:AO30 W21">
      <formula1>$IK$61:$IK$67</formula1>
    </dataValidation>
    <dataValidation type="list" allowBlank="1" showInputMessage="1" showErrorMessage="1" sqref="H8:J8">
      <formula1>$IU$51:$IU$63</formula1>
    </dataValidation>
    <dataValidation type="list" allowBlank="1" showInputMessage="1" showErrorMessage="1" sqref="H4:J4 H6:J6">
      <formula1>$IJ$52:$IJ$55</formula1>
    </dataValidation>
    <dataValidation type="list" allowBlank="1" showInputMessage="1" showErrorMessage="1" sqref="IP124:IQ124 HT103 IS124:IX124">
      <formula1>#REF!</formula1>
    </dataValidation>
    <dataValidation type="list" allowBlank="1" showInputMessage="1" showErrorMessage="1" sqref="BD16:BF16">
      <formula1>$SF$45:$SF$47</formula1>
    </dataValidation>
    <dataValidation type="list" allowBlank="1" showInputMessage="1" showErrorMessage="1" sqref="BD17:BF17">
      <formula1>$SG$45:$SG$47</formula1>
    </dataValidation>
    <dataValidation type="list" allowBlank="1" showInputMessage="1" showErrorMessage="1" sqref="FX64:GI64 FX58:GI58">
      <formula1>$IP$52:$IP$66</formula1>
    </dataValidation>
  </dataValidations>
  <hyperlinks>
    <hyperlink ref="FV85:HC86" location="'two way ACI-2'!A1" display="Top"/>
  </hyperlinks>
  <printOptions horizontalCentered="1" verticalCentered="1"/>
  <pageMargins left="0.70866141732283472" right="0.39370078740157483" top="0.39370078740157483" bottom="0.39370078740157483" header="0.27559055118110237" footer="0.19685039370078741"/>
  <pageSetup paperSize="9" scale="57" orientation="landscape" horizontalDpi="1200" verticalDpi="1200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BZ68"/>
  <sheetViews>
    <sheetView showGridLines="0" showRowColHeaders="0" topLeftCell="A25" zoomScaleNormal="100" workbookViewId="0">
      <selection activeCell="AZ14" sqref="AZ14"/>
    </sheetView>
  </sheetViews>
  <sheetFormatPr defaultColWidth="2.625" defaultRowHeight="14.1" customHeight="1" x14ac:dyDescent="0.2"/>
  <cols>
    <col min="1" max="6" width="2.625" style="39"/>
    <col min="7" max="7" width="2.625" style="39" customWidth="1"/>
    <col min="8" max="15" width="2.625" style="39"/>
    <col min="16" max="16" width="2.625" style="39" customWidth="1"/>
    <col min="17" max="18" width="2.625" style="39"/>
    <col min="19" max="19" width="2.625" style="39" customWidth="1"/>
    <col min="20" max="21" width="2.625" style="39"/>
    <col min="22" max="22" width="2.625" style="39" customWidth="1"/>
    <col min="23" max="27" width="2.625" style="39"/>
    <col min="28" max="28" width="2.625" style="39" customWidth="1"/>
    <col min="29" max="30" width="2.625" style="39"/>
    <col min="31" max="31" width="2.625" style="39" customWidth="1"/>
    <col min="32" max="16384" width="2.625" style="39"/>
  </cols>
  <sheetData>
    <row r="1" spans="2:73" ht="14.1" customHeight="1" x14ac:dyDescent="0.2">
      <c r="B1" s="234" t="s">
        <v>121</v>
      </c>
    </row>
    <row r="2" spans="2:73" ht="14.1" customHeight="1" thickBot="1" x14ac:dyDescent="0.25">
      <c r="B2" s="56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4"/>
    </row>
    <row r="3" spans="2:73" ht="14.1" customHeight="1" x14ac:dyDescent="0.2">
      <c r="B3" s="45"/>
      <c r="C3" s="84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64"/>
      <c r="AO3" s="42"/>
    </row>
    <row r="4" spans="2:73" ht="14.1" customHeight="1" x14ac:dyDescent="0.2">
      <c r="B4" s="45"/>
      <c r="C4" s="60"/>
      <c r="D4" s="134" t="s">
        <v>36</v>
      </c>
      <c r="E4" s="132"/>
      <c r="F4" s="132"/>
      <c r="G4" s="133"/>
      <c r="H4" s="119" t="str">
        <f>'One way Slab'!U4</f>
        <v>อาคารคอนกรีตเสริมเหล็ก</v>
      </c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1"/>
      <c r="Y4" s="120"/>
      <c r="Z4" s="120"/>
      <c r="AA4" s="120"/>
      <c r="AB4" s="134" t="s">
        <v>143</v>
      </c>
      <c r="AC4" s="135"/>
      <c r="AD4" s="132"/>
      <c r="AE4" s="133"/>
      <c r="AF4" s="119" t="str">
        <f>'One way Slab'!U10</f>
        <v>S-01</v>
      </c>
      <c r="AG4" s="120"/>
      <c r="AH4" s="120"/>
      <c r="AI4" s="120"/>
      <c r="AJ4" s="121"/>
      <c r="AK4" s="121"/>
      <c r="AL4" s="121"/>
      <c r="AM4" s="303"/>
      <c r="AN4" s="65"/>
      <c r="AO4" s="42"/>
    </row>
    <row r="5" spans="2:73" ht="14.1" customHeight="1" x14ac:dyDescent="0.2">
      <c r="B5" s="45"/>
      <c r="C5" s="60"/>
      <c r="D5" s="301" t="s">
        <v>37</v>
      </c>
      <c r="E5" s="128"/>
      <c r="F5" s="128"/>
      <c r="G5" s="129"/>
      <c r="H5" s="127" t="str">
        <f>'One way Slab'!U6</f>
        <v>สำนักงานทรัพย์สินส่วนพระมหากษัตริย์</v>
      </c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6"/>
      <c r="Y5" s="125"/>
      <c r="Z5" s="125"/>
      <c r="AA5" s="125"/>
      <c r="AB5" s="130" t="s">
        <v>34</v>
      </c>
      <c r="AC5" s="131"/>
      <c r="AD5" s="128"/>
      <c r="AE5" s="129"/>
      <c r="AF5" s="127" t="str">
        <f>'One way Slab'!U12</f>
        <v>ว่าที่ ร.ต.รณฤทธิ์ เพชสง</v>
      </c>
      <c r="AG5" s="125"/>
      <c r="AH5" s="125"/>
      <c r="AI5" s="125"/>
      <c r="AJ5" s="126"/>
      <c r="AK5" s="126"/>
      <c r="AL5" s="126"/>
      <c r="AM5" s="304"/>
      <c r="AN5" s="65"/>
      <c r="AO5" s="42"/>
    </row>
    <row r="6" spans="2:73" ht="14.1" customHeight="1" x14ac:dyDescent="0.2">
      <c r="B6" s="45"/>
      <c r="C6" s="60"/>
      <c r="D6" s="302" t="s">
        <v>38</v>
      </c>
      <c r="E6" s="136"/>
      <c r="F6" s="136"/>
      <c r="G6" s="137"/>
      <c r="H6" s="122" t="str">
        <f>'One way Slab'!U8</f>
        <v>กรุงเทพมหานครฯ</v>
      </c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4"/>
      <c r="Y6" s="123"/>
      <c r="Z6" s="123"/>
      <c r="AA6" s="123"/>
      <c r="AB6" s="138" t="s">
        <v>35</v>
      </c>
      <c r="AC6" s="139"/>
      <c r="AD6" s="136"/>
      <c r="AE6" s="137"/>
      <c r="AF6" s="122" t="str">
        <f>'One way Slab'!U14</f>
        <v>ภย.62026</v>
      </c>
      <c r="AG6" s="123"/>
      <c r="AH6" s="123"/>
      <c r="AI6" s="123"/>
      <c r="AJ6" s="124"/>
      <c r="AK6" s="124"/>
      <c r="AL6" s="124"/>
      <c r="AM6" s="305"/>
      <c r="AN6" s="65"/>
      <c r="AO6" s="42"/>
    </row>
    <row r="7" spans="2:73" ht="14.1" customHeight="1" x14ac:dyDescent="0.2">
      <c r="B7" s="45"/>
      <c r="C7" s="60"/>
      <c r="D7" s="78" t="s">
        <v>39</v>
      </c>
      <c r="E7" s="72"/>
      <c r="F7" s="72"/>
      <c r="G7" s="72"/>
      <c r="H7" s="72"/>
      <c r="I7" s="72"/>
      <c r="J7" s="72"/>
      <c r="K7" s="72"/>
      <c r="L7" s="59"/>
      <c r="M7" s="72"/>
      <c r="N7" s="72"/>
      <c r="O7" s="72"/>
      <c r="P7" s="79" t="s">
        <v>142</v>
      </c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8" t="s">
        <v>40</v>
      </c>
      <c r="AC7" s="72"/>
      <c r="AD7" s="72"/>
      <c r="AE7" s="72"/>
      <c r="AF7" s="72"/>
      <c r="AG7" s="72"/>
      <c r="AH7" s="72"/>
      <c r="AI7" s="72"/>
      <c r="AJ7" s="46"/>
      <c r="AK7" s="46"/>
      <c r="AL7" s="46"/>
      <c r="AM7" s="46"/>
      <c r="AN7" s="65"/>
      <c r="AO7" s="42"/>
    </row>
    <row r="8" spans="2:73" ht="14.1" customHeight="1" x14ac:dyDescent="0.2">
      <c r="B8" s="45"/>
      <c r="C8" s="60"/>
      <c r="D8" s="80" t="s">
        <v>3</v>
      </c>
      <c r="E8" s="423"/>
      <c r="F8" s="431" t="s">
        <v>1</v>
      </c>
      <c r="G8" s="487">
        <f>'One way Slab'!H8</f>
        <v>150</v>
      </c>
      <c r="H8" s="487"/>
      <c r="I8" s="487"/>
      <c r="J8" s="431" t="s">
        <v>2</v>
      </c>
      <c r="K8" s="46"/>
      <c r="L8" s="46"/>
      <c r="M8" s="46"/>
      <c r="N8" s="72"/>
      <c r="O8" s="72"/>
      <c r="P8" s="80" t="s">
        <v>140</v>
      </c>
      <c r="Q8" s="72"/>
      <c r="R8" s="431" t="s">
        <v>1</v>
      </c>
      <c r="S8" s="488">
        <f>'One way Slab'!H24</f>
        <v>1.5</v>
      </c>
      <c r="T8" s="488"/>
      <c r="U8" s="488"/>
      <c r="V8" s="431" t="s">
        <v>13</v>
      </c>
      <c r="W8" s="71"/>
      <c r="X8" s="71"/>
      <c r="Y8" s="72"/>
      <c r="Z8" s="72"/>
      <c r="AA8" s="72"/>
      <c r="AB8" s="81" t="s">
        <v>27</v>
      </c>
      <c r="AC8" s="46"/>
      <c r="AD8" s="431" t="s">
        <v>1</v>
      </c>
      <c r="AE8" s="488">
        <f>'One way Slab'!H16</f>
        <v>0.85</v>
      </c>
      <c r="AF8" s="487"/>
      <c r="AG8" s="487"/>
      <c r="AH8" s="431" t="s">
        <v>0</v>
      </c>
      <c r="AI8" s="72"/>
      <c r="AJ8" s="46"/>
      <c r="AK8" s="46"/>
      <c r="AL8" s="46"/>
      <c r="AM8" s="46"/>
      <c r="AN8" s="65"/>
      <c r="AO8" s="42"/>
    </row>
    <row r="9" spans="2:73" ht="14.1" customHeight="1" x14ac:dyDescent="0.2">
      <c r="B9" s="45"/>
      <c r="C9" s="60"/>
      <c r="D9" s="80" t="s">
        <v>139</v>
      </c>
      <c r="E9" s="423"/>
      <c r="F9" s="431" t="s">
        <v>1</v>
      </c>
      <c r="G9" s="487">
        <f>'One way Slab'!H4</f>
        <v>3000</v>
      </c>
      <c r="H9" s="487"/>
      <c r="I9" s="487"/>
      <c r="J9" s="434" t="s">
        <v>2</v>
      </c>
      <c r="K9" s="46"/>
      <c r="L9" s="46"/>
      <c r="M9" s="46"/>
      <c r="N9" s="72"/>
      <c r="O9" s="72"/>
      <c r="P9" s="80" t="s">
        <v>141</v>
      </c>
      <c r="Q9" s="72"/>
      <c r="R9" s="431" t="s">
        <v>1</v>
      </c>
      <c r="S9" s="488">
        <f>'One way Slab'!H26</f>
        <v>4</v>
      </c>
      <c r="T9" s="488"/>
      <c r="U9" s="488"/>
      <c r="V9" s="431" t="s">
        <v>13</v>
      </c>
      <c r="W9" s="71"/>
      <c r="X9" s="71"/>
      <c r="Y9" s="72"/>
      <c r="Z9" s="72"/>
      <c r="AA9" s="72"/>
      <c r="AB9" s="81" t="s">
        <v>28</v>
      </c>
      <c r="AC9" s="46"/>
      <c r="AD9" s="431" t="s">
        <v>1</v>
      </c>
      <c r="AE9" s="488">
        <f>'One way Slab'!H12</f>
        <v>0.9</v>
      </c>
      <c r="AF9" s="488"/>
      <c r="AG9" s="488"/>
      <c r="AH9" s="431" t="s">
        <v>0</v>
      </c>
      <c r="AI9" s="72"/>
      <c r="AJ9" s="46"/>
      <c r="AK9" s="46"/>
      <c r="AL9" s="46"/>
      <c r="AM9" s="46"/>
      <c r="AN9" s="65"/>
      <c r="AO9" s="42"/>
    </row>
    <row r="10" spans="2:73" ht="14.1" customHeight="1" x14ac:dyDescent="0.2">
      <c r="B10" s="45"/>
      <c r="C10" s="60"/>
      <c r="D10" s="80" t="s">
        <v>138</v>
      </c>
      <c r="E10" s="423"/>
      <c r="F10" s="431" t="s">
        <v>1</v>
      </c>
      <c r="G10" s="487">
        <f>'One way Slab'!H6</f>
        <v>2400</v>
      </c>
      <c r="H10" s="487"/>
      <c r="I10" s="487"/>
      <c r="J10" s="434" t="s">
        <v>2</v>
      </c>
      <c r="K10" s="46"/>
      <c r="L10" s="46"/>
      <c r="M10" s="46"/>
      <c r="N10" s="72"/>
      <c r="O10" s="72"/>
      <c r="P10" s="82" t="s">
        <v>126</v>
      </c>
      <c r="Q10" s="72"/>
      <c r="R10" s="431" t="s">
        <v>1</v>
      </c>
      <c r="S10" s="487">
        <f>'One way Slab'!H30/100</f>
        <v>0.03</v>
      </c>
      <c r="T10" s="487"/>
      <c r="U10" s="487"/>
      <c r="V10" s="431" t="s">
        <v>13</v>
      </c>
      <c r="W10" s="71"/>
      <c r="X10" s="71"/>
      <c r="Y10" s="72"/>
      <c r="Z10" s="72"/>
      <c r="AA10" s="72"/>
      <c r="AB10" s="81" t="s">
        <v>29</v>
      </c>
      <c r="AC10" s="46"/>
      <c r="AD10" s="431" t="s">
        <v>1</v>
      </c>
      <c r="AE10" s="488">
        <f>'One way Slab'!H14</f>
        <v>0.85</v>
      </c>
      <c r="AF10" s="488"/>
      <c r="AG10" s="488"/>
      <c r="AH10" s="431" t="s">
        <v>0</v>
      </c>
      <c r="AI10" s="72"/>
      <c r="AJ10" s="46"/>
      <c r="AK10" s="46"/>
      <c r="AL10" s="46"/>
      <c r="AM10" s="46"/>
      <c r="AN10" s="65"/>
      <c r="AO10" s="42"/>
    </row>
    <row r="11" spans="2:73" ht="14.1" customHeight="1" x14ac:dyDescent="0.2">
      <c r="B11" s="45"/>
      <c r="C11" s="60"/>
      <c r="D11" s="79"/>
      <c r="E11" s="72"/>
      <c r="F11" s="72"/>
      <c r="G11" s="229"/>
      <c r="H11" s="229"/>
      <c r="I11" s="229"/>
      <c r="J11" s="229"/>
      <c r="K11" s="72"/>
      <c r="L11" s="72"/>
      <c r="M11" s="72"/>
      <c r="N11" s="72"/>
      <c r="O11" s="72"/>
      <c r="P11" s="71"/>
      <c r="Q11" s="71"/>
      <c r="R11" s="71"/>
      <c r="S11" s="71"/>
      <c r="T11" s="71"/>
      <c r="U11" s="71"/>
      <c r="V11" s="71"/>
      <c r="W11" s="71"/>
      <c r="X11" s="59"/>
      <c r="Y11" s="59"/>
      <c r="Z11" s="59"/>
      <c r="AA11" s="72"/>
      <c r="AB11" s="72"/>
      <c r="AC11" s="72"/>
      <c r="AD11" s="72"/>
      <c r="AE11" s="229"/>
      <c r="AF11" s="229"/>
      <c r="AG11" s="229"/>
      <c r="AH11" s="229"/>
      <c r="AI11" s="72"/>
      <c r="AJ11" s="46"/>
      <c r="AK11" s="46"/>
      <c r="AL11" s="46"/>
      <c r="AM11" s="46"/>
      <c r="AN11" s="65"/>
      <c r="AO11" s="42"/>
    </row>
    <row r="12" spans="2:73" ht="14.1" customHeight="1" x14ac:dyDescent="0.2">
      <c r="B12" s="45"/>
      <c r="C12" s="60"/>
      <c r="D12" s="77" t="s">
        <v>118</v>
      </c>
      <c r="E12" s="71"/>
      <c r="F12" s="71"/>
      <c r="G12" s="71"/>
      <c r="H12" s="71"/>
      <c r="I12" s="71"/>
      <c r="J12" s="71"/>
      <c r="K12" s="72"/>
      <c r="L12" s="72"/>
      <c r="M12" s="72"/>
      <c r="N12" s="72"/>
      <c r="O12" s="72"/>
      <c r="P12" s="345"/>
      <c r="Q12" s="345"/>
      <c r="R12" s="345"/>
      <c r="S12" s="345"/>
      <c r="T12" s="345"/>
      <c r="U12" s="345"/>
      <c r="V12" s="345"/>
      <c r="W12" s="345"/>
      <c r="X12" s="345"/>
      <c r="Y12" s="345"/>
      <c r="Z12" s="345"/>
      <c r="AA12" s="345"/>
      <c r="AB12" s="345"/>
      <c r="AC12" s="345"/>
      <c r="AD12" s="345"/>
      <c r="AE12" s="345"/>
      <c r="AF12" s="345"/>
      <c r="AG12" s="345"/>
      <c r="AH12" s="345"/>
      <c r="AI12" s="72"/>
      <c r="AJ12" s="46"/>
      <c r="AK12" s="46"/>
      <c r="AL12" s="46"/>
      <c r="AM12" s="46"/>
      <c r="AN12" s="65"/>
      <c r="AO12" s="42"/>
      <c r="AQ12" s="310"/>
      <c r="AR12" s="50"/>
      <c r="AS12" s="50"/>
      <c r="AT12" s="447"/>
      <c r="AU12" s="447"/>
      <c r="AV12" s="447"/>
      <c r="AW12" s="447"/>
      <c r="AX12" s="98"/>
      <c r="AY12" s="98"/>
      <c r="AZ12" s="98"/>
      <c r="BA12" s="98"/>
      <c r="BB12" s="98"/>
      <c r="BC12" s="403"/>
      <c r="BD12" s="50"/>
      <c r="BE12" s="50"/>
      <c r="BF12" s="50"/>
      <c r="BG12" s="50"/>
      <c r="BH12" s="50"/>
      <c r="BI12" s="593"/>
      <c r="BJ12" s="593"/>
      <c r="BK12" s="593"/>
      <c r="BL12" s="593"/>
      <c r="BM12" s="98"/>
      <c r="BN12" s="98"/>
      <c r="BO12" s="310"/>
      <c r="BP12" s="98"/>
      <c r="BQ12" s="98"/>
      <c r="BR12" s="228"/>
      <c r="BS12" s="228"/>
      <c r="BT12" s="228"/>
      <c r="BU12" s="228"/>
    </row>
    <row r="13" spans="2:73" ht="14.1" customHeight="1" x14ac:dyDescent="0.2">
      <c r="B13" s="45"/>
      <c r="C13" s="60"/>
      <c r="D13" s="432" t="s">
        <v>77</v>
      </c>
      <c r="E13" s="346"/>
      <c r="F13" s="313"/>
      <c r="G13" s="313"/>
      <c r="H13" s="140"/>
      <c r="I13" s="140"/>
      <c r="J13" s="140"/>
      <c r="K13" s="140"/>
      <c r="L13" s="140"/>
      <c r="M13" s="140"/>
      <c r="N13" s="140"/>
      <c r="O13" s="140"/>
      <c r="P13" s="432" t="s">
        <v>78</v>
      </c>
      <c r="Q13" s="140"/>
      <c r="R13" s="140"/>
      <c r="S13" s="140"/>
      <c r="T13" s="140"/>
      <c r="U13" s="140"/>
      <c r="V13" s="140"/>
      <c r="W13" s="140"/>
      <c r="X13" s="140"/>
      <c r="Y13" s="347"/>
      <c r="Z13" s="347"/>
      <c r="AA13" s="347"/>
      <c r="AB13" s="432" t="s">
        <v>79</v>
      </c>
      <c r="AC13" s="140"/>
      <c r="AD13" s="140"/>
      <c r="AE13" s="347"/>
      <c r="AF13" s="347"/>
      <c r="AG13" s="347"/>
      <c r="AH13" s="140"/>
      <c r="AI13" s="140"/>
      <c r="AJ13" s="140"/>
      <c r="AK13" s="140"/>
      <c r="AL13" s="489" t="s">
        <v>80</v>
      </c>
      <c r="AM13" s="489"/>
      <c r="AN13" s="65"/>
      <c r="AO13" s="42"/>
      <c r="AQ13" s="311"/>
      <c r="AR13" s="98"/>
      <c r="AS13" s="221"/>
      <c r="AW13" s="364"/>
      <c r="AX13" s="236"/>
      <c r="AY13" s="50"/>
      <c r="AZ13" s="50"/>
      <c r="BA13" s="50"/>
      <c r="BB13" s="50"/>
      <c r="BC13" s="447"/>
      <c r="BD13" s="236"/>
      <c r="BE13" s="221"/>
      <c r="BI13" s="364"/>
      <c r="BJ13" s="449"/>
      <c r="BK13" s="311"/>
      <c r="BL13" s="50"/>
      <c r="BM13" s="50"/>
      <c r="BN13" s="50"/>
      <c r="BO13" s="270"/>
      <c r="BP13" s="236"/>
      <c r="BQ13" s="221"/>
      <c r="BU13" s="404"/>
    </row>
    <row r="14" spans="2:73" ht="14.1" customHeight="1" x14ac:dyDescent="0.2">
      <c r="B14" s="45"/>
      <c r="C14" s="60"/>
      <c r="D14" s="345"/>
      <c r="E14" s="454"/>
      <c r="F14" s="454"/>
      <c r="G14" s="454"/>
      <c r="H14" s="454"/>
      <c r="I14" s="454"/>
      <c r="J14" s="454"/>
      <c r="K14" s="454"/>
      <c r="L14" s="454"/>
      <c r="M14" s="454"/>
      <c r="N14" s="454"/>
      <c r="O14" s="454"/>
      <c r="P14" s="698" t="s">
        <v>242</v>
      </c>
      <c r="Q14" s="698"/>
      <c r="R14" s="698"/>
      <c r="S14" s="698" t="s">
        <v>243</v>
      </c>
      <c r="T14" s="698"/>
      <c r="U14" s="698"/>
      <c r="V14" s="698" t="s">
        <v>244</v>
      </c>
      <c r="W14" s="698"/>
      <c r="X14" s="698"/>
      <c r="Y14" s="454"/>
      <c r="Z14" s="454"/>
      <c r="AA14" s="454"/>
      <c r="AB14" s="698" t="s">
        <v>245</v>
      </c>
      <c r="AC14" s="698"/>
      <c r="AD14" s="698"/>
      <c r="AE14" s="454"/>
      <c r="AF14" s="454"/>
      <c r="AG14" s="454"/>
      <c r="AH14" s="345"/>
      <c r="AI14" s="345"/>
      <c r="AJ14" s="345"/>
      <c r="AK14" s="431"/>
      <c r="AL14" s="455"/>
      <c r="AM14" s="431"/>
      <c r="AN14" s="65"/>
      <c r="AO14" s="42"/>
      <c r="AQ14" s="364"/>
      <c r="AR14" s="236"/>
      <c r="AS14" s="221"/>
      <c r="AW14" s="239"/>
      <c r="AX14" s="236"/>
      <c r="AY14" s="221"/>
      <c r="AZ14" s="221"/>
      <c r="BA14" s="230"/>
      <c r="BB14" s="50"/>
      <c r="BC14" s="447"/>
      <c r="BD14" s="236"/>
      <c r="BE14" s="221"/>
      <c r="BI14" s="364"/>
      <c r="BJ14" s="228"/>
      <c r="BK14" s="311"/>
      <c r="BL14" s="50"/>
      <c r="BM14" s="50"/>
      <c r="BN14" s="50"/>
      <c r="BO14" s="270"/>
      <c r="BP14" s="236"/>
      <c r="BQ14" s="221"/>
      <c r="BU14" s="405"/>
    </row>
    <row r="15" spans="2:73" ht="14.1" customHeight="1" x14ac:dyDescent="0.2">
      <c r="B15" s="45"/>
      <c r="C15" s="60"/>
      <c r="D15" s="454" t="s">
        <v>283</v>
      </c>
      <c r="E15" s="454"/>
      <c r="F15" s="454"/>
      <c r="G15" s="458" t="s">
        <v>284</v>
      </c>
      <c r="H15" s="454"/>
      <c r="I15" s="454"/>
      <c r="J15" s="454"/>
      <c r="K15" s="454"/>
      <c r="L15" s="454"/>
      <c r="M15" s="454"/>
      <c r="N15" s="454"/>
      <c r="O15" s="454"/>
      <c r="P15" s="698" t="str">
        <f>'One way Slab'!W27</f>
        <v>Con.-</v>
      </c>
      <c r="Q15" s="698"/>
      <c r="R15" s="698"/>
      <c r="S15" s="698" t="str">
        <f>'One way Slab'!Z27</f>
        <v>Mid.+</v>
      </c>
      <c r="T15" s="698"/>
      <c r="U15" s="698"/>
      <c r="V15" s="698" t="str">
        <f>'One way Slab'!AC27</f>
        <v>Con.-</v>
      </c>
      <c r="W15" s="698"/>
      <c r="X15" s="698"/>
      <c r="Y15" s="459"/>
      <c r="Z15" s="459"/>
      <c r="AA15" s="459"/>
      <c r="AB15" s="459" t="s">
        <v>0</v>
      </c>
      <c r="AC15" s="345"/>
      <c r="AD15" s="345"/>
      <c r="AE15" s="454"/>
      <c r="AF15" s="454"/>
      <c r="AG15" s="454"/>
      <c r="AH15" s="454"/>
      <c r="AI15" s="436"/>
      <c r="AJ15" s="431"/>
      <c r="AK15" s="431"/>
      <c r="AL15" s="455" t="s">
        <v>0</v>
      </c>
      <c r="AM15" s="431"/>
      <c r="AN15" s="65"/>
      <c r="AO15" s="42"/>
      <c r="AQ15" s="406"/>
      <c r="AR15" s="236"/>
      <c r="AS15" s="221"/>
      <c r="AW15" s="239"/>
      <c r="AX15" s="236"/>
      <c r="AY15" s="221"/>
      <c r="AZ15" s="221"/>
      <c r="BA15" s="236"/>
      <c r="BB15" s="50"/>
      <c r="BC15" s="239"/>
      <c r="BD15" s="236"/>
      <c r="BE15" s="221"/>
      <c r="BI15" s="364"/>
      <c r="BJ15" s="407"/>
      <c r="BK15" s="312"/>
      <c r="BL15" s="50"/>
      <c r="BM15" s="50"/>
      <c r="BN15" s="50"/>
      <c r="BO15" s="270"/>
      <c r="BP15" s="236"/>
      <c r="BQ15" s="221"/>
      <c r="BR15" s="593"/>
      <c r="BS15" s="593"/>
      <c r="BT15" s="593"/>
      <c r="BU15" s="239"/>
    </row>
    <row r="16" spans="2:73" ht="14.1" customHeight="1" x14ac:dyDescent="0.2">
      <c r="B16" s="45"/>
      <c r="C16" s="60"/>
      <c r="D16" s="436" t="s">
        <v>59</v>
      </c>
      <c r="E16" s="431"/>
      <c r="F16" s="455" t="s">
        <v>1</v>
      </c>
      <c r="G16" s="455" t="s">
        <v>262</v>
      </c>
      <c r="H16" s="431"/>
      <c r="I16" s="454"/>
      <c r="J16" s="454"/>
      <c r="K16" s="454"/>
      <c r="L16" s="454"/>
      <c r="M16" s="454"/>
      <c r="N16" s="454"/>
      <c r="O16" s="454"/>
      <c r="P16" s="496">
        <f>'One way Slab'!W18</f>
        <v>0.38</v>
      </c>
      <c r="Q16" s="496"/>
      <c r="R16" s="496"/>
      <c r="S16" s="699">
        <f t="shared" ref="S16:S25" si="0">P16</f>
        <v>0.38</v>
      </c>
      <c r="T16" s="699"/>
      <c r="U16" s="699"/>
      <c r="V16" s="699">
        <f t="shared" ref="V16:V25" si="1">P16</f>
        <v>0.38</v>
      </c>
      <c r="W16" s="699"/>
      <c r="X16" s="699"/>
      <c r="Y16" s="451"/>
      <c r="Z16" s="451"/>
      <c r="AA16" s="451"/>
      <c r="AB16" s="459" t="s">
        <v>0</v>
      </c>
      <c r="AC16" s="345"/>
      <c r="AD16" s="345"/>
      <c r="AE16" s="454"/>
      <c r="AF16" s="454"/>
      <c r="AG16" s="454"/>
      <c r="AH16" s="454"/>
      <c r="AI16" s="436"/>
      <c r="AJ16" s="431"/>
      <c r="AK16" s="431"/>
      <c r="AL16" s="455" t="s">
        <v>0</v>
      </c>
      <c r="AM16" s="431"/>
      <c r="AN16" s="65"/>
      <c r="AO16" s="42"/>
      <c r="AQ16" s="50"/>
      <c r="AR16" s="50"/>
      <c r="AS16" s="50"/>
      <c r="AT16" s="50"/>
      <c r="AU16" s="50"/>
      <c r="AV16" s="50"/>
      <c r="AW16" s="236"/>
      <c r="AX16" s="221"/>
      <c r="AY16" s="221"/>
      <c r="AZ16" s="221"/>
      <c r="BA16" s="50"/>
      <c r="BB16" s="50"/>
      <c r="BC16" s="50"/>
      <c r="BD16" s="236"/>
      <c r="BE16" s="221"/>
      <c r="BI16" s="364"/>
      <c r="BJ16" s="427"/>
      <c r="BK16" s="312"/>
      <c r="BL16" s="50"/>
      <c r="BM16" s="50"/>
      <c r="BN16" s="50"/>
      <c r="BO16" s="270"/>
      <c r="BP16" s="236"/>
      <c r="BQ16" s="221"/>
      <c r="BU16" s="239"/>
    </row>
    <row r="17" spans="2:78" ht="14.1" customHeight="1" x14ac:dyDescent="0.2">
      <c r="B17" s="45"/>
      <c r="C17" s="60"/>
      <c r="D17" s="450" t="s">
        <v>282</v>
      </c>
      <c r="E17" s="454"/>
      <c r="F17" s="455" t="s">
        <v>1</v>
      </c>
      <c r="G17" s="149" t="str">
        <f>CONCATENATE(IF('One way Slab'!H38=1,'One way Slab'!IT71,IF('One way Slab'!H38=2,'One way Slab'!IT70,'One way Slab'!IT69)),'One way Slab'!IU74)</f>
        <v>(S/28)(0.40+(fy/7000))</v>
      </c>
      <c r="H17" s="454"/>
      <c r="I17" s="454"/>
      <c r="J17" s="454"/>
      <c r="K17" s="454"/>
      <c r="L17" s="454"/>
      <c r="M17" s="454"/>
      <c r="N17" s="454"/>
      <c r="O17" s="454"/>
      <c r="P17" s="496">
        <f>'One way Slab'!HP48</f>
        <v>6.1111111111111107</v>
      </c>
      <c r="Q17" s="496"/>
      <c r="R17" s="496"/>
      <c r="S17" s="699">
        <f t="shared" si="0"/>
        <v>6.1111111111111107</v>
      </c>
      <c r="T17" s="699"/>
      <c r="U17" s="699"/>
      <c r="V17" s="699">
        <f t="shared" si="1"/>
        <v>6.1111111111111107</v>
      </c>
      <c r="W17" s="699"/>
      <c r="X17" s="699"/>
      <c r="Y17" s="454"/>
      <c r="Z17" s="454"/>
      <c r="AA17" s="454"/>
      <c r="AB17" s="459" t="s">
        <v>0</v>
      </c>
      <c r="AC17" s="345"/>
      <c r="AD17" s="345"/>
      <c r="AE17" s="454"/>
      <c r="AF17" s="454"/>
      <c r="AG17" s="454"/>
      <c r="AH17" s="454"/>
      <c r="AI17" s="437"/>
      <c r="AJ17" s="431"/>
      <c r="AK17" s="431"/>
      <c r="AL17" s="436" t="s">
        <v>18</v>
      </c>
      <c r="AM17" s="431"/>
      <c r="AN17" s="65"/>
      <c r="AO17" s="42"/>
      <c r="AQ17" s="50"/>
      <c r="AR17" s="50"/>
      <c r="AS17" s="50"/>
      <c r="AT17" s="50"/>
      <c r="AU17" s="50"/>
      <c r="AV17" s="50"/>
      <c r="AW17" s="50"/>
      <c r="AX17" s="50"/>
      <c r="AY17" s="98"/>
      <c r="AZ17" s="221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222"/>
      <c r="BP17" s="311"/>
      <c r="BQ17" s="221"/>
    </row>
    <row r="18" spans="2:78" ht="14.1" customHeight="1" x14ac:dyDescent="0.2">
      <c r="B18" s="45"/>
      <c r="C18" s="60"/>
      <c r="D18" s="109" t="s">
        <v>144</v>
      </c>
      <c r="E18" s="454"/>
      <c r="F18" s="455" t="s">
        <v>1</v>
      </c>
      <c r="G18" s="459" t="s">
        <v>44</v>
      </c>
      <c r="H18" s="454"/>
      <c r="I18" s="454"/>
      <c r="J18" s="454"/>
      <c r="K18" s="454"/>
      <c r="L18" s="454"/>
      <c r="M18" s="454"/>
      <c r="N18" s="454"/>
      <c r="O18" s="454"/>
      <c r="P18" s="697">
        <f>'One way Slab'!W17</f>
        <v>10</v>
      </c>
      <c r="Q18" s="697"/>
      <c r="R18" s="697"/>
      <c r="S18" s="698">
        <f t="shared" si="0"/>
        <v>10</v>
      </c>
      <c r="T18" s="698"/>
      <c r="U18" s="698"/>
      <c r="V18" s="698">
        <f t="shared" si="1"/>
        <v>10</v>
      </c>
      <c r="W18" s="698"/>
      <c r="X18" s="698"/>
      <c r="Y18" s="454"/>
      <c r="Z18" s="454"/>
      <c r="AA18" s="454"/>
      <c r="AB18" s="459" t="s">
        <v>0</v>
      </c>
      <c r="AC18" s="345"/>
      <c r="AD18" s="345"/>
      <c r="AE18" s="454"/>
      <c r="AF18" s="454"/>
      <c r="AG18" s="454"/>
      <c r="AH18" s="454"/>
      <c r="AI18" s="437"/>
      <c r="AJ18" s="431"/>
      <c r="AK18" s="431"/>
      <c r="AL18" s="436" t="s">
        <v>18</v>
      </c>
      <c r="AM18" s="431"/>
      <c r="AN18" s="65"/>
      <c r="AO18" s="42"/>
      <c r="AQ18" s="50"/>
      <c r="AR18" s="50"/>
      <c r="AS18" s="50"/>
      <c r="AT18" s="50"/>
      <c r="AU18" s="50"/>
      <c r="AV18" s="50"/>
      <c r="AW18" s="50"/>
      <c r="AX18" s="50"/>
      <c r="AY18" s="98"/>
      <c r="AZ18" s="221"/>
      <c r="BA18" s="83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257"/>
      <c r="BP18" s="311"/>
      <c r="BQ18" s="221"/>
      <c r="BR18" s="318"/>
      <c r="BS18" s="319"/>
      <c r="BT18" s="319"/>
      <c r="BU18" s="239"/>
    </row>
    <row r="19" spans="2:78" ht="14.1" customHeight="1" x14ac:dyDescent="0.2">
      <c r="B19" s="45"/>
      <c r="C19" s="60"/>
      <c r="D19" s="431" t="s">
        <v>12</v>
      </c>
      <c r="E19" s="431"/>
      <c r="F19" s="455" t="s">
        <v>1</v>
      </c>
      <c r="G19" s="71" t="s">
        <v>263</v>
      </c>
      <c r="H19" s="431"/>
      <c r="I19" s="431"/>
      <c r="J19" s="431"/>
      <c r="K19" s="431"/>
      <c r="L19" s="431"/>
      <c r="M19" s="455"/>
      <c r="N19" s="431"/>
      <c r="O19" s="431"/>
      <c r="P19" s="596">
        <f>'One way Slab'!IF70</f>
        <v>240</v>
      </c>
      <c r="Q19" s="596"/>
      <c r="R19" s="596"/>
      <c r="S19" s="697">
        <f t="shared" si="0"/>
        <v>240</v>
      </c>
      <c r="T19" s="697"/>
      <c r="U19" s="697"/>
      <c r="V19" s="697">
        <f t="shared" si="1"/>
        <v>240</v>
      </c>
      <c r="W19" s="697"/>
      <c r="X19" s="697"/>
      <c r="Y19" s="431"/>
      <c r="Z19" s="431"/>
      <c r="AA19" s="431"/>
      <c r="AB19" s="459" t="s">
        <v>0</v>
      </c>
      <c r="AC19" s="431"/>
      <c r="AD19" s="431"/>
      <c r="AE19" s="437"/>
      <c r="AF19" s="437"/>
      <c r="AG19" s="437"/>
      <c r="AH19" s="450"/>
      <c r="AI19" s="431"/>
      <c r="AJ19" s="431"/>
      <c r="AK19" s="431"/>
      <c r="AL19" s="450" t="s">
        <v>274</v>
      </c>
      <c r="AM19" s="431"/>
      <c r="AN19" s="65"/>
      <c r="AO19" s="42"/>
    </row>
    <row r="20" spans="2:78" ht="14.1" customHeight="1" x14ac:dyDescent="0.2">
      <c r="B20" s="45"/>
      <c r="C20" s="60"/>
      <c r="D20" s="431" t="s">
        <v>145</v>
      </c>
      <c r="E20" s="454"/>
      <c r="F20" s="455" t="s">
        <v>1</v>
      </c>
      <c r="G20" s="71" t="s">
        <v>279</v>
      </c>
      <c r="H20" s="454"/>
      <c r="I20" s="454"/>
      <c r="J20" s="454"/>
      <c r="K20" s="454"/>
      <c r="L20" s="454"/>
      <c r="M20" s="454"/>
      <c r="N20" s="454"/>
      <c r="O20" s="454"/>
      <c r="P20" s="700">
        <f>'One way Slab'!W22</f>
        <v>120</v>
      </c>
      <c r="Q20" s="700"/>
      <c r="R20" s="700"/>
      <c r="S20" s="701">
        <f t="shared" si="0"/>
        <v>120</v>
      </c>
      <c r="T20" s="701"/>
      <c r="U20" s="701"/>
      <c r="V20" s="701">
        <f t="shared" si="1"/>
        <v>120</v>
      </c>
      <c r="W20" s="701"/>
      <c r="X20" s="701"/>
      <c r="Y20" s="454"/>
      <c r="Z20" s="454"/>
      <c r="AA20" s="454"/>
      <c r="AB20" s="459" t="s">
        <v>0</v>
      </c>
      <c r="AC20" s="454"/>
      <c r="AD20" s="454"/>
      <c r="AE20" s="454"/>
      <c r="AF20" s="454"/>
      <c r="AG20" s="454"/>
      <c r="AH20" s="454"/>
      <c r="AI20" s="454"/>
      <c r="AJ20" s="454"/>
      <c r="AK20" s="454"/>
      <c r="AL20" s="450" t="s">
        <v>274</v>
      </c>
      <c r="AM20" s="454"/>
      <c r="AN20" s="65"/>
      <c r="AO20" s="42"/>
      <c r="AQ20" s="309"/>
      <c r="AR20" s="309"/>
      <c r="AS20" s="309"/>
      <c r="AT20" s="309"/>
      <c r="AU20" s="309"/>
      <c r="AV20" s="309"/>
      <c r="AW20" s="309"/>
      <c r="AX20" s="309"/>
      <c r="AY20" s="309"/>
      <c r="AZ20" s="309"/>
      <c r="BA20" s="309"/>
      <c r="BB20" s="309"/>
      <c r="BC20" s="309"/>
      <c r="BD20" s="309"/>
      <c r="BE20" s="309"/>
      <c r="BF20" s="309"/>
      <c r="BG20" s="309"/>
      <c r="BH20" s="309"/>
      <c r="BI20" s="309"/>
      <c r="BJ20" s="309"/>
      <c r="BK20" s="309"/>
      <c r="BL20" s="309"/>
      <c r="BM20" s="309"/>
      <c r="BN20" s="50"/>
      <c r="BO20" s="309"/>
      <c r="BP20" s="309"/>
      <c r="BQ20" s="309"/>
      <c r="BR20" s="309"/>
      <c r="BS20" s="237"/>
      <c r="BT20" s="227"/>
      <c r="BU20" s="227"/>
      <c r="BV20" s="227"/>
      <c r="BW20" s="227"/>
      <c r="BX20" s="309"/>
      <c r="BY20" s="309"/>
      <c r="BZ20" s="309"/>
    </row>
    <row r="21" spans="2:78" ht="14.1" customHeight="1" x14ac:dyDescent="0.2">
      <c r="B21" s="45"/>
      <c r="C21" s="60"/>
      <c r="D21" s="436" t="s">
        <v>11</v>
      </c>
      <c r="E21" s="454"/>
      <c r="F21" s="455" t="s">
        <v>1</v>
      </c>
      <c r="G21" s="71" t="s">
        <v>264</v>
      </c>
      <c r="H21" s="454"/>
      <c r="I21" s="454"/>
      <c r="J21" s="454"/>
      <c r="K21" s="454"/>
      <c r="L21" s="454"/>
      <c r="M21" s="454"/>
      <c r="N21" s="454"/>
      <c r="O21" s="454"/>
      <c r="P21" s="700">
        <f>'One way Slab'!W23</f>
        <v>200</v>
      </c>
      <c r="Q21" s="700"/>
      <c r="R21" s="700"/>
      <c r="S21" s="701">
        <f t="shared" si="0"/>
        <v>200</v>
      </c>
      <c r="T21" s="701"/>
      <c r="U21" s="701"/>
      <c r="V21" s="701">
        <f t="shared" si="1"/>
        <v>200</v>
      </c>
      <c r="W21" s="701"/>
      <c r="X21" s="701"/>
      <c r="Y21" s="454"/>
      <c r="Z21" s="454"/>
      <c r="AA21" s="454"/>
      <c r="AB21" s="459" t="s">
        <v>0</v>
      </c>
      <c r="AC21" s="454"/>
      <c r="AD21" s="454"/>
      <c r="AE21" s="454"/>
      <c r="AF21" s="454"/>
      <c r="AG21" s="454"/>
      <c r="AH21" s="454"/>
      <c r="AI21" s="454"/>
      <c r="AJ21" s="454"/>
      <c r="AK21" s="454"/>
      <c r="AL21" s="450" t="s">
        <v>274</v>
      </c>
      <c r="AM21" s="454"/>
      <c r="AN21" s="65"/>
      <c r="AO21" s="42"/>
      <c r="AQ21" s="309"/>
      <c r="AR21" s="309"/>
      <c r="AS21" s="309"/>
      <c r="AT21" s="309"/>
      <c r="AU21" s="309"/>
      <c r="AV21" s="309"/>
      <c r="AW21" s="309"/>
      <c r="AX21" s="309"/>
      <c r="AY21" s="309"/>
      <c r="AZ21" s="309"/>
      <c r="BA21" s="309"/>
      <c r="BB21" s="309"/>
      <c r="BC21" s="309"/>
      <c r="BD21" s="309"/>
      <c r="BE21" s="309"/>
      <c r="BF21" s="309"/>
      <c r="BG21" s="309"/>
      <c r="BH21" s="309"/>
      <c r="BI21" s="309"/>
      <c r="BJ21" s="309"/>
      <c r="BK21" s="309"/>
      <c r="BL21" s="309"/>
      <c r="BM21" s="309"/>
      <c r="BN21" s="50"/>
      <c r="BO21" s="309"/>
      <c r="BP21" s="309"/>
      <c r="BQ21" s="309"/>
      <c r="BR21" s="309"/>
      <c r="BS21" s="227"/>
      <c r="BT21" s="227"/>
      <c r="BU21" s="227"/>
      <c r="BV21" s="227"/>
      <c r="BW21" s="227"/>
      <c r="BX21" s="309"/>
      <c r="BY21" s="309"/>
      <c r="BZ21" s="309"/>
    </row>
    <row r="22" spans="2:78" ht="14.1" customHeight="1" x14ac:dyDescent="0.2">
      <c r="B22" s="45"/>
      <c r="C22" s="60"/>
      <c r="D22" s="71" t="s">
        <v>146</v>
      </c>
      <c r="E22" s="454"/>
      <c r="F22" s="455" t="s">
        <v>1</v>
      </c>
      <c r="G22" s="454" t="str">
        <f>IF('One way Slab'!H20="DL","DL+SDL",IF('One way Slab'!H20="LL","LL",IF('One way Slab'!H20="DL + LL","DL+SDL+LL",IF('One way Slab'!H20="1.4DL + 1.7LL","1.4(DL+SDL)+1.7LL",IF('One way Slab'!H20="1.7DL + 2.0LL","1.7(DL+SDL)+2.0LL")))))</f>
        <v>1.7(DL+SDL)+2.0LL</v>
      </c>
      <c r="H22" s="351"/>
      <c r="I22" s="351"/>
      <c r="J22" s="351"/>
      <c r="K22" s="351"/>
      <c r="L22" s="454"/>
      <c r="M22" s="454"/>
      <c r="N22" s="454"/>
      <c r="O22" s="454"/>
      <c r="P22" s="498">
        <f>'One way Slab'!W24</f>
        <v>1012</v>
      </c>
      <c r="Q22" s="498"/>
      <c r="R22" s="498"/>
      <c r="S22" s="698">
        <f t="shared" si="0"/>
        <v>1012</v>
      </c>
      <c r="T22" s="698"/>
      <c r="U22" s="698"/>
      <c r="V22" s="698">
        <f t="shared" si="1"/>
        <v>1012</v>
      </c>
      <c r="W22" s="698"/>
      <c r="X22" s="698"/>
      <c r="Y22" s="454"/>
      <c r="Z22" s="454"/>
      <c r="AA22" s="454"/>
      <c r="AB22" s="459" t="s">
        <v>0</v>
      </c>
      <c r="AC22" s="454"/>
      <c r="AD22" s="454"/>
      <c r="AE22" s="454"/>
      <c r="AF22" s="454"/>
      <c r="AG22" s="454"/>
      <c r="AH22" s="454"/>
      <c r="AI22" s="454"/>
      <c r="AJ22" s="454"/>
      <c r="AK22" s="454"/>
      <c r="AL22" s="450" t="s">
        <v>274</v>
      </c>
      <c r="AM22" s="454"/>
      <c r="AN22" s="65"/>
      <c r="AO22" s="42"/>
      <c r="AQ22" s="311"/>
      <c r="AR22" s="311"/>
      <c r="AS22" s="221"/>
      <c r="AT22" s="311"/>
      <c r="AU22" s="50"/>
      <c r="AV22" s="50"/>
      <c r="AW22" s="50"/>
      <c r="AX22" s="50"/>
      <c r="AY22" s="236"/>
      <c r="AZ22" s="409"/>
      <c r="BA22" s="409"/>
      <c r="BB22" s="409"/>
      <c r="BC22" s="236"/>
      <c r="BD22" s="409"/>
      <c r="BE22" s="409"/>
      <c r="BF22" s="409"/>
      <c r="BG22" s="236"/>
      <c r="BH22" s="409"/>
      <c r="BI22" s="409"/>
      <c r="BJ22" s="409"/>
      <c r="BK22" s="238"/>
      <c r="BL22" s="322"/>
      <c r="BM22" s="322"/>
      <c r="BN22" s="50"/>
      <c r="BO22" s="50"/>
      <c r="BP22" s="50"/>
      <c r="BQ22" s="50"/>
      <c r="BR22" s="50"/>
      <c r="BS22" s="236"/>
      <c r="BT22" s="236"/>
      <c r="BU22" s="236"/>
      <c r="BV22" s="236"/>
      <c r="BW22" s="50"/>
      <c r="BX22" s="50"/>
      <c r="BY22" s="50"/>
      <c r="BZ22" s="50"/>
    </row>
    <row r="23" spans="2:78" ht="14.1" customHeight="1" x14ac:dyDescent="0.2">
      <c r="B23" s="45"/>
      <c r="C23" s="60"/>
      <c r="D23" s="81" t="s">
        <v>30</v>
      </c>
      <c r="E23" s="46"/>
      <c r="F23" s="455" t="s">
        <v>1</v>
      </c>
      <c r="G23" s="436" t="s">
        <v>265</v>
      </c>
      <c r="H23" s="46"/>
      <c r="I23" s="46"/>
      <c r="J23" s="454"/>
      <c r="K23" s="454"/>
      <c r="L23" s="454"/>
      <c r="M23" s="454"/>
      <c r="N23" s="454"/>
      <c r="O23" s="454"/>
      <c r="P23" s="499">
        <f>'One way Slab'!HT80</f>
        <v>2.4199999999999999E-2</v>
      </c>
      <c r="Q23" s="697"/>
      <c r="R23" s="697"/>
      <c r="S23" s="702">
        <f t="shared" si="0"/>
        <v>2.4199999999999999E-2</v>
      </c>
      <c r="T23" s="702"/>
      <c r="U23" s="702"/>
      <c r="V23" s="702">
        <f t="shared" si="1"/>
        <v>2.4199999999999999E-2</v>
      </c>
      <c r="W23" s="702"/>
      <c r="X23" s="702"/>
      <c r="Y23" s="454"/>
      <c r="Z23" s="454"/>
      <c r="AA23" s="454"/>
      <c r="AB23" s="459" t="s">
        <v>0</v>
      </c>
      <c r="AC23" s="454"/>
      <c r="AD23" s="454"/>
      <c r="AE23" s="454"/>
      <c r="AF23" s="454"/>
      <c r="AG23" s="454"/>
      <c r="AH23" s="454"/>
      <c r="AI23" s="454"/>
      <c r="AJ23" s="454"/>
      <c r="AK23" s="454"/>
      <c r="AL23" s="454" t="s">
        <v>0</v>
      </c>
      <c r="AM23" s="454"/>
      <c r="AN23" s="65"/>
      <c r="AO23" s="42"/>
      <c r="AQ23" s="317"/>
      <c r="AR23" s="317"/>
      <c r="AS23" s="221"/>
      <c r="AT23" s="447"/>
      <c r="AU23" s="50"/>
      <c r="AV23" s="50"/>
      <c r="AW23" s="50"/>
      <c r="AX23" s="50"/>
      <c r="AY23" s="236"/>
      <c r="AZ23" s="318"/>
      <c r="BA23" s="318"/>
      <c r="BB23" s="318"/>
      <c r="BC23" s="236"/>
      <c r="BD23" s="318"/>
      <c r="BE23" s="318"/>
      <c r="BF23" s="318"/>
      <c r="BG23" s="236"/>
      <c r="BH23" s="318"/>
      <c r="BI23" s="318"/>
      <c r="BJ23" s="318"/>
      <c r="BK23" s="239"/>
      <c r="BL23" s="311"/>
      <c r="BM23" s="311"/>
      <c r="BN23" s="50"/>
      <c r="BO23" s="268"/>
      <c r="BP23" s="50"/>
      <c r="BQ23" s="50"/>
      <c r="BR23" s="50"/>
      <c r="BS23" s="50"/>
      <c r="BT23" s="227"/>
      <c r="BU23" s="227"/>
      <c r="BV23" s="227"/>
      <c r="BW23" s="50"/>
      <c r="BX23" s="50"/>
      <c r="BY23" s="50"/>
      <c r="BZ23" s="50"/>
    </row>
    <row r="24" spans="2:78" ht="14.1" customHeight="1" x14ac:dyDescent="0.2">
      <c r="B24" s="45"/>
      <c r="C24" s="60"/>
      <c r="D24" s="81" t="s">
        <v>31</v>
      </c>
      <c r="E24" s="46"/>
      <c r="F24" s="455" t="s">
        <v>1</v>
      </c>
      <c r="G24" s="81" t="s">
        <v>122</v>
      </c>
      <c r="H24" s="46"/>
      <c r="I24" s="46"/>
      <c r="J24" s="454"/>
      <c r="K24" s="454"/>
      <c r="L24" s="454"/>
      <c r="M24" s="454"/>
      <c r="N24" s="454"/>
      <c r="O24" s="454"/>
      <c r="P24" s="499">
        <f>'One way Slab'!HT81</f>
        <v>1.8200000000000001E-2</v>
      </c>
      <c r="Q24" s="697"/>
      <c r="R24" s="697"/>
      <c r="S24" s="702">
        <f t="shared" si="0"/>
        <v>1.8200000000000001E-2</v>
      </c>
      <c r="T24" s="702"/>
      <c r="U24" s="702"/>
      <c r="V24" s="702">
        <f t="shared" si="1"/>
        <v>1.8200000000000001E-2</v>
      </c>
      <c r="W24" s="702"/>
      <c r="X24" s="702"/>
      <c r="Y24" s="454"/>
      <c r="Z24" s="454"/>
      <c r="AA24" s="454"/>
      <c r="AB24" s="459" t="s">
        <v>0</v>
      </c>
      <c r="AC24" s="454"/>
      <c r="AD24" s="454"/>
      <c r="AE24" s="454"/>
      <c r="AF24" s="454"/>
      <c r="AG24" s="454"/>
      <c r="AH24" s="454"/>
      <c r="AI24" s="454"/>
      <c r="AJ24" s="454"/>
      <c r="AK24" s="454"/>
      <c r="AL24" s="454" t="s">
        <v>0</v>
      </c>
      <c r="AM24" s="454"/>
      <c r="AN24" s="65"/>
      <c r="AO24" s="42"/>
      <c r="AQ24" s="311"/>
      <c r="AR24" s="311"/>
      <c r="AS24" s="221"/>
      <c r="AT24" s="257"/>
      <c r="AU24" s="50"/>
      <c r="AV24" s="50"/>
      <c r="AW24" s="50"/>
      <c r="AX24" s="50"/>
      <c r="AY24" s="236"/>
      <c r="AZ24" s="223"/>
      <c r="BA24" s="223"/>
      <c r="BB24" s="223"/>
      <c r="BC24" s="236"/>
      <c r="BD24" s="223"/>
      <c r="BE24" s="223"/>
      <c r="BF24" s="223"/>
      <c r="BG24" s="236"/>
      <c r="BH24" s="223"/>
      <c r="BI24" s="223"/>
      <c r="BJ24" s="223"/>
      <c r="BK24" s="239"/>
      <c r="BL24" s="311"/>
      <c r="BM24" s="311"/>
      <c r="BN24" s="50"/>
      <c r="BO24" s="268"/>
      <c r="BP24" s="50"/>
      <c r="BQ24" s="50"/>
      <c r="BR24" s="50"/>
      <c r="BS24" s="226"/>
      <c r="BT24" s="227"/>
      <c r="BU24" s="227"/>
      <c r="BV24" s="227"/>
      <c r="BW24" s="50"/>
      <c r="BX24" s="50"/>
      <c r="BY24" s="50"/>
      <c r="BZ24" s="50"/>
    </row>
    <row r="25" spans="2:78" ht="14.1" customHeight="1" x14ac:dyDescent="0.2">
      <c r="B25" s="45"/>
      <c r="C25" s="60"/>
      <c r="D25" s="81" t="s">
        <v>69</v>
      </c>
      <c r="E25" s="46"/>
      <c r="F25" s="455" t="s">
        <v>1</v>
      </c>
      <c r="G25" s="81" t="s">
        <v>123</v>
      </c>
      <c r="H25" s="46"/>
      <c r="I25" s="46"/>
      <c r="J25" s="454"/>
      <c r="K25" s="454"/>
      <c r="L25" s="454"/>
      <c r="M25" s="454"/>
      <c r="N25" s="454"/>
      <c r="O25" s="454"/>
      <c r="P25" s="499">
        <f>'One way Slab'!HT83</f>
        <v>1.21E-2</v>
      </c>
      <c r="Q25" s="697"/>
      <c r="R25" s="697"/>
      <c r="S25" s="702">
        <f t="shared" si="0"/>
        <v>1.21E-2</v>
      </c>
      <c r="T25" s="702"/>
      <c r="U25" s="702"/>
      <c r="V25" s="702">
        <f t="shared" si="1"/>
        <v>1.21E-2</v>
      </c>
      <c r="W25" s="702"/>
      <c r="X25" s="702"/>
      <c r="Y25" s="454"/>
      <c r="Z25" s="454"/>
      <c r="AA25" s="454"/>
      <c r="AB25" s="459" t="s">
        <v>0</v>
      </c>
      <c r="AC25" s="454"/>
      <c r="AD25" s="454"/>
      <c r="AE25" s="454"/>
      <c r="AF25" s="454"/>
      <c r="AG25" s="454"/>
      <c r="AH25" s="454"/>
      <c r="AI25" s="454"/>
      <c r="AJ25" s="454"/>
      <c r="AK25" s="454"/>
      <c r="AL25" s="454" t="s">
        <v>0</v>
      </c>
      <c r="AM25" s="454"/>
      <c r="AN25" s="65"/>
      <c r="AO25" s="42"/>
      <c r="AQ25" s="258"/>
      <c r="AR25" s="258"/>
      <c r="AS25" s="221"/>
      <c r="AT25" s="270"/>
      <c r="AU25" s="50"/>
      <c r="AV25" s="50"/>
      <c r="AW25" s="50"/>
      <c r="AX25" s="50"/>
      <c r="AY25" s="323"/>
      <c r="AZ25" s="323"/>
      <c r="BA25" s="323"/>
      <c r="BB25" s="323"/>
      <c r="BC25" s="323"/>
      <c r="BD25" s="323"/>
      <c r="BE25" s="323"/>
      <c r="BF25" s="323"/>
      <c r="BG25" s="323"/>
      <c r="BH25" s="323"/>
      <c r="BI25" s="323"/>
      <c r="BJ25" s="323"/>
      <c r="BK25" s="364"/>
      <c r="BL25" s="317"/>
      <c r="BM25" s="317"/>
      <c r="BN25" s="50"/>
      <c r="BO25" s="268"/>
      <c r="BP25" s="50"/>
      <c r="BQ25" s="50"/>
      <c r="BR25" s="50"/>
      <c r="BS25" s="50"/>
      <c r="BT25" s="227"/>
      <c r="BU25" s="227"/>
      <c r="BV25" s="227"/>
      <c r="BW25" s="50"/>
      <c r="BX25" s="50"/>
      <c r="BY25" s="50"/>
      <c r="BZ25" s="50"/>
    </row>
    <row r="26" spans="2:78" ht="14.1" customHeight="1" x14ac:dyDescent="0.2">
      <c r="B26" s="45"/>
      <c r="C26" s="60"/>
      <c r="D26" s="436" t="s">
        <v>269</v>
      </c>
      <c r="E26" s="46"/>
      <c r="F26" s="455" t="s">
        <v>1</v>
      </c>
      <c r="G26" s="81" t="s">
        <v>267</v>
      </c>
      <c r="H26" s="46"/>
      <c r="I26" s="46"/>
      <c r="J26" s="46"/>
      <c r="K26" s="454"/>
      <c r="L26" s="454"/>
      <c r="M26" s="454"/>
      <c r="N26" s="454"/>
      <c r="O26" s="454"/>
      <c r="P26" s="498">
        <f>'One way Slab'!HT84</f>
        <v>31.12</v>
      </c>
      <c r="Q26" s="498"/>
      <c r="R26" s="498"/>
      <c r="S26" s="698">
        <f>P26</f>
        <v>31.12</v>
      </c>
      <c r="T26" s="698"/>
      <c r="U26" s="698"/>
      <c r="V26" s="698">
        <f>P26</f>
        <v>31.12</v>
      </c>
      <c r="W26" s="698"/>
      <c r="X26" s="698"/>
      <c r="Y26" s="454"/>
      <c r="Z26" s="454"/>
      <c r="AA26" s="454"/>
      <c r="AB26" s="459" t="s">
        <v>0</v>
      </c>
      <c r="AC26" s="454"/>
      <c r="AD26" s="454"/>
      <c r="AE26" s="454"/>
      <c r="AF26" s="454"/>
      <c r="AG26" s="454"/>
      <c r="AH26" s="454"/>
      <c r="AI26" s="454"/>
      <c r="AJ26" s="454"/>
      <c r="AK26" s="454"/>
      <c r="AL26" s="436" t="s">
        <v>2</v>
      </c>
      <c r="AM26" s="454"/>
      <c r="AN26" s="65"/>
      <c r="AO26" s="42"/>
      <c r="AQ26" s="50"/>
      <c r="AR26" s="50"/>
      <c r="AS26" s="221"/>
      <c r="AT26" s="270"/>
      <c r="AU26" s="50"/>
      <c r="AV26" s="50"/>
      <c r="AW26" s="50"/>
      <c r="AX26" s="50"/>
      <c r="AY26" s="236"/>
      <c r="AZ26" s="275"/>
      <c r="BA26" s="275"/>
      <c r="BB26" s="275"/>
      <c r="BC26" s="236"/>
      <c r="BD26" s="275"/>
      <c r="BE26" s="275"/>
      <c r="BF26" s="275"/>
      <c r="BG26" s="236"/>
      <c r="BH26" s="275"/>
      <c r="BI26" s="275"/>
      <c r="BJ26" s="275"/>
      <c r="BK26" s="447"/>
      <c r="BL26" s="50"/>
      <c r="BM26" s="50"/>
      <c r="BN26" s="50"/>
      <c r="BO26" s="221"/>
      <c r="BP26" s="50"/>
      <c r="BQ26" s="50"/>
      <c r="BR26" s="50"/>
      <c r="BS26" s="324"/>
      <c r="BT26" s="227"/>
      <c r="BU26" s="227"/>
      <c r="BV26" s="227"/>
      <c r="BW26" s="50"/>
      <c r="BX26" s="50"/>
      <c r="BY26" s="50"/>
      <c r="BZ26" s="50"/>
    </row>
    <row r="27" spans="2:78" ht="14.1" customHeight="1" x14ac:dyDescent="0.2">
      <c r="B27" s="45"/>
      <c r="C27" s="60"/>
      <c r="D27" s="450" t="s">
        <v>8</v>
      </c>
      <c r="E27" s="314"/>
      <c r="F27" s="450" t="s">
        <v>1</v>
      </c>
      <c r="G27" s="450" t="s">
        <v>219</v>
      </c>
      <c r="H27" s="450"/>
      <c r="I27" s="314"/>
      <c r="J27" s="454"/>
      <c r="K27" s="454"/>
      <c r="L27" s="454"/>
      <c r="M27" s="454"/>
      <c r="N27" s="454"/>
      <c r="O27" s="454"/>
      <c r="P27" s="703">
        <f>'One way Slab'!W28</f>
        <v>9.0909090909090912E-2</v>
      </c>
      <c r="Q27" s="703"/>
      <c r="R27" s="703"/>
      <c r="S27" s="703">
        <f>'One way Slab'!Z28</f>
        <v>6.25E-2</v>
      </c>
      <c r="T27" s="703"/>
      <c r="U27" s="703"/>
      <c r="V27" s="703">
        <f>'One way Slab'!AC28</f>
        <v>9.0909090909090912E-2</v>
      </c>
      <c r="W27" s="703"/>
      <c r="X27" s="703"/>
      <c r="Y27" s="454"/>
      <c r="Z27" s="454"/>
      <c r="AA27" s="454"/>
      <c r="AB27" s="459" t="s">
        <v>0</v>
      </c>
      <c r="AC27" s="454"/>
      <c r="AD27" s="454"/>
      <c r="AE27" s="454"/>
      <c r="AF27" s="454"/>
      <c r="AG27" s="454"/>
      <c r="AH27" s="454"/>
      <c r="AI27" s="454"/>
      <c r="AJ27" s="454"/>
      <c r="AK27" s="454"/>
      <c r="AL27" s="454" t="s">
        <v>0</v>
      </c>
      <c r="AM27" s="454"/>
      <c r="AN27" s="65"/>
      <c r="AO27" s="42"/>
      <c r="AQ27" s="50"/>
      <c r="AR27" s="50"/>
      <c r="AS27" s="50"/>
      <c r="AT27" s="50"/>
      <c r="AU27" s="50"/>
      <c r="AV27" s="50"/>
      <c r="AW27" s="50"/>
      <c r="AX27" s="50"/>
      <c r="AY27" s="324"/>
      <c r="AZ27" s="324"/>
      <c r="BA27" s="324"/>
      <c r="BB27" s="324"/>
      <c r="BC27" s="324"/>
      <c r="BD27" s="324"/>
      <c r="BE27" s="324"/>
      <c r="BF27" s="324"/>
      <c r="BG27" s="324"/>
      <c r="BH27" s="324"/>
      <c r="BI27" s="324"/>
      <c r="BJ27" s="324"/>
      <c r="BK27" s="447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</row>
    <row r="28" spans="2:78" ht="14.1" customHeight="1" x14ac:dyDescent="0.2">
      <c r="B28" s="45"/>
      <c r="C28" s="60"/>
      <c r="D28" s="436" t="s">
        <v>86</v>
      </c>
      <c r="E28" s="314"/>
      <c r="F28" s="450" t="s">
        <v>1</v>
      </c>
      <c r="G28" s="436" t="s">
        <v>218</v>
      </c>
      <c r="H28" s="450"/>
      <c r="I28" s="314"/>
      <c r="J28" s="454"/>
      <c r="K28" s="454"/>
      <c r="L28" s="454"/>
      <c r="M28" s="454"/>
      <c r="N28" s="454"/>
      <c r="O28" s="454"/>
      <c r="P28" s="704">
        <f>'One way Slab'!HT92</f>
        <v>207</v>
      </c>
      <c r="Q28" s="704"/>
      <c r="R28" s="704"/>
      <c r="S28" s="704">
        <f>'One way Slab'!HX92</f>
        <v>142.31</v>
      </c>
      <c r="T28" s="704"/>
      <c r="U28" s="704"/>
      <c r="V28" s="704">
        <f>'One way Slab'!IB92</f>
        <v>207</v>
      </c>
      <c r="W28" s="704"/>
      <c r="X28" s="704"/>
      <c r="Y28" s="454"/>
      <c r="Z28" s="454"/>
      <c r="AA28" s="454"/>
      <c r="AB28" s="459" t="s">
        <v>0</v>
      </c>
      <c r="AC28" s="454"/>
      <c r="AD28" s="454"/>
      <c r="AE28" s="454"/>
      <c r="AF28" s="454"/>
      <c r="AG28" s="454"/>
      <c r="AH28" s="454"/>
      <c r="AI28" s="454"/>
      <c r="AJ28" s="454"/>
      <c r="AK28" s="454"/>
      <c r="AL28" s="454" t="s">
        <v>87</v>
      </c>
      <c r="AM28" s="454"/>
      <c r="AN28" s="65"/>
      <c r="AO28" s="42"/>
      <c r="AQ28" s="268"/>
      <c r="AR28" s="268"/>
      <c r="AS28" s="268"/>
      <c r="AT28" s="268"/>
      <c r="AU28" s="50"/>
      <c r="AV28" s="50"/>
      <c r="AW28" s="50"/>
      <c r="AX28" s="50"/>
      <c r="AY28" s="236"/>
      <c r="AZ28" s="226"/>
      <c r="BA28" s="226"/>
      <c r="BB28" s="226"/>
      <c r="BC28" s="50"/>
      <c r="BD28" s="50"/>
      <c r="BE28" s="50"/>
      <c r="BF28" s="50"/>
      <c r="BG28" s="226"/>
      <c r="BH28" s="226"/>
      <c r="BI28" s="226"/>
      <c r="BJ28" s="226"/>
      <c r="BK28" s="447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</row>
    <row r="29" spans="2:78" ht="14.1" customHeight="1" x14ac:dyDescent="0.2">
      <c r="B29" s="45"/>
      <c r="C29" s="60"/>
      <c r="D29" s="436" t="s">
        <v>266</v>
      </c>
      <c r="E29" s="46"/>
      <c r="F29" s="455" t="s">
        <v>1</v>
      </c>
      <c r="G29" s="348" t="s">
        <v>268</v>
      </c>
      <c r="H29" s="46"/>
      <c r="I29" s="46"/>
      <c r="J29" s="314"/>
      <c r="K29" s="454"/>
      <c r="L29" s="454"/>
      <c r="M29" s="454"/>
      <c r="N29" s="454"/>
      <c r="O29" s="454"/>
      <c r="P29" s="699">
        <f>(P28/($AE$9*P26))^0.5</f>
        <v>2.7185925588961188</v>
      </c>
      <c r="Q29" s="699"/>
      <c r="R29" s="699"/>
      <c r="S29" s="699">
        <f>(S28/($AE$9*S26))^0.5</f>
        <v>2.2541180696499259</v>
      </c>
      <c r="T29" s="699"/>
      <c r="U29" s="699"/>
      <c r="V29" s="699">
        <f>(V28/($AE$9*V26))^0.5</f>
        <v>2.7185925588961188</v>
      </c>
      <c r="W29" s="699"/>
      <c r="X29" s="699"/>
      <c r="Y29" s="454"/>
      <c r="Z29" s="454"/>
      <c r="AA29" s="454"/>
      <c r="AB29" s="459" t="s">
        <v>0</v>
      </c>
      <c r="AC29" s="454"/>
      <c r="AD29" s="454"/>
      <c r="AE29" s="454"/>
      <c r="AF29" s="454"/>
      <c r="AG29" s="454"/>
      <c r="AH29" s="454"/>
      <c r="AI29" s="454"/>
      <c r="AJ29" s="454"/>
      <c r="AK29" s="454"/>
      <c r="AL29" s="450" t="s">
        <v>18</v>
      </c>
      <c r="AM29" s="454"/>
      <c r="AN29" s="65"/>
      <c r="AO29" s="42"/>
      <c r="AQ29" s="268"/>
      <c r="AR29" s="268"/>
      <c r="AS29" s="268"/>
      <c r="AT29" s="268"/>
      <c r="AU29" s="50"/>
      <c r="AV29" s="50"/>
      <c r="AW29" s="50"/>
      <c r="AX29" s="50"/>
      <c r="AY29" s="236"/>
      <c r="AZ29" s="226"/>
      <c r="BA29" s="226"/>
      <c r="BB29" s="226"/>
      <c r="BC29" s="50"/>
      <c r="BD29" s="50"/>
      <c r="BE29" s="50"/>
      <c r="BF29" s="50"/>
      <c r="BG29" s="226"/>
      <c r="BH29" s="226"/>
      <c r="BI29" s="226"/>
      <c r="BJ29" s="226"/>
      <c r="BK29" s="447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</row>
    <row r="30" spans="2:78" ht="14.1" customHeight="1" x14ac:dyDescent="0.2">
      <c r="B30" s="45"/>
      <c r="C30" s="60"/>
      <c r="D30" s="450" t="s">
        <v>21</v>
      </c>
      <c r="E30" s="232"/>
      <c r="F30" s="455" t="s">
        <v>1</v>
      </c>
      <c r="G30" s="431" t="s">
        <v>217</v>
      </c>
      <c r="H30" s="450"/>
      <c r="I30" s="450"/>
      <c r="J30" s="450"/>
      <c r="K30" s="454"/>
      <c r="L30" s="454"/>
      <c r="M30" s="454"/>
      <c r="N30" s="454"/>
      <c r="O30" s="431"/>
      <c r="P30" s="497">
        <f>'One way Slab'!HT93</f>
        <v>6.4</v>
      </c>
      <c r="Q30" s="497"/>
      <c r="R30" s="497"/>
      <c r="S30" s="497">
        <f>'One way Slab'!HX93</f>
        <v>6.4</v>
      </c>
      <c r="T30" s="497"/>
      <c r="U30" s="497"/>
      <c r="V30" s="497">
        <f>'One way Slab'!IB93</f>
        <v>6.4</v>
      </c>
      <c r="W30" s="497"/>
      <c r="X30" s="497"/>
      <c r="Y30" s="454"/>
      <c r="Z30" s="454"/>
      <c r="AA30" s="454"/>
      <c r="AB30" s="459" t="s">
        <v>0</v>
      </c>
      <c r="AC30" s="454"/>
      <c r="AD30" s="454"/>
      <c r="AE30" s="454"/>
      <c r="AF30" s="454"/>
      <c r="AG30" s="454"/>
      <c r="AH30" s="454"/>
      <c r="AI30" s="454"/>
      <c r="AJ30" s="454"/>
      <c r="AK30" s="454"/>
      <c r="AL30" s="450" t="s">
        <v>18</v>
      </c>
      <c r="AM30" s="454"/>
      <c r="AN30" s="65"/>
      <c r="AO30" s="42"/>
      <c r="AQ30" s="50"/>
      <c r="AR30" s="309"/>
      <c r="AS30" s="309"/>
      <c r="AT30" s="309"/>
      <c r="AU30" s="309"/>
      <c r="AV30" s="309"/>
      <c r="AW30" s="309"/>
      <c r="AX30" s="50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  <c r="BI30" s="237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</row>
    <row r="31" spans="2:78" ht="14.1" customHeight="1" x14ac:dyDescent="0.2">
      <c r="B31" s="45"/>
      <c r="C31" s="60"/>
      <c r="D31" s="436" t="s">
        <v>270</v>
      </c>
      <c r="E31" s="349"/>
      <c r="F31" s="455" t="s">
        <v>1</v>
      </c>
      <c r="G31" s="436" t="s">
        <v>271</v>
      </c>
      <c r="H31" s="454"/>
      <c r="I31" s="454"/>
      <c r="J31" s="454"/>
      <c r="K31" s="454"/>
      <c r="L31" s="454"/>
      <c r="M31" s="454"/>
      <c r="N31" s="454"/>
      <c r="O31" s="454"/>
      <c r="P31" s="496">
        <f>'One way Slab'!HT94</f>
        <v>5.62</v>
      </c>
      <c r="Q31" s="496"/>
      <c r="R31" s="496"/>
      <c r="S31" s="496">
        <f>'One way Slab'!HX94</f>
        <v>3.86</v>
      </c>
      <c r="T31" s="496"/>
      <c r="U31" s="496"/>
      <c r="V31" s="496">
        <f>'One way Slab'!IB94</f>
        <v>5.62</v>
      </c>
      <c r="W31" s="496"/>
      <c r="X31" s="496"/>
      <c r="Y31" s="454"/>
      <c r="Z31" s="454"/>
      <c r="AA31" s="454"/>
      <c r="AB31" s="459" t="s">
        <v>0</v>
      </c>
      <c r="AC31" s="454"/>
      <c r="AD31" s="454"/>
      <c r="AE31" s="454"/>
      <c r="AF31" s="454"/>
      <c r="AG31" s="454"/>
      <c r="AH31" s="454"/>
      <c r="AI31" s="454"/>
      <c r="AJ31" s="454"/>
      <c r="AK31" s="454"/>
      <c r="AL31" s="450" t="s">
        <v>2</v>
      </c>
      <c r="AM31" s="454"/>
      <c r="AN31" s="65"/>
      <c r="AO31" s="42"/>
      <c r="AQ31" s="325"/>
      <c r="AR31" s="236"/>
      <c r="AS31" s="221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227"/>
      <c r="BG31" s="227"/>
      <c r="BH31" s="237"/>
      <c r="BI31" s="237"/>
      <c r="BJ31" s="50"/>
      <c r="BK31" s="50"/>
      <c r="BL31" s="50"/>
      <c r="BM31" s="50"/>
      <c r="BN31" s="50"/>
      <c r="BO31" s="236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</row>
    <row r="32" spans="2:78" ht="14.1" customHeight="1" x14ac:dyDescent="0.2">
      <c r="B32" s="45"/>
      <c r="C32" s="60"/>
      <c r="D32" s="81" t="s">
        <v>33</v>
      </c>
      <c r="E32" s="349"/>
      <c r="F32" s="455" t="s">
        <v>1</v>
      </c>
      <c r="G32" s="350" t="s">
        <v>272</v>
      </c>
      <c r="H32" s="454"/>
      <c r="I32" s="454"/>
      <c r="J32" s="454"/>
      <c r="K32" s="454"/>
      <c r="L32" s="454"/>
      <c r="M32" s="454"/>
      <c r="N32" s="454"/>
      <c r="O32" s="454"/>
      <c r="P32" s="698">
        <f>'One way Slab'!IP116</f>
        <v>1.9E-3</v>
      </c>
      <c r="Q32" s="698"/>
      <c r="R32" s="698"/>
      <c r="S32" s="698">
        <f>'One way Slab'!IS116</f>
        <v>1.2999999999999999E-3</v>
      </c>
      <c r="T32" s="698"/>
      <c r="U32" s="698"/>
      <c r="V32" s="698">
        <f>'One way Slab'!IV116</f>
        <v>1.9E-3</v>
      </c>
      <c r="W32" s="698"/>
      <c r="X32" s="698"/>
      <c r="Y32" s="454"/>
      <c r="Z32" s="454"/>
      <c r="AA32" s="454"/>
      <c r="AB32" s="459" t="s">
        <v>0</v>
      </c>
      <c r="AC32" s="454"/>
      <c r="AD32" s="454"/>
      <c r="AE32" s="454"/>
      <c r="AF32" s="454"/>
      <c r="AG32" s="454"/>
      <c r="AH32" s="454"/>
      <c r="AI32" s="454"/>
      <c r="AJ32" s="454"/>
      <c r="AK32" s="454"/>
      <c r="AL32" s="450" t="s">
        <v>0</v>
      </c>
      <c r="AM32" s="454"/>
      <c r="AN32" s="65"/>
      <c r="AO32" s="42"/>
      <c r="AQ32" s="326"/>
      <c r="AR32" s="236"/>
      <c r="AS32" s="447"/>
      <c r="AT32" s="239"/>
      <c r="AU32" s="50"/>
      <c r="AV32" s="50"/>
      <c r="AW32" s="50"/>
      <c r="AX32" s="447"/>
      <c r="AY32" s="236"/>
      <c r="AZ32" s="236"/>
      <c r="BA32" s="236"/>
      <c r="BB32" s="236"/>
      <c r="BC32" s="50"/>
      <c r="BD32" s="50"/>
      <c r="BE32" s="50"/>
      <c r="BF32" s="98"/>
      <c r="BG32" s="98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</row>
    <row r="33" spans="2:78" ht="14.1" customHeight="1" x14ac:dyDescent="0.2">
      <c r="B33" s="45"/>
      <c r="C33" s="60"/>
      <c r="D33" s="81" t="s">
        <v>32</v>
      </c>
      <c r="E33" s="46"/>
      <c r="F33" s="455" t="s">
        <v>1</v>
      </c>
      <c r="G33" s="431" t="s">
        <v>16</v>
      </c>
      <c r="H33" s="454"/>
      <c r="I33" s="454"/>
      <c r="J33" s="454"/>
      <c r="K33" s="454"/>
      <c r="L33" s="454"/>
      <c r="M33" s="454"/>
      <c r="N33" s="454"/>
      <c r="O33" s="454"/>
      <c r="P33" s="698">
        <f>'One way Slab'!HT82</f>
        <v>4.7000000000000002E-3</v>
      </c>
      <c r="Q33" s="698"/>
      <c r="R33" s="698"/>
      <c r="S33" s="698">
        <f>P33</f>
        <v>4.7000000000000002E-3</v>
      </c>
      <c r="T33" s="698"/>
      <c r="U33" s="698"/>
      <c r="V33" s="698">
        <f>P33</f>
        <v>4.7000000000000002E-3</v>
      </c>
      <c r="W33" s="698"/>
      <c r="X33" s="698"/>
      <c r="Y33" s="454"/>
      <c r="Z33" s="454"/>
      <c r="AA33" s="454"/>
      <c r="AB33" s="459" t="s">
        <v>0</v>
      </c>
      <c r="AC33" s="454"/>
      <c r="AD33" s="454"/>
      <c r="AE33" s="454"/>
      <c r="AF33" s="454"/>
      <c r="AG33" s="454"/>
      <c r="AH33" s="454"/>
      <c r="AI33" s="454"/>
      <c r="AJ33" s="454"/>
      <c r="AK33" s="454"/>
      <c r="AL33" s="450" t="s">
        <v>0</v>
      </c>
      <c r="AM33" s="454"/>
      <c r="AN33" s="65"/>
      <c r="AO33" s="42"/>
      <c r="AQ33" s="270"/>
      <c r="AR33" s="236"/>
      <c r="AS33" s="447"/>
      <c r="AT33" s="270"/>
      <c r="AU33" s="50"/>
      <c r="AV33" s="50"/>
      <c r="AW33" s="50"/>
      <c r="AX33" s="447"/>
      <c r="AY33" s="236"/>
      <c r="AZ33" s="236"/>
      <c r="BA33" s="236"/>
      <c r="BB33" s="236"/>
      <c r="BC33" s="327"/>
      <c r="BD33" s="230"/>
      <c r="BE33" s="230"/>
      <c r="BF33" s="230"/>
      <c r="BG33" s="328"/>
      <c r="BH33" s="226"/>
      <c r="BI33" s="227"/>
      <c r="BJ33" s="50"/>
      <c r="BK33" s="50"/>
      <c r="BL33" s="50"/>
      <c r="BM33" s="50"/>
      <c r="BN33" s="50"/>
      <c r="BO33" s="326"/>
      <c r="BP33" s="236"/>
      <c r="BQ33" s="447"/>
      <c r="BR33" s="239"/>
      <c r="BS33" s="50"/>
      <c r="BT33" s="50"/>
      <c r="BU33" s="50"/>
      <c r="BV33" s="447"/>
      <c r="BW33" s="300"/>
      <c r="BX33" s="49"/>
      <c r="BY33" s="49"/>
      <c r="BZ33" s="326"/>
    </row>
    <row r="34" spans="2:78" ht="14.1" customHeight="1" x14ac:dyDescent="0.2">
      <c r="B34" s="45"/>
      <c r="C34" s="60"/>
      <c r="D34" s="71" t="s">
        <v>124</v>
      </c>
      <c r="E34" s="235"/>
      <c r="F34" s="455" t="s">
        <v>1</v>
      </c>
      <c r="G34" s="81" t="s">
        <v>273</v>
      </c>
      <c r="H34" s="349"/>
      <c r="I34" s="349"/>
      <c r="J34" s="349"/>
      <c r="K34" s="349"/>
      <c r="L34" s="431"/>
      <c r="M34" s="431"/>
      <c r="N34" s="431"/>
      <c r="O34" s="431"/>
      <c r="P34" s="496">
        <f>'One way Slab'!HT97</f>
        <v>3.01</v>
      </c>
      <c r="Q34" s="496"/>
      <c r="R34" s="496"/>
      <c r="S34" s="496">
        <f>'One way Slab'!HX97</f>
        <v>3.01</v>
      </c>
      <c r="T34" s="496"/>
      <c r="U34" s="496"/>
      <c r="V34" s="496">
        <f>'One way Slab'!IB97</f>
        <v>3.01</v>
      </c>
      <c r="W34" s="496"/>
      <c r="X34" s="496"/>
      <c r="Y34" s="431"/>
      <c r="Z34" s="431"/>
      <c r="AA34" s="431"/>
      <c r="AB34" s="459" t="s">
        <v>0</v>
      </c>
      <c r="AC34" s="433"/>
      <c r="AD34" s="433"/>
      <c r="AE34" s="433"/>
      <c r="AF34" s="433"/>
      <c r="AG34" s="433"/>
      <c r="AH34" s="450"/>
      <c r="AI34" s="431"/>
      <c r="AJ34" s="431"/>
      <c r="AK34" s="431"/>
      <c r="AL34" s="450" t="s">
        <v>17</v>
      </c>
      <c r="AM34" s="431"/>
      <c r="AN34" s="65"/>
      <c r="AO34" s="42"/>
    </row>
    <row r="35" spans="2:78" ht="14.1" customHeight="1" x14ac:dyDescent="0.2">
      <c r="B35" s="45"/>
      <c r="C35" s="60"/>
      <c r="D35" s="455" t="s">
        <v>201</v>
      </c>
      <c r="E35" s="455"/>
      <c r="F35" s="455" t="s">
        <v>1</v>
      </c>
      <c r="G35" s="454" t="str">
        <f>CONCATENATE('One way Slab'!IO83,"bt")</f>
        <v>0.002bt</v>
      </c>
      <c r="H35" s="455"/>
      <c r="I35" s="455"/>
      <c r="J35" s="455"/>
      <c r="K35" s="455"/>
      <c r="L35" s="431"/>
      <c r="M35" s="431"/>
      <c r="N35" s="431"/>
      <c r="O35" s="431"/>
      <c r="P35" s="594">
        <f>'One way Slab'!IP119</f>
        <v>2</v>
      </c>
      <c r="Q35" s="594"/>
      <c r="R35" s="594"/>
      <c r="S35" s="594">
        <f>P35</f>
        <v>2</v>
      </c>
      <c r="T35" s="594"/>
      <c r="U35" s="594"/>
      <c r="V35" s="594">
        <f>P35</f>
        <v>2</v>
      </c>
      <c r="W35" s="594"/>
      <c r="X35" s="594"/>
      <c r="Y35" s="431"/>
      <c r="Z35" s="431"/>
      <c r="AA35" s="431"/>
      <c r="AB35" s="496">
        <f>'One way Slab'!HT100</f>
        <v>2.5</v>
      </c>
      <c r="AC35" s="496"/>
      <c r="AD35" s="496"/>
      <c r="AE35" s="410" t="str">
        <f>IF('One way Slab'!H6='One way Slab'!H4,"",CONCATENATE("&lt;&lt; [",'One way Slab'!IW83,"bt]"))</f>
        <v>&lt;&lt; [0.0025bt]</v>
      </c>
      <c r="AF35" s="435"/>
      <c r="AG35" s="435"/>
      <c r="AH35" s="450"/>
      <c r="AI35" s="431"/>
      <c r="AJ35" s="431"/>
      <c r="AK35" s="431"/>
      <c r="AL35" s="450" t="s">
        <v>17</v>
      </c>
      <c r="AM35" s="431"/>
      <c r="AN35" s="65"/>
      <c r="AO35" s="42"/>
    </row>
    <row r="36" spans="2:78" ht="14.1" customHeight="1" x14ac:dyDescent="0.2">
      <c r="B36" s="45"/>
      <c r="C36" s="60"/>
      <c r="D36" s="431" t="s">
        <v>275</v>
      </c>
      <c r="E36" s="454"/>
      <c r="F36" s="454"/>
      <c r="G36" s="454"/>
      <c r="H36" s="454"/>
      <c r="I36" s="454"/>
      <c r="J36" s="454"/>
      <c r="K36" s="454"/>
      <c r="L36" s="431"/>
      <c r="M36" s="431"/>
      <c r="N36" s="431"/>
      <c r="O36" s="431"/>
      <c r="P36" s="595">
        <f>'One way Slab'!HT98</f>
        <v>0.3</v>
      </c>
      <c r="Q36" s="595"/>
      <c r="R36" s="595"/>
      <c r="S36" s="596">
        <f>'One way Slab'!HX98</f>
        <v>0.3</v>
      </c>
      <c r="T36" s="596"/>
      <c r="U36" s="596"/>
      <c r="V36" s="596">
        <f>'One way Slab'!IB98</f>
        <v>0.3</v>
      </c>
      <c r="W36" s="596"/>
      <c r="X36" s="596"/>
      <c r="Y36" s="435"/>
      <c r="Z36" s="435"/>
      <c r="AA36" s="435"/>
      <c r="AB36" s="596">
        <f>'One way Slab'!HT101</f>
        <v>0.25</v>
      </c>
      <c r="AC36" s="596"/>
      <c r="AD36" s="596"/>
      <c r="AE36" s="435"/>
      <c r="AF36" s="435"/>
      <c r="AG36" s="435"/>
      <c r="AH36" s="450"/>
      <c r="AI36" s="431"/>
      <c r="AJ36" s="431"/>
      <c r="AK36" s="431"/>
      <c r="AL36" s="455" t="s">
        <v>13</v>
      </c>
      <c r="AM36" s="431"/>
      <c r="AN36" s="65"/>
      <c r="AO36" s="42"/>
    </row>
    <row r="37" spans="2:78" ht="14.1" customHeight="1" x14ac:dyDescent="0.2">
      <c r="B37" s="45"/>
      <c r="C37" s="60"/>
      <c r="D37" s="431" t="s">
        <v>276</v>
      </c>
      <c r="E37" s="454"/>
      <c r="F37" s="454"/>
      <c r="G37" s="454"/>
      <c r="H37" s="454"/>
      <c r="I37" s="454"/>
      <c r="J37" s="454"/>
      <c r="K37" s="454"/>
      <c r="L37" s="431"/>
      <c r="M37" s="431"/>
      <c r="N37" s="431"/>
      <c r="O37" s="431"/>
      <c r="P37" s="487">
        <f>'One way Slab'!W32</f>
        <v>0.25</v>
      </c>
      <c r="Q37" s="487"/>
      <c r="R37" s="487"/>
      <c r="S37" s="487">
        <f>'One way Slab'!Z32</f>
        <v>0.25</v>
      </c>
      <c r="T37" s="487"/>
      <c r="U37" s="487"/>
      <c r="V37" s="487">
        <f>'One way Slab'!AC32</f>
        <v>0.25</v>
      </c>
      <c r="W37" s="487"/>
      <c r="X37" s="487"/>
      <c r="Y37" s="425" t="str">
        <f>IF(AR37+AS37+AT37=3,"&lt;&lt; [Ok]","&lt;&lt; [Not]")</f>
        <v>&lt;&lt; [Ok]</v>
      </c>
      <c r="Z37" s="431"/>
      <c r="AA37" s="431"/>
      <c r="AB37" s="595">
        <f>'One way Slab'!W38</f>
        <v>0.25</v>
      </c>
      <c r="AC37" s="595"/>
      <c r="AD37" s="595"/>
      <c r="AE37" s="425" t="str">
        <f>IF(AB37&lt;=AB36,"&lt;&lt; [Ok]","&lt;&lt; [Not]")</f>
        <v>&lt;&lt; [Ok]</v>
      </c>
      <c r="AF37" s="431"/>
      <c r="AG37" s="431"/>
      <c r="AH37" s="431"/>
      <c r="AI37" s="431"/>
      <c r="AJ37" s="431"/>
      <c r="AK37" s="431"/>
      <c r="AL37" s="455" t="s">
        <v>13</v>
      </c>
      <c r="AM37" s="431"/>
      <c r="AN37" s="65"/>
      <c r="AO37" s="42"/>
      <c r="AR37" s="426">
        <f>IF(P37&lt;=P36,1,0)</f>
        <v>1</v>
      </c>
      <c r="AS37" s="426">
        <f>IF(S37&lt;=S36,1,0)</f>
        <v>1</v>
      </c>
      <c r="AT37" s="426">
        <f>IF(V37&lt;=V36,1,0)</f>
        <v>1</v>
      </c>
      <c r="AU37" s="424"/>
      <c r="AV37" s="424"/>
      <c r="AW37" s="424"/>
    </row>
    <row r="38" spans="2:78" ht="14.1" customHeight="1" x14ac:dyDescent="0.2">
      <c r="B38" s="45"/>
      <c r="C38" s="60"/>
      <c r="D38" s="431"/>
      <c r="E38" s="431"/>
      <c r="F38" s="431"/>
      <c r="G38" s="431"/>
      <c r="H38" s="431"/>
      <c r="I38" s="431"/>
      <c r="J38" s="431"/>
      <c r="K38" s="431"/>
      <c r="L38" s="431"/>
      <c r="M38" s="431"/>
      <c r="N38" s="431"/>
      <c r="O38" s="431"/>
      <c r="P38" s="431"/>
      <c r="Q38" s="431"/>
      <c r="R38" s="431"/>
      <c r="S38" s="431"/>
      <c r="T38" s="431"/>
      <c r="U38" s="431"/>
      <c r="V38" s="431"/>
      <c r="W38" s="431"/>
      <c r="X38" s="431"/>
      <c r="Y38" s="431"/>
      <c r="Z38" s="431"/>
      <c r="AA38" s="431"/>
      <c r="AB38" s="431"/>
      <c r="AC38" s="431"/>
      <c r="AD38" s="431"/>
      <c r="AE38" s="431"/>
      <c r="AF38" s="431"/>
      <c r="AG38" s="431"/>
      <c r="AH38" s="431"/>
      <c r="AI38" s="431"/>
      <c r="AJ38" s="431"/>
      <c r="AK38" s="431"/>
      <c r="AL38" s="431"/>
      <c r="AM38" s="431"/>
      <c r="AN38" s="65"/>
      <c r="AO38" s="42"/>
    </row>
    <row r="39" spans="2:78" ht="14.1" customHeight="1" x14ac:dyDescent="0.2">
      <c r="B39" s="45"/>
      <c r="C39" s="60"/>
      <c r="D39" s="77" t="s">
        <v>147</v>
      </c>
      <c r="E39" s="454"/>
      <c r="F39" s="454"/>
      <c r="G39" s="454"/>
      <c r="H39" s="454"/>
      <c r="I39" s="454"/>
      <c r="J39" s="454"/>
      <c r="K39" s="454"/>
      <c r="L39" s="454"/>
      <c r="M39" s="454"/>
      <c r="N39" s="454"/>
      <c r="O39" s="454"/>
      <c r="P39" s="454"/>
      <c r="Q39" s="454"/>
      <c r="R39" s="454"/>
      <c r="S39" s="454"/>
      <c r="T39" s="454"/>
      <c r="U39" s="454"/>
      <c r="V39" s="455"/>
      <c r="W39" s="454"/>
      <c r="X39" s="454"/>
      <c r="Y39" s="454"/>
      <c r="Z39" s="321"/>
      <c r="AA39" s="321"/>
      <c r="AB39" s="321"/>
      <c r="AC39" s="321"/>
      <c r="AD39" s="321"/>
      <c r="AE39" s="321"/>
      <c r="AF39" s="321"/>
      <c r="AG39" s="321"/>
      <c r="AH39" s="321"/>
      <c r="AI39" s="321"/>
      <c r="AJ39" s="321"/>
      <c r="AK39" s="321"/>
      <c r="AL39" s="431"/>
      <c r="AM39" s="431"/>
      <c r="AN39" s="65"/>
      <c r="AO39" s="42"/>
    </row>
    <row r="40" spans="2:78" ht="14.1" customHeight="1" x14ac:dyDescent="0.2">
      <c r="B40" s="45"/>
      <c r="C40" s="60"/>
      <c r="D40" s="432" t="s">
        <v>77</v>
      </c>
      <c r="E40" s="352"/>
      <c r="F40" s="352"/>
      <c r="G40" s="352"/>
      <c r="H40" s="352"/>
      <c r="I40" s="352"/>
      <c r="J40" s="352"/>
      <c r="K40" s="352"/>
      <c r="L40" s="352"/>
      <c r="M40" s="352"/>
      <c r="N40" s="352"/>
      <c r="O40" s="352"/>
      <c r="P40" s="432" t="s">
        <v>78</v>
      </c>
      <c r="Q40" s="140"/>
      <c r="R40" s="140"/>
      <c r="S40" s="140"/>
      <c r="T40" s="140"/>
      <c r="U40" s="140"/>
      <c r="V40" s="140"/>
      <c r="W40" s="140"/>
      <c r="X40" s="140"/>
      <c r="Y40" s="347"/>
      <c r="Z40" s="347"/>
      <c r="AA40" s="347"/>
      <c r="AB40" s="432" t="s">
        <v>79</v>
      </c>
      <c r="AC40" s="140"/>
      <c r="AD40" s="140"/>
      <c r="AE40" s="320"/>
      <c r="AF40" s="320"/>
      <c r="AG40" s="320"/>
      <c r="AH40" s="316"/>
      <c r="AI40" s="316"/>
      <c r="AJ40" s="316"/>
      <c r="AK40" s="316"/>
      <c r="AL40" s="489" t="s">
        <v>80</v>
      </c>
      <c r="AM40" s="489"/>
      <c r="AN40" s="65"/>
      <c r="AO40" s="42"/>
    </row>
    <row r="41" spans="2:78" ht="14.1" customHeight="1" x14ac:dyDescent="0.2">
      <c r="B41" s="45"/>
      <c r="C41" s="60"/>
      <c r="D41" s="110" t="s">
        <v>54</v>
      </c>
      <c r="E41" s="46"/>
      <c r="F41" s="431" t="s">
        <v>1</v>
      </c>
      <c r="G41" s="436" t="s">
        <v>286</v>
      </c>
      <c r="H41" s="71"/>
      <c r="I41" s="71"/>
      <c r="J41" s="71"/>
      <c r="K41" s="353"/>
      <c r="L41" s="71"/>
      <c r="M41" s="46"/>
      <c r="N41" s="46"/>
      <c r="O41" s="146"/>
      <c r="P41" s="494">
        <f>'One way Slab'!HT86</f>
        <v>808.08</v>
      </c>
      <c r="Q41" s="495"/>
      <c r="R41" s="495"/>
      <c r="S41" s="146"/>
      <c r="T41" s="46"/>
      <c r="U41" s="46"/>
      <c r="V41" s="146"/>
      <c r="W41" s="146"/>
      <c r="X41" s="146"/>
      <c r="Y41" s="146"/>
      <c r="Z41" s="146"/>
      <c r="AA41" s="46"/>
      <c r="AB41" s="455" t="s">
        <v>0</v>
      </c>
      <c r="AC41" s="146"/>
      <c r="AD41" s="146"/>
      <c r="AE41" s="146"/>
      <c r="AF41" s="146"/>
      <c r="AG41" s="146"/>
      <c r="AH41" s="46"/>
      <c r="AI41" s="46"/>
      <c r="AJ41" s="46"/>
      <c r="AK41" s="46"/>
      <c r="AL41" s="110" t="s">
        <v>14</v>
      </c>
      <c r="AM41" s="46"/>
      <c r="AN41" s="65"/>
      <c r="AO41" s="42"/>
    </row>
    <row r="42" spans="2:78" ht="14.1" customHeight="1" x14ac:dyDescent="0.2">
      <c r="B42" s="45"/>
      <c r="C42" s="60"/>
      <c r="D42" s="81" t="s">
        <v>125</v>
      </c>
      <c r="E42" s="46"/>
      <c r="F42" s="431" t="s">
        <v>1</v>
      </c>
      <c r="G42" s="81" t="s">
        <v>220</v>
      </c>
      <c r="H42" s="71"/>
      <c r="I42" s="71"/>
      <c r="J42" s="71"/>
      <c r="K42" s="353"/>
      <c r="L42" s="71"/>
      <c r="M42" s="46"/>
      <c r="N42" s="46"/>
      <c r="O42" s="146"/>
      <c r="P42" s="494">
        <f>'One way Slab'!HT87</f>
        <v>3531.18</v>
      </c>
      <c r="Q42" s="495"/>
      <c r="R42" s="495"/>
      <c r="S42" s="425" t="str">
        <f>IF(P42&gt;=P41,"&lt;&lt; [Ok]","&lt;&lt; [Not]")</f>
        <v>&lt;&lt; [Ok]</v>
      </c>
      <c r="T42" s="46"/>
      <c r="U42" s="46"/>
      <c r="V42" s="147"/>
      <c r="W42" s="147"/>
      <c r="X42" s="147"/>
      <c r="Y42" s="147"/>
      <c r="Z42" s="147"/>
      <c r="AA42" s="46"/>
      <c r="AB42" s="455" t="s">
        <v>0</v>
      </c>
      <c r="AC42" s="146"/>
      <c r="AD42" s="146"/>
      <c r="AE42" s="146"/>
      <c r="AF42" s="146"/>
      <c r="AG42" s="146"/>
      <c r="AH42" s="46"/>
      <c r="AI42" s="46"/>
      <c r="AJ42" s="46"/>
      <c r="AK42" s="46"/>
      <c r="AL42" s="110" t="s">
        <v>14</v>
      </c>
      <c r="AM42" s="46"/>
      <c r="AN42" s="65"/>
      <c r="AO42" s="42"/>
    </row>
    <row r="43" spans="2:78" ht="14.1" customHeight="1" x14ac:dyDescent="0.2">
      <c r="B43" s="45"/>
      <c r="C43" s="60"/>
      <c r="D43" s="354"/>
      <c r="E43" s="345"/>
      <c r="F43" s="431"/>
      <c r="G43" s="81"/>
      <c r="H43" s="345"/>
      <c r="I43" s="345"/>
      <c r="J43" s="345"/>
      <c r="K43" s="345"/>
      <c r="L43" s="71"/>
      <c r="M43" s="71"/>
      <c r="N43" s="71"/>
      <c r="O43" s="145"/>
      <c r="P43" s="71"/>
      <c r="Q43" s="145"/>
      <c r="R43" s="145"/>
      <c r="S43" s="146"/>
      <c r="T43" s="46"/>
      <c r="U43" s="46"/>
      <c r="V43" s="146"/>
      <c r="W43" s="146"/>
      <c r="X43" s="146"/>
      <c r="Y43" s="146"/>
      <c r="Z43" s="146"/>
      <c r="AA43" s="46"/>
      <c r="AB43" s="46"/>
      <c r="AC43" s="146"/>
      <c r="AD43" s="146"/>
      <c r="AE43" s="146"/>
      <c r="AF43" s="146"/>
      <c r="AG43" s="146"/>
      <c r="AH43" s="46"/>
      <c r="AI43" s="46"/>
      <c r="AJ43" s="46"/>
      <c r="AK43" s="46"/>
      <c r="AL43" s="431"/>
      <c r="AM43" s="46"/>
      <c r="AN43" s="65"/>
      <c r="AO43" s="42"/>
    </row>
    <row r="44" spans="2:78" ht="14.1" customHeight="1" x14ac:dyDescent="0.2">
      <c r="B44" s="45"/>
      <c r="C44" s="60"/>
      <c r="D44" s="355" t="s">
        <v>278</v>
      </c>
      <c r="E44" s="345"/>
      <c r="F44" s="345"/>
      <c r="G44" s="345"/>
      <c r="H44" s="345"/>
      <c r="I44" s="345"/>
      <c r="J44" s="345"/>
      <c r="K44" s="345"/>
      <c r="L44" s="345"/>
      <c r="M44" s="345"/>
      <c r="N44" s="345"/>
      <c r="O44" s="345"/>
      <c r="P44" s="345"/>
      <c r="Q44" s="345"/>
      <c r="R44" s="345"/>
      <c r="S44" s="345"/>
      <c r="T44" s="345"/>
      <c r="U44" s="345"/>
      <c r="V44" s="345"/>
      <c r="W44" s="345"/>
      <c r="X44" s="345"/>
      <c r="Y44" s="345"/>
      <c r="Z44" s="345"/>
      <c r="AA44" s="345"/>
      <c r="AB44" s="345"/>
      <c r="AC44" s="345"/>
      <c r="AD44" s="345"/>
      <c r="AE44" s="345"/>
      <c r="AF44" s="345"/>
      <c r="AG44" s="345"/>
      <c r="AH44" s="345"/>
      <c r="AI44" s="345"/>
      <c r="AJ44" s="345"/>
      <c r="AK44" s="345"/>
      <c r="AL44" s="345"/>
      <c r="AM44" s="345"/>
      <c r="AN44" s="65"/>
      <c r="AO44" s="42"/>
    </row>
    <row r="45" spans="2:78" ht="14.1" customHeight="1" x14ac:dyDescent="0.2">
      <c r="B45" s="45"/>
      <c r="C45" s="60"/>
      <c r="D45" s="432" t="s">
        <v>77</v>
      </c>
      <c r="E45" s="352"/>
      <c r="F45" s="352"/>
      <c r="G45" s="352"/>
      <c r="H45" s="352"/>
      <c r="I45" s="352"/>
      <c r="J45" s="352"/>
      <c r="K45" s="352"/>
      <c r="L45" s="352"/>
      <c r="M45" s="352"/>
      <c r="N45" s="352"/>
      <c r="O45" s="352"/>
      <c r="P45" s="432" t="s">
        <v>78</v>
      </c>
      <c r="Q45" s="140"/>
      <c r="R45" s="140"/>
      <c r="S45" s="140"/>
      <c r="T45" s="140"/>
      <c r="U45" s="140"/>
      <c r="V45" s="140"/>
      <c r="W45" s="140"/>
      <c r="X45" s="140"/>
      <c r="Y45" s="347"/>
      <c r="Z45" s="347"/>
      <c r="AA45" s="347"/>
      <c r="AB45" s="432" t="s">
        <v>79</v>
      </c>
      <c r="AC45" s="140"/>
      <c r="AD45" s="140"/>
      <c r="AE45" s="320"/>
      <c r="AF45" s="320"/>
      <c r="AG45" s="320"/>
      <c r="AH45" s="316"/>
      <c r="AI45" s="316"/>
      <c r="AJ45" s="316"/>
      <c r="AK45" s="316"/>
      <c r="AL45" s="489" t="s">
        <v>80</v>
      </c>
      <c r="AM45" s="489"/>
      <c r="AN45" s="65"/>
      <c r="AO45" s="42"/>
    </row>
    <row r="46" spans="2:78" ht="14.1" customHeight="1" x14ac:dyDescent="0.2">
      <c r="B46" s="45"/>
      <c r="C46" s="60"/>
      <c r="D46" s="434" t="s">
        <v>215</v>
      </c>
      <c r="E46" s="71"/>
      <c r="F46" s="71"/>
      <c r="G46" s="71"/>
      <c r="H46" s="71"/>
      <c r="I46" s="71"/>
      <c r="J46" s="71"/>
      <c r="K46" s="71"/>
      <c r="L46" s="111"/>
      <c r="M46" s="46"/>
      <c r="N46" s="46"/>
      <c r="O46" s="46"/>
      <c r="P46" s="488">
        <f>((P19+P20)*S8)/2</f>
        <v>270</v>
      </c>
      <c r="Q46" s="488"/>
      <c r="R46" s="488"/>
      <c r="S46" s="148"/>
      <c r="T46" s="46"/>
      <c r="U46" s="46"/>
      <c r="V46" s="148"/>
      <c r="W46" s="148"/>
      <c r="X46" s="148"/>
      <c r="Y46" s="148"/>
      <c r="Z46" s="148"/>
      <c r="AA46" s="46"/>
      <c r="AB46" s="455" t="s">
        <v>0</v>
      </c>
      <c r="AC46" s="148"/>
      <c r="AD46" s="148"/>
      <c r="AE46" s="148"/>
      <c r="AF46" s="148"/>
      <c r="AG46" s="148"/>
      <c r="AH46" s="46"/>
      <c r="AI46" s="46"/>
      <c r="AJ46" s="46"/>
      <c r="AK46" s="46"/>
      <c r="AL46" s="431" t="s">
        <v>15</v>
      </c>
      <c r="AM46" s="46"/>
      <c r="AN46" s="65"/>
      <c r="AO46" s="42"/>
    </row>
    <row r="47" spans="2:78" ht="14.1" customHeight="1" x14ac:dyDescent="0.2">
      <c r="B47" s="45"/>
      <c r="C47" s="60"/>
      <c r="D47" s="434" t="s">
        <v>216</v>
      </c>
      <c r="E47" s="46"/>
      <c r="F47" s="46"/>
      <c r="G47" s="46"/>
      <c r="H47" s="46"/>
      <c r="I47" s="46"/>
      <c r="J47" s="46"/>
      <c r="K47" s="46"/>
      <c r="L47" s="71"/>
      <c r="M47" s="72"/>
      <c r="N47" s="72"/>
      <c r="O47" s="72"/>
      <c r="P47" s="488">
        <f>(P21*S8)/2</f>
        <v>150</v>
      </c>
      <c r="Q47" s="488"/>
      <c r="R47" s="488"/>
      <c r="S47" s="148"/>
      <c r="T47" s="46"/>
      <c r="U47" s="46"/>
      <c r="V47" s="148"/>
      <c r="W47" s="148"/>
      <c r="X47" s="148"/>
      <c r="Y47" s="148"/>
      <c r="Z47" s="148"/>
      <c r="AA47" s="46"/>
      <c r="AB47" s="455" t="s">
        <v>0</v>
      </c>
      <c r="AC47" s="148"/>
      <c r="AD47" s="148"/>
      <c r="AE47" s="148"/>
      <c r="AF47" s="148"/>
      <c r="AG47" s="148"/>
      <c r="AH47" s="46"/>
      <c r="AI47" s="46"/>
      <c r="AJ47" s="46"/>
      <c r="AK47" s="46"/>
      <c r="AL47" s="431" t="s">
        <v>15</v>
      </c>
      <c r="AM47" s="46"/>
      <c r="AN47" s="65"/>
      <c r="AO47" s="42"/>
    </row>
    <row r="48" spans="2:78" ht="14.1" customHeight="1" x14ac:dyDescent="0.2">
      <c r="B48" s="45"/>
      <c r="C48" s="60"/>
      <c r="D48" s="431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71"/>
      <c r="P48" s="71"/>
      <c r="Q48" s="71"/>
      <c r="R48" s="71"/>
      <c r="S48" s="71"/>
      <c r="T48" s="46"/>
      <c r="U48" s="46"/>
      <c r="V48" s="71"/>
      <c r="W48" s="71"/>
      <c r="X48" s="71"/>
      <c r="Y48" s="71"/>
      <c r="Z48" s="71"/>
      <c r="AA48" s="46"/>
      <c r="AB48" s="46"/>
      <c r="AC48" s="71"/>
      <c r="AD48" s="71"/>
      <c r="AE48" s="71"/>
      <c r="AF48" s="71"/>
      <c r="AG48" s="71"/>
      <c r="AH48" s="46"/>
      <c r="AI48" s="46"/>
      <c r="AJ48" s="46"/>
      <c r="AK48" s="46"/>
      <c r="AL48" s="455"/>
      <c r="AM48" s="46"/>
      <c r="AN48" s="65"/>
      <c r="AO48" s="42"/>
    </row>
    <row r="49" spans="2:41" ht="14.1" customHeight="1" x14ac:dyDescent="0.2">
      <c r="B49" s="45"/>
      <c r="C49" s="60"/>
      <c r="D49" s="112" t="s">
        <v>277</v>
      </c>
      <c r="E49" s="46"/>
      <c r="F49" s="46"/>
      <c r="G49" s="46"/>
      <c r="H49" s="455" t="str">
        <f>'One way Slab'!HT69</f>
        <v>Both ends continuous.</v>
      </c>
      <c r="I49" s="46"/>
      <c r="J49" s="46"/>
      <c r="K49" s="46"/>
      <c r="L49" s="46"/>
      <c r="M49" s="46"/>
      <c r="N49" s="46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46"/>
      <c r="AK49" s="46"/>
      <c r="AL49" s="455"/>
      <c r="AM49" s="46"/>
      <c r="AN49" s="65"/>
      <c r="AO49" s="42"/>
    </row>
    <row r="50" spans="2:41" ht="14.1" customHeight="1" x14ac:dyDescent="0.2">
      <c r="B50" s="45"/>
      <c r="C50" s="60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65"/>
      <c r="AO50" s="42"/>
    </row>
    <row r="51" spans="2:41" ht="14.1" customHeight="1" x14ac:dyDescent="0.2">
      <c r="B51" s="45"/>
      <c r="C51" s="60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3"/>
      <c r="P51" s="73"/>
      <c r="Q51" s="59"/>
      <c r="R51" s="59"/>
      <c r="S51" s="59"/>
      <c r="T51" s="59"/>
      <c r="U51" s="59"/>
      <c r="V51" s="59"/>
      <c r="W51" s="74"/>
      <c r="X51" s="74"/>
      <c r="Y51" s="59"/>
      <c r="Z51" s="59"/>
      <c r="AA51" s="72"/>
      <c r="AB51" s="72"/>
      <c r="AC51" s="72"/>
      <c r="AD51" s="72"/>
      <c r="AE51" s="72"/>
      <c r="AF51" s="72"/>
      <c r="AG51" s="72"/>
      <c r="AH51" s="72"/>
      <c r="AI51" s="72"/>
      <c r="AJ51" s="46"/>
      <c r="AK51" s="46"/>
      <c r="AL51" s="46"/>
      <c r="AM51" s="46"/>
      <c r="AN51" s="65"/>
      <c r="AO51" s="42"/>
    </row>
    <row r="52" spans="2:41" ht="14.1" customHeight="1" x14ac:dyDescent="0.2">
      <c r="B52" s="45"/>
      <c r="C52" s="60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46"/>
      <c r="AK52" s="46"/>
      <c r="AL52" s="46"/>
      <c r="AM52" s="46"/>
      <c r="AN52" s="65"/>
      <c r="AO52" s="42"/>
    </row>
    <row r="53" spans="2:41" ht="14.1" customHeight="1" x14ac:dyDescent="0.2">
      <c r="B53" s="45"/>
      <c r="C53" s="6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46"/>
      <c r="AK53" s="46"/>
      <c r="AL53" s="46"/>
      <c r="AM53" s="46"/>
      <c r="AN53" s="65"/>
      <c r="AO53" s="42"/>
    </row>
    <row r="54" spans="2:41" ht="14.1" customHeight="1" x14ac:dyDescent="0.2">
      <c r="B54" s="45"/>
      <c r="C54" s="60"/>
      <c r="D54" s="58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46"/>
      <c r="AK54" s="46"/>
      <c r="AL54" s="46"/>
      <c r="AM54" s="46"/>
      <c r="AN54" s="65"/>
      <c r="AO54" s="42"/>
    </row>
    <row r="55" spans="2:41" ht="14.1" customHeight="1" x14ac:dyDescent="0.2">
      <c r="B55" s="45"/>
      <c r="C55" s="60"/>
      <c r="D55" s="58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46"/>
      <c r="AK55" s="46"/>
      <c r="AL55" s="46"/>
      <c r="AM55" s="46"/>
      <c r="AN55" s="65"/>
      <c r="AO55" s="42"/>
    </row>
    <row r="56" spans="2:41" ht="14.1" customHeight="1" x14ac:dyDescent="0.2">
      <c r="B56" s="45"/>
      <c r="C56" s="60"/>
      <c r="D56" s="58"/>
      <c r="E56" s="73"/>
      <c r="F56" s="73"/>
      <c r="G56" s="73"/>
      <c r="H56" s="73"/>
      <c r="I56" s="73"/>
      <c r="J56" s="73"/>
      <c r="K56" s="73"/>
      <c r="L56" s="73"/>
      <c r="M56" s="76"/>
      <c r="N56" s="76"/>
      <c r="O56" s="76"/>
      <c r="P56" s="76"/>
      <c r="Q56" s="73"/>
      <c r="R56" s="73"/>
      <c r="S56" s="73"/>
      <c r="T56" s="73"/>
      <c r="U56" s="74"/>
      <c r="V56" s="74"/>
      <c r="W56" s="74"/>
      <c r="X56" s="74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46"/>
      <c r="AK56" s="46"/>
      <c r="AL56" s="46"/>
      <c r="AM56" s="46"/>
      <c r="AN56" s="65"/>
      <c r="AO56" s="42"/>
    </row>
    <row r="57" spans="2:41" ht="14.1" customHeight="1" x14ac:dyDescent="0.2">
      <c r="B57" s="45"/>
      <c r="C57" s="60"/>
      <c r="D57" s="58"/>
      <c r="E57" s="73"/>
      <c r="F57" s="73"/>
      <c r="G57" s="73"/>
      <c r="H57" s="73"/>
      <c r="I57" s="73"/>
      <c r="J57" s="73"/>
      <c r="K57" s="73"/>
      <c r="L57" s="73"/>
      <c r="M57" s="76"/>
      <c r="N57" s="76"/>
      <c r="O57" s="76"/>
      <c r="P57" s="76"/>
      <c r="Q57" s="73"/>
      <c r="R57" s="73"/>
      <c r="S57" s="73"/>
      <c r="T57" s="73"/>
      <c r="U57" s="74"/>
      <c r="V57" s="74"/>
      <c r="W57" s="74"/>
      <c r="X57" s="74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46"/>
      <c r="AK57" s="46"/>
      <c r="AL57" s="46"/>
      <c r="AM57" s="46"/>
      <c r="AN57" s="65"/>
      <c r="AO57" s="42"/>
    </row>
    <row r="58" spans="2:41" ht="14.1" customHeight="1" x14ac:dyDescent="0.2">
      <c r="B58" s="45"/>
      <c r="C58" s="60"/>
      <c r="D58" s="58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46"/>
      <c r="AK58" s="46"/>
      <c r="AL58" s="46"/>
      <c r="AM58" s="46"/>
      <c r="AN58" s="65"/>
      <c r="AO58" s="42"/>
    </row>
    <row r="59" spans="2:41" ht="14.1" customHeight="1" x14ac:dyDescent="0.2">
      <c r="B59" s="45"/>
      <c r="C59" s="60"/>
      <c r="D59" s="58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46"/>
      <c r="AK59" s="46"/>
      <c r="AL59" s="46"/>
      <c r="AM59" s="46"/>
      <c r="AN59" s="65"/>
      <c r="AO59" s="42"/>
    </row>
    <row r="60" spans="2:41" ht="14.1" customHeight="1" x14ac:dyDescent="0.2">
      <c r="B60" s="45"/>
      <c r="C60" s="60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65"/>
      <c r="AO60" s="42"/>
    </row>
    <row r="61" spans="2:41" ht="14.1" customHeight="1" x14ac:dyDescent="0.2">
      <c r="B61" s="45"/>
      <c r="C61" s="60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59"/>
      <c r="AH61" s="59"/>
      <c r="AI61" s="73"/>
      <c r="AJ61" s="73"/>
      <c r="AK61" s="46"/>
      <c r="AL61" s="73"/>
      <c r="AM61" s="73"/>
      <c r="AN61" s="85"/>
      <c r="AO61" s="42"/>
    </row>
    <row r="62" spans="2:41" ht="14.1" customHeight="1" x14ac:dyDescent="0.2">
      <c r="B62" s="45"/>
      <c r="C62" s="60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59"/>
      <c r="AJ62" s="59"/>
      <c r="AK62" s="73"/>
      <c r="AL62" s="73"/>
      <c r="AM62" s="73"/>
      <c r="AN62" s="85"/>
      <c r="AO62" s="42"/>
    </row>
    <row r="63" spans="2:41" ht="14.1" customHeight="1" x14ac:dyDescent="0.2">
      <c r="B63" s="45"/>
      <c r="C63" s="60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65"/>
      <c r="AO63" s="42"/>
    </row>
    <row r="64" spans="2:41" ht="14.1" customHeight="1" x14ac:dyDescent="0.2">
      <c r="B64" s="45"/>
      <c r="C64" s="60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65"/>
      <c r="AO64" s="42"/>
    </row>
    <row r="65" spans="2:41" ht="14.1" customHeight="1" x14ac:dyDescent="0.2">
      <c r="B65" s="45"/>
      <c r="C65" s="60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65"/>
      <c r="AO65" s="42"/>
    </row>
    <row r="66" spans="2:41" ht="14.1" customHeight="1" x14ac:dyDescent="0.2">
      <c r="B66" s="45"/>
      <c r="C66" s="60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65"/>
      <c r="AO66" s="42"/>
    </row>
    <row r="67" spans="2:41" ht="14.1" customHeight="1" x14ac:dyDescent="0.2">
      <c r="B67" s="45"/>
      <c r="C67" s="8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7"/>
      <c r="AO67" s="42"/>
    </row>
    <row r="68" spans="2:41" ht="14.1" customHeight="1" x14ac:dyDescent="0.2">
      <c r="B68" s="41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3"/>
    </row>
  </sheetData>
  <sheetProtection password="CA20" sheet="1" objects="1" scenarios="1"/>
  <mergeCells count="94">
    <mergeCell ref="AL40:AM40"/>
    <mergeCell ref="AL45:AM45"/>
    <mergeCell ref="P46:R46"/>
    <mergeCell ref="P47:R47"/>
    <mergeCell ref="P36:R36"/>
    <mergeCell ref="S36:U36"/>
    <mergeCell ref="V36:X36"/>
    <mergeCell ref="AB36:AD36"/>
    <mergeCell ref="P37:R37"/>
    <mergeCell ref="S37:U37"/>
    <mergeCell ref="V37:X37"/>
    <mergeCell ref="AB37:AD37"/>
    <mergeCell ref="P42:R42"/>
    <mergeCell ref="P41:R41"/>
    <mergeCell ref="P34:R34"/>
    <mergeCell ref="S34:U34"/>
    <mergeCell ref="V34:X34"/>
    <mergeCell ref="P35:R35"/>
    <mergeCell ref="S35:U35"/>
    <mergeCell ref="V35:X35"/>
    <mergeCell ref="P29:R29"/>
    <mergeCell ref="S29:U29"/>
    <mergeCell ref="V29:X29"/>
    <mergeCell ref="P32:R32"/>
    <mergeCell ref="S32:U32"/>
    <mergeCell ref="V32:X32"/>
    <mergeCell ref="P33:R33"/>
    <mergeCell ref="S33:U33"/>
    <mergeCell ref="V33:X33"/>
    <mergeCell ref="P30:R30"/>
    <mergeCell ref="S30:U30"/>
    <mergeCell ref="V30:X30"/>
    <mergeCell ref="P31:R31"/>
    <mergeCell ref="S31:U31"/>
    <mergeCell ref="V31:X31"/>
    <mergeCell ref="P26:R26"/>
    <mergeCell ref="P23:R23"/>
    <mergeCell ref="S23:U23"/>
    <mergeCell ref="S26:U26"/>
    <mergeCell ref="V26:X26"/>
    <mergeCell ref="P25:R25"/>
    <mergeCell ref="V23:X23"/>
    <mergeCell ref="V24:X24"/>
    <mergeCell ref="S25:U25"/>
    <mergeCell ref="V25:X25"/>
    <mergeCell ref="P27:R27"/>
    <mergeCell ref="S27:U27"/>
    <mergeCell ref="V27:X27"/>
    <mergeCell ref="P28:R28"/>
    <mergeCell ref="S28:U28"/>
    <mergeCell ref="V28:X28"/>
    <mergeCell ref="AB35:AD35"/>
    <mergeCell ref="S8:U8"/>
    <mergeCell ref="AL13:AM13"/>
    <mergeCell ref="S19:U19"/>
    <mergeCell ref="S20:U20"/>
    <mergeCell ref="AE9:AG9"/>
    <mergeCell ref="AE10:AG10"/>
    <mergeCell ref="V15:X15"/>
    <mergeCell ref="V17:X17"/>
    <mergeCell ref="V18:X18"/>
    <mergeCell ref="AB14:AD14"/>
    <mergeCell ref="V19:X19"/>
    <mergeCell ref="V20:X20"/>
    <mergeCell ref="V21:X21"/>
    <mergeCell ref="V22:X22"/>
    <mergeCell ref="S24:U24"/>
    <mergeCell ref="P22:R22"/>
    <mergeCell ref="S9:U9"/>
    <mergeCell ref="S10:U10"/>
    <mergeCell ref="P21:R21"/>
    <mergeCell ref="P20:R20"/>
    <mergeCell ref="P15:R15"/>
    <mergeCell ref="S15:U15"/>
    <mergeCell ref="S17:U17"/>
    <mergeCell ref="S18:U18"/>
    <mergeCell ref="S21:U21"/>
    <mergeCell ref="S22:U22"/>
    <mergeCell ref="BR15:BT15"/>
    <mergeCell ref="P24:R24"/>
    <mergeCell ref="P19:R19"/>
    <mergeCell ref="BI12:BL12"/>
    <mergeCell ref="G8:I8"/>
    <mergeCell ref="P16:R16"/>
    <mergeCell ref="G10:I10"/>
    <mergeCell ref="P18:R18"/>
    <mergeCell ref="G9:I9"/>
    <mergeCell ref="P17:R17"/>
    <mergeCell ref="AE8:AG8"/>
    <mergeCell ref="P14:R14"/>
    <mergeCell ref="S14:U14"/>
    <mergeCell ref="V14:X14"/>
    <mergeCell ref="S16:U16"/>
    <mergeCell ref="V16:X16"/>
  </mergeCells>
  <printOptions horizontalCentered="1"/>
  <pageMargins left="0.70866141732283472" right="0.39370078740157483" top="0.39370078740157483" bottom="0.39370078740157483" header="0.27559055118110237" footer="0.19685039370078741"/>
  <pageSetup paperSize="9" scale="88" orientation="portrait" r:id="rId1"/>
  <headerFooter>
    <oddHeader>&amp;C&amp;"Tahoma,ธรรมดา"&amp;8STRENGTH  DESIGN  METHOD : SDM Plus</oddHeader>
    <oddFooter>&amp;C&amp;"Tahoma,ธรรมดา"&amp;8Design Calculation</oddFooter>
  </headerFooter>
  <ignoredErrors>
    <ignoredError sqref="S34 V3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BZ68"/>
  <sheetViews>
    <sheetView showGridLines="0" showRowColHeaders="0" zoomScaleNormal="100" workbookViewId="0">
      <selection activeCell="AV17" sqref="AV17"/>
    </sheetView>
  </sheetViews>
  <sheetFormatPr defaultColWidth="2.625" defaultRowHeight="14.1" customHeight="1" x14ac:dyDescent="0.2"/>
  <cols>
    <col min="1" max="6" width="2.625" style="39"/>
    <col min="7" max="7" width="2.625" style="39" customWidth="1"/>
    <col min="8" max="15" width="2.625" style="39"/>
    <col min="16" max="16" width="2.625" style="39" customWidth="1"/>
    <col min="17" max="18" width="2.625" style="39"/>
    <col min="19" max="19" width="2.625" style="39" customWidth="1"/>
    <col min="20" max="21" width="2.625" style="39"/>
    <col min="22" max="22" width="2.625" style="39" customWidth="1"/>
    <col min="23" max="27" width="2.625" style="39"/>
    <col min="28" max="28" width="2.625" style="39" customWidth="1"/>
    <col min="29" max="30" width="2.625" style="39"/>
    <col min="31" max="31" width="2.625" style="39" customWidth="1"/>
    <col min="32" max="16384" width="2.625" style="39"/>
  </cols>
  <sheetData>
    <row r="1" spans="2:73" ht="14.1" customHeight="1" x14ac:dyDescent="0.2">
      <c r="B1" s="234" t="s">
        <v>285</v>
      </c>
    </row>
    <row r="2" spans="2:73" ht="14.1" customHeight="1" thickBot="1" x14ac:dyDescent="0.25">
      <c r="B2" s="56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4"/>
    </row>
    <row r="3" spans="2:73" ht="14.1" customHeight="1" x14ac:dyDescent="0.2">
      <c r="B3" s="45"/>
      <c r="C3" s="84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64"/>
      <c r="AO3" s="42"/>
    </row>
    <row r="4" spans="2:73" ht="14.1" customHeight="1" x14ac:dyDescent="0.2">
      <c r="B4" s="45"/>
      <c r="C4" s="60"/>
      <c r="D4" s="134" t="s">
        <v>36</v>
      </c>
      <c r="E4" s="132"/>
      <c r="F4" s="132"/>
      <c r="G4" s="133"/>
      <c r="H4" s="119" t="str">
        <f>'One way Slab'!U4</f>
        <v>อาคารคอนกรีตเสริมเหล็ก</v>
      </c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1"/>
      <c r="Y4" s="120"/>
      <c r="Z4" s="120"/>
      <c r="AA4" s="120"/>
      <c r="AB4" s="134" t="s">
        <v>143</v>
      </c>
      <c r="AC4" s="135"/>
      <c r="AD4" s="132"/>
      <c r="AE4" s="133"/>
      <c r="AF4" s="119" t="str">
        <f>'One way Slab'!U10</f>
        <v>S-01</v>
      </c>
      <c r="AG4" s="120"/>
      <c r="AH4" s="120"/>
      <c r="AI4" s="120"/>
      <c r="AJ4" s="121"/>
      <c r="AK4" s="121"/>
      <c r="AL4" s="121"/>
      <c r="AM4" s="303"/>
      <c r="AN4" s="65"/>
      <c r="AO4" s="42"/>
    </row>
    <row r="5" spans="2:73" ht="14.1" customHeight="1" x14ac:dyDescent="0.2">
      <c r="B5" s="45"/>
      <c r="C5" s="60"/>
      <c r="D5" s="301" t="s">
        <v>37</v>
      </c>
      <c r="E5" s="128"/>
      <c r="F5" s="128"/>
      <c r="G5" s="129"/>
      <c r="H5" s="127" t="str">
        <f>'One way Slab'!U6</f>
        <v>สำนักงานทรัพย์สินส่วนพระมหากษัตริย์</v>
      </c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6"/>
      <c r="Y5" s="125"/>
      <c r="Z5" s="125"/>
      <c r="AA5" s="125"/>
      <c r="AB5" s="130" t="s">
        <v>34</v>
      </c>
      <c r="AC5" s="131"/>
      <c r="AD5" s="128"/>
      <c r="AE5" s="129"/>
      <c r="AF5" s="127" t="str">
        <f>'One way Slab'!U12</f>
        <v>ว่าที่ ร.ต.รณฤทธิ์ เพชสง</v>
      </c>
      <c r="AG5" s="125"/>
      <c r="AH5" s="125"/>
      <c r="AI5" s="125"/>
      <c r="AJ5" s="126"/>
      <c r="AK5" s="126"/>
      <c r="AL5" s="126"/>
      <c r="AM5" s="304"/>
      <c r="AN5" s="65"/>
      <c r="AO5" s="42"/>
    </row>
    <row r="6" spans="2:73" ht="14.1" customHeight="1" x14ac:dyDescent="0.2">
      <c r="B6" s="45"/>
      <c r="C6" s="60"/>
      <c r="D6" s="302" t="s">
        <v>38</v>
      </c>
      <c r="E6" s="136"/>
      <c r="F6" s="136"/>
      <c r="G6" s="137"/>
      <c r="H6" s="122" t="str">
        <f>'One way Slab'!U8</f>
        <v>กรุงเทพมหานครฯ</v>
      </c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4"/>
      <c r="Y6" s="123"/>
      <c r="Z6" s="123"/>
      <c r="AA6" s="123"/>
      <c r="AB6" s="138" t="s">
        <v>35</v>
      </c>
      <c r="AC6" s="139"/>
      <c r="AD6" s="136"/>
      <c r="AE6" s="137"/>
      <c r="AF6" s="122" t="str">
        <f>'One way Slab'!U14</f>
        <v>ภย.62026</v>
      </c>
      <c r="AG6" s="123"/>
      <c r="AH6" s="123"/>
      <c r="AI6" s="123"/>
      <c r="AJ6" s="124"/>
      <c r="AK6" s="124"/>
      <c r="AL6" s="124"/>
      <c r="AM6" s="305"/>
      <c r="AN6" s="65"/>
      <c r="AO6" s="42"/>
    </row>
    <row r="7" spans="2:73" ht="14.1" customHeight="1" x14ac:dyDescent="0.2">
      <c r="B7" s="45"/>
      <c r="C7" s="60"/>
      <c r="D7" s="329"/>
      <c r="E7" s="25"/>
      <c r="F7" s="25"/>
      <c r="G7" s="25"/>
      <c r="H7" s="25"/>
      <c r="I7" s="25"/>
      <c r="J7" s="25"/>
      <c r="K7" s="25"/>
      <c r="L7" s="16"/>
      <c r="M7" s="25"/>
      <c r="N7" s="25"/>
      <c r="O7" s="25"/>
      <c r="P7" s="330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329"/>
      <c r="AC7" s="25"/>
      <c r="AD7" s="25"/>
      <c r="AE7" s="25"/>
      <c r="AF7" s="25"/>
      <c r="AG7" s="25"/>
      <c r="AH7" s="25"/>
      <c r="AI7" s="25"/>
      <c r="AJ7" s="97"/>
      <c r="AK7" s="97"/>
      <c r="AL7" s="97"/>
      <c r="AM7" s="97"/>
      <c r="AN7" s="65"/>
      <c r="AO7" s="42"/>
    </row>
    <row r="8" spans="2:73" ht="14.1" customHeight="1" x14ac:dyDescent="0.2">
      <c r="B8" s="45"/>
      <c r="C8" s="60"/>
      <c r="D8" s="4"/>
      <c r="E8" s="429"/>
      <c r="F8" s="70"/>
      <c r="G8" s="69"/>
      <c r="H8" s="69"/>
      <c r="I8" s="69"/>
      <c r="J8" s="70"/>
      <c r="K8" s="97"/>
      <c r="L8" s="97"/>
      <c r="M8" s="97"/>
      <c r="N8" s="25"/>
      <c r="O8" s="25"/>
      <c r="P8" s="4"/>
      <c r="Q8" s="25"/>
      <c r="R8" s="70"/>
      <c r="S8" s="101"/>
      <c r="T8" s="101"/>
      <c r="U8" s="101"/>
      <c r="V8" s="70"/>
      <c r="W8" s="69"/>
      <c r="X8" s="69"/>
      <c r="Y8" s="25"/>
      <c r="Z8" s="25"/>
      <c r="AA8" s="25"/>
      <c r="AB8" s="2"/>
      <c r="AC8" s="97"/>
      <c r="AD8" s="70"/>
      <c r="AE8" s="101"/>
      <c r="AF8" s="69"/>
      <c r="AG8" s="69"/>
      <c r="AH8" s="70"/>
      <c r="AI8" s="25"/>
      <c r="AJ8" s="97"/>
      <c r="AK8" s="97"/>
      <c r="AL8" s="97"/>
      <c r="AM8" s="97"/>
      <c r="AN8" s="65"/>
      <c r="AO8" s="42"/>
    </row>
    <row r="9" spans="2:73" ht="14.1" customHeight="1" x14ac:dyDescent="0.2">
      <c r="B9" s="45"/>
      <c r="C9" s="60"/>
      <c r="D9" s="4"/>
      <c r="E9" s="429"/>
      <c r="F9" s="70"/>
      <c r="G9" s="69"/>
      <c r="H9" s="69"/>
      <c r="I9" s="69"/>
      <c r="J9" s="19"/>
      <c r="K9" s="97"/>
      <c r="L9" s="97"/>
      <c r="M9" s="97"/>
      <c r="N9" s="25"/>
      <c r="O9" s="25"/>
      <c r="P9" s="4"/>
      <c r="Q9" s="25"/>
      <c r="R9" s="70"/>
      <c r="S9" s="101"/>
      <c r="T9" s="101"/>
      <c r="U9" s="101"/>
      <c r="V9" s="70"/>
      <c r="W9" s="69"/>
      <c r="X9" s="69"/>
      <c r="Y9" s="25"/>
      <c r="Z9" s="25"/>
      <c r="AA9" s="25"/>
      <c r="AB9" s="2"/>
      <c r="AC9" s="97"/>
      <c r="AD9" s="70"/>
      <c r="AE9" s="101"/>
      <c r="AF9" s="101"/>
      <c r="AG9" s="101"/>
      <c r="AH9" s="70"/>
      <c r="AI9" s="25"/>
      <c r="AJ9" s="97"/>
      <c r="AK9" s="97"/>
      <c r="AL9" s="97"/>
      <c r="AM9" s="97"/>
      <c r="AN9" s="65"/>
      <c r="AO9" s="42"/>
    </row>
    <row r="10" spans="2:73" ht="14.1" customHeight="1" x14ac:dyDescent="0.2">
      <c r="B10" s="45"/>
      <c r="C10" s="60"/>
      <c r="D10" s="4"/>
      <c r="E10" s="429"/>
      <c r="F10" s="70"/>
      <c r="G10" s="69"/>
      <c r="H10" s="69"/>
      <c r="I10" s="69"/>
      <c r="J10" s="19"/>
      <c r="K10" s="97"/>
      <c r="L10" s="97"/>
      <c r="M10" s="97"/>
      <c r="N10" s="25"/>
      <c r="O10" s="25"/>
      <c r="P10" s="5"/>
      <c r="Q10" s="25"/>
      <c r="R10" s="70"/>
      <c r="S10" s="69"/>
      <c r="T10" s="69"/>
      <c r="U10" s="69"/>
      <c r="V10" s="70"/>
      <c r="W10" s="69"/>
      <c r="X10" s="69"/>
      <c r="Y10" s="25"/>
      <c r="Z10" s="25"/>
      <c r="AA10" s="25"/>
      <c r="AB10" s="2"/>
      <c r="AC10" s="97"/>
      <c r="AD10" s="70"/>
      <c r="AE10" s="101"/>
      <c r="AF10" s="101"/>
      <c r="AG10" s="101"/>
      <c r="AH10" s="70"/>
      <c r="AI10" s="25"/>
      <c r="AJ10" s="97"/>
      <c r="AK10" s="97"/>
      <c r="AL10" s="97"/>
      <c r="AM10" s="97"/>
      <c r="AN10" s="65"/>
      <c r="AO10" s="42"/>
    </row>
    <row r="11" spans="2:73" ht="14.1" customHeight="1" x14ac:dyDescent="0.2">
      <c r="B11" s="45"/>
      <c r="C11" s="60"/>
      <c r="D11" s="330"/>
      <c r="E11" s="25"/>
      <c r="F11" s="25"/>
      <c r="G11" s="413"/>
      <c r="H11" s="413"/>
      <c r="I11" s="413"/>
      <c r="J11" s="413"/>
      <c r="K11" s="25"/>
      <c r="L11" s="25"/>
      <c r="M11" s="25"/>
      <c r="N11" s="25"/>
      <c r="O11" s="25"/>
      <c r="P11" s="69"/>
      <c r="Q11" s="69"/>
      <c r="R11" s="69"/>
      <c r="S11" s="69"/>
      <c r="T11" s="69"/>
      <c r="U11" s="69"/>
      <c r="V11" s="69"/>
      <c r="W11" s="69"/>
      <c r="X11" s="16"/>
      <c r="Y11" s="16"/>
      <c r="Z11" s="16"/>
      <c r="AA11" s="25"/>
      <c r="AB11" s="25"/>
      <c r="AC11" s="25"/>
      <c r="AD11" s="25"/>
      <c r="AE11" s="413"/>
      <c r="AF11" s="413"/>
      <c r="AG11" s="413"/>
      <c r="AH11" s="413"/>
      <c r="AI11" s="25"/>
      <c r="AJ11" s="97"/>
      <c r="AK11" s="97"/>
      <c r="AL11" s="97"/>
      <c r="AM11" s="97"/>
      <c r="AN11" s="65"/>
      <c r="AO11" s="42"/>
    </row>
    <row r="12" spans="2:73" ht="14.1" customHeight="1" x14ac:dyDescent="0.2">
      <c r="B12" s="45"/>
      <c r="C12" s="60"/>
      <c r="D12" s="331"/>
      <c r="E12" s="69"/>
      <c r="F12" s="69"/>
      <c r="G12" s="69"/>
      <c r="H12" s="69"/>
      <c r="I12" s="69"/>
      <c r="J12" s="69"/>
      <c r="K12" s="25"/>
      <c r="L12" s="25"/>
      <c r="M12" s="25"/>
      <c r="N12" s="25"/>
      <c r="O12" s="25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25"/>
      <c r="AJ12" s="97"/>
      <c r="AK12" s="97"/>
      <c r="AL12" s="97"/>
      <c r="AM12" s="97"/>
      <c r="AN12" s="65"/>
      <c r="AO12" s="42"/>
      <c r="AQ12" s="310"/>
      <c r="AR12" s="50"/>
      <c r="AS12" s="50"/>
      <c r="AT12" s="447"/>
      <c r="AU12" s="447"/>
      <c r="AV12" s="447"/>
      <c r="AW12" s="447"/>
      <c r="AX12" s="98"/>
      <c r="AY12" s="98"/>
      <c r="AZ12" s="98"/>
      <c r="BA12" s="98"/>
      <c r="BB12" s="98"/>
      <c r="BC12" s="403"/>
      <c r="BD12" s="50"/>
      <c r="BE12" s="50"/>
      <c r="BF12" s="50"/>
      <c r="BG12" s="50"/>
      <c r="BH12" s="50"/>
      <c r="BI12" s="593"/>
      <c r="BJ12" s="593"/>
      <c r="BK12" s="593"/>
      <c r="BL12" s="593"/>
      <c r="BM12" s="98"/>
      <c r="BN12" s="98"/>
      <c r="BO12" s="310"/>
      <c r="BP12" s="98"/>
      <c r="BQ12" s="98"/>
      <c r="BR12" s="228"/>
      <c r="BS12" s="228"/>
      <c r="BT12" s="228"/>
      <c r="BU12" s="228"/>
    </row>
    <row r="13" spans="2:73" ht="14.1" customHeight="1" x14ac:dyDescent="0.2">
      <c r="B13" s="45"/>
      <c r="C13" s="60"/>
      <c r="D13" s="332"/>
      <c r="E13" s="17"/>
      <c r="F13" s="315"/>
      <c r="G13" s="315"/>
      <c r="H13" s="97"/>
      <c r="I13" s="97"/>
      <c r="J13" s="97"/>
      <c r="K13" s="97"/>
      <c r="L13" s="97"/>
      <c r="M13" s="97"/>
      <c r="N13" s="97"/>
      <c r="O13" s="97"/>
      <c r="P13" s="332"/>
      <c r="Q13" s="97"/>
      <c r="R13" s="97"/>
      <c r="S13" s="97"/>
      <c r="T13" s="97"/>
      <c r="U13" s="97"/>
      <c r="V13" s="97"/>
      <c r="W13" s="97"/>
      <c r="X13" s="97"/>
      <c r="Y13" s="6"/>
      <c r="Z13" s="6"/>
      <c r="AA13" s="6"/>
      <c r="AB13" s="332"/>
      <c r="AC13" s="97"/>
      <c r="AD13" s="97"/>
      <c r="AE13" s="6"/>
      <c r="AF13" s="6"/>
      <c r="AG13" s="6"/>
      <c r="AH13" s="97"/>
      <c r="AI13" s="97"/>
      <c r="AJ13" s="97"/>
      <c r="AK13" s="97"/>
      <c r="AL13" s="192"/>
      <c r="AM13" s="192"/>
      <c r="AN13" s="65"/>
      <c r="AO13" s="42"/>
      <c r="AQ13" s="311"/>
      <c r="AR13" s="98"/>
      <c r="AS13" s="221"/>
      <c r="AW13" s="364"/>
      <c r="AX13" s="236"/>
      <c r="AY13" s="50"/>
      <c r="AZ13" s="50"/>
      <c r="BA13" s="50"/>
      <c r="BB13" s="50"/>
      <c r="BC13" s="447"/>
      <c r="BD13" s="236"/>
      <c r="BE13" s="221"/>
      <c r="BI13" s="364"/>
      <c r="BJ13" s="449"/>
      <c r="BK13" s="311"/>
      <c r="BL13" s="50"/>
      <c r="BM13" s="50"/>
      <c r="BN13" s="50"/>
      <c r="BO13" s="270"/>
      <c r="BP13" s="236"/>
      <c r="BQ13" s="221"/>
      <c r="BU13" s="404"/>
    </row>
    <row r="14" spans="2:73" ht="14.1" customHeight="1" x14ac:dyDescent="0.2">
      <c r="B14" s="45"/>
      <c r="C14" s="60"/>
      <c r="D14" s="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418"/>
      <c r="Q14" s="418"/>
      <c r="R14" s="418"/>
      <c r="S14" s="418"/>
      <c r="T14" s="418"/>
      <c r="U14" s="418"/>
      <c r="V14" s="418"/>
      <c r="W14" s="418"/>
      <c r="X14" s="418"/>
      <c r="Y14" s="106"/>
      <c r="Z14" s="106"/>
      <c r="AA14" s="106"/>
      <c r="AB14" s="418"/>
      <c r="AC14" s="418"/>
      <c r="AD14" s="418"/>
      <c r="AE14" s="106"/>
      <c r="AF14" s="106"/>
      <c r="AG14" s="106"/>
      <c r="AH14" s="6"/>
      <c r="AI14" s="6"/>
      <c r="AJ14" s="6"/>
      <c r="AK14" s="70"/>
      <c r="AL14" s="315"/>
      <c r="AM14" s="70"/>
      <c r="AN14" s="65"/>
      <c r="AO14" s="42"/>
      <c r="AQ14" s="364"/>
      <c r="AR14" s="236"/>
      <c r="AS14" s="221"/>
      <c r="AW14" s="239"/>
      <c r="AX14" s="236"/>
      <c r="AY14" s="221"/>
      <c r="AZ14" s="221"/>
      <c r="BA14" s="230"/>
      <c r="BB14" s="50"/>
      <c r="BC14" s="447"/>
      <c r="BD14" s="236"/>
      <c r="BE14" s="221"/>
      <c r="BI14" s="364"/>
      <c r="BJ14" s="228"/>
      <c r="BK14" s="311"/>
      <c r="BL14" s="50"/>
      <c r="BM14" s="50"/>
      <c r="BN14" s="50"/>
      <c r="BO14" s="270"/>
      <c r="BP14" s="236"/>
      <c r="BQ14" s="221"/>
      <c r="BU14" s="405"/>
    </row>
    <row r="15" spans="2:73" ht="14.1" customHeight="1" x14ac:dyDescent="0.2">
      <c r="B15" s="45"/>
      <c r="C15" s="60"/>
      <c r="D15" s="106"/>
      <c r="E15" s="106"/>
      <c r="F15" s="106"/>
      <c r="G15" s="414"/>
      <c r="H15" s="106"/>
      <c r="I15" s="106"/>
      <c r="J15" s="106"/>
      <c r="K15" s="106"/>
      <c r="L15" s="106"/>
      <c r="M15" s="106"/>
      <c r="N15" s="106"/>
      <c r="O15" s="106"/>
      <c r="P15" s="418"/>
      <c r="Q15" s="418"/>
      <c r="R15" s="418"/>
      <c r="S15" s="418"/>
      <c r="T15" s="418"/>
      <c r="U15" s="418"/>
      <c r="V15" s="418"/>
      <c r="W15" s="418"/>
      <c r="X15" s="418"/>
      <c r="Y15" s="463"/>
      <c r="Z15" s="463"/>
      <c r="AA15" s="463"/>
      <c r="AB15" s="463"/>
      <c r="AC15" s="6"/>
      <c r="AD15" s="6"/>
      <c r="AE15" s="106"/>
      <c r="AF15" s="106"/>
      <c r="AG15" s="106"/>
      <c r="AH15" s="106"/>
      <c r="AI15" s="462"/>
      <c r="AJ15" s="70"/>
      <c r="AK15" s="70"/>
      <c r="AL15" s="315"/>
      <c r="AM15" s="70"/>
      <c r="AN15" s="65"/>
      <c r="AO15" s="42"/>
      <c r="AQ15" s="406"/>
      <c r="AR15" s="236"/>
      <c r="AS15" s="221"/>
      <c r="AW15" s="239"/>
      <c r="AX15" s="236"/>
      <c r="AY15" s="221"/>
      <c r="AZ15" s="221"/>
      <c r="BA15" s="236"/>
      <c r="BB15" s="50"/>
      <c r="BC15" s="239"/>
      <c r="BD15" s="236"/>
      <c r="BE15" s="221"/>
      <c r="BI15" s="364"/>
      <c r="BJ15" s="407"/>
      <c r="BK15" s="312"/>
      <c r="BL15" s="50"/>
      <c r="BM15" s="50"/>
      <c r="BN15" s="50"/>
      <c r="BO15" s="270"/>
      <c r="BP15" s="236"/>
      <c r="BQ15" s="221"/>
      <c r="BR15" s="593"/>
      <c r="BS15" s="593"/>
      <c r="BT15" s="593"/>
      <c r="BU15" s="239"/>
    </row>
    <row r="16" spans="2:73" ht="14.1" customHeight="1" x14ac:dyDescent="0.2">
      <c r="B16" s="45"/>
      <c r="C16" s="60"/>
      <c r="D16" s="462"/>
      <c r="E16" s="70"/>
      <c r="F16" s="315"/>
      <c r="G16" s="315"/>
      <c r="H16" s="70"/>
      <c r="I16" s="106"/>
      <c r="J16" s="106"/>
      <c r="K16" s="106"/>
      <c r="L16" s="106"/>
      <c r="M16" s="106"/>
      <c r="N16" s="106"/>
      <c r="O16" s="106"/>
      <c r="P16" s="333"/>
      <c r="Q16" s="333"/>
      <c r="R16" s="333"/>
      <c r="S16" s="419"/>
      <c r="T16" s="419"/>
      <c r="U16" s="419"/>
      <c r="V16" s="419"/>
      <c r="W16" s="419"/>
      <c r="X16" s="419"/>
      <c r="Y16" s="396"/>
      <c r="Z16" s="396"/>
      <c r="AA16" s="396"/>
      <c r="AB16" s="463"/>
      <c r="AC16" s="6"/>
      <c r="AD16" s="6"/>
      <c r="AE16" s="106"/>
      <c r="AF16" s="106"/>
      <c r="AG16" s="106"/>
      <c r="AH16" s="106"/>
      <c r="AI16" s="462"/>
      <c r="AJ16" s="70"/>
      <c r="AK16" s="70"/>
      <c r="AL16" s="315"/>
      <c r="AM16" s="70"/>
      <c r="AN16" s="65"/>
      <c r="AO16" s="42"/>
      <c r="AQ16" s="50"/>
      <c r="AR16" s="50"/>
      <c r="AS16" s="50"/>
      <c r="AT16" s="50"/>
      <c r="AU16" s="50"/>
      <c r="AV16" s="50"/>
      <c r="AW16" s="236"/>
      <c r="AX16" s="221"/>
      <c r="AY16" s="221"/>
      <c r="AZ16" s="221"/>
      <c r="BA16" s="50"/>
      <c r="BB16" s="50"/>
      <c r="BC16" s="50"/>
      <c r="BD16" s="236"/>
      <c r="BE16" s="221"/>
      <c r="BI16" s="364"/>
      <c r="BJ16" s="427"/>
      <c r="BK16" s="312"/>
      <c r="BL16" s="50"/>
      <c r="BM16" s="50"/>
      <c r="BN16" s="50"/>
      <c r="BO16" s="270"/>
      <c r="BP16" s="236"/>
      <c r="BQ16" s="221"/>
      <c r="BU16" s="239"/>
    </row>
    <row r="17" spans="2:78" ht="14.1" customHeight="1" x14ac:dyDescent="0.2">
      <c r="B17" s="45"/>
      <c r="C17" s="60"/>
      <c r="D17" s="334"/>
      <c r="E17" s="106"/>
      <c r="F17" s="315"/>
      <c r="G17" s="107"/>
      <c r="H17" s="106"/>
      <c r="I17" s="106"/>
      <c r="J17" s="106"/>
      <c r="K17" s="106"/>
      <c r="L17" s="106"/>
      <c r="M17" s="106"/>
      <c r="N17" s="106"/>
      <c r="O17" s="106"/>
      <c r="P17" s="333"/>
      <c r="Q17" s="333"/>
      <c r="R17" s="333"/>
      <c r="S17" s="419"/>
      <c r="T17" s="419"/>
      <c r="U17" s="419"/>
      <c r="V17" s="419"/>
      <c r="W17" s="419"/>
      <c r="X17" s="419"/>
      <c r="Y17" s="106"/>
      <c r="Z17" s="106"/>
      <c r="AA17" s="106"/>
      <c r="AB17" s="463"/>
      <c r="AC17" s="6"/>
      <c r="AD17" s="6"/>
      <c r="AE17" s="106"/>
      <c r="AF17" s="106"/>
      <c r="AG17" s="106"/>
      <c r="AH17" s="106"/>
      <c r="AI17" s="456"/>
      <c r="AJ17" s="70"/>
      <c r="AK17" s="70"/>
      <c r="AL17" s="462"/>
      <c r="AM17" s="70"/>
      <c r="AN17" s="65"/>
      <c r="AO17" s="42"/>
      <c r="AQ17" s="50"/>
      <c r="AR17" s="50"/>
      <c r="AS17" s="50"/>
      <c r="AT17" s="50"/>
      <c r="AU17" s="50"/>
      <c r="AV17" s="50"/>
      <c r="AW17" s="50"/>
      <c r="AX17" s="50"/>
      <c r="AY17" s="98"/>
      <c r="AZ17" s="221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222"/>
      <c r="BP17" s="311"/>
      <c r="BQ17" s="221"/>
    </row>
    <row r="18" spans="2:78" ht="14.1" customHeight="1" x14ac:dyDescent="0.2">
      <c r="B18" s="45"/>
      <c r="C18" s="60"/>
      <c r="D18" s="63"/>
      <c r="E18" s="106"/>
      <c r="F18" s="315"/>
      <c r="G18" s="463"/>
      <c r="H18" s="106"/>
      <c r="I18" s="106"/>
      <c r="J18" s="106"/>
      <c r="K18" s="106"/>
      <c r="L18" s="106"/>
      <c r="M18" s="106"/>
      <c r="N18" s="106"/>
      <c r="O18" s="106"/>
      <c r="P18" s="297"/>
      <c r="Q18" s="297"/>
      <c r="R18" s="297"/>
      <c r="S18" s="418"/>
      <c r="T18" s="418"/>
      <c r="U18" s="418"/>
      <c r="V18" s="418"/>
      <c r="W18" s="418"/>
      <c r="X18" s="418"/>
      <c r="Y18" s="106"/>
      <c r="Z18" s="106"/>
      <c r="AA18" s="106"/>
      <c r="AB18" s="463"/>
      <c r="AC18" s="6"/>
      <c r="AD18" s="6"/>
      <c r="AE18" s="106"/>
      <c r="AF18" s="106"/>
      <c r="AG18" s="106"/>
      <c r="AH18" s="106"/>
      <c r="AI18" s="456"/>
      <c r="AJ18" s="70"/>
      <c r="AK18" s="70"/>
      <c r="AL18" s="462"/>
      <c r="AM18" s="70"/>
      <c r="AN18" s="65"/>
      <c r="AO18" s="42"/>
      <c r="AQ18" s="50"/>
      <c r="AR18" s="50"/>
      <c r="AS18" s="50"/>
      <c r="AT18" s="50"/>
      <c r="AU18" s="50"/>
      <c r="AV18" s="50"/>
      <c r="AW18" s="50"/>
      <c r="AX18" s="50"/>
      <c r="AY18" s="98"/>
      <c r="AZ18" s="221"/>
      <c r="BA18" s="83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257"/>
      <c r="BP18" s="311"/>
      <c r="BQ18" s="221"/>
      <c r="BR18" s="318"/>
      <c r="BS18" s="319"/>
      <c r="BT18" s="319"/>
      <c r="BU18" s="239"/>
    </row>
    <row r="19" spans="2:78" ht="14.1" customHeight="1" x14ac:dyDescent="0.2">
      <c r="B19" s="45"/>
      <c r="C19" s="60"/>
      <c r="D19" s="70"/>
      <c r="E19" s="70"/>
      <c r="F19" s="315"/>
      <c r="G19" s="69"/>
      <c r="H19" s="70"/>
      <c r="I19" s="70"/>
      <c r="J19" s="70"/>
      <c r="K19" s="70"/>
      <c r="L19" s="70"/>
      <c r="M19" s="315"/>
      <c r="N19" s="70"/>
      <c r="O19" s="70"/>
      <c r="P19" s="420"/>
      <c r="Q19" s="420"/>
      <c r="R19" s="420"/>
      <c r="S19" s="297"/>
      <c r="T19" s="297"/>
      <c r="U19" s="297"/>
      <c r="V19" s="297"/>
      <c r="W19" s="297"/>
      <c r="X19" s="297"/>
      <c r="Y19" s="70"/>
      <c r="Z19" s="70"/>
      <c r="AA19" s="70"/>
      <c r="AB19" s="463"/>
      <c r="AC19" s="70"/>
      <c r="AD19" s="70"/>
      <c r="AE19" s="456"/>
      <c r="AF19" s="456"/>
      <c r="AG19" s="456"/>
      <c r="AH19" s="334"/>
      <c r="AI19" s="70"/>
      <c r="AJ19" s="70"/>
      <c r="AK19" s="70"/>
      <c r="AL19" s="334"/>
      <c r="AM19" s="70"/>
      <c r="AN19" s="65"/>
      <c r="AO19" s="42"/>
    </row>
    <row r="20" spans="2:78" ht="14.1" customHeight="1" x14ac:dyDescent="0.2">
      <c r="B20" s="45"/>
      <c r="C20" s="60"/>
      <c r="D20" s="70"/>
      <c r="E20" s="106"/>
      <c r="F20" s="315"/>
      <c r="G20" s="69"/>
      <c r="H20" s="106"/>
      <c r="I20" s="106"/>
      <c r="J20" s="106"/>
      <c r="K20" s="106"/>
      <c r="L20" s="106"/>
      <c r="M20" s="106"/>
      <c r="N20" s="106"/>
      <c r="O20" s="106"/>
      <c r="P20" s="337"/>
      <c r="Q20" s="337"/>
      <c r="R20" s="337"/>
      <c r="S20" s="421"/>
      <c r="T20" s="421"/>
      <c r="U20" s="421"/>
      <c r="V20" s="421"/>
      <c r="W20" s="421"/>
      <c r="X20" s="421"/>
      <c r="Y20" s="106"/>
      <c r="Z20" s="106"/>
      <c r="AA20" s="106"/>
      <c r="AB20" s="463"/>
      <c r="AC20" s="106"/>
      <c r="AD20" s="106"/>
      <c r="AE20" s="106"/>
      <c r="AF20" s="106"/>
      <c r="AG20" s="106"/>
      <c r="AH20" s="106"/>
      <c r="AI20" s="106"/>
      <c r="AJ20" s="106"/>
      <c r="AK20" s="106"/>
      <c r="AL20" s="334"/>
      <c r="AM20" s="106"/>
      <c r="AN20" s="65"/>
      <c r="AO20" s="42"/>
      <c r="AQ20" s="309"/>
      <c r="AR20" s="309"/>
      <c r="AS20" s="309"/>
      <c r="AT20" s="309"/>
      <c r="AU20" s="309"/>
      <c r="AV20" s="309"/>
      <c r="AW20" s="309"/>
      <c r="AX20" s="309"/>
      <c r="AY20" s="309"/>
      <c r="AZ20" s="309"/>
      <c r="BA20" s="309"/>
      <c r="BB20" s="309"/>
      <c r="BC20" s="309"/>
      <c r="BD20" s="309"/>
      <c r="BE20" s="309"/>
      <c r="BF20" s="309"/>
      <c r="BG20" s="309"/>
      <c r="BH20" s="309"/>
      <c r="BI20" s="309"/>
      <c r="BJ20" s="309"/>
      <c r="BK20" s="309"/>
      <c r="BL20" s="309"/>
      <c r="BM20" s="309"/>
      <c r="BN20" s="50"/>
      <c r="BO20" s="309"/>
      <c r="BP20" s="309"/>
      <c r="BQ20" s="309"/>
      <c r="BR20" s="309"/>
      <c r="BS20" s="237"/>
      <c r="BT20" s="227"/>
      <c r="BU20" s="227"/>
      <c r="BV20" s="227"/>
      <c r="BW20" s="227"/>
      <c r="BX20" s="309"/>
      <c r="BY20" s="309"/>
      <c r="BZ20" s="309"/>
    </row>
    <row r="21" spans="2:78" ht="14.1" customHeight="1" x14ac:dyDescent="0.2">
      <c r="B21" s="45"/>
      <c r="C21" s="60"/>
      <c r="D21" s="462"/>
      <c r="E21" s="106"/>
      <c r="F21" s="315"/>
      <c r="G21" s="69"/>
      <c r="H21" s="106"/>
      <c r="I21" s="106"/>
      <c r="J21" s="106"/>
      <c r="K21" s="106"/>
      <c r="L21" s="106"/>
      <c r="M21" s="106"/>
      <c r="N21" s="106"/>
      <c r="O21" s="106"/>
      <c r="P21" s="337"/>
      <c r="Q21" s="337"/>
      <c r="R21" s="337"/>
      <c r="S21" s="421"/>
      <c r="T21" s="421"/>
      <c r="U21" s="421"/>
      <c r="V21" s="421"/>
      <c r="W21" s="421"/>
      <c r="X21" s="421"/>
      <c r="Y21" s="106"/>
      <c r="Z21" s="106"/>
      <c r="AA21" s="106"/>
      <c r="AB21" s="463"/>
      <c r="AC21" s="106"/>
      <c r="AD21" s="106"/>
      <c r="AE21" s="106"/>
      <c r="AF21" s="106"/>
      <c r="AG21" s="106"/>
      <c r="AH21" s="106"/>
      <c r="AI21" s="106"/>
      <c r="AJ21" s="106"/>
      <c r="AK21" s="106"/>
      <c r="AL21" s="334"/>
      <c r="AM21" s="106"/>
      <c r="AN21" s="65"/>
      <c r="AO21" s="42"/>
      <c r="AQ21" s="309"/>
      <c r="AR21" s="309"/>
      <c r="AS21" s="309"/>
      <c r="AT21" s="309"/>
      <c r="AU21" s="309"/>
      <c r="AV21" s="309"/>
      <c r="AW21" s="309"/>
      <c r="AX21" s="309"/>
      <c r="AY21" s="309"/>
      <c r="AZ21" s="309"/>
      <c r="BA21" s="309"/>
      <c r="BB21" s="309"/>
      <c r="BC21" s="309"/>
      <c r="BD21" s="309"/>
      <c r="BE21" s="309"/>
      <c r="BF21" s="309"/>
      <c r="BG21" s="309"/>
      <c r="BH21" s="309"/>
      <c r="BI21" s="309"/>
      <c r="BJ21" s="309"/>
      <c r="BK21" s="309"/>
      <c r="BL21" s="309"/>
      <c r="BM21" s="309"/>
      <c r="BN21" s="50"/>
      <c r="BO21" s="309"/>
      <c r="BP21" s="309"/>
      <c r="BQ21" s="309"/>
      <c r="BR21" s="309"/>
      <c r="BS21" s="227"/>
      <c r="BT21" s="227"/>
      <c r="BU21" s="227"/>
      <c r="BV21" s="227"/>
      <c r="BW21" s="227"/>
      <c r="BX21" s="309"/>
      <c r="BY21" s="309"/>
      <c r="BZ21" s="309"/>
    </row>
    <row r="22" spans="2:78" ht="14.1" customHeight="1" x14ac:dyDescent="0.2">
      <c r="B22" s="45"/>
      <c r="C22" s="60"/>
      <c r="D22" s="69"/>
      <c r="E22" s="106"/>
      <c r="F22" s="315"/>
      <c r="G22" s="106"/>
      <c r="H22" s="107"/>
      <c r="I22" s="107"/>
      <c r="J22" s="107"/>
      <c r="K22" s="107"/>
      <c r="L22" s="106"/>
      <c r="M22" s="106"/>
      <c r="N22" s="106"/>
      <c r="O22" s="106"/>
      <c r="P22" s="296"/>
      <c r="Q22" s="296"/>
      <c r="R22" s="296"/>
      <c r="S22" s="418"/>
      <c r="T22" s="418"/>
      <c r="U22" s="418"/>
      <c r="V22" s="418"/>
      <c r="W22" s="418"/>
      <c r="X22" s="418"/>
      <c r="Y22" s="106"/>
      <c r="Z22" s="106"/>
      <c r="AA22" s="106"/>
      <c r="AB22" s="463"/>
      <c r="AC22" s="106"/>
      <c r="AD22" s="106"/>
      <c r="AE22" s="106"/>
      <c r="AF22" s="106"/>
      <c r="AG22" s="106"/>
      <c r="AH22" s="106"/>
      <c r="AI22" s="106"/>
      <c r="AJ22" s="106"/>
      <c r="AK22" s="106"/>
      <c r="AL22" s="334"/>
      <c r="AM22" s="106"/>
      <c r="AN22" s="65"/>
      <c r="AO22" s="42"/>
      <c r="AQ22" s="311"/>
      <c r="AR22" s="311"/>
      <c r="AS22" s="221"/>
      <c r="AT22" s="311"/>
      <c r="AU22" s="50"/>
      <c r="AV22" s="50"/>
      <c r="AW22" s="50"/>
      <c r="AX22" s="50"/>
      <c r="AY22" s="236"/>
      <c r="AZ22" s="409"/>
      <c r="BA22" s="409"/>
      <c r="BB22" s="409"/>
      <c r="BC22" s="236"/>
      <c r="BD22" s="409"/>
      <c r="BE22" s="409"/>
      <c r="BF22" s="409"/>
      <c r="BG22" s="236"/>
      <c r="BH22" s="409"/>
      <c r="BI22" s="409"/>
      <c r="BJ22" s="409"/>
      <c r="BK22" s="238"/>
      <c r="BL22" s="322"/>
      <c r="BM22" s="322"/>
      <c r="BN22" s="50"/>
      <c r="BO22" s="50"/>
      <c r="BP22" s="50"/>
      <c r="BQ22" s="50"/>
      <c r="BR22" s="50"/>
      <c r="BS22" s="236"/>
      <c r="BT22" s="236"/>
      <c r="BU22" s="236"/>
      <c r="BV22" s="236"/>
      <c r="BW22" s="50"/>
      <c r="BX22" s="50"/>
      <c r="BY22" s="50"/>
      <c r="BZ22" s="50"/>
    </row>
    <row r="23" spans="2:78" ht="14.1" customHeight="1" x14ac:dyDescent="0.2">
      <c r="B23" s="45"/>
      <c r="C23" s="60"/>
      <c r="D23" s="2"/>
      <c r="E23" s="97"/>
      <c r="F23" s="315"/>
      <c r="G23" s="462"/>
      <c r="H23" s="97"/>
      <c r="I23" s="97"/>
      <c r="J23" s="106"/>
      <c r="K23" s="106"/>
      <c r="L23" s="106"/>
      <c r="M23" s="106"/>
      <c r="N23" s="106"/>
      <c r="O23" s="106"/>
      <c r="P23" s="412"/>
      <c r="Q23" s="297"/>
      <c r="R23" s="297"/>
      <c r="S23" s="422"/>
      <c r="T23" s="422"/>
      <c r="U23" s="422"/>
      <c r="V23" s="422"/>
      <c r="W23" s="422"/>
      <c r="X23" s="422"/>
      <c r="Y23" s="106"/>
      <c r="Z23" s="106"/>
      <c r="AA23" s="106"/>
      <c r="AB23" s="463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65"/>
      <c r="AO23" s="42"/>
      <c r="AQ23" s="317"/>
      <c r="AR23" s="317"/>
      <c r="AS23" s="221"/>
      <c r="AT23" s="447"/>
      <c r="AU23" s="50"/>
      <c r="AV23" s="50"/>
      <c r="AW23" s="50"/>
      <c r="AX23" s="50"/>
      <c r="AY23" s="236"/>
      <c r="AZ23" s="318"/>
      <c r="BA23" s="318"/>
      <c r="BB23" s="318"/>
      <c r="BC23" s="236"/>
      <c r="BD23" s="318"/>
      <c r="BE23" s="318"/>
      <c r="BF23" s="318"/>
      <c r="BG23" s="236"/>
      <c r="BH23" s="318"/>
      <c r="BI23" s="318"/>
      <c r="BJ23" s="318"/>
      <c r="BK23" s="239"/>
      <c r="BL23" s="311"/>
      <c r="BM23" s="311"/>
      <c r="BN23" s="50"/>
      <c r="BO23" s="268"/>
      <c r="BP23" s="50"/>
      <c r="BQ23" s="50"/>
      <c r="BR23" s="50"/>
      <c r="BS23" s="50"/>
      <c r="BT23" s="227"/>
      <c r="BU23" s="227"/>
      <c r="BV23" s="227"/>
      <c r="BW23" s="50"/>
      <c r="BX23" s="50"/>
      <c r="BY23" s="50"/>
      <c r="BZ23" s="50"/>
    </row>
    <row r="24" spans="2:78" ht="14.1" customHeight="1" x14ac:dyDescent="0.2">
      <c r="B24" s="45"/>
      <c r="C24" s="60"/>
      <c r="D24" s="2"/>
      <c r="E24" s="97"/>
      <c r="F24" s="315"/>
      <c r="G24" s="2"/>
      <c r="H24" s="97"/>
      <c r="I24" s="97"/>
      <c r="J24" s="106"/>
      <c r="K24" s="106"/>
      <c r="L24" s="106"/>
      <c r="M24" s="106"/>
      <c r="N24" s="106"/>
      <c r="O24" s="106"/>
      <c r="P24" s="412"/>
      <c r="Q24" s="297"/>
      <c r="R24" s="297"/>
      <c r="S24" s="422"/>
      <c r="T24" s="422"/>
      <c r="U24" s="422"/>
      <c r="V24" s="422"/>
      <c r="W24" s="422"/>
      <c r="X24" s="422"/>
      <c r="Y24" s="106"/>
      <c r="Z24" s="106"/>
      <c r="AA24" s="106"/>
      <c r="AB24" s="463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65"/>
      <c r="AO24" s="42"/>
      <c r="AQ24" s="311"/>
      <c r="AR24" s="311"/>
      <c r="AS24" s="221"/>
      <c r="AT24" s="257"/>
      <c r="AU24" s="50"/>
      <c r="AV24" s="50"/>
      <c r="AW24" s="50"/>
      <c r="AX24" s="50"/>
      <c r="AY24" s="236"/>
      <c r="AZ24" s="223"/>
      <c r="BA24" s="223"/>
      <c r="BB24" s="223"/>
      <c r="BC24" s="236"/>
      <c r="BD24" s="223"/>
      <c r="BE24" s="223"/>
      <c r="BF24" s="223"/>
      <c r="BG24" s="236"/>
      <c r="BH24" s="223"/>
      <c r="BI24" s="223"/>
      <c r="BJ24" s="223"/>
      <c r="BK24" s="239"/>
      <c r="BL24" s="311"/>
      <c r="BM24" s="311"/>
      <c r="BN24" s="50"/>
      <c r="BO24" s="268"/>
      <c r="BP24" s="50"/>
      <c r="BQ24" s="50"/>
      <c r="BR24" s="50"/>
      <c r="BS24" s="226"/>
      <c r="BT24" s="227"/>
      <c r="BU24" s="227"/>
      <c r="BV24" s="227"/>
      <c r="BW24" s="50"/>
      <c r="BX24" s="50"/>
      <c r="BY24" s="50"/>
      <c r="BZ24" s="50"/>
    </row>
    <row r="25" spans="2:78" ht="14.1" customHeight="1" x14ac:dyDescent="0.2">
      <c r="B25" s="45"/>
      <c r="C25" s="60"/>
      <c r="D25" s="2"/>
      <c r="E25" s="97"/>
      <c r="F25" s="315"/>
      <c r="G25" s="2"/>
      <c r="H25" s="97"/>
      <c r="I25" s="97"/>
      <c r="J25" s="106"/>
      <c r="K25" s="106"/>
      <c r="L25" s="106"/>
      <c r="M25" s="106"/>
      <c r="N25" s="106"/>
      <c r="O25" s="106"/>
      <c r="P25" s="412"/>
      <c r="Q25" s="297"/>
      <c r="R25" s="297"/>
      <c r="S25" s="422"/>
      <c r="T25" s="422"/>
      <c r="U25" s="422"/>
      <c r="V25" s="422"/>
      <c r="W25" s="422"/>
      <c r="X25" s="422"/>
      <c r="Y25" s="106"/>
      <c r="Z25" s="106"/>
      <c r="AA25" s="106"/>
      <c r="AB25" s="463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65"/>
      <c r="AO25" s="42"/>
      <c r="AQ25" s="258"/>
      <c r="AR25" s="258"/>
      <c r="AS25" s="221"/>
      <c r="AT25" s="270"/>
      <c r="AU25" s="50"/>
      <c r="AV25" s="50"/>
      <c r="AW25" s="50"/>
      <c r="AX25" s="50"/>
      <c r="AY25" s="323"/>
      <c r="AZ25" s="323"/>
      <c r="BA25" s="323"/>
      <c r="BB25" s="323"/>
      <c r="BC25" s="323"/>
      <c r="BD25" s="323"/>
      <c r="BE25" s="323"/>
      <c r="BF25" s="323"/>
      <c r="BG25" s="323"/>
      <c r="BH25" s="323"/>
      <c r="BI25" s="323"/>
      <c r="BJ25" s="323"/>
      <c r="BK25" s="364"/>
      <c r="BL25" s="317"/>
      <c r="BM25" s="317"/>
      <c r="BN25" s="50"/>
      <c r="BO25" s="268"/>
      <c r="BP25" s="50"/>
      <c r="BQ25" s="50"/>
      <c r="BR25" s="50"/>
      <c r="BS25" s="50"/>
      <c r="BT25" s="227"/>
      <c r="BU25" s="227"/>
      <c r="BV25" s="227"/>
      <c r="BW25" s="50"/>
      <c r="BX25" s="50"/>
      <c r="BY25" s="50"/>
      <c r="BZ25" s="50"/>
    </row>
    <row r="26" spans="2:78" ht="14.1" customHeight="1" x14ac:dyDescent="0.2">
      <c r="B26" s="45"/>
      <c r="C26" s="60"/>
      <c r="D26" s="334"/>
      <c r="E26" s="340"/>
      <c r="F26" s="334"/>
      <c r="G26" s="334"/>
      <c r="H26" s="334"/>
      <c r="I26" s="340"/>
      <c r="J26" s="106"/>
      <c r="K26" s="106"/>
      <c r="L26" s="106"/>
      <c r="M26" s="106"/>
      <c r="N26" s="106"/>
      <c r="O26" s="106"/>
      <c r="P26" s="422"/>
      <c r="Q26" s="422"/>
      <c r="R26" s="422"/>
      <c r="S26" s="422"/>
      <c r="T26" s="422"/>
      <c r="U26" s="422"/>
      <c r="V26" s="422"/>
      <c r="W26" s="422"/>
      <c r="X26" s="422"/>
      <c r="Y26" s="106"/>
      <c r="Z26" s="106"/>
      <c r="AA26" s="106"/>
      <c r="AB26" s="463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65"/>
      <c r="AO26" s="42"/>
      <c r="AQ26" s="50"/>
      <c r="AR26" s="50"/>
      <c r="AS26" s="221"/>
      <c r="AT26" s="270"/>
      <c r="AU26" s="50"/>
      <c r="AV26" s="50"/>
      <c r="AW26" s="50"/>
      <c r="AX26" s="50"/>
      <c r="AY26" s="236"/>
      <c r="AZ26" s="275"/>
      <c r="BA26" s="275"/>
      <c r="BB26" s="275"/>
      <c r="BC26" s="236"/>
      <c r="BD26" s="275"/>
      <c r="BE26" s="275"/>
      <c r="BF26" s="275"/>
      <c r="BG26" s="236"/>
      <c r="BH26" s="275"/>
      <c r="BI26" s="275"/>
      <c r="BJ26" s="275"/>
      <c r="BK26" s="447"/>
      <c r="BL26" s="50"/>
      <c r="BM26" s="50"/>
      <c r="BN26" s="50"/>
      <c r="BO26" s="221"/>
      <c r="BP26" s="50"/>
      <c r="BQ26" s="50"/>
      <c r="BR26" s="50"/>
      <c r="BS26" s="324"/>
      <c r="BT26" s="227"/>
      <c r="BU26" s="227"/>
      <c r="BV26" s="227"/>
      <c r="BW26" s="50"/>
      <c r="BX26" s="50"/>
      <c r="BY26" s="50"/>
      <c r="BZ26" s="50"/>
    </row>
    <row r="27" spans="2:78" ht="14.1" customHeight="1" x14ac:dyDescent="0.2">
      <c r="B27" s="45"/>
      <c r="C27" s="60"/>
      <c r="D27" s="462"/>
      <c r="E27" s="340"/>
      <c r="F27" s="334"/>
      <c r="G27" s="462"/>
      <c r="H27" s="334"/>
      <c r="I27" s="340"/>
      <c r="J27" s="106"/>
      <c r="K27" s="106"/>
      <c r="L27" s="106"/>
      <c r="M27" s="106"/>
      <c r="N27" s="106"/>
      <c r="O27" s="106"/>
      <c r="P27" s="338"/>
      <c r="Q27" s="338"/>
      <c r="R27" s="338"/>
      <c r="S27" s="338"/>
      <c r="T27" s="338"/>
      <c r="U27" s="338"/>
      <c r="V27" s="338"/>
      <c r="W27" s="338"/>
      <c r="X27" s="338"/>
      <c r="Y27" s="106"/>
      <c r="Z27" s="106"/>
      <c r="AA27" s="106"/>
      <c r="AB27" s="463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65"/>
      <c r="AO27" s="42"/>
      <c r="AQ27" s="50"/>
      <c r="AR27" s="50"/>
      <c r="AS27" s="50"/>
      <c r="AT27" s="50"/>
      <c r="AU27" s="50"/>
      <c r="AV27" s="50"/>
      <c r="AW27" s="50"/>
      <c r="AX27" s="50"/>
      <c r="AY27" s="324"/>
      <c r="AZ27" s="324"/>
      <c r="BA27" s="324"/>
      <c r="BB27" s="324"/>
      <c r="BC27" s="324"/>
      <c r="BD27" s="324"/>
      <c r="BE27" s="324"/>
      <c r="BF27" s="324"/>
      <c r="BG27" s="324"/>
      <c r="BH27" s="324"/>
      <c r="BI27" s="324"/>
      <c r="BJ27" s="324"/>
      <c r="BK27" s="447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</row>
    <row r="28" spans="2:78" ht="14.1" customHeight="1" x14ac:dyDescent="0.2">
      <c r="B28" s="45"/>
      <c r="C28" s="60"/>
      <c r="D28" s="462"/>
      <c r="E28" s="97"/>
      <c r="F28" s="315"/>
      <c r="G28" s="2"/>
      <c r="H28" s="97"/>
      <c r="I28" s="97"/>
      <c r="J28" s="97"/>
      <c r="K28" s="106"/>
      <c r="L28" s="106"/>
      <c r="M28" s="106"/>
      <c r="N28" s="106"/>
      <c r="O28" s="106"/>
      <c r="P28" s="296"/>
      <c r="Q28" s="296"/>
      <c r="R28" s="296"/>
      <c r="S28" s="418"/>
      <c r="T28" s="418"/>
      <c r="U28" s="418"/>
      <c r="V28" s="418"/>
      <c r="W28" s="418"/>
      <c r="X28" s="418"/>
      <c r="Y28" s="106"/>
      <c r="Z28" s="106"/>
      <c r="AA28" s="106"/>
      <c r="AB28" s="463"/>
      <c r="AC28" s="106"/>
      <c r="AD28" s="106"/>
      <c r="AE28" s="106"/>
      <c r="AF28" s="106"/>
      <c r="AG28" s="106"/>
      <c r="AH28" s="106"/>
      <c r="AI28" s="106"/>
      <c r="AJ28" s="106"/>
      <c r="AK28" s="106"/>
      <c r="AL28" s="462"/>
      <c r="AM28" s="106"/>
      <c r="AN28" s="65"/>
      <c r="AO28" s="42"/>
      <c r="AQ28" s="268"/>
      <c r="AR28" s="268"/>
      <c r="AS28" s="268"/>
      <c r="AT28" s="268"/>
      <c r="AU28" s="50"/>
      <c r="AV28" s="50"/>
      <c r="AW28" s="50"/>
      <c r="AX28" s="50"/>
      <c r="AY28" s="236"/>
      <c r="AZ28" s="226"/>
      <c r="BA28" s="226"/>
      <c r="BB28" s="226"/>
      <c r="BC28" s="50"/>
      <c r="BD28" s="50"/>
      <c r="BE28" s="50"/>
      <c r="BF28" s="50"/>
      <c r="BG28" s="226"/>
      <c r="BH28" s="226"/>
      <c r="BI28" s="226"/>
      <c r="BJ28" s="226"/>
      <c r="BK28" s="447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</row>
    <row r="29" spans="2:78" ht="14.1" customHeight="1" x14ac:dyDescent="0.2">
      <c r="B29" s="45"/>
      <c r="C29" s="60"/>
      <c r="D29" s="462"/>
      <c r="E29" s="97"/>
      <c r="F29" s="315"/>
      <c r="G29" s="105"/>
      <c r="H29" s="97"/>
      <c r="I29" s="97"/>
      <c r="J29" s="340"/>
      <c r="K29" s="106"/>
      <c r="L29" s="106"/>
      <c r="M29" s="106"/>
      <c r="N29" s="106"/>
      <c r="O29" s="106"/>
      <c r="P29" s="419"/>
      <c r="Q29" s="419"/>
      <c r="R29" s="419"/>
      <c r="S29" s="419"/>
      <c r="T29" s="419"/>
      <c r="U29" s="419"/>
      <c r="V29" s="419"/>
      <c r="W29" s="419"/>
      <c r="X29" s="419"/>
      <c r="Y29" s="106"/>
      <c r="Z29" s="106"/>
      <c r="AA29" s="106"/>
      <c r="AB29" s="463"/>
      <c r="AC29" s="106"/>
      <c r="AD29" s="106"/>
      <c r="AE29" s="106"/>
      <c r="AF29" s="106"/>
      <c r="AG29" s="106"/>
      <c r="AH29" s="106"/>
      <c r="AI29" s="106"/>
      <c r="AJ29" s="106"/>
      <c r="AK29" s="106"/>
      <c r="AL29" s="334"/>
      <c r="AM29" s="106"/>
      <c r="AN29" s="65"/>
      <c r="AO29" s="42"/>
      <c r="AQ29" s="268"/>
      <c r="AR29" s="268"/>
      <c r="AS29" s="268"/>
      <c r="AT29" s="268"/>
      <c r="AU29" s="50"/>
      <c r="AV29" s="50"/>
      <c r="AW29" s="50"/>
      <c r="AX29" s="50"/>
      <c r="AY29" s="236"/>
      <c r="AZ29" s="226"/>
      <c r="BA29" s="226"/>
      <c r="BB29" s="226"/>
      <c r="BC29" s="50"/>
      <c r="BD29" s="50"/>
      <c r="BE29" s="50"/>
      <c r="BF29" s="50"/>
      <c r="BG29" s="226"/>
      <c r="BH29" s="226"/>
      <c r="BI29" s="226"/>
      <c r="BJ29" s="226"/>
      <c r="BK29" s="447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</row>
    <row r="30" spans="2:78" ht="14.1" customHeight="1" x14ac:dyDescent="0.2">
      <c r="B30" s="45"/>
      <c r="C30" s="60"/>
      <c r="D30" s="334"/>
      <c r="E30" s="378"/>
      <c r="F30" s="315"/>
      <c r="G30" s="70"/>
      <c r="H30" s="334"/>
      <c r="I30" s="334"/>
      <c r="J30" s="334"/>
      <c r="K30" s="106"/>
      <c r="L30" s="106"/>
      <c r="M30" s="106"/>
      <c r="N30" s="106"/>
      <c r="O30" s="70"/>
      <c r="P30" s="339"/>
      <c r="Q30" s="339"/>
      <c r="R30" s="339"/>
      <c r="S30" s="339"/>
      <c r="T30" s="339"/>
      <c r="U30" s="339"/>
      <c r="V30" s="339"/>
      <c r="W30" s="339"/>
      <c r="X30" s="339"/>
      <c r="Y30" s="106"/>
      <c r="Z30" s="106"/>
      <c r="AA30" s="106"/>
      <c r="AB30" s="463"/>
      <c r="AC30" s="106"/>
      <c r="AD30" s="106"/>
      <c r="AE30" s="106"/>
      <c r="AF30" s="106"/>
      <c r="AG30" s="106"/>
      <c r="AH30" s="106"/>
      <c r="AI30" s="106"/>
      <c r="AJ30" s="106"/>
      <c r="AK30" s="106"/>
      <c r="AL30" s="334"/>
      <c r="AM30" s="106"/>
      <c r="AN30" s="65"/>
      <c r="AO30" s="42"/>
      <c r="AQ30" s="50"/>
      <c r="AR30" s="309"/>
      <c r="AS30" s="309"/>
      <c r="AT30" s="309"/>
      <c r="AU30" s="309"/>
      <c r="AV30" s="309"/>
      <c r="AW30" s="309"/>
      <c r="AX30" s="50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  <c r="BI30" s="237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</row>
    <row r="31" spans="2:78" ht="14.1" customHeight="1" x14ac:dyDescent="0.2">
      <c r="B31" s="45"/>
      <c r="C31" s="60"/>
      <c r="D31" s="462"/>
      <c r="E31" s="408"/>
      <c r="F31" s="315"/>
      <c r="G31" s="462"/>
      <c r="H31" s="106"/>
      <c r="I31" s="106"/>
      <c r="J31" s="106"/>
      <c r="K31" s="106"/>
      <c r="L31" s="106"/>
      <c r="M31" s="106"/>
      <c r="N31" s="106"/>
      <c r="O31" s="106"/>
      <c r="P31" s="333"/>
      <c r="Q31" s="333"/>
      <c r="R31" s="333"/>
      <c r="S31" s="333"/>
      <c r="T31" s="333"/>
      <c r="U31" s="333"/>
      <c r="V31" s="333"/>
      <c r="W31" s="333"/>
      <c r="X31" s="333"/>
      <c r="Y31" s="106"/>
      <c r="Z31" s="106"/>
      <c r="AA31" s="106"/>
      <c r="AB31" s="463"/>
      <c r="AC31" s="106"/>
      <c r="AD31" s="106"/>
      <c r="AE31" s="106"/>
      <c r="AF31" s="106"/>
      <c r="AG31" s="106"/>
      <c r="AH31" s="106"/>
      <c r="AI31" s="106"/>
      <c r="AJ31" s="106"/>
      <c r="AK31" s="106"/>
      <c r="AL31" s="334"/>
      <c r="AM31" s="106"/>
      <c r="AN31" s="65"/>
      <c r="AO31" s="42"/>
      <c r="AQ31" s="325"/>
      <c r="AR31" s="236"/>
      <c r="AS31" s="221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227"/>
      <c r="BG31" s="227"/>
      <c r="BH31" s="237"/>
      <c r="BI31" s="237"/>
      <c r="BJ31" s="50"/>
      <c r="BK31" s="50"/>
      <c r="BL31" s="50"/>
      <c r="BM31" s="50"/>
      <c r="BN31" s="50"/>
      <c r="BO31" s="236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</row>
    <row r="32" spans="2:78" ht="14.1" customHeight="1" x14ac:dyDescent="0.2">
      <c r="B32" s="45"/>
      <c r="C32" s="60"/>
      <c r="D32" s="2"/>
      <c r="E32" s="408"/>
      <c r="F32" s="315"/>
      <c r="G32" s="415"/>
      <c r="H32" s="106"/>
      <c r="I32" s="106"/>
      <c r="J32" s="106"/>
      <c r="K32" s="106"/>
      <c r="L32" s="106"/>
      <c r="M32" s="106"/>
      <c r="N32" s="106"/>
      <c r="O32" s="106"/>
      <c r="P32" s="418"/>
      <c r="Q32" s="418"/>
      <c r="R32" s="418"/>
      <c r="S32" s="418"/>
      <c r="T32" s="418"/>
      <c r="U32" s="418"/>
      <c r="V32" s="418"/>
      <c r="W32" s="418"/>
      <c r="X32" s="418"/>
      <c r="Y32" s="106"/>
      <c r="Z32" s="106"/>
      <c r="AA32" s="106"/>
      <c r="AB32" s="463"/>
      <c r="AC32" s="106"/>
      <c r="AD32" s="106"/>
      <c r="AE32" s="106"/>
      <c r="AF32" s="106"/>
      <c r="AG32" s="106"/>
      <c r="AH32" s="106"/>
      <c r="AI32" s="106"/>
      <c r="AJ32" s="106"/>
      <c r="AK32" s="106"/>
      <c r="AL32" s="334"/>
      <c r="AM32" s="106"/>
      <c r="AN32" s="65"/>
      <c r="AO32" s="42"/>
      <c r="AQ32" s="326"/>
      <c r="AR32" s="236"/>
      <c r="AS32" s="447"/>
      <c r="AT32" s="239"/>
      <c r="AU32" s="50"/>
      <c r="AV32" s="50"/>
      <c r="AW32" s="50"/>
      <c r="AX32" s="447"/>
      <c r="AY32" s="236"/>
      <c r="AZ32" s="236"/>
      <c r="BA32" s="236"/>
      <c r="BB32" s="236"/>
      <c r="BC32" s="50"/>
      <c r="BD32" s="50"/>
      <c r="BE32" s="50"/>
      <c r="BF32" s="98"/>
      <c r="BG32" s="98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</row>
    <row r="33" spans="2:78" ht="14.1" customHeight="1" x14ac:dyDescent="0.2">
      <c r="B33" s="45"/>
      <c r="C33" s="60"/>
      <c r="D33" s="2"/>
      <c r="E33" s="97"/>
      <c r="F33" s="315"/>
      <c r="G33" s="70"/>
      <c r="H33" s="106"/>
      <c r="I33" s="106"/>
      <c r="J33" s="106"/>
      <c r="K33" s="106"/>
      <c r="L33" s="106"/>
      <c r="M33" s="106"/>
      <c r="N33" s="106"/>
      <c r="O33" s="106"/>
      <c r="P33" s="418"/>
      <c r="Q33" s="418"/>
      <c r="R33" s="418"/>
      <c r="S33" s="418"/>
      <c r="T33" s="418"/>
      <c r="U33" s="418"/>
      <c r="V33" s="418"/>
      <c r="W33" s="418"/>
      <c r="X33" s="418"/>
      <c r="Y33" s="106"/>
      <c r="Z33" s="106"/>
      <c r="AA33" s="106"/>
      <c r="AB33" s="463"/>
      <c r="AC33" s="106"/>
      <c r="AD33" s="106"/>
      <c r="AE33" s="106"/>
      <c r="AF33" s="106"/>
      <c r="AG33" s="106"/>
      <c r="AH33" s="106"/>
      <c r="AI33" s="106"/>
      <c r="AJ33" s="106"/>
      <c r="AK33" s="106"/>
      <c r="AL33" s="334"/>
      <c r="AM33" s="106"/>
      <c r="AN33" s="65"/>
      <c r="AO33" s="42"/>
      <c r="AQ33" s="270"/>
      <c r="AR33" s="236"/>
      <c r="AS33" s="447"/>
      <c r="AT33" s="270"/>
      <c r="AU33" s="50"/>
      <c r="AV33" s="50"/>
      <c r="AW33" s="50"/>
      <c r="AX33" s="447"/>
      <c r="AY33" s="236"/>
      <c r="AZ33" s="236"/>
      <c r="BA33" s="236"/>
      <c r="BB33" s="236"/>
      <c r="BC33" s="327"/>
      <c r="BD33" s="230"/>
      <c r="BE33" s="230"/>
      <c r="BF33" s="230"/>
      <c r="BG33" s="328"/>
      <c r="BH33" s="226"/>
      <c r="BI33" s="227"/>
      <c r="BJ33" s="50"/>
      <c r="BK33" s="50"/>
      <c r="BL33" s="50"/>
      <c r="BM33" s="50"/>
      <c r="BN33" s="50"/>
      <c r="BO33" s="326"/>
      <c r="BP33" s="236"/>
      <c r="BQ33" s="447"/>
      <c r="BR33" s="239"/>
      <c r="BS33" s="50"/>
      <c r="BT33" s="50"/>
      <c r="BU33" s="50"/>
      <c r="BV33" s="447"/>
      <c r="BW33" s="300"/>
      <c r="BX33" s="49"/>
      <c r="BY33" s="49"/>
      <c r="BZ33" s="326"/>
    </row>
    <row r="34" spans="2:78" ht="14.1" customHeight="1" x14ac:dyDescent="0.2">
      <c r="B34" s="45"/>
      <c r="C34" s="60"/>
      <c r="D34" s="69"/>
      <c r="E34" s="17"/>
      <c r="F34" s="315"/>
      <c r="G34" s="2"/>
      <c r="H34" s="408"/>
      <c r="I34" s="408"/>
      <c r="J34" s="408"/>
      <c r="K34" s="408"/>
      <c r="L34" s="70"/>
      <c r="M34" s="70"/>
      <c r="N34" s="70"/>
      <c r="O34" s="70"/>
      <c r="P34" s="333"/>
      <c r="Q34" s="333"/>
      <c r="R34" s="333"/>
      <c r="S34" s="333"/>
      <c r="T34" s="333"/>
      <c r="U34" s="333"/>
      <c r="V34" s="333"/>
      <c r="W34" s="333"/>
      <c r="X34" s="333"/>
      <c r="Y34" s="70"/>
      <c r="Z34" s="70"/>
      <c r="AA34" s="70"/>
      <c r="AB34" s="463"/>
      <c r="AC34" s="402"/>
      <c r="AD34" s="402"/>
      <c r="AE34" s="402"/>
      <c r="AF34" s="402"/>
      <c r="AG34" s="402"/>
      <c r="AH34" s="334"/>
      <c r="AI34" s="70"/>
      <c r="AJ34" s="70"/>
      <c r="AK34" s="70"/>
      <c r="AL34" s="334"/>
      <c r="AM34" s="70"/>
      <c r="AN34" s="65"/>
      <c r="AO34" s="42"/>
    </row>
    <row r="35" spans="2:78" ht="14.1" customHeight="1" x14ac:dyDescent="0.2">
      <c r="B35" s="45"/>
      <c r="C35" s="60"/>
      <c r="D35" s="315"/>
      <c r="E35" s="315"/>
      <c r="F35" s="315"/>
      <c r="G35" s="106"/>
      <c r="H35" s="315"/>
      <c r="I35" s="315"/>
      <c r="J35" s="315"/>
      <c r="K35" s="315"/>
      <c r="L35" s="70"/>
      <c r="M35" s="70"/>
      <c r="N35" s="70"/>
      <c r="O35" s="70"/>
      <c r="P35" s="341"/>
      <c r="Q35" s="341"/>
      <c r="R35" s="341"/>
      <c r="S35" s="341"/>
      <c r="T35" s="341"/>
      <c r="U35" s="341"/>
      <c r="V35" s="341"/>
      <c r="W35" s="341"/>
      <c r="X35" s="341"/>
      <c r="Y35" s="70"/>
      <c r="Z35" s="70"/>
      <c r="AA35" s="70"/>
      <c r="AB35" s="333"/>
      <c r="AC35" s="333"/>
      <c r="AD35" s="333"/>
      <c r="AE35" s="416"/>
      <c r="AF35" s="457"/>
      <c r="AG35" s="457"/>
      <c r="AH35" s="334"/>
      <c r="AI35" s="70"/>
      <c r="AJ35" s="70"/>
      <c r="AK35" s="70"/>
      <c r="AL35" s="334"/>
      <c r="AM35" s="70"/>
      <c r="AN35" s="65"/>
      <c r="AO35" s="42"/>
    </row>
    <row r="36" spans="2:78" ht="14.1" customHeight="1" x14ac:dyDescent="0.2">
      <c r="B36" s="45"/>
      <c r="C36" s="60"/>
      <c r="D36" s="70"/>
      <c r="E36" s="106"/>
      <c r="F36" s="106"/>
      <c r="G36" s="106"/>
      <c r="H36" s="106"/>
      <c r="I36" s="106"/>
      <c r="J36" s="106"/>
      <c r="K36" s="106"/>
      <c r="L36" s="70"/>
      <c r="M36" s="70"/>
      <c r="N36" s="70"/>
      <c r="O36" s="70"/>
      <c r="P36" s="336"/>
      <c r="Q36" s="336"/>
      <c r="R36" s="336"/>
      <c r="S36" s="420"/>
      <c r="T36" s="420"/>
      <c r="U36" s="420"/>
      <c r="V36" s="420"/>
      <c r="W36" s="420"/>
      <c r="X36" s="420"/>
      <c r="Y36" s="457"/>
      <c r="Z36" s="457"/>
      <c r="AA36" s="457"/>
      <c r="AB36" s="420"/>
      <c r="AC36" s="420"/>
      <c r="AD36" s="420"/>
      <c r="AE36" s="457"/>
      <c r="AF36" s="457"/>
      <c r="AG36" s="457"/>
      <c r="AH36" s="334"/>
      <c r="AI36" s="70"/>
      <c r="AJ36" s="70"/>
      <c r="AK36" s="70"/>
      <c r="AL36" s="315"/>
      <c r="AM36" s="70"/>
      <c r="AN36" s="65"/>
      <c r="AO36" s="42"/>
    </row>
    <row r="37" spans="2:78" ht="14.1" customHeight="1" x14ac:dyDescent="0.2">
      <c r="B37" s="45"/>
      <c r="C37" s="60"/>
      <c r="D37" s="70"/>
      <c r="E37" s="106"/>
      <c r="F37" s="106"/>
      <c r="G37" s="106"/>
      <c r="H37" s="106"/>
      <c r="I37" s="106"/>
      <c r="J37" s="106"/>
      <c r="K37" s="106"/>
      <c r="L37" s="70"/>
      <c r="M37" s="70"/>
      <c r="N37" s="70"/>
      <c r="O37" s="70"/>
      <c r="P37" s="69"/>
      <c r="Q37" s="69"/>
      <c r="R37" s="69"/>
      <c r="S37" s="69"/>
      <c r="T37" s="69"/>
      <c r="U37" s="69"/>
      <c r="V37" s="69"/>
      <c r="W37" s="69"/>
      <c r="X37" s="69"/>
      <c r="Y37" s="70"/>
      <c r="Z37" s="70"/>
      <c r="AA37" s="70"/>
      <c r="AB37" s="336"/>
      <c r="AC37" s="336"/>
      <c r="AD37" s="336"/>
      <c r="AE37" s="70"/>
      <c r="AF37" s="70"/>
      <c r="AG37" s="70"/>
      <c r="AH37" s="70"/>
      <c r="AI37" s="70"/>
      <c r="AJ37" s="70"/>
      <c r="AK37" s="70"/>
      <c r="AL37" s="315"/>
      <c r="AM37" s="70"/>
      <c r="AN37" s="65"/>
      <c r="AO37" s="42"/>
    </row>
    <row r="38" spans="2:78" ht="14.1" customHeight="1" x14ac:dyDescent="0.2">
      <c r="B38" s="45"/>
      <c r="C38" s="6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65"/>
      <c r="AO38" s="42"/>
    </row>
    <row r="39" spans="2:78" ht="14.1" customHeight="1" x14ac:dyDescent="0.2">
      <c r="B39" s="45"/>
      <c r="C39" s="60"/>
      <c r="D39" s="331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315"/>
      <c r="W39" s="106"/>
      <c r="X39" s="106"/>
      <c r="Y39" s="106"/>
      <c r="Z39" s="342"/>
      <c r="AA39" s="342"/>
      <c r="AB39" s="342"/>
      <c r="AC39" s="342"/>
      <c r="AD39" s="342"/>
      <c r="AE39" s="342"/>
      <c r="AF39" s="342"/>
      <c r="AG39" s="342"/>
      <c r="AH39" s="342"/>
      <c r="AI39" s="342"/>
      <c r="AJ39" s="342"/>
      <c r="AK39" s="342"/>
      <c r="AL39" s="70"/>
      <c r="AM39" s="70"/>
      <c r="AN39" s="65"/>
      <c r="AO39" s="42"/>
    </row>
    <row r="40" spans="2:78" ht="14.1" customHeight="1" x14ac:dyDescent="0.2">
      <c r="B40" s="45"/>
      <c r="C40" s="60"/>
      <c r="D40" s="332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332"/>
      <c r="Q40" s="97"/>
      <c r="R40" s="97"/>
      <c r="S40" s="97"/>
      <c r="T40" s="97"/>
      <c r="U40" s="97"/>
      <c r="V40" s="97"/>
      <c r="W40" s="97"/>
      <c r="X40" s="97"/>
      <c r="Y40" s="6"/>
      <c r="Z40" s="6"/>
      <c r="AA40" s="6"/>
      <c r="AB40" s="332"/>
      <c r="AC40" s="97"/>
      <c r="AD40" s="97"/>
      <c r="AE40" s="343"/>
      <c r="AF40" s="343"/>
      <c r="AG40" s="343"/>
      <c r="AH40" s="70"/>
      <c r="AI40" s="70"/>
      <c r="AJ40" s="70"/>
      <c r="AK40" s="70"/>
      <c r="AL40" s="192"/>
      <c r="AM40" s="192"/>
      <c r="AN40" s="65"/>
      <c r="AO40" s="42"/>
    </row>
    <row r="41" spans="2:78" ht="14.1" customHeight="1" x14ac:dyDescent="0.2">
      <c r="B41" s="45"/>
      <c r="C41" s="60"/>
      <c r="D41" s="3"/>
      <c r="E41" s="97"/>
      <c r="F41" s="70"/>
      <c r="G41" s="462"/>
      <c r="H41" s="69"/>
      <c r="I41" s="69"/>
      <c r="J41" s="69"/>
      <c r="K41" s="102"/>
      <c r="L41" s="69"/>
      <c r="M41" s="97"/>
      <c r="N41" s="97"/>
      <c r="O41" s="101"/>
      <c r="P41" s="335"/>
      <c r="Q41" s="26"/>
      <c r="R41" s="26"/>
      <c r="S41" s="101"/>
      <c r="T41" s="97"/>
      <c r="U41" s="97"/>
      <c r="V41" s="101"/>
      <c r="W41" s="101"/>
      <c r="X41" s="101"/>
      <c r="Y41" s="101"/>
      <c r="Z41" s="101"/>
      <c r="AA41" s="97"/>
      <c r="AB41" s="315"/>
      <c r="AC41" s="101"/>
      <c r="AD41" s="101"/>
      <c r="AE41" s="101"/>
      <c r="AF41" s="101"/>
      <c r="AG41" s="101"/>
      <c r="AH41" s="97"/>
      <c r="AI41" s="97"/>
      <c r="AJ41" s="97"/>
      <c r="AK41" s="97"/>
      <c r="AL41" s="3"/>
      <c r="AM41" s="97"/>
      <c r="AN41" s="65"/>
      <c r="AO41" s="42"/>
    </row>
    <row r="42" spans="2:78" ht="14.1" customHeight="1" x14ac:dyDescent="0.2">
      <c r="B42" s="45"/>
      <c r="C42" s="60"/>
      <c r="D42" s="2"/>
      <c r="E42" s="97"/>
      <c r="F42" s="70"/>
      <c r="G42" s="2"/>
      <c r="H42" s="69"/>
      <c r="I42" s="69"/>
      <c r="J42" s="69"/>
      <c r="K42" s="102"/>
      <c r="L42" s="69"/>
      <c r="M42" s="97"/>
      <c r="N42" s="97"/>
      <c r="O42" s="101"/>
      <c r="P42" s="335"/>
      <c r="Q42" s="26"/>
      <c r="R42" s="26"/>
      <c r="S42" s="101"/>
      <c r="T42" s="97"/>
      <c r="U42" s="97"/>
      <c r="V42" s="335"/>
      <c r="W42" s="335"/>
      <c r="X42" s="335"/>
      <c r="Y42" s="335"/>
      <c r="Z42" s="335"/>
      <c r="AA42" s="97"/>
      <c r="AB42" s="315"/>
      <c r="AC42" s="101"/>
      <c r="AD42" s="101"/>
      <c r="AE42" s="101"/>
      <c r="AF42" s="101"/>
      <c r="AG42" s="101"/>
      <c r="AH42" s="97"/>
      <c r="AI42" s="97"/>
      <c r="AJ42" s="97"/>
      <c r="AK42" s="97"/>
      <c r="AL42" s="3"/>
      <c r="AM42" s="97"/>
      <c r="AN42" s="65"/>
      <c r="AO42" s="42"/>
    </row>
    <row r="43" spans="2:78" ht="14.1" customHeight="1" x14ac:dyDescent="0.2">
      <c r="B43" s="45"/>
      <c r="C43" s="60"/>
      <c r="D43" s="2"/>
      <c r="E43" s="6"/>
      <c r="F43" s="70"/>
      <c r="G43" s="2"/>
      <c r="H43" s="6"/>
      <c r="I43" s="6"/>
      <c r="J43" s="6"/>
      <c r="K43" s="6"/>
      <c r="L43" s="69"/>
      <c r="M43" s="69"/>
      <c r="N43" s="69"/>
      <c r="O43" s="411"/>
      <c r="P43" s="69"/>
      <c r="Q43" s="411"/>
      <c r="R43" s="411"/>
      <c r="S43" s="101"/>
      <c r="T43" s="97"/>
      <c r="U43" s="97"/>
      <c r="V43" s="101"/>
      <c r="W43" s="101"/>
      <c r="X43" s="101"/>
      <c r="Y43" s="101"/>
      <c r="Z43" s="101"/>
      <c r="AA43" s="97"/>
      <c r="AB43" s="97"/>
      <c r="AC43" s="101"/>
      <c r="AD43" s="101"/>
      <c r="AE43" s="101"/>
      <c r="AF43" s="101"/>
      <c r="AG43" s="101"/>
      <c r="AH43" s="97"/>
      <c r="AI43" s="97"/>
      <c r="AJ43" s="97"/>
      <c r="AK43" s="97"/>
      <c r="AL43" s="70"/>
      <c r="AM43" s="97"/>
      <c r="AN43" s="65"/>
      <c r="AO43" s="42"/>
    </row>
    <row r="44" spans="2:78" ht="14.1" customHeight="1" x14ac:dyDescent="0.2">
      <c r="B44" s="45"/>
      <c r="C44" s="60"/>
      <c r="D44" s="417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5"/>
      <c r="AO44" s="42"/>
    </row>
    <row r="45" spans="2:78" ht="14.1" customHeight="1" x14ac:dyDescent="0.2">
      <c r="B45" s="45"/>
      <c r="C45" s="60"/>
      <c r="D45" s="332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332"/>
      <c r="Q45" s="97"/>
      <c r="R45" s="97"/>
      <c r="S45" s="97"/>
      <c r="T45" s="97"/>
      <c r="U45" s="97"/>
      <c r="V45" s="97"/>
      <c r="W45" s="97"/>
      <c r="X45" s="97"/>
      <c r="Y45" s="6"/>
      <c r="Z45" s="6"/>
      <c r="AA45" s="6"/>
      <c r="AB45" s="332"/>
      <c r="AC45" s="97"/>
      <c r="AD45" s="97"/>
      <c r="AE45" s="343"/>
      <c r="AF45" s="343"/>
      <c r="AG45" s="343"/>
      <c r="AH45" s="70"/>
      <c r="AI45" s="70"/>
      <c r="AJ45" s="70"/>
      <c r="AK45" s="70"/>
      <c r="AL45" s="192"/>
      <c r="AM45" s="192"/>
      <c r="AN45" s="65"/>
      <c r="AO45" s="42"/>
    </row>
    <row r="46" spans="2:78" ht="14.1" customHeight="1" x14ac:dyDescent="0.2">
      <c r="B46" s="45"/>
      <c r="C46" s="60"/>
      <c r="D46" s="19"/>
      <c r="E46" s="69"/>
      <c r="F46" s="69"/>
      <c r="G46" s="69"/>
      <c r="H46" s="69"/>
      <c r="I46" s="69"/>
      <c r="J46" s="69"/>
      <c r="K46" s="69"/>
      <c r="L46" s="87"/>
      <c r="M46" s="97"/>
      <c r="N46" s="97"/>
      <c r="O46" s="97"/>
      <c r="P46" s="101"/>
      <c r="Q46" s="101"/>
      <c r="R46" s="101"/>
      <c r="S46" s="231"/>
      <c r="T46" s="97"/>
      <c r="U46" s="97"/>
      <c r="V46" s="231"/>
      <c r="W46" s="231"/>
      <c r="X46" s="231"/>
      <c r="Y46" s="231"/>
      <c r="Z46" s="231"/>
      <c r="AA46" s="97"/>
      <c r="AB46" s="315"/>
      <c r="AC46" s="231"/>
      <c r="AD46" s="231"/>
      <c r="AE46" s="231"/>
      <c r="AF46" s="231"/>
      <c r="AG46" s="231"/>
      <c r="AH46" s="97"/>
      <c r="AI46" s="97"/>
      <c r="AJ46" s="97"/>
      <c r="AK46" s="97"/>
      <c r="AL46" s="70"/>
      <c r="AM46" s="97"/>
      <c r="AN46" s="65"/>
      <c r="AO46" s="42"/>
    </row>
    <row r="47" spans="2:78" ht="14.1" customHeight="1" x14ac:dyDescent="0.2">
      <c r="B47" s="45"/>
      <c r="C47" s="60"/>
      <c r="D47" s="19"/>
      <c r="E47" s="97"/>
      <c r="F47" s="97"/>
      <c r="G47" s="97"/>
      <c r="H47" s="97"/>
      <c r="I47" s="97"/>
      <c r="J47" s="97"/>
      <c r="K47" s="97"/>
      <c r="L47" s="69"/>
      <c r="M47" s="25"/>
      <c r="N47" s="25"/>
      <c r="O47" s="25"/>
      <c r="P47" s="101"/>
      <c r="Q47" s="101"/>
      <c r="R47" s="101"/>
      <c r="S47" s="231"/>
      <c r="T47" s="97"/>
      <c r="U47" s="97"/>
      <c r="V47" s="231"/>
      <c r="W47" s="231"/>
      <c r="X47" s="231"/>
      <c r="Y47" s="231"/>
      <c r="Z47" s="231"/>
      <c r="AA47" s="97"/>
      <c r="AB47" s="315"/>
      <c r="AC47" s="231"/>
      <c r="AD47" s="231"/>
      <c r="AE47" s="231"/>
      <c r="AF47" s="231"/>
      <c r="AG47" s="231"/>
      <c r="AH47" s="97"/>
      <c r="AI47" s="97"/>
      <c r="AJ47" s="97"/>
      <c r="AK47" s="97"/>
      <c r="AL47" s="70"/>
      <c r="AM47" s="97"/>
      <c r="AN47" s="65"/>
      <c r="AO47" s="42"/>
    </row>
    <row r="48" spans="2:78" ht="14.1" customHeight="1" x14ac:dyDescent="0.2">
      <c r="B48" s="45"/>
      <c r="C48" s="60"/>
      <c r="D48" s="70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69"/>
      <c r="P48" s="69"/>
      <c r="Q48" s="69"/>
      <c r="R48" s="69"/>
      <c r="S48" s="69"/>
      <c r="T48" s="97"/>
      <c r="U48" s="97"/>
      <c r="V48" s="69"/>
      <c r="W48" s="69"/>
      <c r="X48" s="69"/>
      <c r="Y48" s="69"/>
      <c r="Z48" s="69"/>
      <c r="AA48" s="97"/>
      <c r="AB48" s="97"/>
      <c r="AC48" s="69"/>
      <c r="AD48" s="69"/>
      <c r="AE48" s="69"/>
      <c r="AF48" s="69"/>
      <c r="AG48" s="69"/>
      <c r="AH48" s="97"/>
      <c r="AI48" s="97"/>
      <c r="AJ48" s="97"/>
      <c r="AK48" s="97"/>
      <c r="AL48" s="315"/>
      <c r="AM48" s="97"/>
      <c r="AN48" s="65"/>
      <c r="AO48" s="42"/>
    </row>
    <row r="49" spans="2:41" ht="14.1" customHeight="1" x14ac:dyDescent="0.2">
      <c r="B49" s="45"/>
      <c r="C49" s="60"/>
      <c r="D49" s="344"/>
      <c r="E49" s="97"/>
      <c r="F49" s="97"/>
      <c r="G49" s="97"/>
      <c r="H49" s="315"/>
      <c r="I49" s="97"/>
      <c r="J49" s="97"/>
      <c r="K49" s="97"/>
      <c r="L49" s="97"/>
      <c r="M49" s="97"/>
      <c r="N49" s="97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97"/>
      <c r="AK49" s="97"/>
      <c r="AL49" s="315"/>
      <c r="AM49" s="97"/>
      <c r="AN49" s="65"/>
      <c r="AO49" s="42"/>
    </row>
    <row r="50" spans="2:41" ht="14.1" customHeight="1" x14ac:dyDescent="0.2">
      <c r="B50" s="45"/>
      <c r="C50" s="60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65"/>
      <c r="AO50" s="42"/>
    </row>
    <row r="51" spans="2:41" ht="14.1" customHeight="1" x14ac:dyDescent="0.2">
      <c r="B51" s="45"/>
      <c r="C51" s="60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27"/>
      <c r="P51" s="27"/>
      <c r="Q51" s="16"/>
      <c r="R51" s="16"/>
      <c r="S51" s="16"/>
      <c r="T51" s="16"/>
      <c r="U51" s="16"/>
      <c r="V51" s="16"/>
      <c r="W51" s="100"/>
      <c r="X51" s="100"/>
      <c r="Y51" s="16"/>
      <c r="Z51" s="16"/>
      <c r="AA51" s="25"/>
      <c r="AB51" s="25"/>
      <c r="AC51" s="25"/>
      <c r="AD51" s="25"/>
      <c r="AE51" s="25"/>
      <c r="AF51" s="25"/>
      <c r="AG51" s="25"/>
      <c r="AH51" s="25"/>
      <c r="AI51" s="25"/>
      <c r="AJ51" s="97"/>
      <c r="AK51" s="97"/>
      <c r="AL51" s="97"/>
      <c r="AM51" s="97"/>
      <c r="AN51" s="65"/>
      <c r="AO51" s="42"/>
    </row>
    <row r="52" spans="2:41" ht="14.1" customHeight="1" x14ac:dyDescent="0.2">
      <c r="B52" s="45"/>
      <c r="C52" s="60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97"/>
      <c r="AK52" s="97"/>
      <c r="AL52" s="97"/>
      <c r="AM52" s="97"/>
      <c r="AN52" s="65"/>
      <c r="AO52" s="42"/>
    </row>
    <row r="53" spans="2:41" ht="14.1" customHeight="1" x14ac:dyDescent="0.2">
      <c r="B53" s="45"/>
      <c r="C53" s="60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97"/>
      <c r="AK53" s="97"/>
      <c r="AL53" s="97"/>
      <c r="AM53" s="97"/>
      <c r="AN53" s="65"/>
      <c r="AO53" s="42"/>
    </row>
    <row r="54" spans="2:41" ht="14.1" customHeight="1" x14ac:dyDescent="0.2">
      <c r="B54" s="45"/>
      <c r="C54" s="60"/>
      <c r="D54" s="15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97"/>
      <c r="AK54" s="97"/>
      <c r="AL54" s="97"/>
      <c r="AM54" s="97"/>
      <c r="AN54" s="65"/>
      <c r="AO54" s="42"/>
    </row>
    <row r="55" spans="2:41" ht="14.1" customHeight="1" x14ac:dyDescent="0.2">
      <c r="B55" s="45"/>
      <c r="C55" s="60"/>
      <c r="D55" s="15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97"/>
      <c r="AK55" s="97"/>
      <c r="AL55" s="97"/>
      <c r="AM55" s="97"/>
      <c r="AN55" s="65"/>
      <c r="AO55" s="42"/>
    </row>
    <row r="56" spans="2:41" ht="14.1" customHeight="1" x14ac:dyDescent="0.2">
      <c r="B56" s="45"/>
      <c r="C56" s="60"/>
      <c r="D56" s="15"/>
      <c r="E56" s="27"/>
      <c r="F56" s="27"/>
      <c r="G56" s="27"/>
      <c r="H56" s="27"/>
      <c r="I56" s="27"/>
      <c r="J56" s="27"/>
      <c r="K56" s="27"/>
      <c r="L56" s="27"/>
      <c r="M56" s="29"/>
      <c r="N56" s="29"/>
      <c r="O56" s="29"/>
      <c r="P56" s="29"/>
      <c r="Q56" s="27"/>
      <c r="R56" s="27"/>
      <c r="S56" s="27"/>
      <c r="T56" s="27"/>
      <c r="U56" s="100"/>
      <c r="V56" s="100"/>
      <c r="W56" s="100"/>
      <c r="X56" s="100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97"/>
      <c r="AK56" s="97"/>
      <c r="AL56" s="97"/>
      <c r="AM56" s="97"/>
      <c r="AN56" s="65"/>
      <c r="AO56" s="42"/>
    </row>
    <row r="57" spans="2:41" ht="14.1" customHeight="1" x14ac:dyDescent="0.2">
      <c r="B57" s="45"/>
      <c r="C57" s="60"/>
      <c r="D57" s="15"/>
      <c r="E57" s="27"/>
      <c r="F57" s="27"/>
      <c r="G57" s="27"/>
      <c r="H57" s="27"/>
      <c r="I57" s="27"/>
      <c r="J57" s="27"/>
      <c r="K57" s="27"/>
      <c r="L57" s="27"/>
      <c r="M57" s="29"/>
      <c r="N57" s="29"/>
      <c r="O57" s="29"/>
      <c r="P57" s="29"/>
      <c r="Q57" s="27"/>
      <c r="R57" s="27"/>
      <c r="S57" s="27"/>
      <c r="T57" s="27"/>
      <c r="U57" s="100"/>
      <c r="V57" s="100"/>
      <c r="W57" s="100"/>
      <c r="X57" s="100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97"/>
      <c r="AK57" s="97"/>
      <c r="AL57" s="97"/>
      <c r="AM57" s="97"/>
      <c r="AN57" s="65"/>
      <c r="AO57" s="42"/>
    </row>
    <row r="58" spans="2:41" ht="14.1" customHeight="1" x14ac:dyDescent="0.2">
      <c r="B58" s="45"/>
      <c r="C58" s="60"/>
      <c r="D58" s="1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97"/>
      <c r="AK58" s="97"/>
      <c r="AL58" s="97"/>
      <c r="AM58" s="97"/>
      <c r="AN58" s="65"/>
      <c r="AO58" s="42"/>
    </row>
    <row r="59" spans="2:41" ht="14.1" customHeight="1" x14ac:dyDescent="0.2">
      <c r="B59" s="45"/>
      <c r="C59" s="60"/>
      <c r="D59" s="1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97"/>
      <c r="AK59" s="97"/>
      <c r="AL59" s="97"/>
      <c r="AM59" s="97"/>
      <c r="AN59" s="65"/>
      <c r="AO59" s="42"/>
    </row>
    <row r="60" spans="2:41" ht="14.1" customHeight="1" x14ac:dyDescent="0.2">
      <c r="B60" s="45"/>
      <c r="C60" s="60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  <c r="AH60" s="97"/>
      <c r="AI60" s="97"/>
      <c r="AJ60" s="97"/>
      <c r="AK60" s="97"/>
      <c r="AL60" s="97"/>
      <c r="AM60" s="97"/>
      <c r="AN60" s="65"/>
      <c r="AO60" s="42"/>
    </row>
    <row r="61" spans="2:41" ht="14.1" customHeight="1" x14ac:dyDescent="0.2">
      <c r="B61" s="45"/>
      <c r="C61" s="60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16"/>
      <c r="AH61" s="16"/>
      <c r="AI61" s="27"/>
      <c r="AJ61" s="27"/>
      <c r="AK61" s="97"/>
      <c r="AL61" s="27"/>
      <c r="AM61" s="27"/>
      <c r="AN61" s="85"/>
      <c r="AO61" s="42"/>
    </row>
    <row r="62" spans="2:41" ht="14.1" customHeight="1" x14ac:dyDescent="0.2">
      <c r="B62" s="45"/>
      <c r="C62" s="60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16"/>
      <c r="AJ62" s="16"/>
      <c r="AK62" s="27"/>
      <c r="AL62" s="27"/>
      <c r="AM62" s="27"/>
      <c r="AN62" s="85"/>
      <c r="AO62" s="42"/>
    </row>
    <row r="63" spans="2:41" ht="14.1" customHeight="1" x14ac:dyDescent="0.2">
      <c r="B63" s="45"/>
      <c r="C63" s="60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7"/>
      <c r="AK63" s="97"/>
      <c r="AL63" s="97"/>
      <c r="AM63" s="97"/>
      <c r="AN63" s="65"/>
      <c r="AO63" s="42"/>
    </row>
    <row r="64" spans="2:41" ht="14.1" customHeight="1" x14ac:dyDescent="0.2">
      <c r="B64" s="45"/>
      <c r="C64" s="60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7"/>
      <c r="AI64" s="97"/>
      <c r="AJ64" s="97"/>
      <c r="AK64" s="97"/>
      <c r="AL64" s="97"/>
      <c r="AM64" s="97"/>
      <c r="AN64" s="65"/>
      <c r="AO64" s="42"/>
    </row>
    <row r="65" spans="2:41" ht="14.1" customHeight="1" x14ac:dyDescent="0.2">
      <c r="B65" s="45"/>
      <c r="C65" s="60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65"/>
      <c r="AO65" s="42"/>
    </row>
    <row r="66" spans="2:41" ht="14.1" customHeight="1" x14ac:dyDescent="0.2">
      <c r="B66" s="45"/>
      <c r="C66" s="60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7"/>
      <c r="AK66" s="97"/>
      <c r="AL66" s="97"/>
      <c r="AM66" s="97"/>
      <c r="AN66" s="65"/>
      <c r="AO66" s="42"/>
    </row>
    <row r="67" spans="2:41" ht="14.1" customHeight="1" x14ac:dyDescent="0.2">
      <c r="B67" s="45"/>
      <c r="C67" s="8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7"/>
      <c r="AO67" s="42"/>
    </row>
    <row r="68" spans="2:41" ht="14.1" customHeight="1" x14ac:dyDescent="0.2">
      <c r="B68" s="41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3"/>
    </row>
  </sheetData>
  <sheetProtection password="CA20" sheet="1" objects="1" scenarios="1"/>
  <mergeCells count="2">
    <mergeCell ref="BR15:BT15"/>
    <mergeCell ref="BI12:BL12"/>
  </mergeCells>
  <printOptions horizontalCentered="1"/>
  <pageMargins left="0.70866141732283472" right="0.39370078740157483" top="0.39370078740157483" bottom="0.39370078740157483" header="0.27559055118110237" footer="0.19685039370078741"/>
  <pageSetup paperSize="9" scale="88" orientation="portrait" r:id="rId1"/>
  <headerFooter>
    <oddHeader>&amp;C&amp;"Tahoma,ธรรมดา"&amp;8STRENGTH  DESIGN  METHOD : SDM Plus</oddHeader>
    <oddFooter>&amp;C&amp;"Tahoma,ธรรมดา"&amp;8Design Calculation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One way Slab</vt:lpstr>
      <vt:lpstr>Calculation OW</vt:lpstr>
      <vt:lpstr>Drawing OW</vt:lpstr>
      <vt:lpstr>'Calculation OW'!Print_Area</vt:lpstr>
      <vt:lpstr>'Drawing OW'!Print_Area</vt:lpstr>
      <vt:lpstr>'One way Slab'!Print_Area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Ronnarith Phetchsong</cp:lastModifiedBy>
  <cp:lastPrinted>2014-08-15T00:39:13Z</cp:lastPrinted>
  <dcterms:created xsi:type="dcterms:W3CDTF">2013-07-29T14:10:21Z</dcterms:created>
  <dcterms:modified xsi:type="dcterms:W3CDTF">2014-08-18T02:56:10Z</dcterms:modified>
</cp:coreProperties>
</file>