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Cantilever Slab" sheetId="8" r:id="rId1"/>
    <sheet name="Calculation CS" sheetId="14" r:id="rId2"/>
  </sheets>
  <definedNames>
    <definedName name="_xlnm.Print_Area" localSheetId="1">'Calculation CS'!$D$4:$AM$66</definedName>
    <definedName name="_xlnm.Print_Area" localSheetId="0">'Cantilever Slab'!$B$2:$BG$38</definedName>
    <definedName name="Z_EDFC4C12_2844_47F2_A6A6_59EDD90C46DD_.wvu.PrintArea" localSheetId="0" hidden="1">'Cantilever Slab'!$AL$3:$BU$65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H4" i="14" l="1"/>
  <c r="H5" i="14"/>
  <c r="H6" i="14"/>
  <c r="AF4" i="14"/>
  <c r="AF5" i="14"/>
  <c r="AF6" i="14"/>
  <c r="JQ75" i="8" l="1"/>
  <c r="JQ76" i="8"/>
  <c r="JQ71" i="8"/>
  <c r="JK162" i="8"/>
  <c r="JK158" i="8"/>
  <c r="JM154" i="8"/>
  <c r="JR152" i="8"/>
  <c r="JO152" i="8"/>
  <c r="JL152" i="8"/>
  <c r="JI152" i="8"/>
  <c r="JR151" i="8"/>
  <c r="JK151" i="8"/>
  <c r="JL151" i="8" s="1"/>
  <c r="JH151" i="8"/>
  <c r="JI151" i="8" s="1"/>
  <c r="JL149" i="8"/>
  <c r="JK149" i="8"/>
  <c r="JI149" i="8"/>
  <c r="JH149" i="8"/>
  <c r="JQ146" i="8"/>
  <c r="JR146" i="8" s="1"/>
  <c r="JO146" i="8"/>
  <c r="JU146" i="8" s="1"/>
  <c r="JN146" i="8"/>
  <c r="JT146" i="8" s="1"/>
  <c r="JU145" i="8"/>
  <c r="JT145" i="8"/>
  <c r="JL142" i="8"/>
  <c r="JO142" i="8" s="1"/>
  <c r="JK142" i="8"/>
  <c r="JN142" i="8" s="1"/>
  <c r="JI142" i="8"/>
  <c r="JH142" i="8"/>
  <c r="JU140" i="8"/>
  <c r="JW139" i="8"/>
  <c r="JR139" i="8"/>
  <c r="JQ139" i="8"/>
  <c r="JO139" i="8"/>
  <c r="JU139" i="8" s="1"/>
  <c r="JN139" i="8"/>
  <c r="JT139" i="8" s="1"/>
  <c r="JR136" i="8"/>
  <c r="JQ136" i="8"/>
  <c r="JH63" i="8"/>
  <c r="JI63" i="8"/>
  <c r="JJ63" i="8"/>
  <c r="JK63" i="8"/>
  <c r="JL63" i="8"/>
  <c r="JH64" i="8"/>
  <c r="JJ64" i="8" s="1"/>
  <c r="JM63" i="8"/>
  <c r="JH55" i="8"/>
  <c r="JK57" i="8"/>
  <c r="JL57" i="8" s="1"/>
  <c r="JI54" i="8"/>
  <c r="EC100" i="8"/>
  <c r="EI100" i="8"/>
  <c r="EO100" i="8"/>
  <c r="EE101" i="8"/>
  <c r="EF101" i="8"/>
  <c r="EK101" i="8"/>
  <c r="EL101" i="8"/>
  <c r="EQ101" i="8"/>
  <c r="ER101" i="8"/>
  <c r="EE102" i="8"/>
  <c r="EF102" i="8"/>
  <c r="EK102" i="8"/>
  <c r="EL102" i="8"/>
  <c r="EQ102" i="8"/>
  <c r="ER102" i="8"/>
  <c r="EE103" i="8"/>
  <c r="EF103" i="8"/>
  <c r="EK103" i="8"/>
  <c r="EL103" i="8"/>
  <c r="EQ103" i="8"/>
  <c r="ER103" i="8"/>
  <c r="EE104" i="8"/>
  <c r="EF104" i="8"/>
  <c r="EK104" i="8"/>
  <c r="EL104" i="8"/>
  <c r="EQ104" i="8"/>
  <c r="ER104" i="8"/>
  <c r="EE105" i="8"/>
  <c r="EF105" i="8"/>
  <c r="EK105" i="8"/>
  <c r="EL105" i="8"/>
  <c r="EQ105" i="8"/>
  <c r="ER105" i="8"/>
  <c r="EE106" i="8"/>
  <c r="EF106" i="8"/>
  <c r="EK106" i="8"/>
  <c r="EL106" i="8"/>
  <c r="EQ106" i="8"/>
  <c r="ER106" i="8"/>
  <c r="EE107" i="8"/>
  <c r="EF107" i="8"/>
  <c r="EK107" i="8"/>
  <c r="EL107" i="8"/>
  <c r="EQ107" i="8"/>
  <c r="ER107" i="8"/>
  <c r="EE108" i="8"/>
  <c r="EF108" i="8"/>
  <c r="EK108" i="8"/>
  <c r="EL108" i="8"/>
  <c r="EQ108" i="8"/>
  <c r="ER108" i="8"/>
  <c r="EE109" i="8"/>
  <c r="EF109" i="8"/>
  <c r="EK109" i="8"/>
  <c r="EL109" i="8"/>
  <c r="EQ109" i="8"/>
  <c r="ER109" i="8"/>
  <c r="EE110" i="8"/>
  <c r="EF110" i="8"/>
  <c r="EK110" i="8"/>
  <c r="EL110" i="8"/>
  <c r="EQ110" i="8"/>
  <c r="ER110" i="8"/>
  <c r="EE111" i="8"/>
  <c r="EF111" i="8"/>
  <c r="EK111" i="8"/>
  <c r="EL111" i="8"/>
  <c r="EQ111" i="8"/>
  <c r="ER111" i="8"/>
  <c r="EE112" i="8"/>
  <c r="EF112" i="8"/>
  <c r="EK112" i="8"/>
  <c r="EL112" i="8"/>
  <c r="EQ112" i="8"/>
  <c r="ER112" i="8"/>
  <c r="EE113" i="8"/>
  <c r="EF113" i="8"/>
  <c r="EK113" i="8"/>
  <c r="EL113" i="8"/>
  <c r="EQ113" i="8"/>
  <c r="ER113" i="8"/>
  <c r="EE114" i="8"/>
  <c r="EF114" i="8"/>
  <c r="EK114" i="8"/>
  <c r="EL114" i="8"/>
  <c r="EQ114" i="8"/>
  <c r="ER114" i="8"/>
  <c r="EE115" i="8"/>
  <c r="EF115" i="8"/>
  <c r="EK115" i="8"/>
  <c r="EL115" i="8"/>
  <c r="EQ115" i="8"/>
  <c r="ER115" i="8"/>
  <c r="G22" i="14"/>
  <c r="G21" i="14"/>
  <c r="P20" i="14"/>
  <c r="P19" i="14"/>
  <c r="P18" i="14"/>
  <c r="AE10" i="14"/>
  <c r="AE9" i="14"/>
  <c r="FQ70" i="8"/>
  <c r="V19" i="8"/>
  <c r="V18" i="8"/>
  <c r="EI86" i="8"/>
  <c r="EG81" i="8"/>
  <c r="JK161" i="8" l="1"/>
  <c r="AB36" i="14"/>
  <c r="JK157" i="8"/>
  <c r="P36" i="14"/>
  <c r="EM110" i="8"/>
  <c r="EG109" i="8"/>
  <c r="EM108" i="8"/>
  <c r="ES107" i="8"/>
  <c r="EG105" i="8"/>
  <c r="EM104" i="8"/>
  <c r="ES103" i="8"/>
  <c r="EG103" i="8"/>
  <c r="EM102" i="8"/>
  <c r="ES111" i="8"/>
  <c r="JO149" i="8"/>
  <c r="ES115" i="8"/>
  <c r="EM106" i="8"/>
  <c r="EG101" i="8"/>
  <c r="EG112" i="8"/>
  <c r="ES102" i="8"/>
  <c r="EM101" i="8"/>
  <c r="ES108" i="8"/>
  <c r="EG108" i="8"/>
  <c r="EM107" i="8"/>
  <c r="ES101" i="8"/>
  <c r="EM113" i="8"/>
  <c r="EG107" i="8"/>
  <c r="EG115" i="8"/>
  <c r="EM114" i="8"/>
  <c r="ES113" i="8"/>
  <c r="EG113" i="8"/>
  <c r="EM112" i="8"/>
  <c r="JN149" i="8"/>
  <c r="EM115" i="8"/>
  <c r="ES114" i="8"/>
  <c r="EG110" i="8"/>
  <c r="EM109" i="8"/>
  <c r="ES104" i="8"/>
  <c r="EG104" i="8"/>
  <c r="EM111" i="8"/>
  <c r="ES110" i="8"/>
  <c r="ES109" i="8"/>
  <c r="EG106" i="8"/>
  <c r="EM105" i="8"/>
  <c r="EG102" i="8"/>
  <c r="EG114" i="8"/>
  <c r="ES112" i="8"/>
  <c r="EG111" i="8"/>
  <c r="ES106" i="8"/>
  <c r="ES105" i="8"/>
  <c r="EM103" i="8"/>
  <c r="EK100" i="8" l="1"/>
  <c r="EE100" i="8"/>
  <c r="EQ100" i="8"/>
  <c r="EC38" i="8"/>
  <c r="EG64" i="8"/>
  <c r="S8" i="14" s="1"/>
  <c r="P46" i="14" s="1"/>
  <c r="EG63" i="8"/>
  <c r="EX58" i="8"/>
  <c r="EX57" i="8"/>
  <c r="EX56" i="8"/>
  <c r="EX55" i="8"/>
  <c r="EX54" i="8"/>
  <c r="EX53" i="8"/>
  <c r="EX52" i="8"/>
  <c r="FH39" i="8"/>
  <c r="FH38" i="8"/>
  <c r="FH37" i="8"/>
  <c r="FH36" i="8"/>
  <c r="FH35" i="8"/>
  <c r="FH34" i="8"/>
  <c r="FF34" i="8"/>
  <c r="G10" i="14" l="1"/>
  <c r="EG65" i="8" l="1"/>
  <c r="S10" i="14" s="1"/>
  <c r="FK63" i="8"/>
  <c r="EG60" i="8" l="1"/>
  <c r="FF75" i="8" s="1"/>
  <c r="FF96" i="8" s="1"/>
  <c r="EG61" i="8"/>
  <c r="G8" i="14" s="1"/>
  <c r="EG62" i="8"/>
  <c r="FK60" i="8"/>
  <c r="JM110" i="8"/>
  <c r="JM109" i="8"/>
  <c r="JM106" i="8"/>
  <c r="JL106" i="8"/>
  <c r="JI106" i="8"/>
  <c r="FE103" i="8"/>
  <c r="FC103" i="8"/>
  <c r="FE102" i="8"/>
  <c r="FC102" i="8"/>
  <c r="JH101" i="8"/>
  <c r="JJ110" i="8" s="1"/>
  <c r="FE101" i="8"/>
  <c r="FC101" i="8"/>
  <c r="JI100" i="8"/>
  <c r="JL103" i="8" s="1"/>
  <c r="JM103" i="8" s="1"/>
  <c r="JH100" i="8"/>
  <c r="JH103" i="8" s="1"/>
  <c r="JI103" i="8" s="1"/>
  <c r="FE100" i="8"/>
  <c r="FC100" i="8"/>
  <c r="FE99" i="8"/>
  <c r="FC99" i="8"/>
  <c r="FE98" i="8"/>
  <c r="FC98" i="8"/>
  <c r="JQ96" i="8"/>
  <c r="JR96" i="8" s="1"/>
  <c r="JH96" i="8"/>
  <c r="JI96" i="8" s="1"/>
  <c r="JQ93" i="8"/>
  <c r="JR93" i="8" s="1"/>
  <c r="JH93" i="8"/>
  <c r="JI93" i="8" s="1"/>
  <c r="FA92" i="8"/>
  <c r="FA91" i="8"/>
  <c r="FA90" i="8"/>
  <c r="EY90" i="8"/>
  <c r="FA89" i="8"/>
  <c r="JR84" i="8"/>
  <c r="JK84" i="8"/>
  <c r="JI84" i="8"/>
  <c r="JH79" i="8"/>
  <c r="JK79" i="8" s="1"/>
  <c r="JQ78" i="8"/>
  <c r="JO78" i="8"/>
  <c r="JL78" i="8"/>
  <c r="JH78" i="8"/>
  <c r="JN78" i="8" s="1"/>
  <c r="JK76" i="8"/>
  <c r="JL76" i="8"/>
  <c r="JH73" i="8"/>
  <c r="JI73" i="8" s="1"/>
  <c r="JL73" i="8" s="1"/>
  <c r="JN72" i="8"/>
  <c r="JK72" i="8"/>
  <c r="JL72" i="8" s="1"/>
  <c r="JI72" i="8"/>
  <c r="JN70" i="8"/>
  <c r="JK69" i="8"/>
  <c r="JL69" i="8"/>
  <c r="JQ69" i="8" s="1"/>
  <c r="JL67" i="8"/>
  <c r="JI67" i="8"/>
  <c r="JM67" i="8" s="1"/>
  <c r="JL66" i="8"/>
  <c r="JM66" i="8" s="1"/>
  <c r="JH66" i="8"/>
  <c r="JI66" i="8" s="1"/>
  <c r="JQ64" i="8"/>
  <c r="JU64" i="8" s="1"/>
  <c r="JM64" i="8"/>
  <c r="JI64" i="8"/>
  <c r="JK64" i="8"/>
  <c r="JV63" i="8"/>
  <c r="JU63" i="8"/>
  <c r="JQ87" i="8" s="1"/>
  <c r="JR87" i="8" s="1"/>
  <c r="JT63" i="8"/>
  <c r="JQ90" i="8" s="1"/>
  <c r="JR90" i="8" s="1"/>
  <c r="JS63" i="8"/>
  <c r="JQ81" i="8" s="1"/>
  <c r="JR81" i="8" s="1"/>
  <c r="JR63" i="8"/>
  <c r="JQ63" i="8"/>
  <c r="JH87" i="8"/>
  <c r="JH90" i="8"/>
  <c r="JH81" i="8"/>
  <c r="ES63" i="8"/>
  <c r="FJ74" i="8"/>
  <c r="ES62" i="8"/>
  <c r="JT61" i="8"/>
  <c r="KD61" i="8" s="1"/>
  <c r="JH61" i="8"/>
  <c r="JL61" i="8" s="1"/>
  <c r="JH94" i="8" s="1"/>
  <c r="JI94" i="8" s="1"/>
  <c r="EV58" i="8"/>
  <c r="JR57" i="8"/>
  <c r="JT57" i="8" s="1"/>
  <c r="JI57" i="8"/>
  <c r="EV57" i="8"/>
  <c r="EV56" i="8"/>
  <c r="JQ55" i="8"/>
  <c r="JT55" i="8" s="1"/>
  <c r="JU55" i="8" s="1"/>
  <c r="JK55" i="8"/>
  <c r="JL55" i="8" s="1"/>
  <c r="EV55" i="8"/>
  <c r="JU54" i="8"/>
  <c r="JT54" i="8"/>
  <c r="JL54" i="8"/>
  <c r="JK54" i="8"/>
  <c r="EV54" i="8"/>
  <c r="EV53" i="8"/>
  <c r="JQ52" i="8"/>
  <c r="JQ97" i="8" s="1"/>
  <c r="JR97" i="8" s="1"/>
  <c r="JH52" i="8"/>
  <c r="EV52" i="8"/>
  <c r="JW51" i="8"/>
  <c r="JX51" i="8" s="1"/>
  <c r="JT51" i="8"/>
  <c r="JU51" i="8" s="1"/>
  <c r="JN51" i="8"/>
  <c r="JO51" i="8" s="1"/>
  <c r="JK51" i="8"/>
  <c r="JL51" i="8" s="1"/>
  <c r="JL49" i="8"/>
  <c r="ER47" i="8"/>
  <c r="EN43" i="8"/>
  <c r="EF43" i="8"/>
  <c r="FF39" i="8"/>
  <c r="FF38" i="8"/>
  <c r="H16" i="8"/>
  <c r="AE8" i="14" s="1"/>
  <c r="FF37" i="8"/>
  <c r="FF36" i="8"/>
  <c r="FF35" i="8"/>
  <c r="EL34" i="8"/>
  <c r="JK70" i="8" l="1"/>
  <c r="JL70" i="8" s="1"/>
  <c r="JO49" i="8"/>
  <c r="W24" i="8"/>
  <c r="P22" i="14" s="1"/>
  <c r="AF34" i="14"/>
  <c r="FO64" i="8"/>
  <c r="FO63" i="8" s="1"/>
  <c r="G9" i="14"/>
  <c r="G15" i="14" s="1"/>
  <c r="EG71" i="8"/>
  <c r="P32" i="14" s="1"/>
  <c r="JY61" i="8"/>
  <c r="JH82" i="8"/>
  <c r="JH88" i="8" s="1"/>
  <c r="JR52" i="8"/>
  <c r="JW52" i="8" s="1"/>
  <c r="JX52" i="8" s="1"/>
  <c r="JO72" i="8"/>
  <c r="JI78" i="8"/>
  <c r="JI55" i="8"/>
  <c r="JU61" i="8"/>
  <c r="JK73" i="8"/>
  <c r="JK96" i="8"/>
  <c r="JL46" i="8"/>
  <c r="JQ58" i="8"/>
  <c r="JT58" i="8" s="1"/>
  <c r="JU58" i="8" s="1"/>
  <c r="JL75" i="8"/>
  <c r="JL43" i="8"/>
  <c r="JM49" i="8"/>
  <c r="JT52" i="8"/>
  <c r="JU52" i="8" s="1"/>
  <c r="JR55" i="8"/>
  <c r="JU57" i="8"/>
  <c r="JH58" i="8"/>
  <c r="JK58" i="8" s="1"/>
  <c r="JL58" i="8" s="1"/>
  <c r="KC61" i="8"/>
  <c r="JQ85" i="8"/>
  <c r="JR85" i="8" s="1"/>
  <c r="JR91" i="8" s="1"/>
  <c r="JI109" i="8"/>
  <c r="JQ74" i="8"/>
  <c r="FG71" i="8"/>
  <c r="JQ61" i="8"/>
  <c r="JM61" i="8"/>
  <c r="JI61" i="8"/>
  <c r="JR61" i="8"/>
  <c r="JN61" i="8"/>
  <c r="JJ61" i="8"/>
  <c r="JO61" i="8"/>
  <c r="JK61" i="8"/>
  <c r="JI90" i="8"/>
  <c r="JK90" i="8"/>
  <c r="JO70" i="8"/>
  <c r="JQ70" i="8" s="1"/>
  <c r="EY69" i="8"/>
  <c r="EG69" i="8" s="1"/>
  <c r="P23" i="14" s="1"/>
  <c r="EY89" i="8"/>
  <c r="FB74" i="8"/>
  <c r="FH65" i="8"/>
  <c r="JK81" i="8"/>
  <c r="JL81" i="8" s="1"/>
  <c r="JI81" i="8"/>
  <c r="JV64" i="8"/>
  <c r="JR64" i="8"/>
  <c r="JS64" i="8"/>
  <c r="JQ82" i="8" s="1"/>
  <c r="JT64" i="8"/>
  <c r="JT77" i="8"/>
  <c r="JT74" i="8"/>
  <c r="JQ77" i="8"/>
  <c r="JH97" i="8"/>
  <c r="JI97" i="8" s="1"/>
  <c r="JI52" i="8"/>
  <c r="JN52" i="8" s="1"/>
  <c r="JO52" i="8" s="1"/>
  <c r="JK52" i="8"/>
  <c r="JL52" i="8" s="1"/>
  <c r="JL94" i="8"/>
  <c r="JN94" i="8" s="1"/>
  <c r="JK94" i="8"/>
  <c r="JK87" i="8"/>
  <c r="JL87" i="8" s="1"/>
  <c r="JI87" i="8"/>
  <c r="FK62" i="8"/>
  <c r="FK61" i="8"/>
  <c r="FD93" i="8"/>
  <c r="JP61" i="8"/>
  <c r="FA95" i="8"/>
  <c r="FA96" i="8"/>
  <c r="JH104" i="8"/>
  <c r="JX61" i="8"/>
  <c r="JQ94" i="8" s="1"/>
  <c r="JR94" i="8" s="1"/>
  <c r="KB61" i="8"/>
  <c r="FG70" i="8"/>
  <c r="JI79" i="8"/>
  <c r="JH85" i="8"/>
  <c r="JK100" i="8"/>
  <c r="JW61" i="8"/>
  <c r="KA61" i="8"/>
  <c r="JL64" i="8"/>
  <c r="FG72" i="8"/>
  <c r="JN73" i="8"/>
  <c r="JK93" i="8"/>
  <c r="JL93" i="8" s="1"/>
  <c r="FE95" i="8"/>
  <c r="JJ100" i="8"/>
  <c r="JJ101" i="8"/>
  <c r="JL104" i="8"/>
  <c r="JH106" i="8"/>
  <c r="JH107" i="8"/>
  <c r="JI107" i="8" s="1"/>
  <c r="JH109" i="8"/>
  <c r="JL100" i="8"/>
  <c r="JL101" i="8"/>
  <c r="FG95" i="8"/>
  <c r="JK101" i="8"/>
  <c r="JL107" i="8" s="1"/>
  <c r="JM107" i="8" s="1"/>
  <c r="JV61" i="8"/>
  <c r="JZ61" i="8"/>
  <c r="FC95" i="8"/>
  <c r="JI101" i="8"/>
  <c r="G34" i="14" l="1"/>
  <c r="JQ91" i="8"/>
  <c r="JI82" i="8"/>
  <c r="JK82" i="8" s="1"/>
  <c r="JL82" i="8" s="1"/>
  <c r="JN82" i="8" s="1"/>
  <c r="EG66" i="8"/>
  <c r="P15" i="14"/>
  <c r="EG70" i="8"/>
  <c r="P24" i="14" s="1"/>
  <c r="EG72" i="8"/>
  <c r="JR58" i="8"/>
  <c r="FO60" i="8"/>
  <c r="FO61" i="8"/>
  <c r="JI58" i="8"/>
  <c r="FO62" i="8"/>
  <c r="JL84" i="8"/>
  <c r="JN84" i="8" s="1"/>
  <c r="JN81" i="8"/>
  <c r="JO73" i="8"/>
  <c r="JQ73" i="8"/>
  <c r="JL79" i="8"/>
  <c r="JN79" i="8"/>
  <c r="JL96" i="8"/>
  <c r="JN96" i="8" s="1"/>
  <c r="JN93" i="8"/>
  <c r="JN87" i="8"/>
  <c r="JL90" i="8"/>
  <c r="JN90" i="8" s="1"/>
  <c r="JQ88" i="8"/>
  <c r="JR82" i="8"/>
  <c r="JR88" i="8" s="1"/>
  <c r="JI104" i="8"/>
  <c r="JK110" i="8"/>
  <c r="JM104" i="8"/>
  <c r="JH91" i="8"/>
  <c r="JI85" i="8"/>
  <c r="JK97" i="8"/>
  <c r="JL97" i="8"/>
  <c r="JN97" i="8" s="1"/>
  <c r="FR60" i="8" l="1"/>
  <c r="JI88" i="8"/>
  <c r="JL88" i="8" s="1"/>
  <c r="JN88" i="8" s="1"/>
  <c r="EG73" i="8"/>
  <c r="P26" i="14" s="1"/>
  <c r="P25" i="14"/>
  <c r="EC39" i="8"/>
  <c r="EC40" i="8" s="1"/>
  <c r="W17" i="8" s="1"/>
  <c r="EG80" i="8" s="1"/>
  <c r="JQ79" i="8"/>
  <c r="JO79" i="8"/>
  <c r="JK85" i="8"/>
  <c r="JL85" i="8"/>
  <c r="JN85" i="8" s="1"/>
  <c r="JI91" i="8"/>
  <c r="JK88" i="8" l="1"/>
  <c r="P34" i="14"/>
  <c r="JQ68" i="8"/>
  <c r="ES61" i="8"/>
  <c r="EG67" i="8"/>
  <c r="EG87" i="8" s="1"/>
  <c r="JM111" i="8"/>
  <c r="JL91" i="8"/>
  <c r="JN91" i="8" s="1"/>
  <c r="JK91" i="8"/>
  <c r="P17" i="14" l="1"/>
  <c r="P45" i="14" s="1"/>
  <c r="W23" i="8"/>
  <c r="EG91" i="8" s="1"/>
  <c r="P40" i="14" s="1"/>
  <c r="FM70" i="8"/>
  <c r="EG76" i="8" s="1"/>
  <c r="P16" i="14"/>
  <c r="FM71" i="8"/>
  <c r="EG83" i="8"/>
  <c r="FM72" i="8"/>
  <c r="EG89" i="8"/>
  <c r="W34" i="8"/>
  <c r="EY94" i="8"/>
  <c r="FA94" i="8" s="1"/>
  <c r="EM67" i="8"/>
  <c r="ER50" i="8"/>
  <c r="ER49" i="8"/>
  <c r="EG68" i="8" l="1"/>
  <c r="P21" i="14"/>
  <c r="EG92" i="8"/>
  <c r="P41" i="14" s="1"/>
  <c r="T41" i="14" s="1"/>
  <c r="P29" i="14"/>
  <c r="W27" i="8"/>
  <c r="EG75" i="8" s="1"/>
  <c r="P28" i="14" s="1"/>
  <c r="EG88" i="8"/>
  <c r="AB34" i="14"/>
  <c r="FQ71" i="8"/>
  <c r="ER48" i="8"/>
  <c r="ET47" i="8" s="1"/>
  <c r="EG74" i="8" l="1"/>
  <c r="P27" i="14" s="1"/>
  <c r="AB35" i="14"/>
  <c r="W35" i="8"/>
  <c r="W37" i="8" s="1"/>
  <c r="AF36" i="14" s="1"/>
  <c r="EM75" i="8"/>
  <c r="EG77" i="8" l="1"/>
  <c r="P30" i="14" s="1"/>
  <c r="EM92" i="8"/>
  <c r="EG78" i="8" l="1"/>
  <c r="EG79" i="8" s="1"/>
  <c r="W28" i="8" s="1"/>
  <c r="P31" i="14" l="1"/>
  <c r="EG82" i="8"/>
  <c r="P33" i="14"/>
  <c r="W29" i="8" l="1"/>
  <c r="W31" i="8" s="1"/>
  <c r="T36" i="14" s="1"/>
  <c r="P35" i="14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8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4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<sst xmlns="http://schemas.openxmlformats.org/spreadsheetml/2006/main" count="643" uniqueCount="266">
  <si>
    <t>-</t>
  </si>
  <si>
    <t>=</t>
  </si>
  <si>
    <t>ksc.</t>
  </si>
  <si>
    <t>fc'</t>
  </si>
  <si>
    <t>L</t>
  </si>
  <si>
    <t>1.4DL + 1.7LL</t>
  </si>
  <si>
    <t>1.7DL + 2.0LL</t>
  </si>
  <si>
    <t>Moment</t>
  </si>
  <si>
    <t>S</t>
  </si>
  <si>
    <t>DL + LL</t>
  </si>
  <si>
    <t>LL</t>
  </si>
  <si>
    <t>DL</t>
  </si>
  <si>
    <t>m.</t>
  </si>
  <si>
    <t>kg.</t>
  </si>
  <si>
    <t>kg./m.</t>
  </si>
  <si>
    <t>14/fy</t>
  </si>
  <si>
    <t>sq.cm.</t>
  </si>
  <si>
    <t>cm.</t>
  </si>
  <si>
    <t>kg.-m.</t>
  </si>
  <si>
    <t>One end continuous.</t>
  </si>
  <si>
    <t>Both ends continuous.</t>
  </si>
  <si>
    <t>d</t>
  </si>
  <si>
    <t>Maximum Moment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</si>
  <si>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</si>
  <si>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</si>
  <si>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</si>
  <si>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</si>
  <si>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</si>
  <si>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</si>
  <si>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</si>
  <si>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</si>
  <si>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</si>
  <si>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</si>
  <si>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</si>
  <si>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</si>
  <si>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</si>
  <si>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</si>
  <si>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</si>
  <si>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</si>
  <si>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</si>
  <si>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</si>
  <si>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</si>
  <si>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</si>
  <si>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Thickness</t>
  </si>
  <si>
    <t>Input</t>
  </si>
  <si>
    <t>Load</t>
  </si>
  <si>
    <t>kg./sq.m.</t>
  </si>
  <si>
    <t>Conc fc'</t>
  </si>
  <si>
    <t>Basic Data</t>
  </si>
  <si>
    <t>Default Thick.</t>
  </si>
  <si>
    <t>ksm.</t>
  </si>
  <si>
    <r>
      <t>d</t>
    </r>
    <r>
      <rPr>
        <vertAlign val="subscript"/>
        <sz val="8"/>
        <rFont val="Arial"/>
        <family val="2"/>
      </rPr>
      <t>req</t>
    </r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</si>
  <si>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</si>
  <si>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</si>
  <si>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t>Factor  DL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</si>
  <si>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</si>
  <si>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Factor  LL</t>
  </si>
  <si>
    <t>kg/m.</t>
  </si>
  <si>
    <t>DB12</t>
  </si>
  <si>
    <t>RB6</t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</si>
  <si>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</si>
  <si>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</si>
  <si>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</si>
  <si>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DB16</t>
  </si>
  <si>
    <t>RB9</t>
  </si>
  <si>
    <t>Thick</t>
  </si>
  <si>
    <t>; t</t>
  </si>
  <si>
    <t>r</t>
  </si>
  <si>
    <t>0.85 - 0.05x[(fc'-280)/70]</t>
  </si>
  <si>
    <t>&lt;</t>
  </si>
  <si>
    <t>DB20</t>
  </si>
  <si>
    <t>RB12</t>
  </si>
  <si>
    <t>&gt;</t>
  </si>
  <si>
    <t>DB25</t>
  </si>
  <si>
    <t>RB15</t>
  </si>
  <si>
    <t>Data</t>
  </si>
  <si>
    <t>Short Span</t>
  </si>
  <si>
    <t>Long Span</t>
  </si>
  <si>
    <t>Unit</t>
  </si>
  <si>
    <t>DB28</t>
  </si>
  <si>
    <t>RB19</t>
  </si>
  <si>
    <t>DB32</t>
  </si>
  <si>
    <t>RB25</t>
  </si>
  <si>
    <t>Mu</t>
  </si>
  <si>
    <t>kg-m.</t>
  </si>
  <si>
    <t>≥</t>
  </si>
  <si>
    <r>
      <t>A</t>
    </r>
    <r>
      <rPr>
        <vertAlign val="subscript"/>
        <sz val="8"/>
        <color rgb="FFC00000"/>
        <rFont val="Arial"/>
        <family val="2"/>
      </rPr>
      <t>st1</t>
    </r>
  </si>
  <si>
    <t>;</t>
  </si>
  <si>
    <r>
      <t>A</t>
    </r>
    <r>
      <rPr>
        <vertAlign val="subscript"/>
        <sz val="8"/>
        <color rgb="FFC00000"/>
        <rFont val="Arial"/>
        <family val="2"/>
      </rPr>
      <t>st2</t>
    </r>
  </si>
  <si>
    <t>mm. (RB)</t>
  </si>
  <si>
    <t>mm. (DB)</t>
  </si>
  <si>
    <t>mm.</t>
  </si>
  <si>
    <t>Status</t>
  </si>
  <si>
    <t>Dia. Bar</t>
  </si>
  <si>
    <r>
      <t>S</t>
    </r>
    <r>
      <rPr>
        <vertAlign val="subscript"/>
        <sz val="8"/>
        <color theme="1"/>
        <rFont val="Arial"/>
        <family val="2"/>
      </rPr>
      <t>1</t>
    </r>
  </si>
  <si>
    <t>3t</t>
  </si>
  <si>
    <t>0.45 m.</t>
  </si>
  <si>
    <r>
      <t>S</t>
    </r>
    <r>
      <rPr>
        <vertAlign val="subscript"/>
        <sz val="8"/>
        <color theme="1"/>
        <rFont val="Arial"/>
        <family val="2"/>
      </rPr>
      <t>2</t>
    </r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</si>
  <si>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</si>
  <si>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</si>
  <si>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</si>
  <si>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</si>
  <si>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</si>
  <si>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</si>
  <si>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</si>
  <si>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Slab No :</t>
  </si>
  <si>
    <t>Project Information</t>
  </si>
  <si>
    <t>ภย.62026</t>
  </si>
  <si>
    <t>ว่าที่ ร.ต.รณฤทธิ์ เพชสง</t>
  </si>
  <si>
    <t>Load Factor</t>
  </si>
  <si>
    <t>Design Reinforcement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</si>
  <si>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</si>
  <si>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</si>
  <si>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</si>
  <si>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</si>
  <si>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</si>
  <si>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inor"/>
      </rPr>
      <t>Vc</t>
    </r>
  </si>
  <si>
    <t>Cover</t>
  </si>
  <si>
    <t>พื้น</t>
  </si>
  <si>
    <t>ซ้าย</t>
  </si>
  <si>
    <t>ขวา</t>
  </si>
  <si>
    <t>บน</t>
  </si>
  <si>
    <t>ล่าง</t>
  </si>
  <si>
    <t>ระยะ</t>
  </si>
  <si>
    <t>thk</t>
  </si>
  <si>
    <t>fy2</t>
  </si>
  <si>
    <t>fy1</t>
  </si>
  <si>
    <t>Short</t>
  </si>
  <si>
    <t>Long</t>
  </si>
  <si>
    <t>Design Size</t>
  </si>
  <si>
    <t>Slab No.</t>
  </si>
  <si>
    <t>t</t>
  </si>
  <si>
    <t>SDL</t>
  </si>
  <si>
    <t>Wu</t>
  </si>
  <si>
    <t>Shear Check</t>
  </si>
  <si>
    <t>คาน2</t>
  </si>
  <si>
    <t>คาน1</t>
  </si>
  <si>
    <t>พื้นบน</t>
  </si>
  <si>
    <t>พื้นล่าง</t>
  </si>
  <si>
    <t>เหล็กล่าง</t>
  </si>
  <si>
    <t>เหล็กบนซ้าย</t>
  </si>
  <si>
    <t>เหล็กบนขวา</t>
  </si>
  <si>
    <t>เม็ดล่าง</t>
  </si>
  <si>
    <t>เม็ดบน</t>
  </si>
  <si>
    <t>เส้นย่อ1</t>
  </si>
  <si>
    <t>เส้นย่อ2</t>
  </si>
  <si>
    <t>dim1</t>
  </si>
  <si>
    <t>dim2</t>
  </si>
  <si>
    <t>dim3</t>
  </si>
  <si>
    <t>dim4</t>
  </si>
  <si>
    <t>dim5</t>
  </si>
  <si>
    <t>dim6</t>
  </si>
  <si>
    <t>dim7</t>
  </si>
  <si>
    <t>dim8</t>
  </si>
  <si>
    <t>dim9</t>
  </si>
  <si>
    <t>dim10</t>
  </si>
  <si>
    <t>dim11</t>
  </si>
  <si>
    <t>dim12</t>
  </si>
  <si>
    <t>ชี้เม็ดบนซ้าย</t>
  </si>
  <si>
    <t>ชี้เหล็กบนซ้าย</t>
  </si>
  <si>
    <t>ชี้เม็ดบนขวา</t>
  </si>
  <si>
    <t>ชี้เหล็กบนขวา</t>
  </si>
  <si>
    <t>ชี้เม็ดล่าง</t>
  </si>
  <si>
    <t>ชี้เหล็กล่าง</t>
  </si>
  <si>
    <r>
      <rPr>
        <b/>
        <u/>
        <sz val="8"/>
        <color theme="1"/>
        <rFont val="Arial"/>
        <family val="2"/>
      </rPr>
      <t>Slab Case</t>
    </r>
    <r>
      <rPr>
        <b/>
        <sz val="8"/>
        <color theme="1"/>
        <rFont val="Arial"/>
        <family val="2"/>
      </rPr>
      <t xml:space="preserve"> :</t>
    </r>
  </si>
  <si>
    <t>Simply Supported.</t>
  </si>
  <si>
    <t>-----------</t>
  </si>
  <si>
    <t>พื้นช่วงเดียว</t>
  </si>
  <si>
    <t>(S/20)</t>
  </si>
  <si>
    <t>พื้นต่อเนื่องด้านเดียว</t>
  </si>
  <si>
    <t>(S/24)</t>
  </si>
  <si>
    <r>
      <t>fy</t>
    </r>
    <r>
      <rPr>
        <vertAlign val="subscript"/>
        <sz val="8"/>
        <color theme="1"/>
        <rFont val="Arial"/>
        <family val="2"/>
      </rPr>
      <t>1</t>
    </r>
  </si>
  <si>
    <t>พื้นต่อเนื่องทั้งสองด้าน</t>
  </si>
  <si>
    <t>(S/28)</t>
  </si>
  <si>
    <t>พื้นยื่น</t>
  </si>
  <si>
    <t>(S/10)</t>
  </si>
  <si>
    <t>; S</t>
  </si>
  <si>
    <t>ถ้า  fy  น้อยกว่า  4000  ksc. ให้คูณค่าในตารางด้วย</t>
  </si>
  <si>
    <r>
      <t>t</t>
    </r>
    <r>
      <rPr>
        <vertAlign val="subscript"/>
        <sz val="8"/>
        <color theme="1"/>
        <rFont val="Arial"/>
        <family val="2"/>
      </rPr>
      <t>min</t>
    </r>
  </si>
  <si>
    <t>โมเมนต์ลบตัวริม</t>
  </si>
  <si>
    <r>
      <t>d</t>
    </r>
    <r>
      <rPr>
        <vertAlign val="subscript"/>
        <sz val="8"/>
        <color rgb="FFC00000"/>
        <rFont val="Arial"/>
        <family val="2"/>
      </rPr>
      <t>1</t>
    </r>
  </si>
  <si>
    <t>โมเมนต์บวก</t>
  </si>
  <si>
    <r>
      <t>d</t>
    </r>
    <r>
      <rPr>
        <vertAlign val="subscript"/>
        <sz val="8"/>
        <color rgb="FFC00000"/>
        <rFont val="Arial"/>
        <family val="2"/>
      </rPr>
      <t>2</t>
    </r>
  </si>
  <si>
    <t>โมเมนต์ลบด้านต่อเนื่อง</t>
  </si>
  <si>
    <r>
      <t>d</t>
    </r>
    <r>
      <rPr>
        <vertAlign val="subscript"/>
        <sz val="8"/>
        <color rgb="FFC00000"/>
        <rFont val="Arial"/>
        <family val="2"/>
      </rPr>
      <t>3</t>
    </r>
  </si>
  <si>
    <t>Number of continuous side</t>
  </si>
  <si>
    <t>Temperature Bars</t>
  </si>
  <si>
    <t>Ast</t>
  </si>
  <si>
    <t xml:space="preserve"> mm.</t>
  </si>
  <si>
    <t xml:space="preserve"> @</t>
  </si>
  <si>
    <t xml:space="preserve"> m.</t>
  </si>
  <si>
    <t>5t</t>
  </si>
  <si>
    <r>
      <t>Rebars fy</t>
    </r>
    <r>
      <rPr>
        <vertAlign val="subscript"/>
        <sz val="8"/>
        <color theme="1"/>
        <rFont val="Tahoma"/>
        <family val="2"/>
      </rPr>
      <t>1</t>
    </r>
  </si>
  <si>
    <r>
      <t>Rebars fy</t>
    </r>
    <r>
      <rPr>
        <vertAlign val="subscript"/>
        <sz val="8"/>
        <color theme="1"/>
        <rFont val="Tahoma"/>
        <family val="2"/>
      </rPr>
      <t>2</t>
    </r>
  </si>
  <si>
    <t>Cantilever</t>
  </si>
  <si>
    <t>Dead Load on Beam</t>
  </si>
  <si>
    <t>Live Load on Beam</t>
  </si>
  <si>
    <t>Effective depth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</si>
  <si>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</si>
  <si>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Fin Weight</t>
  </si>
  <si>
    <t>@ max [m.]</t>
  </si>
  <si>
    <t>@ use [m.]</t>
  </si>
  <si>
    <t>Slab Size</t>
  </si>
  <si>
    <t>Side</t>
  </si>
  <si>
    <t>Steel,As</t>
  </si>
  <si>
    <t>Reinforce</t>
  </si>
  <si>
    <t>ขอบพื้นใน</t>
  </si>
  <si>
    <t>ขอบพื้นนอก</t>
  </si>
  <si>
    <t>เหล็กบนล่าง</t>
  </si>
  <si>
    <t>เหล็กบนบน</t>
  </si>
  <si>
    <t>เส้นบนล่าง</t>
  </si>
  <si>
    <t>เส้นบนบน</t>
  </si>
  <si>
    <t>เส้นบนซ้าย</t>
  </si>
  <si>
    <t>เส้นบนขวา</t>
  </si>
  <si>
    <t>ระยะบนซ้าย1</t>
  </si>
  <si>
    <t>ระยะบนซ้าย2</t>
  </si>
  <si>
    <t>ระยะบนล่าง1</t>
  </si>
  <si>
    <t>ระยะบนล่าง2</t>
  </si>
  <si>
    <t>แถบซ้าย</t>
  </si>
  <si>
    <t>#1</t>
  </si>
  <si>
    <t>#2</t>
  </si>
  <si>
    <t>#5</t>
  </si>
  <si>
    <t>แถบขวา</t>
  </si>
  <si>
    <t>แถบบน</t>
  </si>
  <si>
    <t>แถบล่าง</t>
  </si>
  <si>
    <t>ความหนา</t>
  </si>
  <si>
    <t>สั้น1</t>
  </si>
  <si>
    <t>สั้น2</t>
  </si>
  <si>
    <t>ยาว1</t>
  </si>
  <si>
    <t>ยาว2</t>
  </si>
  <si>
    <t>ระยะล่างซ้าย</t>
  </si>
  <si>
    <t>ระยะล่างล่าง</t>
  </si>
  <si>
    <t>เหล็กล่างตั้ง</t>
  </si>
  <si>
    <t>เหล็กล่างนอน</t>
  </si>
  <si>
    <t>Mumber</t>
  </si>
  <si>
    <t>Dead Load [2400(t/100)]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</si>
  <si>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</si>
  <si>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</si>
  <si>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d</t>
    </r>
    <r>
      <rPr>
        <vertAlign val="subscript"/>
        <sz val="8"/>
        <rFont val="Tahoma"/>
        <family val="2"/>
      </rPr>
      <t>req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</si>
  <si>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</si>
  <si>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</si>
  <si>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</si>
  <si>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</si>
  <si>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</si>
  <si>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</si>
  <si>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</si>
  <si>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</si>
  <si>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Maximum Rebars Spacing (S_max)</t>
  </si>
  <si>
    <t>Using Rebars Spacing (S_use)</t>
  </si>
  <si>
    <t>Slab Diagram</t>
  </si>
  <si>
    <t>Load transfer to the Beam</t>
  </si>
  <si>
    <t>Super Imposed Dead Load</t>
  </si>
  <si>
    <t>Main</t>
  </si>
  <si>
    <t>Temp.</t>
  </si>
  <si>
    <r>
      <t>t</t>
    </r>
    <r>
      <rPr>
        <vertAlign val="subscript"/>
        <sz val="8"/>
        <color theme="1"/>
        <rFont val="Tahoma"/>
        <family val="2"/>
      </rPr>
      <t>min</t>
    </r>
  </si>
  <si>
    <t>===&gt;</t>
  </si>
  <si>
    <t>FIN</t>
  </si>
  <si>
    <t>Ru1</t>
  </si>
  <si>
    <t>Ru2</t>
  </si>
  <si>
    <t>Ast1</t>
  </si>
  <si>
    <t>Ast2</t>
  </si>
  <si>
    <t>S-03</t>
  </si>
  <si>
    <t>Fin Wg.</t>
  </si>
  <si>
    <t>1.15(WuS+FIN)</t>
  </si>
  <si>
    <t>Varies</t>
  </si>
  <si>
    <t>Cantilever Slab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</si>
</sst>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194" formatCode="0.00\ &quot;m.&quot;"/>
    <numFmt numFmtId="195" formatCode="0.00\ &quot;cm.&quot;"/>
    <numFmt numFmtId="196" formatCode="General\ &quot;m. thk.&quot;"/>
    <numFmt numFmtId="197" formatCode="0.0E+0"/>
    <numFmt numFmtId="198" formatCode="&quot;@&quot;General"/>
    <numFmt numFmtId="200" formatCode="_(* #,##0.00_);_(* \(#,##0.00\);_(* &quot;-&quot;??_);_(@_)"/>
  </numFmts>
  <fonts count="98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b/>
      <sz val="10"/>
      <color theme="0"/>
      <name val="Tahoma"/>
      <family val="2"/>
      <scheme val="minor"/>
    </font>
    <font>
      <sz val="20"/>
      <color theme="0"/>
      <name val="Tahoma"/>
      <family val="2"/>
      <scheme val="minor"/>
    </font>
    <font>
      <b/>
      <sz val="9"/>
      <name val="Tahoma"/>
      <family val="2"/>
      <scheme val="min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theme="1"/>
      <name val="Arial Unicode MS"/>
      <family val="2"/>
    </font>
    <font>
      <sz val="8"/>
      <color rgb="FF0000FF"/>
      <name val="Tahoma"/>
      <family val="2"/>
      <charset val="222"/>
      <scheme val="minor"/>
    </font>
    <font>
      <sz val="8"/>
      <color theme="1"/>
      <name val="Symbol"/>
      <family val="1"/>
      <charset val="2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8"/>
      <color rgb="FF33CC33"/>
      <name val="Arial"/>
      <family val="2"/>
    </font>
    <font>
      <sz val="8"/>
      <color rgb="FF33CC33"/>
      <name val="Symbol"/>
      <family val="1"/>
      <charset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i/>
      <sz val="8"/>
      <color rgb="FF00B050"/>
      <name val="Arial"/>
      <family val="2"/>
    </font>
    <font>
      <sz val="8"/>
      <color rgb="FF0000FF"/>
      <name val="Arial"/>
      <family val="2"/>
    </font>
    <font>
      <sz val="10"/>
      <name val="Times New Roman"/>
      <family val="1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b/>
      <u/>
      <sz val="8"/>
      <color theme="1"/>
      <name val="Arial"/>
      <family val="2"/>
    </font>
    <font>
      <sz val="8"/>
      <color indexed="10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u/>
      <sz val="16"/>
      <color theme="10"/>
      <name val="AngsanaUPC"/>
      <family val="2"/>
      <charset val="222"/>
    </font>
    <font>
      <b/>
      <sz val="8"/>
      <color rgb="FFFF0000"/>
      <name val="Arial"/>
      <family val="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8"/>
      <color theme="1"/>
      <name val="Tahoma"/>
      <family val="2"/>
      <charset val="222"/>
    </font>
    <font>
      <sz val="8"/>
      <color rgb="FF000000"/>
      <name val="Symbol"/>
      <family val="1"/>
      <charset val="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b/>
      <i/>
      <sz val="18"/>
      <color rgb="FFFF0000"/>
      <name val="Arial"/>
      <family val="2"/>
    </font>
    <font>
      <sz val="12"/>
      <color rgb="FF0000FF"/>
      <name val="Arial"/>
      <family val="2"/>
    </font>
    <font>
      <u/>
      <sz val="8"/>
      <color rgb="FFFF0000"/>
      <name val="Arial"/>
      <family val="2"/>
    </font>
    <font>
      <b/>
      <sz val="12"/>
      <color rgb="FF0000FF"/>
      <name val="Arial"/>
      <family val="2"/>
    </font>
    <font>
      <sz val="10"/>
      <color theme="1"/>
      <name val="Symbol"/>
      <family val="1"/>
      <charset val="2"/>
    </font>
    <font>
      <b/>
      <sz val="12"/>
      <name val="Arial"/>
      <family val="2"/>
    </font>
    <font>
      <b/>
      <sz val="12"/>
      <color rgb="FF008000"/>
      <name val="Arial"/>
      <family val="2"/>
    </font>
    <font>
      <sz val="12"/>
      <color rgb="FF0000FF"/>
      <name val="Symbol"/>
      <family val="1"/>
      <charset val="2"/>
    </font>
    <font>
      <sz val="10"/>
      <color theme="1"/>
      <name val="AngsanaUPC"/>
      <family val="2"/>
      <charset val="222"/>
    </font>
    <font>
      <sz val="12"/>
      <color rgb="FF0070C0"/>
      <name val="Arial"/>
      <family val="2"/>
    </font>
    <font>
      <sz val="12"/>
      <color theme="1"/>
      <name val="Arial"/>
      <family val="2"/>
    </font>
    <font>
      <sz val="9"/>
      <color theme="1"/>
      <name val="Tahoma"/>
      <family val="2"/>
      <charset val="222"/>
    </font>
    <font>
      <b/>
      <sz val="11"/>
      <color theme="1"/>
      <name val="Tahoma"/>
      <family val="2"/>
    </font>
    <font>
      <vertAlign val="superscript"/>
      <sz val="8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sz val="8"/>
      <color rgb="FF0000FF"/>
      <name val="Tahoma"/>
      <family val="2"/>
      <charset val="22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u/>
      <sz val="11"/>
      <color theme="1"/>
      <name val="Tahoma"/>
      <family val="2"/>
      <charset val="222"/>
    </font>
    <font>
      <sz val="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</fills>
  <borders count="8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medium">
        <color theme="0" tint="-0.499984740745262"/>
      </right>
      <top/>
      <bottom/>
      <diagonal/>
    </border>
    <border>
      <left/>
      <right style="thin">
        <color theme="0" tint="-0.24994659260841701"/>
      </right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/>
      <top style="thin">
        <color theme="0" tint="-0.24994659260841701"/>
      </top>
      <bottom style="thin">
        <color theme="1" tint="0.34998626667073579"/>
      </bottom>
      <diagonal/>
    </border>
    <border>
      <left style="thin">
        <color theme="0" tint="-0.24994659260841701"/>
      </left>
      <right/>
      <top/>
      <bottom style="thin">
        <color theme="1" tint="0.34998626667073579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50" fillId="0" borderId="0"/>
    <xf numFmtId="200" fontId="95" fillId="0" borderId="0" applyFont="0" applyFill="0" applyBorder="0" applyAlignment="0" applyProtection="0"/>
  </cellStyleXfs>
  <cellXfs count="688">
    <xf numFmtId="0" fontId="0" fillId="0" borderId="0" xfId="0"/>
    <xf numFmtId="0" fontId="25" fillId="0" borderId="0" xfId="0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12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189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0" fillId="0" borderId="0" xfId="0" applyFont="1" applyFill="1" applyBorder="1" applyProtection="1"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51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/>
      <protection hidden="1"/>
    </xf>
    <xf numFmtId="187" fontId="8" fillId="0" borderId="0" xfId="0" applyNumberFormat="1" applyFont="1" applyFill="1" applyBorder="1" applyAlignment="1" applyProtection="1">
      <protection hidden="1"/>
    </xf>
    <xf numFmtId="0" fontId="55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51" fillId="0" borderId="0" xfId="0" quotePrefix="1" applyFont="1" applyFill="1" applyBorder="1" applyAlignment="1" applyProtection="1">
      <alignment horizontal="left"/>
      <protection hidden="1"/>
    </xf>
    <xf numFmtId="0" fontId="0" fillId="4" borderId="0" xfId="0" applyFill="1" applyProtection="1">
      <protection hidden="1"/>
    </xf>
    <xf numFmtId="0" fontId="0" fillId="4" borderId="18" xfId="0" applyFill="1" applyBorder="1" applyProtection="1">
      <protection hidden="1"/>
    </xf>
    <xf numFmtId="0" fontId="0" fillId="4" borderId="22" xfId="0" applyFill="1" applyBorder="1" applyProtection="1">
      <protection hidden="1"/>
    </xf>
    <xf numFmtId="0" fontId="0" fillId="4" borderId="21" xfId="0" applyFill="1" applyBorder="1" applyProtection="1">
      <protection hidden="1"/>
    </xf>
    <xf numFmtId="0" fontId="0" fillId="4" borderId="24" xfId="0" applyFill="1" applyBorder="1" applyProtection="1">
      <protection hidden="1"/>
    </xf>
    <xf numFmtId="0" fontId="0" fillId="4" borderId="19" xfId="0" applyFill="1" applyBorder="1" applyProtection="1">
      <protection hidden="1"/>
    </xf>
    <xf numFmtId="0" fontId="0" fillId="4" borderId="20" xfId="0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4" borderId="23" xfId="0" applyFill="1" applyBorder="1" applyProtection="1">
      <protection hidden="1"/>
    </xf>
    <xf numFmtId="0" fontId="16" fillId="4" borderId="0" xfId="0" applyFont="1" applyFill="1" applyBorder="1" applyAlignment="1" applyProtection="1">
      <alignment vertical="center"/>
      <protection hidden="1"/>
    </xf>
    <xf numFmtId="0" fontId="27" fillId="4" borderId="0" xfId="0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vertical="center"/>
      <protection hidden="1"/>
    </xf>
    <xf numFmtId="0" fontId="20" fillId="4" borderId="0" xfId="0" applyFont="1" applyFill="1" applyBorder="1" applyAlignment="1" applyProtection="1">
      <alignment vertical="center"/>
      <protection hidden="1"/>
    </xf>
    <xf numFmtId="0" fontId="0" fillId="4" borderId="43" xfId="0" applyFill="1" applyBorder="1" applyProtection="1">
      <protection hidden="1"/>
    </xf>
    <xf numFmtId="0" fontId="27" fillId="4" borderId="43" xfId="0" applyFont="1" applyFill="1" applyBorder="1" applyAlignment="1" applyProtection="1">
      <alignment vertical="center"/>
      <protection hidden="1"/>
    </xf>
    <xf numFmtId="0" fontId="20" fillId="4" borderId="0" xfId="0" applyFont="1" applyFill="1" applyBorder="1" applyAlignment="1" applyProtection="1">
      <alignment horizontal="right" vertical="center"/>
      <protection hidden="1"/>
    </xf>
    <xf numFmtId="0" fontId="13" fillId="4" borderId="23" xfId="0" applyFont="1" applyFill="1" applyBorder="1" applyAlignment="1" applyProtection="1">
      <alignment vertical="center"/>
      <protection hidden="1"/>
    </xf>
    <xf numFmtId="0" fontId="13" fillId="4" borderId="24" xfId="0" applyFont="1" applyFill="1" applyBorder="1" applyAlignment="1" applyProtection="1">
      <alignment vertical="center"/>
      <protection hidden="1"/>
    </xf>
    <xf numFmtId="0" fontId="0" fillId="4" borderId="17" xfId="0" applyFill="1" applyBorder="1" applyProtection="1">
      <protection hidden="1"/>
    </xf>
    <xf numFmtId="0" fontId="1" fillId="4" borderId="0" xfId="0" applyFont="1" applyFill="1" applyBorder="1" applyAlignment="1" applyProtection="1">
      <alignment vertical="center"/>
      <protection hidden="1"/>
    </xf>
    <xf numFmtId="0" fontId="0" fillId="5" borderId="46" xfId="0" applyFill="1" applyBorder="1" applyProtection="1">
      <protection hidden="1"/>
    </xf>
    <xf numFmtId="0" fontId="1" fillId="5" borderId="0" xfId="0" applyFont="1" applyFill="1" applyBorder="1" applyAlignment="1" applyProtection="1">
      <alignment vertical="center"/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0" fillId="5" borderId="47" xfId="0" applyFill="1" applyBorder="1" applyProtection="1">
      <protection hidden="1"/>
    </xf>
    <xf numFmtId="0" fontId="62" fillId="4" borderId="23" xfId="0" applyFont="1" applyFill="1" applyBorder="1" applyAlignment="1" applyProtection="1">
      <alignment horizontal="left" vertical="center"/>
      <protection hidden="1"/>
    </xf>
    <xf numFmtId="0" fontId="32" fillId="0" borderId="0" xfId="0" applyFont="1" applyFill="1" applyBorder="1" applyAlignment="1" applyProtection="1">
      <alignment horizontal="left" vertical="center"/>
      <protection hidden="1"/>
    </xf>
    <xf numFmtId="0" fontId="0" fillId="5" borderId="48" xfId="0" applyFill="1" applyBorder="1" applyProtection="1">
      <protection hidden="1"/>
    </xf>
    <xf numFmtId="0" fontId="0" fillId="5" borderId="14" xfId="0" applyFill="1" applyBorder="1" applyProtection="1">
      <protection hidden="1"/>
    </xf>
    <xf numFmtId="0" fontId="0" fillId="5" borderId="12" xfId="0" applyFill="1" applyBorder="1" applyProtection="1">
      <protection hidden="1"/>
    </xf>
    <xf numFmtId="0" fontId="0" fillId="5" borderId="13" xfId="0" applyFill="1" applyBorder="1" applyProtection="1">
      <protection hidden="1"/>
    </xf>
    <xf numFmtId="0" fontId="17" fillId="4" borderId="0" xfId="0" applyFont="1" applyFill="1" applyBorder="1" applyAlignment="1" applyProtection="1">
      <alignment vertical="center" textRotation="90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/>
      <protection hidden="1"/>
    </xf>
    <xf numFmtId="0" fontId="20" fillId="5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vertical="center"/>
      <protection hidden="1"/>
    </xf>
    <xf numFmtId="0" fontId="4" fillId="5" borderId="0" xfId="0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vertical="center"/>
      <protection hidden="1"/>
    </xf>
    <xf numFmtId="0" fontId="16" fillId="5" borderId="0" xfId="0" applyFont="1" applyFill="1" applyBorder="1" applyAlignment="1" applyProtection="1">
      <alignment vertical="center"/>
      <protection hidden="1"/>
    </xf>
    <xf numFmtId="0" fontId="11" fillId="5" borderId="0" xfId="0" applyFont="1" applyFill="1" applyBorder="1" applyAlignment="1" applyProtection="1">
      <alignment vertical="center"/>
      <protection hidden="1"/>
    </xf>
    <xf numFmtId="0" fontId="37" fillId="5" borderId="0" xfId="0" applyFont="1" applyFill="1" applyBorder="1" applyAlignment="1" applyProtection="1">
      <alignment horizontal="left" vertical="center"/>
      <protection hidden="1"/>
    </xf>
    <xf numFmtId="0" fontId="35" fillId="5" borderId="0" xfId="0" applyFont="1" applyFill="1" applyBorder="1" applyAlignment="1" applyProtection="1">
      <alignment vertical="center"/>
      <protection hidden="1"/>
    </xf>
    <xf numFmtId="0" fontId="34" fillId="5" borderId="0" xfId="0" applyFont="1" applyFill="1" applyBorder="1" applyAlignment="1" applyProtection="1">
      <alignment horizontal="left" vertical="center"/>
      <protection hidden="1"/>
    </xf>
    <xf numFmtId="0" fontId="23" fillId="5" borderId="0" xfId="0" applyFont="1" applyFill="1" applyBorder="1" applyAlignment="1" applyProtection="1">
      <alignment horizontal="left" vertical="center"/>
      <protection hidden="1"/>
    </xf>
    <xf numFmtId="0" fontId="25" fillId="5" borderId="0" xfId="0" applyFont="1" applyFill="1" applyBorder="1" applyAlignment="1" applyProtection="1">
      <alignment horizontal="left" vertical="center"/>
      <protection hidden="1"/>
    </xf>
    <xf numFmtId="0" fontId="23" fillId="5" borderId="0" xfId="0" applyFont="1" applyFill="1" applyBorder="1" applyAlignment="1" applyProtection="1">
      <alignment vertical="center"/>
      <protection hidden="1"/>
    </xf>
    <xf numFmtId="0" fontId="3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0" fontId="4" fillId="4" borderId="0" xfId="0" applyFont="1" applyFill="1" applyBorder="1" applyAlignment="1" applyProtection="1">
      <alignment vertical="center"/>
      <protection hidden="1"/>
    </xf>
    <xf numFmtId="0" fontId="0" fillId="5" borderId="45" xfId="0" applyFill="1" applyBorder="1" applyProtection="1">
      <protection hidden="1"/>
    </xf>
    <xf numFmtId="0" fontId="4" fillId="5" borderId="14" xfId="0" applyFont="1" applyFill="1" applyBorder="1" applyAlignment="1" applyProtection="1">
      <alignment vertical="center"/>
      <protection hidden="1"/>
    </xf>
    <xf numFmtId="0" fontId="0" fillId="5" borderId="49" xfId="0" applyFill="1" applyBorder="1" applyProtection="1"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20" fillId="4" borderId="17" xfId="0" applyFont="1" applyFill="1" applyBorder="1" applyAlignment="1" applyProtection="1">
      <alignment vertical="center"/>
      <protection hidden="1"/>
    </xf>
    <xf numFmtId="0" fontId="20" fillId="4" borderId="18" xfId="0" applyFont="1" applyFill="1" applyBorder="1" applyAlignment="1" applyProtection="1">
      <alignment vertical="center"/>
      <protection hidden="1"/>
    </xf>
    <xf numFmtId="0" fontId="20" fillId="4" borderId="20" xfId="0" applyFont="1" applyFill="1" applyBorder="1" applyAlignment="1" applyProtection="1">
      <alignment vertical="center"/>
      <protection hidden="1"/>
    </xf>
    <xf numFmtId="0" fontId="29" fillId="4" borderId="20" xfId="0" applyFont="1" applyFill="1" applyBorder="1" applyAlignment="1" applyProtection="1">
      <alignment vertical="center"/>
      <protection hidden="1"/>
    </xf>
    <xf numFmtId="0" fontId="20" fillId="4" borderId="22" xfId="0" applyFont="1" applyFill="1" applyBorder="1" applyAlignment="1" applyProtection="1">
      <alignment vertical="center"/>
      <protection hidden="1"/>
    </xf>
    <xf numFmtId="0" fontId="20" fillId="4" borderId="23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protection hidden="1"/>
    </xf>
    <xf numFmtId="0" fontId="3" fillId="4" borderId="18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4" borderId="0" xfId="0" applyFill="1" applyBorder="1" applyAlignment="1" applyProtection="1">
      <alignment vertical="center"/>
      <protection hidden="1"/>
    </xf>
    <xf numFmtId="0" fontId="0" fillId="4" borderId="21" xfId="0" applyFill="1" applyBorder="1" applyAlignment="1" applyProtection="1">
      <alignment vertical="center"/>
      <protection hidden="1"/>
    </xf>
    <xf numFmtId="0" fontId="0" fillId="0" borderId="14" xfId="0" applyFill="1" applyBorder="1" applyProtection="1">
      <protection hidden="1"/>
    </xf>
    <xf numFmtId="0" fontId="30" fillId="0" borderId="0" xfId="0" applyFont="1" applyFill="1" applyBorder="1" applyAlignment="1" applyProtection="1">
      <alignment horizontal="left" vertical="center"/>
      <protection hidden="1"/>
    </xf>
    <xf numFmtId="2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20" fillId="0" borderId="0" xfId="0" applyFont="1" applyFill="1" applyAlignment="1" applyProtection="1">
      <alignment horizontal="left" vertical="center"/>
      <protection hidden="1"/>
    </xf>
    <xf numFmtId="0" fontId="20" fillId="0" borderId="0" xfId="0" applyFont="1" applyFill="1" applyAlignment="1" applyProtection="1">
      <alignment vertical="center"/>
      <protection hidden="1"/>
    </xf>
    <xf numFmtId="0" fontId="8" fillId="0" borderId="0" xfId="0" applyFont="1" applyFill="1" applyProtection="1">
      <protection hidden="1"/>
    </xf>
    <xf numFmtId="0" fontId="32" fillId="5" borderId="0" xfId="0" applyFont="1" applyFill="1" applyBorder="1" applyAlignment="1" applyProtection="1">
      <alignment horizontal="left" vertical="center"/>
      <protection hidden="1"/>
    </xf>
    <xf numFmtId="0" fontId="27" fillId="5" borderId="0" xfId="0" applyFont="1" applyFill="1" applyBorder="1" applyAlignment="1" applyProtection="1">
      <alignment horizontal="left" vertical="center"/>
      <protection hidden="1"/>
    </xf>
    <xf numFmtId="0" fontId="29" fillId="5" borderId="0" xfId="0" applyFont="1" applyFill="1" applyBorder="1" applyAlignment="1" applyProtection="1">
      <alignment vertical="center"/>
      <protection hidden="1"/>
    </xf>
    <xf numFmtId="0" fontId="67" fillId="5" borderId="0" xfId="0" applyFont="1" applyFill="1" applyBorder="1" applyAlignment="1" applyProtection="1">
      <alignment horizontal="left" vertical="center"/>
      <protection hidden="1"/>
    </xf>
    <xf numFmtId="2" fontId="65" fillId="5" borderId="0" xfId="0" applyNumberFormat="1" applyFont="1" applyFill="1" applyBorder="1" applyAlignment="1" applyProtection="1">
      <alignment vertical="center"/>
      <protection hidden="1"/>
    </xf>
    <xf numFmtId="0" fontId="65" fillId="5" borderId="0" xfId="0" applyFont="1" applyFill="1" applyBorder="1" applyAlignment="1" applyProtection="1">
      <alignment vertical="center"/>
      <protection hidden="1"/>
    </xf>
    <xf numFmtId="0" fontId="12" fillId="0" borderId="0" xfId="0" quotePrefix="1" applyFont="1" applyFill="1" applyBorder="1" applyAlignment="1" applyProtection="1">
      <alignment vertical="center"/>
      <protection hidden="1"/>
    </xf>
    <xf numFmtId="0" fontId="24" fillId="4" borderId="21" xfId="0" applyFont="1" applyFill="1" applyBorder="1" applyAlignment="1" applyProtection="1">
      <alignment vertical="center"/>
      <protection hidden="1"/>
    </xf>
    <xf numFmtId="0" fontId="63" fillId="0" borderId="0" xfId="0" applyFont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vertical="center"/>
      <protection hidden="1"/>
    </xf>
    <xf numFmtId="0" fontId="13" fillId="5" borderId="5" xfId="0" applyFont="1" applyFill="1" applyBorder="1" applyAlignment="1" applyProtection="1">
      <alignment horizontal="left" vertical="center"/>
      <protection hidden="1"/>
    </xf>
    <xf numFmtId="0" fontId="11" fillId="5" borderId="5" xfId="0" applyFont="1" applyFill="1" applyBorder="1" applyAlignment="1" applyProtection="1">
      <alignment vertical="center"/>
      <protection hidden="1"/>
    </xf>
    <xf numFmtId="0" fontId="11" fillId="5" borderId="5" xfId="0" applyFont="1" applyFill="1" applyBorder="1" applyProtection="1">
      <protection hidden="1"/>
    </xf>
    <xf numFmtId="0" fontId="13" fillId="5" borderId="8" xfId="0" applyFont="1" applyFill="1" applyBorder="1" applyAlignment="1" applyProtection="1">
      <alignment horizontal="left" vertical="center"/>
      <protection hidden="1"/>
    </xf>
    <xf numFmtId="0" fontId="11" fillId="5" borderId="8" xfId="0" applyFont="1" applyFill="1" applyBorder="1" applyAlignment="1" applyProtection="1">
      <alignment vertical="center"/>
      <protection hidden="1"/>
    </xf>
    <xf numFmtId="0" fontId="11" fillId="5" borderId="8" xfId="0" applyFont="1" applyFill="1" applyBorder="1" applyProtection="1">
      <protection hidden="1"/>
    </xf>
    <xf numFmtId="0" fontId="11" fillId="5" borderId="53" xfId="0" applyFont="1" applyFill="1" applyBorder="1" applyAlignment="1" applyProtection="1">
      <alignment vertical="center"/>
      <protection hidden="1"/>
    </xf>
    <xf numFmtId="0" fontId="11" fillId="5" borderId="53" xfId="0" applyFont="1" applyFill="1" applyBorder="1" applyProtection="1">
      <protection hidden="1"/>
    </xf>
    <xf numFmtId="0" fontId="13" fillId="5" borderId="53" xfId="0" applyFont="1" applyFill="1" applyBorder="1" applyAlignment="1" applyProtection="1">
      <alignment horizontal="left" vertical="center"/>
      <protection hidden="1"/>
    </xf>
    <xf numFmtId="0" fontId="11" fillId="6" borderId="53" xfId="0" applyFont="1" applyFill="1" applyBorder="1" applyAlignment="1" applyProtection="1">
      <alignment vertical="center"/>
      <protection hidden="1"/>
    </xf>
    <xf numFmtId="0" fontId="11" fillId="6" borderId="55" xfId="0" applyFont="1" applyFill="1" applyBorder="1" applyAlignment="1" applyProtection="1">
      <alignment vertical="center"/>
      <protection hidden="1"/>
    </xf>
    <xf numFmtId="0" fontId="18" fillId="6" borderId="58" xfId="0" applyFont="1" applyFill="1" applyBorder="1" applyAlignment="1" applyProtection="1">
      <alignment horizontal="left" vertical="center"/>
      <protection hidden="1"/>
    </xf>
    <xf numFmtId="0" fontId="11" fillId="6" borderId="53" xfId="0" applyFont="1" applyFill="1" applyBorder="1" applyProtection="1">
      <protection hidden="1"/>
    </xf>
    <xf numFmtId="0" fontId="11" fillId="6" borderId="5" xfId="0" applyFont="1" applyFill="1" applyBorder="1" applyAlignment="1" applyProtection="1">
      <alignment vertical="center"/>
      <protection hidden="1"/>
    </xf>
    <xf numFmtId="0" fontId="11" fillId="6" borderId="54" xfId="0" applyFont="1" applyFill="1" applyBorder="1" applyAlignment="1" applyProtection="1">
      <alignment vertical="center"/>
      <protection hidden="1"/>
    </xf>
    <xf numFmtId="0" fontId="5" fillId="6" borderId="57" xfId="0" applyFont="1" applyFill="1" applyBorder="1" applyAlignment="1" applyProtection="1">
      <alignment vertical="center"/>
      <protection hidden="1"/>
    </xf>
    <xf numFmtId="0" fontId="11" fillId="6" borderId="5" xfId="0" applyFont="1" applyFill="1" applyBorder="1" applyProtection="1">
      <protection hidden="1"/>
    </xf>
    <xf numFmtId="0" fontId="11" fillId="6" borderId="8" xfId="0" applyFont="1" applyFill="1" applyBorder="1" applyAlignment="1" applyProtection="1">
      <alignment vertical="center"/>
      <protection hidden="1"/>
    </xf>
    <xf numFmtId="0" fontId="11" fillId="6" borderId="56" xfId="0" applyFont="1" applyFill="1" applyBorder="1" applyAlignment="1" applyProtection="1">
      <alignment vertical="center"/>
      <protection hidden="1"/>
    </xf>
    <xf numFmtId="0" fontId="18" fillId="6" borderId="59" xfId="0" applyFont="1" applyFill="1" applyBorder="1" applyAlignment="1" applyProtection="1">
      <alignment horizontal="left" vertical="center"/>
      <protection hidden="1"/>
    </xf>
    <xf numFmtId="0" fontId="11" fillId="6" borderId="8" xfId="0" applyFont="1" applyFill="1" applyBorder="1" applyProtection="1">
      <protection hidden="1"/>
    </xf>
    <xf numFmtId="0" fontId="0" fillId="6" borderId="0" xfId="0" applyFill="1" applyBorder="1" applyProtection="1">
      <protection hidden="1"/>
    </xf>
    <xf numFmtId="188" fontId="12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2" fontId="66" fillId="5" borderId="0" xfId="0" applyNumberFormat="1" applyFont="1" applyFill="1" applyBorder="1" applyAlignment="1" applyProtection="1">
      <alignment vertical="center"/>
      <protection hidden="1"/>
    </xf>
    <xf numFmtId="0" fontId="29" fillId="4" borderId="0" xfId="0" applyFont="1" applyFill="1" applyBorder="1" applyAlignment="1" applyProtection="1">
      <alignment vertical="center"/>
      <protection hidden="1"/>
    </xf>
    <xf numFmtId="189" fontId="65" fillId="5" borderId="0" xfId="0" applyNumberFormat="1" applyFont="1" applyFill="1" applyBorder="1" applyAlignment="1" applyProtection="1">
      <alignment vertical="center"/>
      <protection hidden="1"/>
    </xf>
    <xf numFmtId="2" fontId="20" fillId="5" borderId="0" xfId="0" applyNumberFormat="1" applyFont="1" applyFill="1" applyBorder="1" applyAlignment="1" applyProtection="1">
      <alignment vertical="center"/>
      <protection hidden="1"/>
    </xf>
    <xf numFmtId="2" fontId="13" fillId="5" borderId="0" xfId="0" applyNumberFormat="1" applyFont="1" applyFill="1" applyBorder="1" applyAlignment="1" applyProtection="1">
      <alignment vertical="center"/>
      <protection hidden="1"/>
    </xf>
    <xf numFmtId="189" fontId="20" fillId="5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4" borderId="19" xfId="0" applyFont="1" applyFill="1" applyBorder="1" applyAlignment="1" applyProtection="1">
      <alignment vertical="center"/>
      <protection hidden="1"/>
    </xf>
    <xf numFmtId="0" fontId="20" fillId="4" borderId="21" xfId="0" applyFont="1" applyFill="1" applyBorder="1" applyAlignment="1" applyProtection="1">
      <alignment vertical="center"/>
      <protection hidden="1"/>
    </xf>
    <xf numFmtId="0" fontId="20" fillId="4" borderId="24" xfId="0" applyFont="1" applyFill="1" applyBorder="1" applyAlignment="1" applyProtection="1">
      <alignment vertical="center"/>
      <protection hidden="1"/>
    </xf>
    <xf numFmtId="190" fontId="9" fillId="0" borderId="0" xfId="0" applyNumberFormat="1" applyFont="1" applyFill="1" applyBorder="1" applyAlignment="1" applyProtection="1"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alignment vertical="center"/>
      <protection hidden="1"/>
    </xf>
    <xf numFmtId="0" fontId="20" fillId="4" borderId="0" xfId="0" applyFont="1" applyFill="1" applyAlignment="1" applyProtection="1">
      <alignment vertical="center"/>
      <protection hidden="1"/>
    </xf>
    <xf numFmtId="0" fontId="44" fillId="0" borderId="0" xfId="0" applyFont="1" applyFill="1" applyBorder="1" applyAlignment="1" applyProtection="1">
      <protection hidden="1"/>
    </xf>
    <xf numFmtId="0" fontId="41" fillId="0" borderId="0" xfId="0" applyFont="1" applyFill="1" applyBorder="1" applyAlignment="1" applyProtection="1">
      <alignment vertical="center" textRotation="90"/>
      <protection hidden="1"/>
    </xf>
    <xf numFmtId="0" fontId="8" fillId="0" borderId="0" xfId="0" applyFont="1" applyFill="1" applyBorder="1" applyAlignment="1" applyProtection="1">
      <protection hidden="1"/>
    </xf>
    <xf numFmtId="188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188" fontId="49" fillId="0" borderId="0" xfId="0" applyNumberFormat="1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alignment vertical="center"/>
      <protection hidden="1"/>
    </xf>
    <xf numFmtId="0" fontId="49" fillId="4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45" fillId="0" borderId="0" xfId="0" applyFont="1" applyFill="1" applyBorder="1" applyAlignment="1" applyProtection="1">
      <alignment vertical="center"/>
      <protection hidden="1"/>
    </xf>
    <xf numFmtId="194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2" fontId="15" fillId="0" borderId="0" xfId="0" applyNumberFormat="1" applyFont="1" applyFill="1" applyBorder="1" applyAlignment="1" applyProtection="1">
      <protection hidden="1"/>
    </xf>
    <xf numFmtId="2" fontId="51" fillId="0" borderId="0" xfId="0" applyNumberFormat="1" applyFont="1" applyFill="1" applyBorder="1" applyAlignment="1" applyProtection="1">
      <protection hidden="1"/>
    </xf>
    <xf numFmtId="0" fontId="51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53" fillId="0" borderId="0" xfId="0" applyFont="1" applyFill="1" applyBorder="1" applyAlignment="1" applyProtection="1">
      <alignment horizontal="left"/>
      <protection hidden="1"/>
    </xf>
    <xf numFmtId="0" fontId="51" fillId="0" borderId="0" xfId="0" applyFont="1" applyFill="1" applyBorder="1" applyAlignment="1" applyProtection="1">
      <alignment horizontal="left"/>
      <protection hidden="1"/>
    </xf>
    <xf numFmtId="2" fontId="49" fillId="0" borderId="0" xfId="0" applyNumberFormat="1" applyFont="1" applyFill="1" applyBorder="1" applyAlignment="1" applyProtection="1">
      <alignment vertical="center"/>
      <protection hidden="1"/>
    </xf>
    <xf numFmtId="0" fontId="51" fillId="0" borderId="0" xfId="0" applyFont="1" applyFill="1" applyBorder="1" applyAlignment="1" applyProtection="1">
      <protection hidden="1"/>
    </xf>
    <xf numFmtId="2" fontId="51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89" fontId="10" fillId="0" borderId="0" xfId="0" applyNumberFormat="1" applyFont="1" applyAlignment="1" applyProtection="1">
      <protection hidden="1"/>
    </xf>
    <xf numFmtId="1" fontId="12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protection hidden="1"/>
    </xf>
    <xf numFmtId="189" fontId="51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Alignment="1" applyProtection="1">
      <protection hidden="1"/>
    </xf>
    <xf numFmtId="189" fontId="10" fillId="0" borderId="0" xfId="0" applyNumberFormat="1" applyFont="1" applyFill="1" applyAlignment="1" applyProtection="1">
      <protection hidden="1"/>
    </xf>
    <xf numFmtId="0" fontId="21" fillId="0" borderId="0" xfId="0" applyFont="1" applyAlignment="1" applyProtection="1">
      <alignment vertical="center"/>
      <protection hidden="1"/>
    </xf>
    <xf numFmtId="1" fontId="51" fillId="0" borderId="0" xfId="0" applyNumberFormat="1" applyFont="1" applyFill="1" applyBorder="1" applyAlignment="1" applyProtection="1">
      <alignment horizontal="left" vertical="center"/>
      <protection hidden="1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  <xf numFmtId="1" fontId="12" fillId="0" borderId="0" xfId="0" applyNumberFormat="1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Protection="1">
      <protection hidden="1"/>
    </xf>
    <xf numFmtId="2" fontId="56" fillId="0" borderId="0" xfId="0" applyNumberFormat="1" applyFont="1" applyBorder="1" applyAlignment="1" applyProtection="1">
      <protection hidden="1"/>
    </xf>
    <xf numFmtId="2" fontId="10" fillId="0" borderId="0" xfId="0" applyNumberFormat="1" applyFont="1" applyBorder="1" applyAlignment="1" applyProtection="1">
      <alignment vertical="center"/>
      <protection hidden="1"/>
    </xf>
    <xf numFmtId="189" fontId="10" fillId="0" borderId="0" xfId="0" applyNumberFormat="1" applyFont="1" applyFill="1" applyBorder="1" applyAlignment="1" applyProtection="1">
      <protection hidden="1"/>
    </xf>
    <xf numFmtId="0" fontId="20" fillId="0" borderId="4" xfId="0" applyFont="1" applyBorder="1" applyAlignment="1" applyProtection="1">
      <alignment vertical="center"/>
      <protection hidden="1"/>
    </xf>
    <xf numFmtId="1" fontId="20" fillId="0" borderId="5" xfId="0" applyNumberFormat="1" applyFont="1" applyBorder="1" applyAlignment="1" applyProtection="1">
      <alignment vertical="center"/>
      <protection hidden="1"/>
    </xf>
    <xf numFmtId="1" fontId="20" fillId="0" borderId="6" xfId="0" applyNumberFormat="1" applyFont="1" applyBorder="1" applyAlignment="1" applyProtection="1">
      <alignment vertical="center"/>
      <protection hidden="1"/>
    </xf>
    <xf numFmtId="0" fontId="20" fillId="0" borderId="7" xfId="0" applyFont="1" applyBorder="1" applyAlignment="1" applyProtection="1">
      <alignment vertical="center"/>
      <protection hidden="1"/>
    </xf>
    <xf numFmtId="0" fontId="20" fillId="0" borderId="8" xfId="0" applyNumberFormat="1" applyFont="1" applyBorder="1" applyAlignment="1" applyProtection="1">
      <alignment vertical="center"/>
      <protection hidden="1"/>
    </xf>
    <xf numFmtId="0" fontId="20" fillId="0" borderId="9" xfId="0" applyFont="1" applyBorder="1" applyAlignment="1" applyProtection="1">
      <alignment vertical="center"/>
      <protection hidden="1"/>
    </xf>
    <xf numFmtId="1" fontId="20" fillId="0" borderId="8" xfId="0" applyNumberFormat="1" applyFont="1" applyBorder="1" applyAlignment="1" applyProtection="1">
      <alignment vertical="center"/>
      <protection hidden="1"/>
    </xf>
    <xf numFmtId="1" fontId="20" fillId="0" borderId="9" xfId="0" applyNumberFormat="1" applyFont="1" applyBorder="1" applyAlignment="1" applyProtection="1">
      <alignment vertical="center"/>
      <protection hidden="1"/>
    </xf>
    <xf numFmtId="0" fontId="20" fillId="0" borderId="8" xfId="0" applyFont="1" applyBorder="1" applyAlignment="1" applyProtection="1">
      <alignment vertical="center"/>
      <protection hidden="1"/>
    </xf>
    <xf numFmtId="0" fontId="20" fillId="0" borderId="5" xfId="0" applyFont="1" applyBorder="1" applyAlignment="1" applyProtection="1">
      <alignment vertical="center"/>
      <protection hidden="1"/>
    </xf>
    <xf numFmtId="0" fontId="20" fillId="0" borderId="6" xfId="0" applyFont="1" applyBorder="1" applyAlignment="1" applyProtection="1">
      <alignment vertical="center"/>
      <protection hidden="1"/>
    </xf>
    <xf numFmtId="195" fontId="51" fillId="0" borderId="0" xfId="0" applyNumberFormat="1" applyFont="1" applyFill="1" applyBorder="1" applyAlignment="1" applyProtection="1">
      <alignment vertical="center"/>
      <protection hidden="1"/>
    </xf>
    <xf numFmtId="0" fontId="76" fillId="0" borderId="0" xfId="0" applyFont="1" applyFill="1" applyBorder="1" applyAlignment="1" applyProtection="1">
      <alignment vertical="center"/>
      <protection hidden="1"/>
    </xf>
    <xf numFmtId="2" fontId="8" fillId="0" borderId="0" xfId="0" applyNumberFormat="1" applyFont="1" applyFill="1" applyBorder="1" applyAlignment="1" applyProtection="1">
      <alignment vertical="center"/>
      <protection hidden="1"/>
    </xf>
    <xf numFmtId="190" fontId="51" fillId="0" borderId="0" xfId="0" applyNumberFormat="1" applyFont="1" applyFill="1" applyBorder="1" applyAlignment="1" applyProtection="1">
      <alignment vertical="center"/>
      <protection hidden="1"/>
    </xf>
    <xf numFmtId="0" fontId="65" fillId="4" borderId="30" xfId="0" applyFont="1" applyFill="1" applyBorder="1" applyAlignment="1" applyProtection="1">
      <alignment horizontal="right" vertical="center"/>
      <protection hidden="1"/>
    </xf>
    <xf numFmtId="0" fontId="45" fillId="0" borderId="0" xfId="0" applyFont="1" applyFill="1" applyBorder="1" applyAlignment="1" applyProtection="1">
      <alignment horizontal="left" vertical="center"/>
      <protection hidden="1"/>
    </xf>
    <xf numFmtId="2" fontId="77" fillId="0" borderId="0" xfId="0" applyNumberFormat="1" applyFont="1" applyFill="1" applyBorder="1" applyAlignment="1" applyProtection="1">
      <alignment textRotation="90"/>
      <protection hidden="1"/>
    </xf>
    <xf numFmtId="189" fontId="10" fillId="0" borderId="0" xfId="0" applyNumberFormat="1" applyFont="1" applyFill="1" applyBorder="1" applyAlignment="1" applyProtection="1">
      <alignment vertical="center"/>
      <protection hidden="1"/>
    </xf>
    <xf numFmtId="0" fontId="63" fillId="4" borderId="0" xfId="0" applyFont="1" applyFill="1" applyBorder="1" applyAlignment="1" applyProtection="1">
      <alignment horizontal="left" vertical="center"/>
      <protection hidden="1"/>
    </xf>
    <xf numFmtId="0" fontId="20" fillId="4" borderId="5" xfId="0" applyFont="1" applyFill="1" applyBorder="1" applyAlignment="1" applyProtection="1">
      <alignment vertical="center"/>
      <protection hidden="1"/>
    </xf>
    <xf numFmtId="0" fontId="10" fillId="4" borderId="0" xfId="0" applyFont="1" applyFill="1" applyBorder="1" applyAlignment="1" applyProtection="1">
      <alignment vertical="center"/>
      <protection hidden="1"/>
    </xf>
    <xf numFmtId="0" fontId="75" fillId="4" borderId="0" xfId="0" applyFont="1" applyFill="1" applyBorder="1" applyAlignment="1" applyProtection="1">
      <alignment vertical="center"/>
      <protection hidden="1"/>
    </xf>
    <xf numFmtId="2" fontId="65" fillId="4" borderId="0" xfId="0" applyNumberFormat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vertical="center"/>
      <protection hidden="1"/>
    </xf>
    <xf numFmtId="188" fontId="20" fillId="4" borderId="0" xfId="0" applyNumberFormat="1" applyFont="1" applyFill="1" applyBorder="1" applyAlignment="1" applyProtection="1">
      <alignment vertical="center"/>
      <protection hidden="1"/>
    </xf>
    <xf numFmtId="2" fontId="20" fillId="4" borderId="0" xfId="0" applyNumberFormat="1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protection hidden="1"/>
    </xf>
    <xf numFmtId="0" fontId="0" fillId="0" borderId="36" xfId="0" applyFill="1" applyBorder="1" applyProtection="1">
      <protection hidden="1"/>
    </xf>
    <xf numFmtId="0" fontId="3" fillId="4" borderId="21" xfId="0" applyFont="1" applyFill="1" applyBorder="1" applyAlignment="1" applyProtection="1">
      <alignment vertical="center"/>
      <protection hidden="1"/>
    </xf>
    <xf numFmtId="0" fontId="3" fillId="0" borderId="34" xfId="0" applyFont="1" applyFill="1" applyBorder="1" applyAlignment="1" applyProtection="1">
      <alignment vertical="center"/>
      <protection hidden="1"/>
    </xf>
    <xf numFmtId="0" fontId="0" fillId="0" borderId="34" xfId="0" applyFill="1" applyBorder="1" applyProtection="1">
      <protection hidden="1"/>
    </xf>
    <xf numFmtId="0" fontId="0" fillId="4" borderId="0" xfId="0" applyFill="1" applyBorder="1" applyAlignment="1" applyProtection="1">
      <alignment horizontal="left" vertical="center"/>
      <protection hidden="1"/>
    </xf>
    <xf numFmtId="0" fontId="20" fillId="4" borderId="0" xfId="0" applyFont="1" applyFill="1" applyBorder="1" applyProtection="1">
      <protection hidden="1"/>
    </xf>
    <xf numFmtId="0" fontId="11" fillId="4" borderId="0" xfId="0" applyFont="1" applyFill="1" applyBorder="1" applyProtection="1">
      <protection hidden="1"/>
    </xf>
    <xf numFmtId="0" fontId="23" fillId="4" borderId="0" xfId="0" applyFont="1" applyFill="1" applyBorder="1" applyAlignment="1" applyProtection="1">
      <alignment horizontal="left" vertical="center"/>
      <protection hidden="1"/>
    </xf>
    <xf numFmtId="0" fontId="75" fillId="0" borderId="0" xfId="0" applyFont="1" applyFill="1" applyBorder="1" applyAlignment="1" applyProtection="1">
      <alignment horizontal="left" vertical="center"/>
      <protection hidden="1"/>
    </xf>
    <xf numFmtId="0" fontId="0" fillId="5" borderId="0" xfId="0" applyFill="1" applyBorder="1" applyAlignment="1" applyProtection="1">
      <alignment horizontal="left" vertical="center"/>
      <protection hidden="1"/>
    </xf>
    <xf numFmtId="0" fontId="0" fillId="0" borderId="15" xfId="0" applyFill="1" applyBorder="1" applyProtection="1">
      <protection hidden="1"/>
    </xf>
    <xf numFmtId="0" fontId="36" fillId="4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22" fillId="4" borderId="0" xfId="0" applyFont="1" applyFill="1" applyBorder="1" applyAlignment="1" applyProtection="1">
      <alignment vertical="center"/>
      <protection hidden="1"/>
    </xf>
    <xf numFmtId="0" fontId="88" fillId="4" borderId="0" xfId="0" applyFont="1" applyFill="1" applyProtection="1">
      <protection hidden="1"/>
    </xf>
    <xf numFmtId="0" fontId="0" fillId="5" borderId="0" xfId="0" applyFill="1" applyBorder="1" applyAlignment="1" applyProtection="1">
      <protection hidden="1"/>
    </xf>
    <xf numFmtId="0" fontId="0" fillId="4" borderId="0" xfId="0" applyFill="1" applyBorder="1" applyProtection="1">
      <protection hidden="1"/>
    </xf>
    <xf numFmtId="0" fontId="73" fillId="4" borderId="0" xfId="0" applyFont="1" applyFill="1" applyBorder="1" applyAlignment="1" applyProtection="1">
      <alignment vertical="center"/>
      <protection hidden="1"/>
    </xf>
    <xf numFmtId="0" fontId="72" fillId="4" borderId="0" xfId="0" applyFont="1" applyFill="1" applyBorder="1" applyAlignment="1" applyProtection="1">
      <alignment horizontal="left" vertical="center"/>
      <protection hidden="1"/>
    </xf>
    <xf numFmtId="0" fontId="66" fillId="4" borderId="0" xfId="0" applyFont="1" applyFill="1" applyBorder="1" applyAlignment="1" applyProtection="1">
      <alignment horizontal="left" vertical="center"/>
      <protection hidden="1"/>
    </xf>
    <xf numFmtId="0" fontId="61" fillId="4" borderId="0" xfId="0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Protection="1">
      <protection hidden="1"/>
    </xf>
    <xf numFmtId="0" fontId="10" fillId="4" borderId="0" xfId="0" applyFont="1" applyFill="1" applyBorder="1" applyAlignment="1" applyProtection="1">
      <alignment horizontal="left"/>
      <protection hidden="1"/>
    </xf>
    <xf numFmtId="0" fontId="12" fillId="4" borderId="0" xfId="0" applyFont="1" applyFill="1" applyBorder="1" applyAlignment="1" applyProtection="1">
      <alignment horizontal="left"/>
      <protection hidden="1"/>
    </xf>
    <xf numFmtId="0" fontId="39" fillId="4" borderId="0" xfId="0" applyFont="1" applyFill="1" applyBorder="1" applyAlignment="1" applyProtection="1">
      <protection hidden="1"/>
    </xf>
    <xf numFmtId="0" fontId="39" fillId="4" borderId="0" xfId="0" applyFont="1" applyFill="1" applyBorder="1" applyAlignment="1" applyProtection="1">
      <alignment horizontal="left"/>
      <protection hidden="1"/>
    </xf>
    <xf numFmtId="193" fontId="8" fillId="4" borderId="0" xfId="0" applyNumberFormat="1" applyFont="1" applyFill="1" applyBorder="1" applyAlignment="1" applyProtection="1">
      <protection hidden="1"/>
    </xf>
    <xf numFmtId="190" fontId="9" fillId="4" borderId="0" xfId="0" applyNumberFormat="1" applyFont="1" applyFill="1" applyBorder="1" applyAlignment="1" applyProtection="1">
      <protection hidden="1"/>
    </xf>
    <xf numFmtId="0" fontId="43" fillId="4" borderId="0" xfId="0" applyFont="1" applyFill="1" applyBorder="1" applyAlignment="1" applyProtection="1">
      <protection hidden="1"/>
    </xf>
    <xf numFmtId="0" fontId="44" fillId="4" borderId="0" xfId="0" applyFont="1" applyFill="1" applyBorder="1" applyAlignment="1" applyProtection="1">
      <protection hidden="1"/>
    </xf>
    <xf numFmtId="0" fontId="46" fillId="4" borderId="0" xfId="0" applyFont="1" applyFill="1" applyBorder="1" applyAlignment="1" applyProtection="1">
      <alignment vertical="center"/>
      <protection hidden="1"/>
    </xf>
    <xf numFmtId="0" fontId="47" fillId="4" borderId="0" xfId="0" applyFont="1" applyFill="1" applyBorder="1" applyAlignment="1" applyProtection="1">
      <alignment vertical="center"/>
      <protection hidden="1"/>
    </xf>
    <xf numFmtId="0" fontId="47" fillId="4" borderId="0" xfId="0" applyFont="1" applyFill="1" applyBorder="1" applyAlignment="1" applyProtection="1">
      <alignment horizontal="center" vertical="center"/>
      <protection hidden="1"/>
    </xf>
    <xf numFmtId="0" fontId="48" fillId="4" borderId="0" xfId="0" applyFont="1" applyFill="1" applyBorder="1" applyAlignment="1" applyProtection="1">
      <protection hidden="1"/>
    </xf>
    <xf numFmtId="0" fontId="12" fillId="4" borderId="0" xfId="0" quotePrefix="1" applyFont="1" applyFill="1" applyBorder="1" applyAlignment="1" applyProtection="1">
      <alignment vertical="center"/>
      <protection hidden="1"/>
    </xf>
    <xf numFmtId="0" fontId="10" fillId="4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vertical="center"/>
      <protection hidden="1"/>
    </xf>
    <xf numFmtId="197" fontId="12" fillId="4" borderId="0" xfId="0" applyNumberFormat="1" applyFont="1" applyFill="1" applyBorder="1" applyAlignment="1" applyProtection="1">
      <alignment vertical="center"/>
      <protection hidden="1"/>
    </xf>
    <xf numFmtId="187" fontId="12" fillId="4" borderId="0" xfId="0" applyNumberFormat="1" applyFont="1" applyFill="1" applyBorder="1" applyAlignment="1" applyProtection="1">
      <alignment vertical="center"/>
      <protection hidden="1"/>
    </xf>
    <xf numFmtId="2" fontId="8" fillId="4" borderId="0" xfId="0" applyNumberFormat="1" applyFont="1" applyFill="1" applyBorder="1" applyAlignment="1" applyProtection="1">
      <alignment vertical="center"/>
      <protection hidden="1"/>
    </xf>
    <xf numFmtId="2" fontId="51" fillId="4" borderId="0" xfId="0" quotePrefix="1" applyNumberFormat="1" applyFont="1" applyFill="1" applyBorder="1" applyAlignment="1" applyProtection="1">
      <protection hidden="1"/>
    </xf>
    <xf numFmtId="0" fontId="51" fillId="4" borderId="0" xfId="0" applyFont="1" applyFill="1" applyBorder="1" applyAlignment="1" applyProtection="1">
      <alignment horizontal="left" vertical="center"/>
      <protection hidden="1"/>
    </xf>
    <xf numFmtId="2" fontId="10" fillId="4" borderId="0" xfId="0" applyNumberFormat="1" applyFont="1" applyFill="1" applyBorder="1" applyAlignment="1" applyProtection="1">
      <alignment vertical="center"/>
      <protection hidden="1"/>
    </xf>
    <xf numFmtId="0" fontId="51" fillId="4" borderId="0" xfId="0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horizontal="left"/>
      <protection hidden="1"/>
    </xf>
    <xf numFmtId="0" fontId="8" fillId="4" borderId="0" xfId="0" applyFont="1" applyFill="1" applyBorder="1" applyAlignment="1" applyProtection="1">
      <alignment horizontal="left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1" fontId="8" fillId="4" borderId="0" xfId="0" applyNumberFormat="1" applyFont="1" applyFill="1" applyBorder="1" applyAlignment="1" applyProtection="1">
      <alignment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57" fillId="4" borderId="0" xfId="0" applyFont="1" applyFill="1" applyBorder="1" applyAlignment="1" applyProtection="1">
      <alignment vertical="center"/>
      <protection hidden="1"/>
    </xf>
    <xf numFmtId="0" fontId="58" fillId="4" borderId="0" xfId="0" applyFont="1" applyFill="1" applyBorder="1" applyAlignment="1" applyProtection="1">
      <alignment vertical="center"/>
      <protection hidden="1"/>
    </xf>
    <xf numFmtId="0" fontId="25" fillId="4" borderId="0" xfId="0" applyFont="1" applyFill="1" applyBorder="1" applyProtection="1">
      <protection hidden="1"/>
    </xf>
    <xf numFmtId="2" fontId="12" fillId="4" borderId="0" xfId="0" applyNumberFormat="1" applyFont="1" applyFill="1" applyBorder="1" applyAlignment="1" applyProtection="1">
      <alignment vertical="center"/>
      <protection hidden="1"/>
    </xf>
    <xf numFmtId="187" fontId="8" fillId="4" borderId="0" xfId="0" applyNumberFormat="1" applyFont="1" applyFill="1" applyBorder="1" applyAlignment="1" applyProtection="1">
      <alignment vertical="center"/>
      <protection hidden="1"/>
    </xf>
    <xf numFmtId="187" fontId="8" fillId="4" borderId="0" xfId="0" applyNumberFormat="1" applyFont="1" applyFill="1" applyBorder="1" applyAlignment="1" applyProtection="1">
      <protection hidden="1"/>
    </xf>
    <xf numFmtId="187" fontId="10" fillId="4" borderId="0" xfId="0" applyNumberFormat="1" applyFont="1" applyFill="1" applyBorder="1" applyAlignment="1" applyProtection="1">
      <alignment vertical="center"/>
      <protection hidden="1"/>
    </xf>
    <xf numFmtId="0" fontId="12" fillId="4" borderId="0" xfId="0" applyNumberFormat="1" applyFont="1" applyFill="1" applyBorder="1" applyAlignment="1" applyProtection="1">
      <alignment vertical="center"/>
      <protection hidden="1"/>
    </xf>
    <xf numFmtId="0" fontId="60" fillId="4" borderId="0" xfId="0" applyFont="1" applyFill="1" applyBorder="1" applyAlignment="1" applyProtection="1">
      <alignment vertical="center"/>
      <protection hidden="1"/>
    </xf>
    <xf numFmtId="0" fontId="45" fillId="4" borderId="0" xfId="0" applyFont="1" applyFill="1" applyBorder="1" applyAlignment="1" applyProtection="1">
      <alignment vertical="center"/>
      <protection hidden="1"/>
    </xf>
    <xf numFmtId="2" fontId="49" fillId="4" borderId="0" xfId="0" applyNumberFormat="1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vertical="center"/>
      <protection hidden="1"/>
    </xf>
    <xf numFmtId="2" fontId="10" fillId="4" borderId="0" xfId="0" applyNumberFormat="1" applyFont="1" applyFill="1" applyBorder="1" applyAlignment="1" applyProtection="1">
      <protection hidden="1"/>
    </xf>
    <xf numFmtId="189" fontId="10" fillId="4" borderId="0" xfId="0" applyNumberFormat="1" applyFont="1" applyFill="1" applyBorder="1" applyAlignment="1" applyProtection="1">
      <protection hidden="1"/>
    </xf>
    <xf numFmtId="0" fontId="49" fillId="4" borderId="0" xfId="0" applyNumberFormat="1" applyFont="1" applyFill="1" applyBorder="1" applyAlignment="1" applyProtection="1">
      <alignment vertical="center"/>
      <protection hidden="1"/>
    </xf>
    <xf numFmtId="198" fontId="20" fillId="4" borderId="0" xfId="0" applyNumberFormat="1" applyFont="1" applyFill="1" applyBorder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vertical="center"/>
      <protection hidden="1"/>
    </xf>
    <xf numFmtId="0" fontId="49" fillId="4" borderId="0" xfId="0" applyFont="1" applyFill="1" applyBorder="1" applyAlignment="1" applyProtection="1">
      <alignment horizontal="left" vertical="center"/>
      <protection hidden="1"/>
    </xf>
    <xf numFmtId="0" fontId="2" fillId="4" borderId="0" xfId="0" applyFont="1" applyFill="1" applyBorder="1" applyAlignment="1" applyProtection="1">
      <alignment horizontal="left" vertical="center"/>
      <protection hidden="1"/>
    </xf>
    <xf numFmtId="0" fontId="10" fillId="4" borderId="0" xfId="0" applyFont="1" applyFill="1" applyBorder="1" applyAlignment="1" applyProtection="1">
      <alignment horizontal="center" vertical="center"/>
      <protection hidden="1"/>
    </xf>
    <xf numFmtId="0" fontId="59" fillId="4" borderId="0" xfId="1" applyFont="1" applyFill="1" applyBorder="1" applyAlignment="1" applyProtection="1">
      <alignment vertical="center"/>
      <protection hidden="1"/>
    </xf>
    <xf numFmtId="0" fontId="8" fillId="4" borderId="0" xfId="0" applyFont="1" applyFill="1" applyBorder="1" applyProtection="1">
      <protection hidden="1"/>
    </xf>
    <xf numFmtId="0" fontId="51" fillId="4" borderId="0" xfId="0" quotePrefix="1" applyFont="1" applyFill="1" applyBorder="1" applyAlignment="1" applyProtection="1">
      <alignment horizontal="left"/>
      <protection hidden="1"/>
    </xf>
    <xf numFmtId="0" fontId="66" fillId="0" borderId="0" xfId="0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vertical="center"/>
      <protection hidden="1"/>
    </xf>
    <xf numFmtId="0" fontId="74" fillId="0" borderId="0" xfId="0" applyFont="1" applyFill="1" applyBorder="1" applyAlignment="1" applyProtection="1">
      <alignment vertical="center"/>
      <protection hidden="1"/>
    </xf>
    <xf numFmtId="0" fontId="72" fillId="0" borderId="0" xfId="0" applyFont="1" applyFill="1" applyBorder="1" applyAlignment="1" applyProtection="1">
      <alignment vertical="center"/>
      <protection hidden="1"/>
    </xf>
    <xf numFmtId="2" fontId="13" fillId="4" borderId="0" xfId="0" applyNumberFormat="1" applyFont="1" applyFill="1" applyBorder="1" applyAlignment="1" applyProtection="1">
      <alignment vertical="center"/>
      <protection hidden="1"/>
    </xf>
    <xf numFmtId="0" fontId="5" fillId="6" borderId="58" xfId="0" applyFont="1" applyFill="1" applyBorder="1" applyAlignment="1" applyProtection="1">
      <alignment vertical="center"/>
      <protection hidden="1"/>
    </xf>
    <xf numFmtId="0" fontId="5" fillId="6" borderId="59" xfId="0" applyFont="1" applyFill="1" applyBorder="1" applyAlignment="1" applyProtection="1">
      <alignment horizontal="left" vertical="center"/>
      <protection hidden="1"/>
    </xf>
    <xf numFmtId="0" fontId="11" fillId="5" borderId="54" xfId="0" applyFont="1" applyFill="1" applyBorder="1" applyProtection="1">
      <protection hidden="1"/>
    </xf>
    <xf numFmtId="0" fontId="11" fillId="5" borderId="55" xfId="0" applyFont="1" applyFill="1" applyBorder="1" applyProtection="1">
      <protection hidden="1"/>
    </xf>
    <xf numFmtId="0" fontId="11" fillId="5" borderId="56" xfId="0" applyFont="1" applyFill="1" applyBorder="1" applyProtection="1">
      <protection hidden="1"/>
    </xf>
    <xf numFmtId="0" fontId="29" fillId="4" borderId="21" xfId="0" applyFont="1" applyFill="1" applyBorder="1" applyAlignment="1" applyProtection="1">
      <alignment vertical="center"/>
      <protection hidden="1"/>
    </xf>
    <xf numFmtId="0" fontId="38" fillId="0" borderId="0" xfId="0" applyFont="1" applyFill="1" applyBorder="1" applyAlignment="1" applyProtection="1">
      <alignment vertical="center"/>
      <protection hidden="1"/>
    </xf>
    <xf numFmtId="0" fontId="74" fillId="4" borderId="0" xfId="0" applyFont="1" applyFill="1" applyBorder="1" applyAlignment="1" applyProtection="1">
      <alignment vertical="center"/>
      <protection hidden="1"/>
    </xf>
    <xf numFmtId="0" fontId="71" fillId="4" borderId="0" xfId="0" applyFont="1" applyFill="1" applyBorder="1" applyAlignment="1" applyProtection="1">
      <alignment vertical="center"/>
      <protection hidden="1"/>
    </xf>
    <xf numFmtId="0" fontId="66" fillId="4" borderId="0" xfId="0" applyFont="1" applyFill="1" applyBorder="1" applyAlignment="1" applyProtection="1">
      <alignment vertical="center"/>
      <protection hidden="1"/>
    </xf>
    <xf numFmtId="187" fontId="65" fillId="4" borderId="0" xfId="0" applyNumberFormat="1" applyFont="1" applyFill="1" applyBorder="1" applyAlignment="1" applyProtection="1">
      <alignment vertical="center"/>
      <protection hidden="1"/>
    </xf>
    <xf numFmtId="0" fontId="63" fillId="6" borderId="0" xfId="0" applyFont="1" applyFill="1" applyBorder="1" applyAlignment="1" applyProtection="1">
      <alignment horizontal="left" vertical="center"/>
      <protection hidden="1"/>
    </xf>
    <xf numFmtId="0" fontId="65" fillId="5" borderId="0" xfId="0" applyFont="1" applyFill="1" applyBorder="1" applyAlignment="1" applyProtection="1">
      <alignment horizontal="left"/>
      <protection hidden="1"/>
    </xf>
    <xf numFmtId="0" fontId="63" fillId="0" borderId="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horizontal="left" vertical="center"/>
      <protection hidden="1"/>
    </xf>
    <xf numFmtId="0" fontId="65" fillId="4" borderId="0" xfId="0" applyFont="1" applyFill="1" applyBorder="1" applyAlignment="1" applyProtection="1">
      <alignment vertical="center"/>
      <protection hidden="1"/>
    </xf>
    <xf numFmtId="2" fontId="66" fillId="4" borderId="0" xfId="0" applyNumberFormat="1" applyFont="1" applyFill="1" applyBorder="1" applyAlignment="1" applyProtection="1">
      <alignment vertical="center"/>
      <protection hidden="1"/>
    </xf>
    <xf numFmtId="0" fontId="66" fillId="4" borderId="0" xfId="0" applyNumberFormat="1" applyFont="1" applyFill="1" applyBorder="1" applyAlignment="1" applyProtection="1">
      <alignment vertical="center"/>
      <protection hidden="1"/>
    </xf>
    <xf numFmtId="2" fontId="20" fillId="6" borderId="0" xfId="0" applyNumberFormat="1" applyFont="1" applyFill="1" applyBorder="1" applyAlignment="1" applyProtection="1">
      <alignment horizontal="left" vertical="center"/>
      <protection hidden="1"/>
    </xf>
    <xf numFmtId="189" fontId="65" fillId="4" borderId="0" xfId="0" applyNumberFormat="1" applyFont="1" applyFill="1" applyBorder="1" applyAlignment="1" applyProtection="1">
      <alignment vertical="center"/>
      <protection hidden="1"/>
    </xf>
    <xf numFmtId="189" fontId="12" fillId="4" borderId="0" xfId="0" applyNumberFormat="1" applyFont="1" applyFill="1" applyBorder="1" applyAlignment="1" applyProtection="1">
      <alignment vertical="center"/>
      <protection hidden="1"/>
    </xf>
    <xf numFmtId="0" fontId="72" fillId="4" borderId="0" xfId="0" applyFont="1" applyFill="1" applyBorder="1" applyAlignment="1" applyProtection="1">
      <alignment vertical="center"/>
      <protection hidden="1"/>
    </xf>
    <xf numFmtId="0" fontId="65" fillId="4" borderId="0" xfId="0" applyNumberFormat="1" applyFont="1" applyFill="1" applyBorder="1" applyAlignment="1" applyProtection="1">
      <alignment vertical="center"/>
      <protection hidden="1"/>
    </xf>
    <xf numFmtId="0" fontId="63" fillId="4" borderId="0" xfId="0" applyFont="1" applyFill="1" applyBorder="1" applyAlignment="1" applyProtection="1">
      <alignment vertical="center"/>
      <protection hidden="1"/>
    </xf>
    <xf numFmtId="0" fontId="37" fillId="4" borderId="0" xfId="0" applyFont="1" applyFill="1" applyBorder="1" applyAlignment="1" applyProtection="1">
      <alignment horizontal="left" vertical="center"/>
      <protection hidden="1"/>
    </xf>
    <xf numFmtId="0" fontId="27" fillId="4" borderId="0" xfId="0" applyFont="1" applyFill="1" applyBorder="1" applyAlignment="1" applyProtection="1">
      <alignment horizontal="left" vertical="center"/>
      <protection hidden="1"/>
    </xf>
    <xf numFmtId="0" fontId="90" fillId="4" borderId="0" xfId="0" quotePrefix="1" applyFont="1" applyFill="1" applyBorder="1" applyAlignment="1" applyProtection="1">
      <alignment horizontal="left"/>
      <protection hidden="1"/>
    </xf>
    <xf numFmtId="0" fontId="75" fillId="4" borderId="0" xfId="0" applyFont="1" applyFill="1" applyBorder="1" applyAlignment="1" applyProtection="1">
      <alignment horizontal="left" vertical="center"/>
      <protection hidden="1"/>
    </xf>
    <xf numFmtId="0" fontId="35" fillId="0" borderId="0" xfId="0" applyFont="1" applyFill="1" applyBorder="1" applyAlignment="1" applyProtection="1">
      <alignment vertical="center"/>
      <protection hidden="1"/>
    </xf>
    <xf numFmtId="0" fontId="34" fillId="0" borderId="0" xfId="0" applyFont="1" applyFill="1" applyBorder="1" applyAlignment="1" applyProtection="1">
      <alignment horizontal="left" vertical="center"/>
      <protection hidden="1"/>
    </xf>
    <xf numFmtId="0" fontId="37" fillId="0" borderId="0" xfId="0" applyFont="1" applyFill="1" applyBorder="1" applyAlignment="1" applyProtection="1">
      <alignment horizontal="left" vertical="center"/>
      <protection hidden="1"/>
    </xf>
    <xf numFmtId="2" fontId="65" fillId="0" borderId="0" xfId="0" applyNumberFormat="1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horizontal="left" vertical="center"/>
      <protection hidden="1"/>
    </xf>
    <xf numFmtId="2" fontId="13" fillId="0" borderId="0" xfId="0" applyNumberFormat="1" applyFont="1" applyFill="1" applyBorder="1" applyAlignment="1" applyProtection="1">
      <alignment vertical="center"/>
      <protection hidden="1"/>
    </xf>
    <xf numFmtId="0" fontId="63" fillId="0" borderId="0" xfId="0" applyFont="1" applyFill="1" applyBorder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1" fontId="66" fillId="0" borderId="0" xfId="0" applyNumberFormat="1" applyFont="1" applyFill="1" applyBorder="1" applyAlignment="1" applyProtection="1">
      <alignment vertical="center"/>
      <protection hidden="1"/>
    </xf>
    <xf numFmtId="187" fontId="20" fillId="0" borderId="0" xfId="0" applyNumberFormat="1" applyFont="1" applyFill="1" applyBorder="1" applyAlignment="1" applyProtection="1">
      <alignment vertical="center"/>
      <protection hidden="1"/>
    </xf>
    <xf numFmtId="188" fontId="65" fillId="0" borderId="0" xfId="0" applyNumberFormat="1" applyFont="1" applyFill="1" applyBorder="1" applyAlignment="1" applyProtection="1">
      <alignment vertical="center"/>
      <protection hidden="1"/>
    </xf>
    <xf numFmtId="2" fontId="66" fillId="0" borderId="0" xfId="0" applyNumberFormat="1" applyFont="1" applyFill="1" applyBorder="1" applyAlignment="1" applyProtection="1">
      <alignment vertical="center"/>
      <protection hidden="1"/>
    </xf>
    <xf numFmtId="0" fontId="0" fillId="5" borderId="0" xfId="0" applyFill="1" applyProtection="1">
      <protection hidden="1"/>
    </xf>
    <xf numFmtId="0" fontId="0" fillId="6" borderId="0" xfId="0" applyFill="1" applyBorder="1" applyAlignment="1" applyProtection="1">
      <protection hidden="1"/>
    </xf>
    <xf numFmtId="0" fontId="0" fillId="6" borderId="0" xfId="0" applyFill="1" applyProtection="1">
      <protection hidden="1"/>
    </xf>
    <xf numFmtId="0" fontId="25" fillId="5" borderId="0" xfId="0" applyFont="1" applyFill="1" applyAlignment="1" applyProtection="1">
      <alignment horizontal="left" vertical="center"/>
      <protection hidden="1"/>
    </xf>
    <xf numFmtId="0" fontId="65" fillId="5" borderId="0" xfId="0" applyFont="1" applyFill="1" applyAlignment="1" applyProtection="1">
      <alignment horizontal="left"/>
      <protection hidden="1"/>
    </xf>
    <xf numFmtId="0" fontId="66" fillId="5" borderId="0" xfId="0" applyFont="1" applyFill="1" applyBorder="1" applyProtection="1">
      <protection hidden="1"/>
    </xf>
    <xf numFmtId="0" fontId="20" fillId="5" borderId="0" xfId="0" applyFont="1" applyFill="1" applyAlignment="1" applyProtection="1">
      <alignment vertical="center"/>
      <protection hidden="1"/>
    </xf>
    <xf numFmtId="0" fontId="20" fillId="6" borderId="0" xfId="0" applyFont="1" applyFill="1" applyAlignment="1" applyProtection="1">
      <alignment horizontal="left" vertical="center"/>
      <protection hidden="1"/>
    </xf>
    <xf numFmtId="0" fontId="20" fillId="5" borderId="0" xfId="0" applyFont="1" applyFill="1" applyProtection="1">
      <protection hidden="1"/>
    </xf>
    <xf numFmtId="0" fontId="35" fillId="5" borderId="0" xfId="0" applyFont="1" applyFill="1" applyAlignment="1" applyProtection="1">
      <alignment horizontal="left" vertical="center"/>
      <protection hidden="1"/>
    </xf>
    <xf numFmtId="0" fontId="20" fillId="4" borderId="78" xfId="0" applyFont="1" applyFill="1" applyBorder="1" applyAlignment="1" applyProtection="1">
      <alignment vertical="center"/>
      <protection hidden="1"/>
    </xf>
    <xf numFmtId="0" fontId="20" fillId="4" borderId="23" xfId="0" applyFont="1" applyFill="1" applyBorder="1" applyAlignment="1" applyProtection="1">
      <alignment horizontal="left" vertical="center"/>
      <protection hidden="1"/>
    </xf>
    <xf numFmtId="0" fontId="20" fillId="4" borderId="21" xfId="0" applyFont="1" applyFill="1" applyBorder="1" applyAlignment="1" applyProtection="1">
      <alignment horizontal="left" vertical="center"/>
      <protection hidden="1"/>
    </xf>
    <xf numFmtId="0" fontId="20" fillId="8" borderId="2" xfId="0" applyFont="1" applyFill="1" applyBorder="1" applyAlignment="1" applyProtection="1">
      <alignment vertical="center"/>
      <protection hidden="1"/>
    </xf>
    <xf numFmtId="0" fontId="20" fillId="8" borderId="3" xfId="0" applyFont="1" applyFill="1" applyBorder="1" applyAlignment="1" applyProtection="1">
      <alignment horizontal="right" vertical="center"/>
      <protection hidden="1"/>
    </xf>
    <xf numFmtId="0" fontId="65" fillId="4" borderId="0" xfId="0" applyFont="1" applyFill="1" applyBorder="1" applyAlignment="1" applyProtection="1">
      <alignment horizontal="left" vertical="center"/>
      <protection hidden="1"/>
    </xf>
    <xf numFmtId="0" fontId="20" fillId="0" borderId="34" xfId="0" applyFont="1" applyFill="1" applyBorder="1" applyAlignment="1" applyProtection="1">
      <alignment vertical="center"/>
      <protection hidden="1"/>
    </xf>
    <xf numFmtId="0" fontId="20" fillId="4" borderId="43" xfId="0" applyFont="1" applyFill="1" applyBorder="1" applyAlignment="1" applyProtection="1">
      <alignment vertical="center"/>
      <protection hidden="1"/>
    </xf>
    <xf numFmtId="0" fontId="20" fillId="4" borderId="62" xfId="0" applyFont="1" applyFill="1" applyBorder="1" applyAlignment="1" applyProtection="1">
      <alignment vertical="center"/>
      <protection hidden="1"/>
    </xf>
    <xf numFmtId="0" fontId="66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0" fillId="0" borderId="15" xfId="0" applyFont="1" applyFill="1" applyBorder="1" applyAlignment="1" applyProtection="1">
      <alignment vertical="center"/>
      <protection hidden="1"/>
    </xf>
    <xf numFmtId="0" fontId="20" fillId="0" borderId="16" xfId="0" applyFont="1" applyFill="1" applyBorder="1" applyAlignment="1" applyProtection="1">
      <alignment vertical="center"/>
      <protection hidden="1"/>
    </xf>
    <xf numFmtId="0" fontId="20" fillId="0" borderId="35" xfId="0" applyFont="1" applyFill="1" applyBorder="1" applyAlignment="1" applyProtection="1">
      <alignment vertical="center"/>
      <protection hidden="1"/>
    </xf>
    <xf numFmtId="0" fontId="20" fillId="0" borderId="36" xfId="0" applyFont="1" applyFill="1" applyBorder="1" applyAlignment="1" applyProtection="1">
      <alignment vertical="center"/>
      <protection hidden="1"/>
    </xf>
    <xf numFmtId="0" fontId="35" fillId="4" borderId="0" xfId="0" applyFont="1" applyFill="1" applyBorder="1" applyAlignment="1" applyProtection="1">
      <alignment vertical="center"/>
      <protection hidden="1"/>
    </xf>
    <xf numFmtId="2" fontId="65" fillId="4" borderId="0" xfId="0" applyNumberFormat="1" applyFont="1" applyFill="1" applyBorder="1" applyAlignment="1" applyProtection="1">
      <alignment horizontal="left" vertical="center"/>
      <protection hidden="1"/>
    </xf>
    <xf numFmtId="2" fontId="66" fillId="4" borderId="0" xfId="0" applyNumberFormat="1" applyFont="1" applyFill="1" applyBorder="1" applyAlignment="1" applyProtection="1">
      <alignment horizontal="left" vertical="center"/>
      <protection hidden="1"/>
    </xf>
    <xf numFmtId="0" fontId="32" fillId="4" borderId="0" xfId="0" applyFont="1" applyFill="1" applyBorder="1" applyAlignment="1" applyProtection="1">
      <alignment horizontal="left" vertical="center"/>
      <protection hidden="1"/>
    </xf>
    <xf numFmtId="0" fontId="36" fillId="4" borderId="0" xfId="0" applyFont="1" applyFill="1" applyBorder="1" applyAlignment="1" applyProtection="1">
      <alignment horizontal="left" vertical="center"/>
      <protection hidden="1"/>
    </xf>
    <xf numFmtId="188" fontId="65" fillId="4" borderId="0" xfId="0" applyNumberFormat="1" applyFont="1" applyFill="1" applyBorder="1" applyAlignment="1" applyProtection="1">
      <alignment vertical="center"/>
      <protection hidden="1"/>
    </xf>
    <xf numFmtId="2" fontId="92" fillId="5" borderId="0" xfId="0" applyNumberFormat="1" applyFont="1" applyFill="1" applyBorder="1" applyAlignment="1" applyProtection="1">
      <alignment horizontal="left" vertical="center"/>
      <protection hidden="1"/>
    </xf>
    <xf numFmtId="189" fontId="65" fillId="0" borderId="0" xfId="0" applyNumberFormat="1" applyFont="1" applyFill="1" applyBorder="1" applyAlignment="1" applyProtection="1">
      <alignment vertical="center"/>
      <protection hidden="1"/>
    </xf>
    <xf numFmtId="187" fontId="65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65" fillId="0" borderId="0" xfId="0" applyNumberFormat="1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horizontal="center" vertical="center"/>
      <protection hidden="1"/>
    </xf>
    <xf numFmtId="0" fontId="0" fillId="4" borderId="83" xfId="0" applyFill="1" applyBorder="1" applyProtection="1">
      <protection hidden="1"/>
    </xf>
    <xf numFmtId="0" fontId="65" fillId="4" borderId="44" xfId="0" applyFont="1" applyFill="1" applyBorder="1" applyAlignment="1" applyProtection="1">
      <alignment vertical="center"/>
      <protection hidden="1"/>
    </xf>
    <xf numFmtId="0" fontId="65" fillId="4" borderId="42" xfId="0" applyFont="1" applyFill="1" applyBorder="1" applyAlignment="1" applyProtection="1">
      <alignment vertical="center"/>
      <protection hidden="1"/>
    </xf>
    <xf numFmtId="0" fontId="65" fillId="4" borderId="39" xfId="0" applyFont="1" applyFill="1" applyBorder="1" applyAlignment="1" applyProtection="1">
      <alignment vertical="center"/>
      <protection hidden="1"/>
    </xf>
    <xf numFmtId="0" fontId="65" fillId="4" borderId="43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71" fillId="0" borderId="0" xfId="0" applyFont="1" applyFill="1" applyBorder="1" applyAlignment="1" applyProtection="1">
      <alignment vertical="center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  <xf numFmtId="0" fontId="36" fillId="0" borderId="0" xfId="0" applyFont="1" applyFill="1" applyBorder="1" applyAlignment="1" applyProtection="1">
      <alignment vertical="center"/>
      <protection hidden="1"/>
    </xf>
    <xf numFmtId="0" fontId="65" fillId="0" borderId="0" xfId="0" applyFont="1" applyFill="1" applyBorder="1" applyProtection="1">
      <protection hidden="1"/>
    </xf>
    <xf numFmtId="0" fontId="75" fillId="0" borderId="0" xfId="0" quotePrefix="1" applyFont="1" applyFill="1" applyBorder="1" applyAlignment="1" applyProtection="1">
      <alignment horizontal="left"/>
      <protection hidden="1"/>
    </xf>
    <xf numFmtId="0" fontId="65" fillId="5" borderId="0" xfId="0" applyFont="1" applyFill="1" applyAlignment="1" applyProtection="1">
      <alignment vertical="center"/>
      <protection hidden="1"/>
    </xf>
    <xf numFmtId="2" fontId="65" fillId="5" borderId="0" xfId="0" applyNumberFormat="1" applyFont="1" applyFill="1" applyAlignment="1" applyProtection="1">
      <alignment vertical="center"/>
      <protection hidden="1"/>
    </xf>
    <xf numFmtId="1" fontId="65" fillId="5" borderId="0" xfId="0" applyNumberFormat="1" applyFont="1" applyFill="1" applyAlignment="1" applyProtection="1">
      <alignment vertical="center"/>
      <protection hidden="1"/>
    </xf>
    <xf numFmtId="187" fontId="65" fillId="5" borderId="0" xfId="0" applyNumberFormat="1" applyFont="1" applyFill="1" applyAlignment="1" applyProtection="1">
      <alignment vertical="center"/>
      <protection hidden="1"/>
    </xf>
    <xf numFmtId="188" fontId="65" fillId="5" borderId="0" xfId="0" applyNumberFormat="1" applyFont="1" applyFill="1" applyBorder="1" applyAlignment="1" applyProtection="1">
      <alignment vertical="center"/>
      <protection hidden="1"/>
    </xf>
    <xf numFmtId="2" fontId="63" fillId="5" borderId="0" xfId="0" applyNumberFormat="1" applyFont="1" applyFill="1" applyBorder="1" applyAlignment="1" applyProtection="1">
      <alignment vertical="center"/>
      <protection hidden="1"/>
    </xf>
    <xf numFmtId="0" fontId="65" fillId="5" borderId="0" xfId="0" applyNumberFormat="1" applyFont="1" applyFill="1" applyBorder="1" applyAlignment="1" applyProtection="1">
      <alignment vertical="center"/>
      <protection hidden="1"/>
    </xf>
    <xf numFmtId="0" fontId="65" fillId="4" borderId="61" xfId="0" applyFont="1" applyFill="1" applyBorder="1" applyAlignment="1" applyProtection="1">
      <alignment vertical="center"/>
      <protection hidden="1"/>
    </xf>
    <xf numFmtId="0" fontId="65" fillId="4" borderId="62" xfId="0" applyFont="1" applyFill="1" applyBorder="1" applyAlignment="1" applyProtection="1">
      <alignment vertical="center"/>
      <protection hidden="1"/>
    </xf>
    <xf numFmtId="0" fontId="65" fillId="4" borderId="34" xfId="0" applyFont="1" applyFill="1" applyBorder="1" applyAlignment="1" applyProtection="1">
      <alignment vertical="center"/>
      <protection hidden="1"/>
    </xf>
    <xf numFmtId="0" fontId="65" fillId="4" borderId="70" xfId="0" applyFont="1" applyFill="1" applyBorder="1" applyAlignment="1" applyProtection="1">
      <alignment vertical="center"/>
      <protection hidden="1"/>
    </xf>
    <xf numFmtId="0" fontId="20" fillId="4" borderId="60" xfId="0" applyFont="1" applyFill="1" applyBorder="1" applyAlignment="1" applyProtection="1">
      <alignment vertical="center"/>
      <protection hidden="1"/>
    </xf>
    <xf numFmtId="0" fontId="65" fillId="4" borderId="85" xfId="0" applyFont="1" applyFill="1" applyBorder="1" applyAlignment="1" applyProtection="1">
      <alignment vertical="center"/>
      <protection hidden="1"/>
    </xf>
    <xf numFmtId="0" fontId="65" fillId="4" borderId="36" xfId="0" applyFont="1" applyFill="1" applyBorder="1" applyAlignment="1" applyProtection="1">
      <alignment vertical="center"/>
      <protection hidden="1"/>
    </xf>
    <xf numFmtId="0" fontId="65" fillId="4" borderId="37" xfId="0" applyFont="1" applyFill="1" applyBorder="1" applyAlignment="1" applyProtection="1">
      <alignment vertical="center"/>
      <protection hidden="1"/>
    </xf>
    <xf numFmtId="0" fontId="20" fillId="4" borderId="23" xfId="0" applyFont="1" applyFill="1" applyBorder="1" applyProtection="1">
      <protection hidden="1"/>
    </xf>
    <xf numFmtId="0" fontId="36" fillId="4" borderId="23" xfId="0" applyFont="1" applyFill="1" applyBorder="1" applyAlignment="1" applyProtection="1">
      <alignment vertical="center"/>
      <protection hidden="1"/>
    </xf>
    <xf numFmtId="0" fontId="36" fillId="4" borderId="24" xfId="0" applyFont="1" applyFill="1" applyBorder="1" applyAlignment="1" applyProtection="1">
      <alignment vertical="center"/>
      <protection hidden="1"/>
    </xf>
    <xf numFmtId="0" fontId="11" fillId="4" borderId="21" xfId="0" applyFont="1" applyFill="1" applyBorder="1" applyAlignment="1" applyProtection="1">
      <alignment vertical="center"/>
      <protection hidden="1"/>
    </xf>
    <xf numFmtId="0" fontId="74" fillId="4" borderId="21" xfId="0" applyFont="1" applyFill="1" applyBorder="1" applyAlignment="1" applyProtection="1">
      <alignment vertical="center"/>
      <protection hidden="1"/>
    </xf>
    <xf numFmtId="0" fontId="72" fillId="4" borderId="21" xfId="0" applyFont="1" applyFill="1" applyBorder="1" applyAlignment="1" applyProtection="1">
      <alignment vertical="center"/>
      <protection hidden="1"/>
    </xf>
    <xf numFmtId="0" fontId="66" fillId="4" borderId="21" xfId="0" applyFont="1" applyFill="1" applyBorder="1" applyAlignment="1" applyProtection="1">
      <alignment vertical="center"/>
      <protection hidden="1"/>
    </xf>
    <xf numFmtId="0" fontId="65" fillId="4" borderId="21" xfId="0" applyFont="1" applyFill="1" applyBorder="1" applyAlignment="1" applyProtection="1">
      <alignment vertical="center"/>
      <protection hidden="1"/>
    </xf>
    <xf numFmtId="189" fontId="65" fillId="4" borderId="21" xfId="0" applyNumberFormat="1" applyFont="1" applyFill="1" applyBorder="1" applyAlignment="1" applyProtection="1">
      <alignment vertical="center"/>
      <protection hidden="1"/>
    </xf>
    <xf numFmtId="2" fontId="65" fillId="4" borderId="21" xfId="0" applyNumberFormat="1" applyFont="1" applyFill="1" applyBorder="1" applyAlignment="1" applyProtection="1">
      <alignment vertical="center"/>
      <protection hidden="1"/>
    </xf>
    <xf numFmtId="0" fontId="63" fillId="4" borderId="0" xfId="0" applyFont="1" applyFill="1" applyBorder="1" applyAlignment="1" applyProtection="1">
      <alignment horizontal="center" vertical="center"/>
      <protection hidden="1"/>
    </xf>
    <xf numFmtId="189" fontId="20" fillId="4" borderId="0" xfId="0" applyNumberFormat="1" applyFont="1" applyFill="1" applyBorder="1" applyAlignment="1" applyProtection="1">
      <alignment vertical="center"/>
      <protection hidden="1"/>
    </xf>
    <xf numFmtId="0" fontId="64" fillId="4" borderId="0" xfId="0" applyFont="1" applyFill="1" applyBorder="1" applyAlignment="1" applyProtection="1">
      <alignment horizontal="left" vertical="center"/>
      <protection hidden="1"/>
    </xf>
    <xf numFmtId="0" fontId="39" fillId="4" borderId="0" xfId="0" applyFont="1" applyFill="1" applyBorder="1" applyAlignment="1" applyProtection="1">
      <alignment horizontal="left" vertical="center"/>
      <protection hidden="1"/>
    </xf>
    <xf numFmtId="0" fontId="40" fillId="4" borderId="0" xfId="0" applyFont="1" applyFill="1" applyBorder="1" applyAlignment="1" applyProtection="1">
      <alignment horizontal="left" vertical="center"/>
      <protection hidden="1"/>
    </xf>
    <xf numFmtId="0" fontId="39" fillId="4" borderId="0" xfId="0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horizontal="center"/>
      <protection hidden="1"/>
    </xf>
    <xf numFmtId="0" fontId="97" fillId="4" borderId="0" xfId="0" applyFont="1" applyFill="1" applyBorder="1" applyAlignment="1" applyProtection="1">
      <alignment vertical="center"/>
      <protection hidden="1"/>
    </xf>
    <xf numFmtId="0" fontId="80" fillId="4" borderId="0" xfId="0" applyFont="1" applyFill="1" applyBorder="1" applyAlignment="1" applyProtection="1">
      <alignment textRotation="90"/>
      <protection hidden="1"/>
    </xf>
    <xf numFmtId="189" fontId="81" fillId="4" borderId="0" xfId="0" applyNumberFormat="1" applyFont="1" applyFill="1" applyBorder="1" applyAlignment="1" applyProtection="1">
      <alignment vertical="center"/>
      <protection hidden="1"/>
    </xf>
    <xf numFmtId="2" fontId="82" fillId="4" borderId="0" xfId="0" applyNumberFormat="1" applyFont="1" applyFill="1" applyBorder="1" applyAlignment="1" applyProtection="1">
      <alignment vertical="center"/>
      <protection hidden="1"/>
    </xf>
    <xf numFmtId="0" fontId="83" fillId="4" borderId="0" xfId="0" applyFont="1" applyFill="1" applyBorder="1" applyAlignment="1" applyProtection="1">
      <alignment vertical="top"/>
      <protection hidden="1"/>
    </xf>
    <xf numFmtId="196" fontId="10" fillId="4" borderId="0" xfId="0" applyNumberFormat="1" applyFont="1" applyFill="1" applyBorder="1" applyAlignment="1" applyProtection="1">
      <alignment vertical="center"/>
      <protection hidden="1"/>
    </xf>
    <xf numFmtId="189" fontId="10" fillId="4" borderId="0" xfId="0" applyNumberFormat="1" applyFont="1" applyFill="1" applyBorder="1" applyAlignment="1" applyProtection="1">
      <alignment vertical="center"/>
      <protection hidden="1"/>
    </xf>
    <xf numFmtId="0" fontId="84" fillId="4" borderId="0" xfId="0" applyFont="1" applyFill="1" applyBorder="1" applyAlignment="1" applyProtection="1">
      <alignment textRotation="90"/>
      <protection hidden="1"/>
    </xf>
    <xf numFmtId="2" fontId="97" fillId="4" borderId="0" xfId="0" applyNumberFormat="1" applyFont="1" applyFill="1" applyBorder="1" applyAlignment="1" applyProtection="1">
      <alignment vertical="center"/>
      <protection hidden="1"/>
    </xf>
    <xf numFmtId="0" fontId="85" fillId="4" borderId="0" xfId="0" applyFont="1" applyFill="1" applyBorder="1" applyAlignment="1" applyProtection="1">
      <protection hidden="1"/>
    </xf>
    <xf numFmtId="0" fontId="86" fillId="4" borderId="0" xfId="0" applyFont="1" applyFill="1" applyBorder="1" applyAlignment="1" applyProtection="1">
      <alignment vertical="center"/>
      <protection hidden="1"/>
    </xf>
    <xf numFmtId="0" fontId="76" fillId="4" borderId="0" xfId="0" applyFont="1" applyFill="1" applyBorder="1" applyAlignment="1" applyProtection="1">
      <alignment vertical="center"/>
      <protection hidden="1"/>
    </xf>
    <xf numFmtId="190" fontId="51" fillId="4" borderId="0" xfId="0" applyNumberFormat="1" applyFont="1" applyFill="1" applyBorder="1" applyAlignment="1" applyProtection="1">
      <alignment vertical="center"/>
      <protection hidden="1"/>
    </xf>
    <xf numFmtId="0" fontId="18" fillId="4" borderId="0" xfId="0" applyFont="1" applyFill="1" applyBorder="1" applyAlignment="1" applyProtection="1">
      <alignment horizontal="left" vertical="center"/>
      <protection hidden="1"/>
    </xf>
    <xf numFmtId="0" fontId="68" fillId="4" borderId="0" xfId="0" applyFont="1" applyFill="1" applyBorder="1" applyAlignment="1" applyProtection="1">
      <alignment vertical="center"/>
      <protection hidden="1"/>
    </xf>
    <xf numFmtId="0" fontId="65" fillId="4" borderId="0" xfId="0" applyFont="1" applyFill="1" applyBorder="1" applyProtection="1">
      <protection hidden="1"/>
    </xf>
    <xf numFmtId="0" fontId="68" fillId="4" borderId="0" xfId="0" applyFont="1" applyFill="1" applyBorder="1" applyProtection="1">
      <protection hidden="1"/>
    </xf>
    <xf numFmtId="0" fontId="5" fillId="0" borderId="15" xfId="0" applyFont="1" applyFill="1" applyBorder="1" applyAlignment="1" applyProtection="1">
      <alignment vertical="center"/>
      <protection hidden="1"/>
    </xf>
    <xf numFmtId="0" fontId="11" fillId="0" borderId="15" xfId="0" applyFont="1" applyFill="1" applyBorder="1" applyAlignment="1" applyProtection="1">
      <alignment vertical="center"/>
      <protection hidden="1"/>
    </xf>
    <xf numFmtId="0" fontId="13" fillId="0" borderId="15" xfId="0" applyFont="1" applyFill="1" applyBorder="1" applyAlignment="1" applyProtection="1">
      <alignment horizontal="left" vertical="center"/>
      <protection hidden="1"/>
    </xf>
    <xf numFmtId="0" fontId="11" fillId="0" borderId="33" xfId="0" applyFont="1" applyFill="1" applyBorder="1" applyProtection="1">
      <protection hidden="1"/>
    </xf>
    <xf numFmtId="0" fontId="11" fillId="0" borderId="34" xfId="0" applyFont="1" applyFill="1" applyBorder="1" applyProtection="1">
      <protection hidden="1"/>
    </xf>
    <xf numFmtId="0" fontId="0" fillId="0" borderId="34" xfId="0" applyFill="1" applyBorder="1" applyAlignment="1" applyProtection="1">
      <alignment vertical="center"/>
      <protection hidden="1"/>
    </xf>
    <xf numFmtId="0" fontId="36" fillId="0" borderId="34" xfId="0" applyFont="1" applyFill="1" applyBorder="1" applyAlignment="1" applyProtection="1">
      <alignment vertical="center"/>
      <protection hidden="1"/>
    </xf>
    <xf numFmtId="0" fontId="13" fillId="0" borderId="34" xfId="0" applyFont="1" applyFill="1" applyBorder="1" applyAlignment="1" applyProtection="1">
      <alignment vertical="center"/>
      <protection hidden="1"/>
    </xf>
    <xf numFmtId="2" fontId="65" fillId="0" borderId="34" xfId="0" applyNumberFormat="1" applyFont="1" applyFill="1" applyBorder="1" applyAlignment="1" applyProtection="1">
      <alignment vertical="center"/>
      <protection hidden="1"/>
    </xf>
    <xf numFmtId="2" fontId="66" fillId="0" borderId="34" xfId="0" applyNumberFormat="1" applyFont="1" applyFill="1" applyBorder="1" applyAlignment="1" applyProtection="1">
      <alignment vertical="center"/>
      <protection hidden="1"/>
    </xf>
    <xf numFmtId="0" fontId="66" fillId="0" borderId="34" xfId="0" applyFont="1" applyFill="1" applyBorder="1" applyAlignment="1" applyProtection="1">
      <alignment vertical="center"/>
      <protection hidden="1"/>
    </xf>
    <xf numFmtId="187" fontId="65" fillId="0" borderId="34" xfId="0" applyNumberFormat="1" applyFont="1" applyFill="1" applyBorder="1" applyAlignment="1" applyProtection="1">
      <alignment vertical="center"/>
      <protection hidden="1"/>
    </xf>
    <xf numFmtId="0" fontId="74" fillId="0" borderId="34" xfId="0" applyFont="1" applyFill="1" applyBorder="1" applyAlignment="1" applyProtection="1">
      <alignment vertical="center"/>
      <protection hidden="1"/>
    </xf>
    <xf numFmtId="0" fontId="72" fillId="0" borderId="34" xfId="0" applyFont="1" applyFill="1" applyBorder="1" applyAlignment="1" applyProtection="1">
      <alignment vertical="center"/>
      <protection hidden="1"/>
    </xf>
    <xf numFmtId="0" fontId="65" fillId="0" borderId="34" xfId="0" applyFont="1" applyFill="1" applyBorder="1" applyAlignment="1" applyProtection="1">
      <alignment vertical="center"/>
      <protection hidden="1"/>
    </xf>
    <xf numFmtId="189" fontId="65" fillId="0" borderId="34" xfId="0" applyNumberFormat="1" applyFont="1" applyFill="1" applyBorder="1" applyAlignment="1" applyProtection="1">
      <alignment vertical="center"/>
      <protection hidden="1"/>
    </xf>
    <xf numFmtId="0" fontId="67" fillId="0" borderId="36" xfId="0" applyFont="1" applyFill="1" applyBorder="1" applyAlignment="1" applyProtection="1">
      <alignment horizontal="left" vertical="center"/>
      <protection hidden="1"/>
    </xf>
    <xf numFmtId="0" fontId="0" fillId="0" borderId="36" xfId="0" applyFill="1" applyBorder="1" applyAlignment="1" applyProtection="1">
      <alignment vertical="center"/>
      <protection hidden="1"/>
    </xf>
    <xf numFmtId="0" fontId="0" fillId="0" borderId="37" xfId="0" applyFill="1" applyBorder="1" applyAlignment="1" applyProtection="1">
      <alignment vertical="center"/>
      <protection hidden="1"/>
    </xf>
    <xf numFmtId="0" fontId="75" fillId="0" borderId="0" xfId="0" applyFont="1" applyAlignment="1" applyProtection="1">
      <alignment vertical="center"/>
      <protection hidden="1"/>
    </xf>
    <xf numFmtId="0" fontId="28" fillId="0" borderId="16" xfId="0" applyFont="1" applyFill="1" applyBorder="1" applyAlignment="1" applyProtection="1">
      <alignment horizontal="left" vertical="center"/>
      <protection hidden="1"/>
    </xf>
    <xf numFmtId="0" fontId="96" fillId="0" borderId="29" xfId="0" applyFont="1" applyFill="1" applyBorder="1" applyAlignment="1" applyProtection="1">
      <alignment horizontal="left" vertical="center"/>
      <protection hidden="1"/>
    </xf>
    <xf numFmtId="0" fontId="91" fillId="5" borderId="0" xfId="0" applyFont="1" applyFill="1" applyBorder="1" applyAlignment="1" applyProtection="1">
      <alignment horizontal="left"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4" borderId="0" xfId="0" applyFont="1" applyFill="1" applyBorder="1" applyAlignment="1" applyProtection="1">
      <alignment horizontal="center" vertical="center"/>
      <protection hidden="1"/>
    </xf>
    <xf numFmtId="0" fontId="5" fillId="4" borderId="0" xfId="0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horizontal="left" vertical="center"/>
      <protection hidden="1"/>
    </xf>
    <xf numFmtId="0" fontId="73" fillId="6" borderId="0" xfId="0" applyFont="1" applyFill="1" applyBorder="1" applyAlignment="1" applyProtection="1">
      <alignment horizontal="left" vertical="center"/>
      <protection hidden="1"/>
    </xf>
    <xf numFmtId="189" fontId="65" fillId="5" borderId="0" xfId="0" applyNumberFormat="1" applyFont="1" applyFill="1" applyBorder="1" applyAlignment="1" applyProtection="1">
      <alignment horizontal="left" vertical="center"/>
      <protection hidden="1"/>
    </xf>
    <xf numFmtId="0" fontId="13" fillId="5" borderId="0" xfId="0" applyFont="1" applyFill="1" applyBorder="1" applyAlignment="1" applyProtection="1">
      <alignment horizontal="left" vertical="center"/>
      <protection hidden="1"/>
    </xf>
    <xf numFmtId="2" fontId="65" fillId="5" borderId="0" xfId="0" applyNumberFormat="1" applyFont="1" applyFill="1" applyBorder="1" applyAlignment="1" applyProtection="1">
      <alignment horizontal="left" vertical="center"/>
      <protection hidden="1"/>
    </xf>
    <xf numFmtId="0" fontId="66" fillId="5" borderId="0" xfId="0" applyFont="1" applyFill="1" applyBorder="1" applyAlignment="1" applyProtection="1">
      <alignment horizontal="left" vertical="center"/>
      <protection hidden="1"/>
    </xf>
    <xf numFmtId="187" fontId="65" fillId="5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center" vertic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0" fontId="20" fillId="4" borderId="0" xfId="0" applyFont="1" applyFill="1" applyBorder="1" applyAlignment="1" applyProtection="1">
      <alignment horizontal="left" vertical="center"/>
      <protection hidden="1"/>
    </xf>
    <xf numFmtId="0" fontId="20" fillId="8" borderId="1" xfId="0" applyFont="1" applyFill="1" applyBorder="1" applyAlignment="1" applyProtection="1">
      <alignment horizontal="left" vertical="center"/>
      <protection hidden="1"/>
    </xf>
    <xf numFmtId="0" fontId="20" fillId="8" borderId="3" xfId="0" applyFont="1" applyFill="1" applyBorder="1" applyAlignment="1" applyProtection="1">
      <alignment horizontal="left" vertical="center"/>
      <protection hidden="1"/>
    </xf>
    <xf numFmtId="0" fontId="3" fillId="4" borderId="0" xfId="0" applyFont="1" applyFill="1" applyBorder="1" applyAlignment="1" applyProtection="1">
      <alignment horizontal="left" vertical="center"/>
      <protection hidden="1"/>
    </xf>
    <xf numFmtId="0" fontId="65" fillId="5" borderId="0" xfId="0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left" vertical="center"/>
      <protection hidden="1"/>
    </xf>
    <xf numFmtId="0" fontId="20" fillId="5" borderId="0" xfId="0" applyFont="1" applyFill="1" applyAlignment="1" applyProtection="1">
      <alignment horizontal="left" vertical="center"/>
      <protection hidden="1"/>
    </xf>
    <xf numFmtId="0" fontId="63" fillId="5" borderId="0" xfId="0" applyFont="1" applyFill="1" applyBorder="1" applyAlignment="1" applyProtection="1">
      <alignment horizontal="left" vertical="center"/>
      <protection hidden="1"/>
    </xf>
    <xf numFmtId="187" fontId="65" fillId="0" borderId="0" xfId="0" applyNumberFormat="1" applyFont="1" applyFill="1" applyBorder="1" applyAlignment="1" applyProtection="1">
      <alignment horizontal="left" vertical="center"/>
      <protection hidden="1"/>
    </xf>
    <xf numFmtId="2" fontId="65" fillId="0" borderId="0" xfId="0" applyNumberFormat="1" applyFont="1" applyFill="1" applyBorder="1" applyAlignment="1" applyProtection="1">
      <alignment horizontal="left" vertical="center"/>
      <protection hidden="1"/>
    </xf>
    <xf numFmtId="0" fontId="20" fillId="5" borderId="0" xfId="0" quotePrefix="1" applyFont="1" applyFill="1" applyAlignment="1" applyProtection="1">
      <alignment horizontal="left" vertical="center"/>
      <protection hidden="1"/>
    </xf>
    <xf numFmtId="0" fontId="63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2" fontId="66" fillId="0" borderId="0" xfId="0" applyNumberFormat="1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66" fillId="0" borderId="0" xfId="0" applyFont="1" applyFill="1" applyBorder="1" applyAlignment="1" applyProtection="1">
      <alignment horizontal="left" vertical="center"/>
      <protection hidden="1"/>
    </xf>
    <xf numFmtId="1" fontId="49" fillId="4" borderId="0" xfId="0" applyNumberFormat="1" applyFont="1" applyFill="1" applyBorder="1" applyAlignment="1" applyProtection="1">
      <alignment vertical="center"/>
      <protection hidden="1"/>
    </xf>
    <xf numFmtId="0" fontId="10" fillId="0" borderId="0" xfId="2" applyFont="1" applyFill="1" applyBorder="1" applyAlignment="1" applyProtection="1">
      <alignment horizontal="left" vertical="center"/>
      <protection hidden="1"/>
    </xf>
    <xf numFmtId="189" fontId="49" fillId="0" borderId="0" xfId="0" applyNumberFormat="1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0" fontId="39" fillId="0" borderId="0" xfId="0" applyFont="1" applyFill="1" applyBorder="1" applyAlignment="1" applyProtection="1">
      <alignment horizontal="left" vertical="center"/>
      <protection hidden="1"/>
    </xf>
    <xf numFmtId="0" fontId="78" fillId="0" borderId="0" xfId="0" applyFont="1" applyFill="1" applyBorder="1" applyAlignment="1" applyProtection="1">
      <alignment vertical="center"/>
      <protection hidden="1"/>
    </xf>
    <xf numFmtId="0" fontId="49" fillId="0" borderId="0" xfId="0" applyNumberFormat="1" applyFont="1" applyFill="1" applyBorder="1" applyAlignment="1" applyProtection="1">
      <alignment vertical="center"/>
      <protection hidden="1"/>
    </xf>
    <xf numFmtId="0" fontId="0" fillId="0" borderId="34" xfId="0" applyFill="1" applyBorder="1" applyAlignment="1" applyProtection="1">
      <protection hidden="1"/>
    </xf>
    <xf numFmtId="0" fontId="0" fillId="4" borderId="21" xfId="0" applyFill="1" applyBorder="1" applyAlignment="1" applyProtection="1">
      <protection hidden="1"/>
    </xf>
    <xf numFmtId="189" fontId="10" fillId="0" borderId="0" xfId="0" applyNumberFormat="1" applyFont="1" applyFill="1" applyBorder="1" applyAlignment="1" applyProtection="1">
      <alignment horizontal="left" vertical="center"/>
      <protection hidden="1"/>
    </xf>
    <xf numFmtId="189" fontId="12" fillId="0" borderId="0" xfId="0" applyNumberFormat="1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Border="1" applyProtection="1">
      <protection hidden="1"/>
    </xf>
    <xf numFmtId="2" fontId="51" fillId="4" borderId="0" xfId="0" applyNumberFormat="1" applyFont="1" applyFill="1" applyBorder="1" applyAlignment="1" applyProtection="1">
      <protection hidden="1"/>
    </xf>
    <xf numFmtId="188" fontId="49" fillId="4" borderId="0" xfId="0" applyNumberFormat="1" applyFont="1" applyFill="1" applyBorder="1" applyAlignment="1" applyProtection="1">
      <alignment vertical="center"/>
      <protection hidden="1"/>
    </xf>
    <xf numFmtId="0" fontId="51" fillId="4" borderId="0" xfId="0" applyFont="1" applyFill="1" applyBorder="1" applyAlignment="1" applyProtection="1">
      <alignment horizontal="center"/>
      <protection hidden="1"/>
    </xf>
    <xf numFmtId="0" fontId="51" fillId="4" borderId="0" xfId="0" applyFont="1" applyFill="1" applyBorder="1" applyAlignment="1" applyProtection="1">
      <protection hidden="1"/>
    </xf>
    <xf numFmtId="0" fontId="51" fillId="4" borderId="0" xfId="0" applyFont="1" applyFill="1" applyBorder="1" applyAlignment="1" applyProtection="1">
      <alignment horizontal="left"/>
      <protection hidden="1"/>
    </xf>
    <xf numFmtId="2" fontId="51" fillId="4" borderId="0" xfId="0" applyNumberFormat="1" applyFont="1" applyFill="1" applyBorder="1" applyAlignment="1" applyProtection="1">
      <alignment vertical="center"/>
      <protection hidden="1"/>
    </xf>
    <xf numFmtId="189" fontId="79" fillId="4" borderId="0" xfId="0" applyNumberFormat="1" applyFont="1" applyFill="1" applyBorder="1" applyAlignment="1" applyProtection="1">
      <alignment vertical="center"/>
      <protection hidden="1"/>
    </xf>
    <xf numFmtId="188" fontId="12" fillId="4" borderId="0" xfId="0" applyNumberFormat="1" applyFont="1" applyFill="1" applyBorder="1" applyAlignment="1" applyProtection="1">
      <alignment horizontal="left" vertical="center"/>
      <protection hidden="1"/>
    </xf>
    <xf numFmtId="188" fontId="12" fillId="4" borderId="0" xfId="0" applyNumberFormat="1" applyFont="1" applyFill="1" applyBorder="1" applyAlignment="1" applyProtection="1">
      <alignment vertical="center"/>
      <protection hidden="1"/>
    </xf>
    <xf numFmtId="0" fontId="8" fillId="4" borderId="0" xfId="0" applyNumberFormat="1" applyFont="1" applyFill="1" applyBorder="1" applyAlignment="1" applyProtection="1">
      <alignment vertical="center"/>
      <protection hidden="1"/>
    </xf>
    <xf numFmtId="0" fontId="10" fillId="4" borderId="0" xfId="0" applyNumberFormat="1" applyFont="1" applyFill="1" applyBorder="1" applyAlignment="1" applyProtection="1">
      <alignment vertical="center"/>
      <protection hidden="1"/>
    </xf>
    <xf numFmtId="189" fontId="49" fillId="4" borderId="0" xfId="0" applyNumberFormat="1" applyFont="1" applyFill="1" applyBorder="1" applyAlignment="1" applyProtection="1">
      <alignment vertical="center"/>
      <protection hidden="1"/>
    </xf>
    <xf numFmtId="0" fontId="12" fillId="4" borderId="0" xfId="0" applyNumberFormat="1" applyFont="1" applyFill="1" applyBorder="1" applyAlignment="1" applyProtection="1">
      <alignment horizontal="left"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29" fillId="0" borderId="25" xfId="0" applyFont="1" applyBorder="1" applyAlignment="1" applyProtection="1">
      <alignment horizontal="left" vertical="center"/>
      <protection locked="0" hidden="1"/>
    </xf>
    <xf numFmtId="0" fontId="29" fillId="0" borderId="26" xfId="0" applyFont="1" applyBorder="1" applyAlignment="1" applyProtection="1">
      <alignment horizontal="left" vertical="center"/>
      <protection locked="0" hidden="1"/>
    </xf>
    <xf numFmtId="0" fontId="29" fillId="0" borderId="27" xfId="0" applyFont="1" applyBorder="1" applyAlignment="1" applyProtection="1">
      <alignment horizontal="left" vertical="center"/>
      <protection locked="0" hidden="1"/>
    </xf>
    <xf numFmtId="0" fontId="3" fillId="4" borderId="18" xfId="0" applyFont="1" applyFill="1" applyBorder="1" applyAlignment="1" applyProtection="1">
      <alignment horizontal="center" vertical="center"/>
      <protection hidden="1"/>
    </xf>
    <xf numFmtId="0" fontId="3" fillId="4" borderId="0" xfId="0" applyFont="1" applyFill="1" applyBorder="1" applyAlignment="1" applyProtection="1">
      <alignment horizontal="center" vertical="center"/>
      <protection hidden="1"/>
    </xf>
    <xf numFmtId="0" fontId="7" fillId="4" borderId="18" xfId="0" applyFont="1" applyFill="1" applyBorder="1" applyAlignment="1" applyProtection="1">
      <alignment horizontal="center" vertical="center"/>
      <protection hidden="1"/>
    </xf>
    <xf numFmtId="0" fontId="7" fillId="4" borderId="0" xfId="0" applyFont="1" applyFill="1" applyBorder="1" applyAlignment="1" applyProtection="1">
      <alignment horizontal="center" vertical="center"/>
      <protection hidden="1"/>
    </xf>
    <xf numFmtId="0" fontId="20" fillId="7" borderId="10" xfId="0" applyFont="1" applyFill="1" applyBorder="1" applyAlignment="1" applyProtection="1">
      <alignment horizontal="left" vertical="center"/>
      <protection hidden="1"/>
    </xf>
    <xf numFmtId="0" fontId="87" fillId="4" borderId="18" xfId="0" applyFont="1" applyFill="1" applyBorder="1" applyAlignment="1" applyProtection="1">
      <alignment horizontal="center" vertical="center"/>
      <protection hidden="1"/>
    </xf>
    <xf numFmtId="0" fontId="87" fillId="4" borderId="0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20" fillId="7" borderId="69" xfId="0" applyFont="1" applyFill="1" applyBorder="1" applyAlignment="1" applyProtection="1">
      <alignment horizontal="left" vertical="center"/>
      <protection hidden="1"/>
    </xf>
    <xf numFmtId="0" fontId="63" fillId="7" borderId="10" xfId="0" applyFont="1" applyFill="1" applyBorder="1" applyAlignment="1" applyProtection="1">
      <alignment horizontal="left" vertical="center"/>
      <protection hidden="1"/>
    </xf>
    <xf numFmtId="0" fontId="20" fillId="5" borderId="0" xfId="0" applyFont="1" applyFill="1" applyBorder="1" applyAlignment="1" applyProtection="1">
      <alignment horizontal="left" vertical="center"/>
      <protection hidden="1"/>
    </xf>
    <xf numFmtId="2" fontId="20" fillId="5" borderId="0" xfId="0" applyNumberFormat="1" applyFont="1" applyFill="1" applyBorder="1" applyAlignment="1" applyProtection="1">
      <alignment horizontal="left" vertical="center"/>
      <protection hidden="1"/>
    </xf>
    <xf numFmtId="0" fontId="73" fillId="6" borderId="0" xfId="0" applyFont="1" applyFill="1" applyBorder="1" applyAlignment="1" applyProtection="1">
      <alignment horizontal="left" vertical="center"/>
      <protection hidden="1"/>
    </xf>
    <xf numFmtId="0" fontId="63" fillId="7" borderId="10" xfId="0" quotePrefix="1" applyFont="1" applyFill="1" applyBorder="1" applyAlignment="1" applyProtection="1">
      <alignment horizontal="left" vertical="center"/>
      <protection hidden="1"/>
    </xf>
    <xf numFmtId="0" fontId="69" fillId="0" borderId="25" xfId="0" applyFont="1" applyFill="1" applyBorder="1" applyAlignment="1" applyProtection="1">
      <alignment horizontal="left" vertical="center"/>
      <protection locked="0" hidden="1"/>
    </xf>
    <xf numFmtId="0" fontId="69" fillId="0" borderId="26" xfId="0" applyFont="1" applyFill="1" applyBorder="1" applyAlignment="1" applyProtection="1">
      <alignment horizontal="left" vertical="center"/>
      <protection locked="0" hidden="1"/>
    </xf>
    <xf numFmtId="0" fontId="69" fillId="0" borderId="27" xfId="0" applyFont="1" applyFill="1" applyBorder="1" applyAlignment="1" applyProtection="1">
      <alignment horizontal="left" vertical="center"/>
      <protection locked="0" hidden="1"/>
    </xf>
    <xf numFmtId="2" fontId="13" fillId="5" borderId="0" xfId="0" applyNumberFormat="1" applyFont="1" applyFill="1" applyBorder="1" applyAlignment="1" applyProtection="1">
      <alignment horizontal="left" vertical="center"/>
      <protection hidden="1"/>
    </xf>
    <xf numFmtId="0" fontId="13" fillId="5" borderId="0" xfId="0" applyFont="1" applyFill="1" applyBorder="1" applyAlignment="1" applyProtection="1">
      <alignment horizontal="left" vertical="center"/>
      <protection hidden="1"/>
    </xf>
    <xf numFmtId="2" fontId="65" fillId="5" borderId="0" xfId="0" applyNumberFormat="1" applyFont="1" applyFill="1" applyBorder="1" applyAlignment="1" applyProtection="1">
      <alignment horizontal="left" vertical="center"/>
      <protection hidden="1"/>
    </xf>
    <xf numFmtId="2" fontId="66" fillId="5" borderId="0" xfId="0" applyNumberFormat="1" applyFont="1" applyFill="1" applyBorder="1" applyAlignment="1" applyProtection="1">
      <alignment horizontal="left" vertical="center"/>
      <protection hidden="1"/>
    </xf>
    <xf numFmtId="0" fontId="66" fillId="5" borderId="0" xfId="0" applyFont="1" applyFill="1" applyBorder="1" applyAlignment="1" applyProtection="1">
      <alignment horizontal="left" vertical="center"/>
      <protection hidden="1"/>
    </xf>
    <xf numFmtId="187" fontId="65" fillId="5" borderId="0" xfId="0" applyNumberFormat="1" applyFont="1" applyFill="1" applyBorder="1" applyAlignment="1" applyProtection="1">
      <alignment horizontal="left" vertical="center"/>
      <protection hidden="1"/>
    </xf>
    <xf numFmtId="0" fontId="69" fillId="0" borderId="25" xfId="0" applyNumberFormat="1" applyFont="1" applyFill="1" applyBorder="1" applyAlignment="1" applyProtection="1">
      <alignment horizontal="left" vertical="center"/>
      <protection locked="0" hidden="1"/>
    </xf>
    <xf numFmtId="0" fontId="69" fillId="0" borderId="26" xfId="0" applyNumberFormat="1" applyFont="1" applyFill="1" applyBorder="1" applyAlignment="1" applyProtection="1">
      <alignment horizontal="left" vertical="center"/>
      <protection locked="0" hidden="1"/>
    </xf>
    <xf numFmtId="0" fontId="69" fillId="0" borderId="27" xfId="0" applyNumberFormat="1" applyFont="1" applyFill="1" applyBorder="1" applyAlignment="1" applyProtection="1">
      <alignment horizontal="left" vertical="center"/>
      <protection locked="0" hidden="1"/>
    </xf>
    <xf numFmtId="2" fontId="29" fillId="0" borderId="25" xfId="0" applyNumberFormat="1" applyFont="1" applyBorder="1" applyAlignment="1" applyProtection="1">
      <alignment horizontal="left" vertical="center"/>
      <protection locked="0" hidden="1"/>
    </xf>
    <xf numFmtId="2" fontId="29" fillId="0" borderId="26" xfId="0" applyNumberFormat="1" applyFont="1" applyBorder="1" applyAlignment="1" applyProtection="1">
      <alignment horizontal="left" vertical="center"/>
      <protection locked="0" hidden="1"/>
    </xf>
    <xf numFmtId="2" fontId="29" fillId="0" borderId="27" xfId="0" applyNumberFormat="1" applyFont="1" applyBorder="1" applyAlignment="1" applyProtection="1">
      <alignment horizontal="left" vertical="center"/>
      <protection locked="0" hidden="1"/>
    </xf>
    <xf numFmtId="2" fontId="20" fillId="3" borderId="25" xfId="0" applyNumberFormat="1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0" xfId="0" applyNumberFormat="1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196" fontId="20" fillId="0" borderId="0" xfId="0" applyNumberFormat="1" applyFont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98" fontId="20" fillId="0" borderId="0" xfId="0" applyNumberFormat="1" applyFont="1" applyBorder="1" applyAlignment="1" applyProtection="1">
      <alignment horizontal="center" vertical="center"/>
      <protection hidden="1"/>
    </xf>
    <xf numFmtId="189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center" vertical="center"/>
      <protection hidden="1"/>
    </xf>
    <xf numFmtId="2" fontId="21" fillId="0" borderId="0" xfId="0" applyNumberFormat="1" applyFont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2" fontId="51" fillId="0" borderId="0" xfId="0" applyNumberFormat="1" applyFont="1" applyFill="1" applyBorder="1" applyAlignment="1" applyProtection="1">
      <alignment horizontal="center"/>
      <protection hidden="1"/>
    </xf>
    <xf numFmtId="2" fontId="51" fillId="0" borderId="0" xfId="0" applyNumberFormat="1" applyFont="1" applyFill="1" applyBorder="1" applyAlignment="1" applyProtection="1">
      <alignment horizontal="center" vertic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51" fillId="0" borderId="0" xfId="0" applyNumberFormat="1" applyFont="1" applyFill="1" applyBorder="1" applyAlignment="1" applyProtection="1">
      <alignment horizontal="left"/>
      <protection hidden="1"/>
    </xf>
    <xf numFmtId="2" fontId="49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195" fontId="14" fillId="0" borderId="0" xfId="0" applyNumberFormat="1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left" vertical="center"/>
      <protection hidden="1"/>
    </xf>
    <xf numFmtId="0" fontId="39" fillId="0" borderId="0" xfId="0" applyFont="1" applyFill="1" applyBorder="1" applyAlignment="1" applyProtection="1">
      <alignment horizontal="left" vertical="center"/>
      <protection hidden="1"/>
    </xf>
    <xf numFmtId="188" fontId="10" fillId="2" borderId="0" xfId="0" applyNumberFormat="1" applyFont="1" applyFill="1" applyBorder="1" applyAlignment="1" applyProtection="1">
      <alignment horizontal="left" vertical="center"/>
      <protection hidden="1"/>
    </xf>
    <xf numFmtId="0" fontId="20" fillId="8" borderId="50" xfId="0" applyFont="1" applyFill="1" applyBorder="1" applyAlignment="1" applyProtection="1">
      <alignment horizontal="center" vertical="center"/>
      <protection hidden="1"/>
    </xf>
    <xf numFmtId="0" fontId="20" fillId="8" borderId="5" xfId="0" applyFont="1" applyFill="1" applyBorder="1" applyAlignment="1" applyProtection="1">
      <alignment horizontal="center" vertical="center"/>
      <protection hidden="1"/>
    </xf>
    <xf numFmtId="0" fontId="20" fillId="8" borderId="6" xfId="0" applyFont="1" applyFill="1" applyBorder="1" applyAlignment="1" applyProtection="1">
      <alignment horizontal="center" vertical="center"/>
      <protection hidden="1"/>
    </xf>
    <xf numFmtId="0" fontId="20" fillId="8" borderId="16" xfId="0" applyFont="1" applyFill="1" applyBorder="1" applyAlignment="1" applyProtection="1">
      <alignment horizontal="center" vertical="center"/>
      <protection hidden="1"/>
    </xf>
    <xf numFmtId="0" fontId="20" fillId="8" borderId="0" xfId="0" applyFont="1" applyFill="1" applyBorder="1" applyAlignment="1" applyProtection="1">
      <alignment horizontal="center" vertical="center"/>
      <protection hidden="1"/>
    </xf>
    <xf numFmtId="0" fontId="20" fillId="8" borderId="11" xfId="0" applyFont="1" applyFill="1" applyBorder="1" applyAlignment="1" applyProtection="1">
      <alignment horizontal="center" vertical="center"/>
      <protection hidden="1"/>
    </xf>
    <xf numFmtId="0" fontId="20" fillId="8" borderId="35" xfId="0" applyFont="1" applyFill="1" applyBorder="1" applyAlignment="1" applyProtection="1">
      <alignment horizontal="center" vertical="center"/>
      <protection hidden="1"/>
    </xf>
    <xf numFmtId="0" fontId="20" fillId="8" borderId="36" xfId="0" applyFont="1" applyFill="1" applyBorder="1" applyAlignment="1" applyProtection="1">
      <alignment horizontal="center" vertical="center"/>
      <protection hidden="1"/>
    </xf>
    <xf numFmtId="0" fontId="20" fillId="8" borderId="75" xfId="0" applyFont="1" applyFill="1" applyBorder="1" applyAlignment="1" applyProtection="1">
      <alignment horizontal="center" vertical="center"/>
      <protection hidden="1"/>
    </xf>
    <xf numFmtId="0" fontId="93" fillId="0" borderId="65" xfId="0" applyFont="1" applyFill="1" applyBorder="1" applyAlignment="1" applyProtection="1">
      <alignment horizontal="center" vertical="center"/>
      <protection locked="0" hidden="1"/>
    </xf>
    <xf numFmtId="0" fontId="93" fillId="0" borderId="43" xfId="0" applyFont="1" applyFill="1" applyBorder="1" applyAlignment="1" applyProtection="1">
      <alignment horizontal="center" vertical="center"/>
      <protection locked="0" hidden="1"/>
    </xf>
    <xf numFmtId="0" fontId="93" fillId="0" borderId="40" xfId="0" applyFont="1" applyFill="1" applyBorder="1" applyAlignment="1" applyProtection="1">
      <alignment horizontal="center" vertical="center"/>
      <protection locked="0" hidden="1"/>
    </xf>
    <xf numFmtId="0" fontId="73" fillId="4" borderId="84" xfId="0" applyFont="1" applyFill="1" applyBorder="1" applyAlignment="1" applyProtection="1">
      <alignment horizontal="center" vertical="center"/>
      <protection hidden="1"/>
    </xf>
    <xf numFmtId="0" fontId="73" fillId="4" borderId="82" xfId="0" applyFont="1" applyFill="1" applyBorder="1" applyAlignment="1" applyProtection="1">
      <alignment horizontal="center" vertical="center"/>
      <protection hidden="1"/>
    </xf>
    <xf numFmtId="0" fontId="73" fillId="4" borderId="68" xfId="0" applyFont="1" applyFill="1" applyBorder="1" applyAlignment="1" applyProtection="1">
      <alignment horizontal="center" vertical="center"/>
      <protection hidden="1"/>
    </xf>
    <xf numFmtId="0" fontId="20" fillId="8" borderId="29" xfId="0" applyFont="1" applyFill="1" applyBorder="1" applyAlignment="1" applyProtection="1">
      <alignment horizontal="center" vertical="center"/>
      <protection hidden="1"/>
    </xf>
    <xf numFmtId="0" fontId="20" fillId="8" borderId="15" xfId="0" applyFont="1" applyFill="1" applyBorder="1" applyAlignment="1" applyProtection="1">
      <alignment horizontal="center" vertical="center"/>
      <protection hidden="1"/>
    </xf>
    <xf numFmtId="0" fontId="20" fillId="8" borderId="28" xfId="0" applyFont="1" applyFill="1" applyBorder="1" applyAlignment="1" applyProtection="1">
      <alignment horizontal="center" vertical="center"/>
      <protection hidden="1"/>
    </xf>
    <xf numFmtId="0" fontId="20" fillId="8" borderId="72" xfId="0" applyFont="1" applyFill="1" applyBorder="1" applyAlignment="1" applyProtection="1">
      <alignment horizontal="left" vertical="center"/>
      <protection hidden="1"/>
    </xf>
    <xf numFmtId="0" fontId="20" fillId="8" borderId="31" xfId="0" applyFont="1" applyFill="1" applyBorder="1" applyAlignment="1" applyProtection="1">
      <alignment horizontal="left" vertical="center"/>
      <protection hidden="1"/>
    </xf>
    <xf numFmtId="0" fontId="20" fillId="8" borderId="32" xfId="0" applyFont="1" applyFill="1" applyBorder="1" applyAlignment="1" applyProtection="1">
      <alignment horizontal="left" vertical="center"/>
      <protection hidden="1"/>
    </xf>
    <xf numFmtId="0" fontId="20" fillId="8" borderId="4" xfId="0" applyFont="1" applyFill="1" applyBorder="1" applyAlignment="1" applyProtection="1">
      <alignment horizontal="left" vertical="center"/>
      <protection hidden="1"/>
    </xf>
    <xf numFmtId="0" fontId="20" fillId="8" borderId="5" xfId="0" applyFont="1" applyFill="1" applyBorder="1" applyAlignment="1" applyProtection="1">
      <alignment horizontal="left" vertical="center"/>
      <protection hidden="1"/>
    </xf>
    <xf numFmtId="0" fontId="20" fillId="8" borderId="6" xfId="0" applyFont="1" applyFill="1" applyBorder="1" applyAlignment="1" applyProtection="1">
      <alignment horizontal="left" vertical="center"/>
      <protection hidden="1"/>
    </xf>
    <xf numFmtId="0" fontId="20" fillId="4" borderId="0" xfId="0" applyFont="1" applyFill="1" applyBorder="1" applyAlignment="1" applyProtection="1">
      <alignment horizontal="left" vertical="center"/>
      <protection hidden="1"/>
    </xf>
    <xf numFmtId="2" fontId="63" fillId="5" borderId="0" xfId="0" applyNumberFormat="1" applyFont="1" applyFill="1" applyBorder="1" applyAlignment="1" applyProtection="1">
      <alignment horizontal="left" vertical="center"/>
      <protection hidden="1"/>
    </xf>
    <xf numFmtId="0" fontId="20" fillId="5" borderId="0" xfId="0" applyNumberFormat="1" applyFont="1" applyFill="1" applyBorder="1" applyAlignment="1" applyProtection="1">
      <alignment horizontal="left" vertical="center"/>
      <protection hidden="1"/>
    </xf>
    <xf numFmtId="0" fontId="65" fillId="5" borderId="0" xfId="0" applyNumberFormat="1" applyFont="1" applyFill="1" applyBorder="1" applyAlignment="1" applyProtection="1">
      <alignment horizontal="left" vertical="center"/>
      <protection hidden="1"/>
    </xf>
    <xf numFmtId="0" fontId="20" fillId="8" borderId="10" xfId="0" applyFont="1" applyFill="1" applyBorder="1" applyAlignment="1" applyProtection="1">
      <alignment horizontal="left" vertical="center"/>
      <protection hidden="1"/>
    </xf>
    <xf numFmtId="0" fontId="20" fillId="8" borderId="1" xfId="0" applyFont="1" applyFill="1" applyBorder="1" applyAlignment="1" applyProtection="1">
      <alignment horizontal="left" vertical="center"/>
      <protection hidden="1"/>
    </xf>
    <xf numFmtId="0" fontId="20" fillId="8" borderId="2" xfId="0" applyFont="1" applyFill="1" applyBorder="1" applyAlignment="1" applyProtection="1">
      <alignment horizontal="left" vertical="center"/>
      <protection hidden="1"/>
    </xf>
    <xf numFmtId="0" fontId="20" fillId="8" borderId="3" xfId="0" applyFont="1" applyFill="1" applyBorder="1" applyAlignment="1" applyProtection="1">
      <alignment horizontal="left" vertical="center"/>
      <protection hidden="1"/>
    </xf>
    <xf numFmtId="2" fontId="65" fillId="4" borderId="65" xfId="0" applyNumberFormat="1" applyFont="1" applyFill="1" applyBorder="1" applyAlignment="1" applyProtection="1">
      <alignment horizontal="center" vertical="center"/>
      <protection hidden="1"/>
    </xf>
    <xf numFmtId="0" fontId="69" fillId="0" borderId="65" xfId="0" applyFont="1" applyFill="1" applyBorder="1" applyAlignment="1" applyProtection="1">
      <alignment horizontal="center" vertical="center"/>
      <protection locked="0" hidden="1"/>
    </xf>
    <xf numFmtId="0" fontId="69" fillId="0" borderId="43" xfId="0" applyFont="1" applyFill="1" applyBorder="1" applyAlignment="1" applyProtection="1">
      <alignment horizontal="center" vertical="center"/>
      <protection locked="0" hidden="1"/>
    </xf>
    <xf numFmtId="0" fontId="69" fillId="0" borderId="40" xfId="0" applyFont="1" applyFill="1" applyBorder="1" applyAlignment="1" applyProtection="1">
      <alignment horizontal="center" vertical="center"/>
      <protection locked="0" hidden="1"/>
    </xf>
    <xf numFmtId="0" fontId="20" fillId="8" borderId="67" xfId="0" applyFont="1" applyFill="1" applyBorder="1" applyAlignment="1" applyProtection="1">
      <alignment horizontal="left" vertical="center"/>
      <protection hidden="1"/>
    </xf>
    <xf numFmtId="0" fontId="65" fillId="5" borderId="0" xfId="0" applyFont="1" applyFill="1" applyBorder="1" applyAlignment="1" applyProtection="1">
      <alignment horizontal="left" vertical="center"/>
      <protection hidden="1"/>
    </xf>
    <xf numFmtId="0" fontId="65" fillId="5" borderId="0" xfId="0" applyFont="1" applyFill="1" applyAlignment="1" applyProtection="1">
      <alignment horizontal="left" vertical="center"/>
      <protection hidden="1"/>
    </xf>
    <xf numFmtId="2" fontId="65" fillId="5" borderId="0" xfId="0" applyNumberFormat="1" applyFont="1" applyFill="1" applyAlignment="1" applyProtection="1">
      <alignment horizontal="left" vertical="center"/>
      <protection hidden="1"/>
    </xf>
    <xf numFmtId="1" fontId="66" fillId="5" borderId="0" xfId="0" applyNumberFormat="1" applyFont="1" applyFill="1" applyBorder="1" applyAlignment="1" applyProtection="1">
      <alignment horizontal="left" vertical="center"/>
      <protection hidden="1"/>
    </xf>
    <xf numFmtId="188" fontId="65" fillId="5" borderId="0" xfId="0" applyNumberFormat="1" applyFont="1" applyFill="1" applyBorder="1" applyAlignment="1" applyProtection="1">
      <alignment horizontal="left" vertical="center"/>
      <protection hidden="1"/>
    </xf>
    <xf numFmtId="0" fontId="66" fillId="0" borderId="76" xfId="0" applyFont="1" applyFill="1" applyBorder="1" applyAlignment="1" applyProtection="1">
      <alignment horizontal="center" vertical="center"/>
      <protection hidden="1"/>
    </xf>
    <xf numFmtId="0" fontId="66" fillId="0" borderId="77" xfId="0" applyFont="1" applyFill="1" applyBorder="1" applyAlignment="1" applyProtection="1">
      <alignment horizontal="center" vertical="center"/>
      <protection hidden="1"/>
    </xf>
    <xf numFmtId="0" fontId="66" fillId="0" borderId="79" xfId="0" applyFont="1" applyFill="1" applyBorder="1" applyAlignment="1" applyProtection="1">
      <alignment horizontal="center" vertical="center"/>
      <protection hidden="1"/>
    </xf>
    <xf numFmtId="0" fontId="69" fillId="0" borderId="71" xfId="0" applyFont="1" applyFill="1" applyBorder="1" applyAlignment="1" applyProtection="1">
      <alignment horizontal="center" vertical="center"/>
      <protection locked="0" hidden="1"/>
    </xf>
    <xf numFmtId="0" fontId="69" fillId="0" borderId="18" xfId="0" applyFont="1" applyFill="1" applyBorder="1" applyAlignment="1" applyProtection="1">
      <alignment horizontal="center" vertical="center"/>
      <protection locked="0" hidden="1"/>
    </xf>
    <xf numFmtId="0" fontId="69" fillId="0" borderId="19" xfId="0" applyFont="1" applyFill="1" applyBorder="1" applyAlignment="1" applyProtection="1">
      <alignment horizontal="center" vertical="center"/>
      <protection locked="0" hidden="1"/>
    </xf>
    <xf numFmtId="0" fontId="65" fillId="4" borderId="51" xfId="0" applyFont="1" applyFill="1" applyBorder="1" applyAlignment="1" applyProtection="1">
      <alignment horizontal="left" vertical="center"/>
      <protection hidden="1"/>
    </xf>
    <xf numFmtId="0" fontId="65" fillId="4" borderId="38" xfId="0" applyFont="1" applyFill="1" applyBorder="1" applyAlignment="1" applyProtection="1">
      <alignment horizontal="left" vertical="center"/>
      <protection hidden="1"/>
    </xf>
    <xf numFmtId="0" fontId="65" fillId="4" borderId="73" xfId="0" applyFont="1" applyFill="1" applyBorder="1" applyAlignment="1" applyProtection="1">
      <alignment horizontal="left" vertical="center"/>
      <protection hidden="1"/>
    </xf>
    <xf numFmtId="1" fontId="66" fillId="4" borderId="17" xfId="0" applyNumberFormat="1" applyFont="1" applyFill="1" applyBorder="1" applyAlignment="1" applyProtection="1">
      <alignment horizontal="left" vertical="center"/>
      <protection hidden="1"/>
    </xf>
    <xf numFmtId="1" fontId="66" fillId="4" borderId="18" xfId="0" applyNumberFormat="1" applyFont="1" applyFill="1" applyBorder="1" applyAlignment="1" applyProtection="1">
      <alignment horizontal="left" vertical="center"/>
      <protection hidden="1"/>
    </xf>
    <xf numFmtId="1" fontId="66" fillId="4" borderId="74" xfId="0" applyNumberFormat="1" applyFont="1" applyFill="1" applyBorder="1" applyAlignment="1" applyProtection="1">
      <alignment horizontal="left" vertical="center"/>
      <protection hidden="1"/>
    </xf>
    <xf numFmtId="0" fontId="66" fillId="4" borderId="64" xfId="0" applyFont="1" applyFill="1" applyBorder="1" applyAlignment="1" applyProtection="1">
      <alignment horizontal="center" vertical="center"/>
      <protection hidden="1"/>
    </xf>
    <xf numFmtId="0" fontId="66" fillId="4" borderId="42" xfId="0" applyFont="1" applyFill="1" applyBorder="1" applyAlignment="1" applyProtection="1">
      <alignment horizontal="center" vertical="center"/>
      <protection hidden="1"/>
    </xf>
    <xf numFmtId="0" fontId="66" fillId="4" borderId="63" xfId="0" applyFont="1" applyFill="1" applyBorder="1" applyAlignment="1" applyProtection="1">
      <alignment horizontal="center" vertical="center"/>
      <protection hidden="1"/>
    </xf>
    <xf numFmtId="0" fontId="65" fillId="4" borderId="65" xfId="0" applyFont="1" applyFill="1" applyBorder="1" applyAlignment="1" applyProtection="1">
      <alignment horizontal="center" vertical="center"/>
      <protection hidden="1"/>
    </xf>
    <xf numFmtId="0" fontId="65" fillId="4" borderId="43" xfId="0" applyFont="1" applyFill="1" applyBorder="1" applyAlignment="1" applyProtection="1">
      <alignment horizontal="center" vertical="center"/>
      <protection hidden="1"/>
    </xf>
    <xf numFmtId="0" fontId="65" fillId="4" borderId="40" xfId="0" applyFont="1" applyFill="1" applyBorder="1" applyAlignment="1" applyProtection="1">
      <alignment horizontal="center" vertical="center"/>
      <protection hidden="1"/>
    </xf>
    <xf numFmtId="0" fontId="49" fillId="0" borderId="0" xfId="0" applyNumberFormat="1" applyFont="1" applyFill="1" applyBorder="1" applyAlignment="1" applyProtection="1">
      <alignment horizontal="left" vertical="center"/>
      <protection hidden="1"/>
    </xf>
    <xf numFmtId="2" fontId="20" fillId="0" borderId="0" xfId="0" applyNumberFormat="1" applyFont="1" applyAlignment="1" applyProtection="1">
      <alignment horizontal="left" vertical="center"/>
      <protection hidden="1"/>
    </xf>
    <xf numFmtId="0" fontId="20" fillId="4" borderId="65" xfId="0" applyFont="1" applyFill="1" applyBorder="1" applyAlignment="1" applyProtection="1">
      <alignment horizontal="center" vertical="center"/>
      <protection hidden="1"/>
    </xf>
    <xf numFmtId="0" fontId="20" fillId="4" borderId="43" xfId="0" applyFont="1" applyFill="1" applyBorder="1" applyAlignment="1" applyProtection="1">
      <alignment horizontal="center" vertical="center"/>
      <protection hidden="1"/>
    </xf>
    <xf numFmtId="0" fontId="63" fillId="4" borderId="65" xfId="0" applyFont="1" applyFill="1" applyBorder="1" applyAlignment="1" applyProtection="1">
      <alignment horizontal="center" vertical="center"/>
      <protection hidden="1"/>
    </xf>
    <xf numFmtId="0" fontId="63" fillId="4" borderId="43" xfId="0" applyFont="1" applyFill="1" applyBorder="1" applyAlignment="1" applyProtection="1">
      <alignment horizontal="center" vertical="center"/>
      <protection hidden="1"/>
    </xf>
    <xf numFmtId="0" fontId="69" fillId="0" borderId="65" xfId="0" applyFont="1" applyBorder="1" applyAlignment="1" applyProtection="1">
      <alignment horizontal="center" vertical="center"/>
      <protection locked="0" hidden="1"/>
    </xf>
    <xf numFmtId="0" fontId="69" fillId="0" borderId="43" xfId="0" applyFont="1" applyBorder="1" applyAlignment="1" applyProtection="1">
      <alignment horizontal="center" vertical="center"/>
      <protection locked="0" hidden="1"/>
    </xf>
    <xf numFmtId="0" fontId="69" fillId="0" borderId="40" xfId="0" applyFont="1" applyBorder="1" applyAlignment="1" applyProtection="1">
      <alignment horizontal="center" vertical="center"/>
      <protection locked="0" hidden="1"/>
    </xf>
    <xf numFmtId="2" fontId="20" fillId="3" borderId="26" xfId="0" applyNumberFormat="1" applyFont="1" applyFill="1" applyBorder="1" applyAlignment="1" applyProtection="1">
      <alignment horizontal="left" vertical="center"/>
      <protection hidden="1"/>
    </xf>
    <xf numFmtId="2" fontId="20" fillId="3" borderId="27" xfId="0" applyNumberFormat="1" applyFont="1" applyFill="1" applyBorder="1" applyAlignment="1" applyProtection="1">
      <alignment horizontal="left" vertical="center"/>
      <protection hidden="1"/>
    </xf>
    <xf numFmtId="2" fontId="29" fillId="0" borderId="25" xfId="0" applyNumberFormat="1" applyFont="1" applyFill="1" applyBorder="1" applyAlignment="1" applyProtection="1">
      <alignment horizontal="left" vertical="center"/>
      <protection locked="0" hidden="1"/>
    </xf>
    <xf numFmtId="2" fontId="29" fillId="0" borderId="26" xfId="0" applyNumberFormat="1" applyFont="1" applyFill="1" applyBorder="1" applyAlignment="1" applyProtection="1">
      <alignment horizontal="left" vertical="center"/>
      <protection locked="0" hidden="1"/>
    </xf>
    <xf numFmtId="2" fontId="29" fillId="0" borderId="27" xfId="0" applyNumberFormat="1" applyFont="1" applyFill="1" applyBorder="1" applyAlignment="1" applyProtection="1">
      <alignment horizontal="left" vertical="center"/>
      <protection locked="0" hidden="1"/>
    </xf>
    <xf numFmtId="0" fontId="20" fillId="4" borderId="66" xfId="0" applyFont="1" applyFill="1" applyBorder="1" applyAlignment="1" applyProtection="1">
      <alignment horizontal="center" vertical="center"/>
      <protection hidden="1"/>
    </xf>
    <xf numFmtId="0" fontId="20" fillId="4" borderId="41" xfId="0" applyFont="1" applyFill="1" applyBorder="1" applyAlignment="1" applyProtection="1">
      <alignment horizontal="center" vertical="center"/>
      <protection hidden="1"/>
    </xf>
    <xf numFmtId="0" fontId="20" fillId="4" borderId="52" xfId="0" applyFont="1" applyFill="1" applyBorder="1" applyAlignment="1" applyProtection="1">
      <alignment horizontal="center" vertical="center"/>
      <protection hidden="1"/>
    </xf>
    <xf numFmtId="0" fontId="73" fillId="4" borderId="66" xfId="0" applyFont="1" applyFill="1" applyBorder="1" applyAlignment="1" applyProtection="1">
      <alignment horizontal="center" vertical="center"/>
      <protection hidden="1"/>
    </xf>
    <xf numFmtId="0" fontId="73" fillId="4" borderId="41" xfId="0" applyFont="1" applyFill="1" applyBorder="1" applyAlignment="1" applyProtection="1">
      <alignment horizontal="center" vertical="center"/>
      <protection hidden="1"/>
    </xf>
    <xf numFmtId="0" fontId="73" fillId="4" borderId="52" xfId="0" applyFont="1" applyFill="1" applyBorder="1" applyAlignment="1" applyProtection="1">
      <alignment horizontal="center" vertical="center"/>
      <protection hidden="1"/>
    </xf>
    <xf numFmtId="0" fontId="65" fillId="4" borderId="80" xfId="0" applyFont="1" applyFill="1" applyBorder="1" applyAlignment="1" applyProtection="1">
      <alignment horizontal="left" vertical="center"/>
      <protection hidden="1"/>
    </xf>
    <xf numFmtId="0" fontId="65" fillId="4" borderId="77" xfId="0" applyFont="1" applyFill="1" applyBorder="1" applyAlignment="1" applyProtection="1">
      <alignment horizontal="left" vertical="center"/>
      <protection hidden="1"/>
    </xf>
    <xf numFmtId="0" fontId="65" fillId="4" borderId="81" xfId="0" applyFont="1" applyFill="1" applyBorder="1" applyAlignment="1" applyProtection="1">
      <alignment horizontal="left" vertical="center"/>
      <protection hidden="1"/>
    </xf>
    <xf numFmtId="1" fontId="69" fillId="0" borderId="64" xfId="0" applyNumberFormat="1" applyFont="1" applyFill="1" applyBorder="1" applyAlignment="1" applyProtection="1">
      <alignment horizontal="center" vertical="center"/>
      <protection locked="0" hidden="1"/>
    </xf>
    <xf numFmtId="1" fontId="69" fillId="0" borderId="42" xfId="0" applyNumberFormat="1" applyFont="1" applyFill="1" applyBorder="1" applyAlignment="1" applyProtection="1">
      <alignment horizontal="center" vertical="center"/>
      <protection locked="0" hidden="1"/>
    </xf>
    <xf numFmtId="1" fontId="69" fillId="0" borderId="63" xfId="0" applyNumberFormat="1" applyFont="1" applyFill="1" applyBorder="1" applyAlignment="1" applyProtection="1">
      <alignment horizontal="center" vertical="center"/>
      <protection locked="0" hidden="1"/>
    </xf>
    <xf numFmtId="1" fontId="69" fillId="0" borderId="65" xfId="0" applyNumberFormat="1" applyFont="1" applyFill="1" applyBorder="1" applyAlignment="1" applyProtection="1">
      <alignment horizontal="center" vertical="center"/>
      <protection locked="0" hidden="1"/>
    </xf>
    <xf numFmtId="1" fontId="69" fillId="0" borderId="43" xfId="0" applyNumberFormat="1" applyFont="1" applyFill="1" applyBorder="1" applyAlignment="1" applyProtection="1">
      <alignment horizontal="center" vertical="center"/>
      <protection locked="0" hidden="1"/>
    </xf>
    <xf numFmtId="1" fontId="69" fillId="0" borderId="40" xfId="0" applyNumberFormat="1" applyFont="1" applyFill="1" applyBorder="1" applyAlignment="1" applyProtection="1">
      <alignment horizontal="center" vertical="center"/>
      <protection locked="0" hidden="1"/>
    </xf>
    <xf numFmtId="1" fontId="66" fillId="4" borderId="70" xfId="0" applyNumberFormat="1" applyFont="1" applyFill="1" applyBorder="1" applyAlignment="1" applyProtection="1">
      <alignment horizontal="left" vertical="center"/>
      <protection hidden="1"/>
    </xf>
    <xf numFmtId="1" fontId="66" fillId="4" borderId="5" xfId="0" applyNumberFormat="1" applyFont="1" applyFill="1" applyBorder="1" applyAlignment="1" applyProtection="1">
      <alignment horizontal="left" vertical="center"/>
      <protection hidden="1"/>
    </xf>
    <xf numFmtId="1" fontId="66" fillId="4" borderId="60" xfId="0" applyNumberFormat="1" applyFont="1" applyFill="1" applyBorder="1" applyAlignment="1" applyProtection="1">
      <alignment horizontal="left" vertical="center"/>
      <protection hidden="1"/>
    </xf>
    <xf numFmtId="1" fontId="66" fillId="4" borderId="39" xfId="0" applyNumberFormat="1" applyFont="1" applyFill="1" applyBorder="1" applyAlignment="1" applyProtection="1">
      <alignment horizontal="left" vertical="center"/>
      <protection hidden="1"/>
    </xf>
    <xf numFmtId="1" fontId="66" fillId="4" borderId="43" xfId="0" applyNumberFormat="1" applyFont="1" applyFill="1" applyBorder="1" applyAlignment="1" applyProtection="1">
      <alignment horizontal="left" vertical="center"/>
      <protection hidden="1"/>
    </xf>
    <xf numFmtId="1" fontId="66" fillId="4" borderId="62" xfId="0" applyNumberFormat="1" applyFont="1" applyFill="1" applyBorder="1" applyAlignment="1" applyProtection="1">
      <alignment horizontal="left" vertical="center"/>
      <protection hidden="1"/>
    </xf>
    <xf numFmtId="0" fontId="66" fillId="4" borderId="65" xfId="0" applyNumberFormat="1" applyFont="1" applyFill="1" applyBorder="1" applyAlignment="1" applyProtection="1">
      <alignment horizontal="center" vertical="center"/>
      <protection hidden="1"/>
    </xf>
    <xf numFmtId="0" fontId="66" fillId="4" borderId="43" xfId="0" applyNumberFormat="1" applyFont="1" applyFill="1" applyBorder="1" applyAlignment="1" applyProtection="1">
      <alignment horizontal="center" vertical="center"/>
      <protection hidden="1"/>
    </xf>
    <xf numFmtId="0" fontId="66" fillId="4" borderId="40" xfId="0" applyNumberFormat="1" applyFont="1" applyFill="1" applyBorder="1" applyAlignment="1" applyProtection="1">
      <alignment horizontal="center" vertical="center"/>
      <protection hidden="1"/>
    </xf>
    <xf numFmtId="1" fontId="65" fillId="5" borderId="0" xfId="0" applyNumberFormat="1" applyFont="1" applyFill="1" applyBorder="1" applyAlignment="1" applyProtection="1">
      <alignment horizontal="left" vertical="center"/>
      <protection hidden="1"/>
    </xf>
    <xf numFmtId="1" fontId="63" fillId="5" borderId="0" xfId="0" applyNumberFormat="1" applyFont="1" applyFill="1" applyAlignment="1" applyProtection="1">
      <alignment horizontal="left" vertical="center"/>
      <protection hidden="1"/>
    </xf>
    <xf numFmtId="0" fontId="63" fillId="5" borderId="0" xfId="0" applyFont="1" applyFill="1" applyAlignment="1" applyProtection="1">
      <alignment horizontal="left" vertical="center"/>
      <protection hidden="1"/>
    </xf>
  </cellXfs>
  <cellStyles count="4">
    <cellStyle name="Hyperlink" xfId="1" builtinId="8"/>
    <cellStyle name="Normal" xfId="0" builtinId="0"/>
    <cellStyle name="Normal_RC-SLAB" xfId="2"/>
    <cellStyle name="เครื่องหมายจุลภาค 2" xfId="3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'Cantilever Slab'!$JG$117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'Cantilever Slab'!$JH$118:$JL$118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'Cantilever Slab'!$JH$119:$JL$119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'Cantilever Slab'!$JN$117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Slab'!$JN$118:$JR$118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'Cantilever Slab'!$JN$119:$JR$119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'Cantilever Slab'!$JG$165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8100" cap="flat">
              <a:solidFill>
                <a:prstClr val="black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384930794142657E-2"/>
                  <c:y val="3.129073030593464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959268741199811E-2"/>
                  <c:y val="-3.520207159417661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Slab'!$JH$166:$JI$166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Slab'!$JH$167:$JI$167</c:f>
              <c:numCache>
                <c:formatCode>General</c:formatCode>
                <c:ptCount val="2"/>
                <c:pt idx="0">
                  <c:v>-0.1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'Cantilever Slab'!$JK$165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22225" cap="sq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017548498124203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6280775969986247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Slab'!$JK$166:$JL$166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Slab'!$JK$167:$JL$167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'Cantilever Slab'!$JQ$138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Slab'!$JQ$139:$JR$139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'Cantilever Slab'!$JQ$140:$JR$140</c:f>
              <c:numCache>
                <c:formatCode>General</c:formatCode>
                <c:ptCount val="2"/>
                <c:pt idx="0">
                  <c:v>-0.1</c:v>
                </c:pt>
                <c:pt idx="1">
                  <c:v>1.05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'Cantilever Slab'!$JQ$138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Slab'!$JT$139:$JU$139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'Cantilever Slab'!$JT$140:$JU$140</c:f>
              <c:numCache>
                <c:formatCode>General</c:formatCode>
                <c:ptCount val="2"/>
                <c:pt idx="0">
                  <c:v>1.05</c:v>
                </c:pt>
                <c:pt idx="1">
                  <c:v>1.05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'Cantilever Slab'!$JG$138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Slab'!$JK$139:$JL$139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'Cantilever Slab'!$JK$140:$JL$140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'Cantilever Slab'!$JQ$144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Slab'!$JQ$145:$JR$145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Slab'!$JQ$146:$JR$146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8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Slab'!$JT$145:$JU$145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'Cantilever Slab'!$JT$146:$JU$146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9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Slab'!$JK$145:$JL$145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'Cantilever Slab'!$JK$146:$JL$146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'Cantilever Slab'!$JG$129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'Cantilever Slab'!$JH$130:$JI$130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Slab'!$JH$131:$JI$131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'Cantilever Slab'!$JO$166:$JP$166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'Cantilever Slab'!$JO$167:$JP$167</c:f>
              <c:numCache>
                <c:formatCode>General</c:formatCode>
                <c:ptCount val="2"/>
                <c:pt idx="0">
                  <c:v>-0.1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circle"/>
            <c:size val="8"/>
            <c:spPr>
              <a:noFill/>
              <a:ln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-5.1462988296093734E-2"/>
                  <c:y val="0.11530925925925926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Slab'!$JR$166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'Cantilever Slab'!$JR$167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'Cantilever Slab'!$JK$157</c:f>
              <c:strCache>
                <c:ptCount val="1"/>
                <c:pt idx="0">
                  <c:v>DB12@0.2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3.13580246913579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Slab'!$JK$130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Slab'!$JK$131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'Cantilever Slab'!$JQ$71:$JR$71</c:f>
              <c:strCache>
                <c:ptCount val="1"/>
                <c:pt idx="0">
                  <c:v>1.20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Slab'!$JW$139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'Cantilever Slab'!$JW$140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'Cantilever Slab'!$JQ$144</c:f>
              <c:strCache>
                <c:ptCount val="1"/>
                <c:pt idx="0">
                  <c:v>ระยะล่างล่าง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2440150478796167E-2"/>
                  <c:y val="-2.67620370370370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VARIES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Slab'!$JW$145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Slab'!$JW$146</c:f>
              <c:numCache>
                <c:formatCode>General</c:formatCode>
                <c:ptCount val="1"/>
                <c:pt idx="0">
                  <c:v>-0.4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'Cantilever Slab'!$JM$111:$JP$111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3.5277777777778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Slab'!$JH$154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Slab'!$JH$155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54592"/>
        <c:axId val="175655744"/>
      </c:scatterChart>
      <c:valAx>
        <c:axId val="175654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5655744"/>
        <c:crosses val="autoZero"/>
        <c:crossBetween val="midCat"/>
      </c:valAx>
      <c:valAx>
        <c:axId val="175655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565459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799" l="0.70000000000000062" r="0.70000000000000062" t="0.75000000000000799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24015133427611E-2"/>
          <c:y val="6.5972717424258892E-2"/>
          <c:w val="0.93585740784954763"/>
          <c:h val="0.86805456515148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'Cantilever Slab'!$JG$41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Slab'!$JH$42:$JL$42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'Cantilever Slab'!$JH$43:$JL$43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'Cantilever Slab'!$JG$47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Slab'!$JH$48:$JI$48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'Cantilever Slab'!$JH$49:$JI$49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'Cantilever Slab'!$JK$47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Slab'!$JL$48:$JM$48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'Cantilever Slab'!$JL$49:$JM$49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Slab'!$JO$48:$JP$48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Slab'!$JO$49:$JP$49</c:f>
              <c:numCache>
                <c:formatCode>General</c:formatCode>
                <c:ptCount val="2"/>
                <c:pt idx="0">
                  <c:v>-0.125</c:v>
                </c:pt>
                <c:pt idx="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'Cantilever Slab'!$JG$53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 cap="rnd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Slab'!$JH$54:$JI$54</c:f>
              <c:numCache>
                <c:formatCode>General</c:formatCode>
                <c:ptCount val="2"/>
                <c:pt idx="0">
                  <c:v>-0.17</c:v>
                </c:pt>
                <c:pt idx="1">
                  <c:v>0.97</c:v>
                </c:pt>
              </c:numCache>
            </c:numRef>
          </c:xVal>
          <c:yVal>
            <c:numRef>
              <c:f>'Cantilever Slab'!$JH$55:$JI$55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'Cantilever Slab'!$JG$53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Slab'!$JK$54:$JL$54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'Cantilever Slab'!$JK$55:$JL$55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'Cantilever Slab'!$JG$62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'Cantilever Slab'!$JH$63:$JM$63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0.15500000000000003</c:v>
                </c:pt>
                <c:pt idx="2">
                  <c:v>0.35500000000000004</c:v>
                </c:pt>
                <c:pt idx="3">
                  <c:v>0.55499999999999994</c:v>
                </c:pt>
                <c:pt idx="4">
                  <c:v>0.755</c:v>
                </c:pt>
                <c:pt idx="5">
                  <c:v>0.95499999999999996</c:v>
                </c:pt>
              </c:numCache>
            </c:numRef>
          </c:xVal>
          <c:yVal>
            <c:numRef>
              <c:f>'Cantilever Slab'!$JH$64:$JM$64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'Cantilever Slab'!$JG$56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'Cantilever Slab'!$JK$57:$JL$57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xVal>
          <c:yVal>
            <c:numRef>
              <c:f>'Cantilever Slab'!$JK$58:$JL$58</c:f>
              <c:numCache>
                <c:formatCode>General</c:formatCode>
                <c:ptCount val="2"/>
                <c:pt idx="0">
                  <c:v>-0.03</c:v>
                </c:pt>
                <c:pt idx="1">
                  <c:v>-7.0000000000000007E-2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'Cantilever Slab'!$JN$74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Slab'!$JN$75:$JO$75</c:f>
              <c:numCache>
                <c:formatCode>General</c:formatCode>
                <c:ptCount val="2"/>
                <c:pt idx="0">
                  <c:v>-0.1</c:v>
                </c:pt>
                <c:pt idx="1">
                  <c:v>1</c:v>
                </c:pt>
              </c:numCache>
            </c:numRef>
          </c:xVal>
          <c:yVal>
            <c:numRef>
              <c:f>'Cantilever Slab'!$JN$76:$JO$76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'Cantilever Slab'!$JG$74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Slab'!$JH$75:$JI$75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'Cantilever Slab'!$JH$76:$JI$76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'Cantilever Slab'!$JK$74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Slab'!$JK$75:$JL$75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Slab'!$JK$76:$JL$76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'Cantilever Slab'!$JN$68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Slab'!$JN$69:$JO$69</c:f>
              <c:numCache>
                <c:formatCode>General</c:formatCode>
                <c:ptCount val="2"/>
                <c:pt idx="0">
                  <c:v>1.1499999999999999</c:v>
                </c:pt>
                <c:pt idx="1">
                  <c:v>1.1499999999999999</c:v>
                </c:pt>
              </c:numCache>
            </c:numRef>
          </c:xVal>
          <c:yVal>
            <c:numRef>
              <c:f>'Cantilever Slab'!$JN$70:$JO$70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'Cantilever Slab'!$JG$68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Slab'!$JH$69:$JI$69</c:f>
              <c:numCache>
                <c:formatCode>General</c:formatCode>
                <c:ptCount val="2"/>
                <c:pt idx="0">
                  <c:v>1.1100000000000001</c:v>
                </c:pt>
                <c:pt idx="1">
                  <c:v>1.19</c:v>
                </c:pt>
              </c:numCache>
            </c:numRef>
          </c:xVal>
          <c:yVal>
            <c:numRef>
              <c:f>'Cantilever Slab'!$JH$70:$JI$70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'Cantilever Slab'!$JK$68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Slab'!$JK$69:$JL$69</c:f>
              <c:numCache>
                <c:formatCode>General</c:formatCode>
                <c:ptCount val="2"/>
                <c:pt idx="0">
                  <c:v>1.1100000000000001</c:v>
                </c:pt>
                <c:pt idx="1">
                  <c:v>1.19</c:v>
                </c:pt>
              </c:numCache>
            </c:numRef>
          </c:xVal>
          <c:yVal>
            <c:numRef>
              <c:f>'Cantilever Slab'!$JK$70:$JL$70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'Cantilever Slab'!$JG$80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8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0"/>
            <c:marker>
              <c:symbol val="circle"/>
              <c:size val="6"/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'Cantilever Slab'!$JH$81:$JI$81</c:f>
              <c:numCache>
                <c:formatCode>General</c:formatCode>
                <c:ptCount val="2"/>
                <c:pt idx="0">
                  <c:v>0.35500000000000004</c:v>
                </c:pt>
                <c:pt idx="1">
                  <c:v>0.35500000000000004</c:v>
                </c:pt>
              </c:numCache>
            </c:numRef>
          </c:xVal>
          <c:yVal>
            <c:numRef>
              <c:f>'Cantilever Slab'!$JH$82:$JI$82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Slab'!$JK$81:$JL$81</c:f>
              <c:numCache>
                <c:formatCode>General</c:formatCode>
                <c:ptCount val="2"/>
                <c:pt idx="0">
                  <c:v>0.35500000000000004</c:v>
                </c:pt>
                <c:pt idx="1">
                  <c:v>0.45500000000000007</c:v>
                </c:pt>
              </c:numCache>
            </c:numRef>
          </c:xVal>
          <c:yVal>
            <c:numRef>
              <c:f>'Cantilever Slab'!$JK$82:$JL$82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'Cantilever Slab'!$JG$83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'Cantilever Slab'!$JH$84:$JI$84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'Cantilever Slab'!$JH$85:$JI$85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'Cantilever Slab'!$JK$157</c:f>
              <c:strCache>
                <c:ptCount val="1"/>
                <c:pt idx="0">
                  <c:v>DB12@0.2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Slab'!$JK$84:$JL$84</c:f>
              <c:numCache>
                <c:formatCode>General</c:formatCode>
                <c:ptCount val="2"/>
                <c:pt idx="0">
                  <c:v>0.3</c:v>
                </c:pt>
                <c:pt idx="1">
                  <c:v>0.45500000000000007</c:v>
                </c:pt>
              </c:numCache>
            </c:numRef>
          </c:xVal>
          <c:yVal>
            <c:numRef>
              <c:f>'Cantilever Slab'!$JK$85:$JL$85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'Cantilever Slab'!$JQ$71:$JR$71</c:f>
              <c:strCache>
                <c:ptCount val="1"/>
                <c:pt idx="0">
                  <c:v>1.20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805932056029524E-2"/>
                  <c:y val="-3.52574557720202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Slab'!$JQ$75</c:f>
              <c:numCache>
                <c:formatCode>General</c:formatCode>
                <c:ptCount val="1"/>
                <c:pt idx="0">
                  <c:v>0.45</c:v>
                </c:pt>
              </c:numCache>
            </c:numRef>
          </c:xVal>
          <c:yVal>
            <c:numRef>
              <c:f>'Cantilever Slab'!$JQ$76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'Cantilever Slab'!$JQ$68:$JR$68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Slab'!$JQ$69</c:f>
              <c:numCache>
                <c:formatCode>General</c:formatCode>
                <c:ptCount val="1"/>
                <c:pt idx="0">
                  <c:v>1.1499999999999999</c:v>
                </c:pt>
              </c:numCache>
            </c:numRef>
          </c:xVal>
          <c:yVal>
            <c:numRef>
              <c:f>'Cantilever Slab'!$JQ$70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59200"/>
        <c:axId val="175659776"/>
      </c:scatterChart>
      <c:valAx>
        <c:axId val="17565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5659776"/>
        <c:crosses val="autoZero"/>
        <c:crossBetween val="midCat"/>
      </c:valAx>
      <c:valAx>
        <c:axId val="17565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565920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'Cantilever Slab'!$JG$117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'Cantilever Slab'!$JH$118:$JL$118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'Cantilever Slab'!$JH$119:$JL$119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'Cantilever Slab'!$JN$117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Slab'!$JN$118:$JR$118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'Cantilever Slab'!$JN$119:$JR$119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'Cantilever Slab'!$JG$165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8100" cap="flat">
              <a:solidFill>
                <a:prstClr val="black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384930794142657E-2"/>
                  <c:y val="3.1290730305934641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959268741199811E-2"/>
                  <c:y val="-3.5202071594176612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Slab'!$JH$166:$JI$166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Slab'!$JH$167:$JI$167</c:f>
              <c:numCache>
                <c:formatCode>General</c:formatCode>
                <c:ptCount val="2"/>
                <c:pt idx="0">
                  <c:v>-0.1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'Cantilever Slab'!$JK$165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22225" cap="sq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7.2072290340007533E-2"/>
                  <c:y val="4.3806709080433321E-17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#</a:t>
                    </a:r>
                    <a:r>
                      <a:rPr lang="en-US"/>
                      <a:t>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860013860013965E-2"/>
                  <c:y val="4.3806709080433321E-17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#</a:t>
                    </a:r>
                    <a:r>
                      <a:rPr lang="en-US"/>
                      <a:t>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FF0000"/>
                    </a:solidFill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Slab'!$JK$166:$JL$166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Slab'!$JK$167:$JL$167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'Cantilever Slab'!$JQ$138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Slab'!$JQ$139:$JR$139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'Cantilever Slab'!$JQ$140:$JR$140</c:f>
              <c:numCache>
                <c:formatCode>General</c:formatCode>
                <c:ptCount val="2"/>
                <c:pt idx="0">
                  <c:v>-0.1</c:v>
                </c:pt>
                <c:pt idx="1">
                  <c:v>1.05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'Cantilever Slab'!$JQ$138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Slab'!$JT$139:$JU$139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'Cantilever Slab'!$JT$140:$JU$140</c:f>
              <c:numCache>
                <c:formatCode>General</c:formatCode>
                <c:ptCount val="2"/>
                <c:pt idx="0">
                  <c:v>1.05</c:v>
                </c:pt>
                <c:pt idx="1">
                  <c:v>1.05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'Cantilever Slab'!$JG$138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Slab'!$JK$139:$JL$139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'Cantilever Slab'!$JK$140:$JL$140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'Cantilever Slab'!$JQ$144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Slab'!$JQ$145:$JR$145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Slab'!$JQ$146:$JR$146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8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Slab'!$JT$145:$JU$145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'Cantilever Slab'!$JT$146:$JU$146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9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Slab'!$JK$145:$JL$145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'Cantilever Slab'!$JK$146:$JL$146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'Cantilever Slab'!$JG$129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'Cantilever Slab'!$JH$130:$JI$130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'Cantilever Slab'!$JH$131:$JI$131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'Cantilever Slab'!$JO$166:$JP$166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'Cantilever Slab'!$JO$167:$JP$167</c:f>
              <c:numCache>
                <c:formatCode>General</c:formatCode>
                <c:ptCount val="2"/>
                <c:pt idx="0">
                  <c:v>-0.1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circle"/>
            <c:size val="8"/>
            <c:spPr>
              <a:noFill/>
              <a:ln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-5.1462988296093734E-2"/>
                  <c:y val="0.11530925925925926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Slab'!$JR$166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'Cantilever Slab'!$JR$167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'Cantilever Slab'!$JK$157</c:f>
              <c:strCache>
                <c:ptCount val="1"/>
                <c:pt idx="0">
                  <c:v>DB12@0.2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3.13580246913579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Slab'!$JK$130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Slab'!$JK$131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'Cantilever Slab'!$JQ$71:$JR$71</c:f>
              <c:strCache>
                <c:ptCount val="1"/>
                <c:pt idx="0">
                  <c:v>1.20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Slab'!$JW$139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'Cantilever Slab'!$JW$140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'Cantilever Slab'!$JQ$144</c:f>
              <c:strCache>
                <c:ptCount val="1"/>
                <c:pt idx="0">
                  <c:v>ระยะล่างล่าง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2440150478796167E-2"/>
                  <c:y val="-2.67620370370370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VARIES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'Cantilever Slab'!$JW$145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Slab'!$JW$146</c:f>
              <c:numCache>
                <c:formatCode>General</c:formatCode>
                <c:ptCount val="1"/>
                <c:pt idx="0">
                  <c:v>-0.4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'Cantilever Slab'!$JM$111:$JP$111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3.527777777777874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Slab'!$JH$154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'Cantilever Slab'!$JH$155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149568"/>
        <c:axId val="177150144"/>
      </c:scatterChart>
      <c:valAx>
        <c:axId val="177149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150144"/>
        <c:crosses val="autoZero"/>
        <c:crossBetween val="midCat"/>
      </c:valAx>
      <c:valAx>
        <c:axId val="1771501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71495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22" l="0.70000000000000062" r="0.70000000000000062" t="0.75000000000000822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24015133427611E-2"/>
          <c:y val="6.5972717424258892E-2"/>
          <c:w val="0.93585740784954763"/>
          <c:h val="0.86805456515148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'Cantilever Slab'!$JG$41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Slab'!$JH$42:$JL$42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'Cantilever Slab'!$JH$43:$JL$43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'Cantilever Slab'!$JG$47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Slab'!$JH$48:$JI$48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'Cantilever Slab'!$JH$49:$JI$49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'Cantilever Slab'!$JK$47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Slab'!$JL$48:$JM$48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'Cantilever Slab'!$JL$49:$JM$49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Slab'!$JO$48:$JP$48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Slab'!$JO$49:$JP$49</c:f>
              <c:numCache>
                <c:formatCode>General</c:formatCode>
                <c:ptCount val="2"/>
                <c:pt idx="0">
                  <c:v>-0.125</c:v>
                </c:pt>
                <c:pt idx="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'Cantilever Slab'!$JG$53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 cap="rnd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Slab'!$JH$54:$JI$54</c:f>
              <c:numCache>
                <c:formatCode>General</c:formatCode>
                <c:ptCount val="2"/>
                <c:pt idx="0">
                  <c:v>-0.17</c:v>
                </c:pt>
                <c:pt idx="1">
                  <c:v>0.97</c:v>
                </c:pt>
              </c:numCache>
            </c:numRef>
          </c:xVal>
          <c:yVal>
            <c:numRef>
              <c:f>'Cantilever Slab'!$JH$55:$JI$55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'Cantilever Slab'!$JG$53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'Cantilever Slab'!$JK$54:$JL$54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'Cantilever Slab'!$JK$55:$JL$55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'Cantilever Slab'!$JG$62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'Cantilever Slab'!$JH$63:$JM$63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0.15500000000000003</c:v>
                </c:pt>
                <c:pt idx="2">
                  <c:v>0.35500000000000004</c:v>
                </c:pt>
                <c:pt idx="3">
                  <c:v>0.55499999999999994</c:v>
                </c:pt>
                <c:pt idx="4">
                  <c:v>0.755</c:v>
                </c:pt>
                <c:pt idx="5">
                  <c:v>0.95499999999999996</c:v>
                </c:pt>
              </c:numCache>
            </c:numRef>
          </c:xVal>
          <c:yVal>
            <c:numRef>
              <c:f>'Cantilever Slab'!$JH$64:$JM$64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'Cantilever Slab'!$JG$56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'Cantilever Slab'!$JK$57:$JL$57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xVal>
          <c:yVal>
            <c:numRef>
              <c:f>'Cantilever Slab'!$JK$58:$JL$58</c:f>
              <c:numCache>
                <c:formatCode>General</c:formatCode>
                <c:ptCount val="2"/>
                <c:pt idx="0">
                  <c:v>-0.03</c:v>
                </c:pt>
                <c:pt idx="1">
                  <c:v>-7.0000000000000007E-2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'Cantilever Slab'!$JN$74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Slab'!$JN$75:$JO$75</c:f>
              <c:numCache>
                <c:formatCode>General</c:formatCode>
                <c:ptCount val="2"/>
                <c:pt idx="0">
                  <c:v>-0.1</c:v>
                </c:pt>
                <c:pt idx="1">
                  <c:v>1</c:v>
                </c:pt>
              </c:numCache>
            </c:numRef>
          </c:xVal>
          <c:yVal>
            <c:numRef>
              <c:f>'Cantilever Slab'!$JN$76:$JO$76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'Cantilever Slab'!$JG$74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Slab'!$JH$75:$JI$75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'Cantilever Slab'!$JH$76:$JI$76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'Cantilever Slab'!$JK$74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Slab'!$JK$75:$JL$75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'Cantilever Slab'!$JK$76:$JL$76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'Cantilever Slab'!$JN$68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'Cantilever Slab'!$JN$69:$JO$69</c:f>
              <c:numCache>
                <c:formatCode>General</c:formatCode>
                <c:ptCount val="2"/>
                <c:pt idx="0">
                  <c:v>1.1499999999999999</c:v>
                </c:pt>
                <c:pt idx="1">
                  <c:v>1.1499999999999999</c:v>
                </c:pt>
              </c:numCache>
            </c:numRef>
          </c:xVal>
          <c:yVal>
            <c:numRef>
              <c:f>'Cantilever Slab'!$JN$70:$JO$70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'Cantilever Slab'!$JG$68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Slab'!$JH$69:$JI$69</c:f>
              <c:numCache>
                <c:formatCode>General</c:formatCode>
                <c:ptCount val="2"/>
                <c:pt idx="0">
                  <c:v>1.1100000000000001</c:v>
                </c:pt>
                <c:pt idx="1">
                  <c:v>1.19</c:v>
                </c:pt>
              </c:numCache>
            </c:numRef>
          </c:xVal>
          <c:yVal>
            <c:numRef>
              <c:f>'Cantilever Slab'!$JH$70:$JI$70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'Cantilever Slab'!$JK$68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'Cantilever Slab'!$JK$69:$JL$69</c:f>
              <c:numCache>
                <c:formatCode>General</c:formatCode>
                <c:ptCount val="2"/>
                <c:pt idx="0">
                  <c:v>1.1100000000000001</c:v>
                </c:pt>
                <c:pt idx="1">
                  <c:v>1.19</c:v>
                </c:pt>
              </c:numCache>
            </c:numRef>
          </c:xVal>
          <c:yVal>
            <c:numRef>
              <c:f>'Cantilever Slab'!$JK$70:$JL$70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'Cantilever Slab'!$JG$80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8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0"/>
            <c:marker>
              <c:symbol val="circle"/>
              <c:size val="6"/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'Cantilever Slab'!$JH$81:$JI$81</c:f>
              <c:numCache>
                <c:formatCode>General</c:formatCode>
                <c:ptCount val="2"/>
                <c:pt idx="0">
                  <c:v>0.35500000000000004</c:v>
                </c:pt>
                <c:pt idx="1">
                  <c:v>0.35500000000000004</c:v>
                </c:pt>
              </c:numCache>
            </c:numRef>
          </c:xVal>
          <c:yVal>
            <c:numRef>
              <c:f>'Cantilever Slab'!$JH$82:$JI$82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'Cantilever Slab'!$JK$161</c:f>
              <c:strCache>
                <c:ptCount val="1"/>
                <c:pt idx="0">
                  <c:v>RB9@0.25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Slab'!$JK$81:$JL$81</c:f>
              <c:numCache>
                <c:formatCode>General</c:formatCode>
                <c:ptCount val="2"/>
                <c:pt idx="0">
                  <c:v>0.35500000000000004</c:v>
                </c:pt>
                <c:pt idx="1">
                  <c:v>0.45500000000000007</c:v>
                </c:pt>
              </c:numCache>
            </c:numRef>
          </c:xVal>
          <c:yVal>
            <c:numRef>
              <c:f>'Cantilever Slab'!$JK$82:$JL$82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'Cantilever Slab'!$JG$83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'Cantilever Slab'!$JH$84:$JI$84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'Cantilever Slab'!$JH$85:$JI$85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'Cantilever Slab'!$JK$157</c:f>
              <c:strCache>
                <c:ptCount val="1"/>
                <c:pt idx="0">
                  <c:v>DB12@0.2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Slab'!$JK$84:$JL$84</c:f>
              <c:numCache>
                <c:formatCode>General</c:formatCode>
                <c:ptCount val="2"/>
                <c:pt idx="0">
                  <c:v>0.3</c:v>
                </c:pt>
                <c:pt idx="1">
                  <c:v>0.45500000000000007</c:v>
                </c:pt>
              </c:numCache>
            </c:numRef>
          </c:xVal>
          <c:yVal>
            <c:numRef>
              <c:f>'Cantilever Slab'!$JK$85:$JL$85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'Cantilever Slab'!$JQ$71:$JR$71</c:f>
              <c:strCache>
                <c:ptCount val="1"/>
                <c:pt idx="0">
                  <c:v>1.20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805932056029524E-2"/>
                  <c:y val="-3.52574557720202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Slab'!$JQ$75</c:f>
              <c:numCache>
                <c:formatCode>General</c:formatCode>
                <c:ptCount val="1"/>
                <c:pt idx="0">
                  <c:v>0.45</c:v>
                </c:pt>
              </c:numCache>
            </c:numRef>
          </c:xVal>
          <c:yVal>
            <c:numRef>
              <c:f>'Cantilever Slab'!$JQ$76</c:f>
              <c:numCache>
                <c:formatCode>General</c:formatCode>
                <c:ptCount val="1"/>
                <c:pt idx="0">
                  <c:v>-0.55000000000000004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'Cantilever Slab'!$JQ$68:$JR$68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'Cantilever Slab'!$JQ$69</c:f>
              <c:numCache>
                <c:formatCode>General</c:formatCode>
                <c:ptCount val="1"/>
                <c:pt idx="0">
                  <c:v>1.1499999999999999</c:v>
                </c:pt>
              </c:numCache>
            </c:numRef>
          </c:xVal>
          <c:yVal>
            <c:numRef>
              <c:f>'Cantilever Slab'!$JQ$70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15648"/>
        <c:axId val="174116224"/>
      </c:scatterChart>
      <c:valAx>
        <c:axId val="17411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116224"/>
        <c:crosses val="autoZero"/>
        <c:crossBetween val="midCat"/>
      </c:valAx>
      <c:valAx>
        <c:axId val="1741162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411564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132</xdr:col>
      <xdr:colOff>141315</xdr:colOff>
      <xdr:row>111</xdr:row>
      <xdr:rowOff>20225</xdr:rowOff>
    </xdr:from>
    <xdr:ext cx="213199" cy="210250"/>
    <xdr:sp macro="" textlink="#REF!">
      <xdr:nvSpPr>
        <xdr:cNvPr id="8" name="TextBox 7"/>
        <xdr:cNvSpPr txBox="1"/>
      </xdr:nvSpPr>
      <xdr:spPr>
        <a:xfrm>
          <a:off x="27344715" y="19394075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FE4C45A1-000D-45DE-8DCD-6E602CDEB1DB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11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138</xdr:col>
      <xdr:colOff>87152</xdr:colOff>
      <xdr:row>101</xdr:row>
      <xdr:rowOff>133730</xdr:rowOff>
    </xdr:from>
    <xdr:ext cx="213199" cy="210250"/>
    <xdr:sp macro="" textlink="$BS$2">
      <xdr:nvSpPr>
        <xdr:cNvPr id="9" name="TextBox 8"/>
        <xdr:cNvSpPr txBox="1"/>
      </xdr:nvSpPr>
      <xdr:spPr>
        <a:xfrm>
          <a:off x="28490702" y="17793080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CD8780F2-14B4-49B9-83A4-F5DD26B1390E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133</xdr:col>
      <xdr:colOff>30935</xdr:colOff>
      <xdr:row>108</xdr:row>
      <xdr:rowOff>21090</xdr:rowOff>
    </xdr:from>
    <xdr:ext cx="213200" cy="210250"/>
    <xdr:sp macro="" textlink="#REF!">
      <xdr:nvSpPr>
        <xdr:cNvPr id="10" name="TextBox 9"/>
        <xdr:cNvSpPr txBox="1"/>
      </xdr:nvSpPr>
      <xdr:spPr>
        <a:xfrm>
          <a:off x="27869335" y="19579090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139</xdr:col>
      <xdr:colOff>38098</xdr:colOff>
      <xdr:row>103</xdr:row>
      <xdr:rowOff>137764</xdr:rowOff>
    </xdr:from>
    <xdr:ext cx="213200" cy="210250"/>
    <xdr:sp macro="" textlink="#REF!">
      <xdr:nvSpPr>
        <xdr:cNvPr id="11" name="TextBox 10"/>
        <xdr:cNvSpPr txBox="1"/>
      </xdr:nvSpPr>
      <xdr:spPr>
        <a:xfrm>
          <a:off x="29095698" y="18806764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133</xdr:col>
      <xdr:colOff>26202</xdr:colOff>
      <xdr:row>109</xdr:row>
      <xdr:rowOff>30604</xdr:rowOff>
    </xdr:from>
    <xdr:ext cx="213200" cy="210250"/>
    <xdr:sp macro="" textlink="#REF!">
      <xdr:nvSpPr>
        <xdr:cNvPr id="12" name="TextBox 11"/>
        <xdr:cNvSpPr txBox="1"/>
      </xdr:nvSpPr>
      <xdr:spPr>
        <a:xfrm>
          <a:off x="27864602" y="19766404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F1DB228C-F28F-4F4F-8955-E6E471BF268B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139</xdr:col>
      <xdr:colOff>38114</xdr:colOff>
      <xdr:row>104</xdr:row>
      <xdr:rowOff>118710</xdr:rowOff>
    </xdr:from>
    <xdr:ext cx="213200" cy="210250"/>
    <xdr:sp macro="" textlink="#REF!">
      <xdr:nvSpPr>
        <xdr:cNvPr id="13" name="TextBox 12"/>
        <xdr:cNvSpPr txBox="1"/>
      </xdr:nvSpPr>
      <xdr:spPr>
        <a:xfrm>
          <a:off x="29095714" y="18965510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C1A60489-BA9C-4F8A-B935-D3DB8CB64B89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27</xdr:col>
      <xdr:colOff>12638</xdr:colOff>
      <xdr:row>159</xdr:row>
      <xdr:rowOff>161579</xdr:rowOff>
    </xdr:from>
    <xdr:ext cx="213200" cy="210250"/>
    <xdr:sp macro="" textlink="#REF!">
      <xdr:nvSpPr>
        <xdr:cNvPr id="16" name="TextBox 15"/>
        <xdr:cNvSpPr txBox="1"/>
      </xdr:nvSpPr>
      <xdr:spPr>
        <a:xfrm>
          <a:off x="5295838" y="28787379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6B28979D-68CF-4A04-BBC2-9C907EBB95E8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19</xdr:col>
      <xdr:colOff>143404</xdr:colOff>
      <xdr:row>165</xdr:row>
      <xdr:rowOff>82992</xdr:rowOff>
    </xdr:from>
    <xdr:ext cx="213199" cy="210250"/>
    <xdr:sp macro="" textlink="#REF!">
      <xdr:nvSpPr>
        <xdr:cNvPr id="17" name="TextBox 16"/>
        <xdr:cNvSpPr txBox="1"/>
      </xdr:nvSpPr>
      <xdr:spPr>
        <a:xfrm>
          <a:off x="3801004" y="29775592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3B9A981B-1C00-47F5-931A-503E99BF01DD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</xdr:col>
      <xdr:colOff>6771</xdr:colOff>
      <xdr:row>143</xdr:row>
      <xdr:rowOff>58491</xdr:rowOff>
    </xdr:from>
    <xdr:ext cx="210250" cy="213199"/>
    <xdr:sp macro="" textlink="#REF!">
      <xdr:nvSpPr>
        <xdr:cNvPr id="50" name="TextBox 49"/>
        <xdr:cNvSpPr txBox="1"/>
      </xdr:nvSpPr>
      <xdr:spPr>
        <a:xfrm rot="16200000">
          <a:off x="411696" y="25840966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A852927F-A266-4F9C-8280-78DFDC57A879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15</xdr:col>
      <xdr:colOff>6787</xdr:colOff>
      <xdr:row>143</xdr:row>
      <xdr:rowOff>64841</xdr:rowOff>
    </xdr:from>
    <xdr:ext cx="210250" cy="213199"/>
    <xdr:sp macro="" textlink="$B$11">
      <xdr:nvSpPr>
        <xdr:cNvPr id="55" name="TextBox 54"/>
        <xdr:cNvSpPr txBox="1"/>
      </xdr:nvSpPr>
      <xdr:spPr>
        <a:xfrm rot="16200000">
          <a:off x="2805662" y="24926566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5E7C53F0-407F-448E-A44D-7DC6FE435CC9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6</xdr:col>
      <xdr:colOff>142136</xdr:colOff>
      <xdr:row>140</xdr:row>
      <xdr:rowOff>158329</xdr:rowOff>
    </xdr:from>
    <xdr:ext cx="213199" cy="210250"/>
    <xdr:sp macro="" textlink="$X$11">
      <xdr:nvSpPr>
        <xdr:cNvPr id="62" name="TextBox 61"/>
        <xdr:cNvSpPr txBox="1"/>
      </xdr:nvSpPr>
      <xdr:spPr>
        <a:xfrm>
          <a:off x="1342286" y="24504229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CCD97F0E-85C3-4935-A4A8-B1951235EE85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twoCellAnchor>
    <xdr:from>
      <xdr:col>5</xdr:col>
      <xdr:colOff>77316</xdr:colOff>
      <xdr:row>30</xdr:row>
      <xdr:rowOff>1222</xdr:rowOff>
    </xdr:from>
    <xdr:to>
      <xdr:col>12</xdr:col>
      <xdr:colOff>154149</xdr:colOff>
      <xdr:row>35</xdr:row>
      <xdr:rowOff>150844</xdr:rowOff>
    </xdr:to>
    <xdr:grpSp>
      <xdr:nvGrpSpPr>
        <xdr:cNvPr id="22" name="กลุ่ม 294"/>
        <xdr:cNvGrpSpPr/>
      </xdr:nvGrpSpPr>
      <xdr:grpSpPr>
        <a:xfrm>
          <a:off x="1060876" y="5281385"/>
          <a:ext cx="1453816" cy="1029649"/>
          <a:chOff x="1143153" y="5833766"/>
          <a:chExt cx="1074321" cy="683165"/>
        </a:xfrm>
      </xdr:grpSpPr>
      <xdr:grpSp>
        <xdr:nvGrpSpPr>
          <xdr:cNvPr id="24" name="กลุ่ม 295"/>
          <xdr:cNvGrpSpPr/>
        </xdr:nvGrpSpPr>
        <xdr:grpSpPr>
          <a:xfrm>
            <a:off x="1157283" y="5833766"/>
            <a:ext cx="1060191" cy="683165"/>
            <a:chOff x="1200150" y="5013032"/>
            <a:chExt cx="1060191" cy="683165"/>
          </a:xfrm>
        </xdr:grpSpPr>
        <xdr:grpSp>
          <xdr:nvGrpSpPr>
            <xdr:cNvPr id="26" name="กลุ่ม 297"/>
            <xdr:cNvGrpSpPr/>
          </xdr:nvGrpSpPr>
          <xdr:grpSpPr>
            <a:xfrm>
              <a:off x="1200150" y="5013032"/>
              <a:ext cx="1060191" cy="683165"/>
              <a:chOff x="1155700" y="5013032"/>
              <a:chExt cx="1060191" cy="683165"/>
            </a:xfrm>
          </xdr:grpSpPr>
          <xdr:grpSp>
            <xdr:nvGrpSpPr>
              <xdr:cNvPr id="29" name="กลุ่ม 300"/>
              <xdr:cNvGrpSpPr/>
            </xdr:nvGrpSpPr>
            <xdr:grpSpPr>
              <a:xfrm>
                <a:off x="1155700" y="5162329"/>
                <a:ext cx="900890" cy="299663"/>
                <a:chOff x="1155700" y="5162329"/>
                <a:chExt cx="900890" cy="299663"/>
              </a:xfrm>
            </xdr:grpSpPr>
            <xdr:sp macro="" textlink="">
              <xdr:nvSpPr>
                <xdr:cNvPr id="36" name="สี่เหลี่ยมผืนผ้า 35"/>
                <xdr:cNvSpPr/>
              </xdr:nvSpPr>
              <xdr:spPr>
                <a:xfrm>
                  <a:off x="1155700" y="5353050"/>
                  <a:ext cx="900000" cy="108000"/>
                </a:xfrm>
                <a:prstGeom prst="rect">
                  <a:avLst/>
                </a:prstGeom>
                <a:solidFill>
                  <a:srgbClr val="FFFFCC"/>
                </a:solidFill>
                <a:ln w="9525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rtlCol="0" anchor="ctr"/>
                <a:lstStyle/>
                <a:p>
                  <a:pPr algn="l"/>
                  <a:endParaRPr lang="th-TH" sz="1100">
                    <a:solidFill>
                      <a:sysClr val="windowText" lastClr="000000"/>
                    </a:solidFill>
                  </a:endParaRPr>
                </a:p>
              </xdr:txBody>
            </xdr:sp>
            <xdr:cxnSp macro="">
              <xdr:nvCxnSpPr>
                <xdr:cNvPr id="37" name="ลูกศรเชื่อมต่อแบบตรง 36"/>
                <xdr:cNvCxnSpPr/>
              </xdr:nvCxnSpPr>
              <xdr:spPr>
                <a:xfrm>
                  <a:off x="1975211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8" name="ลูกศรเชื่อมต่อแบบตรง 37"/>
                <xdr:cNvCxnSpPr/>
              </xdr:nvCxnSpPr>
              <xdr:spPr>
                <a:xfrm>
                  <a:off x="2056590" y="5162329"/>
                  <a:ext cx="0" cy="196402"/>
                </a:xfrm>
                <a:prstGeom prst="straightConnector1">
                  <a:avLst/>
                </a:prstGeom>
                <a:ln w="12700">
                  <a:solidFill>
                    <a:srgbClr val="008000"/>
                  </a:solidFill>
                  <a:headEnd type="none"/>
                  <a:tailEnd type="stealth" w="med" len="lg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9" name="ลูกศรเชื่อมต่อแบบตรง 38"/>
                <xdr:cNvCxnSpPr/>
              </xdr:nvCxnSpPr>
              <xdr:spPr>
                <a:xfrm>
                  <a:off x="1895537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0" name="ลูกศรเชื่อมต่อแบบตรง 39"/>
                <xdr:cNvCxnSpPr/>
              </xdr:nvCxnSpPr>
              <xdr:spPr>
                <a:xfrm>
                  <a:off x="1815863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1" name="ลูกศรเชื่อมต่อแบบตรง 40"/>
                <xdr:cNvCxnSpPr/>
              </xdr:nvCxnSpPr>
              <xdr:spPr>
                <a:xfrm>
                  <a:off x="1736188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2" name="ลูกศรเชื่อมต่อแบบตรง 41"/>
                <xdr:cNvCxnSpPr/>
              </xdr:nvCxnSpPr>
              <xdr:spPr>
                <a:xfrm>
                  <a:off x="1656515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3" name="ลูกศรเชื่อมต่อแบบตรง 42"/>
                <xdr:cNvCxnSpPr/>
              </xdr:nvCxnSpPr>
              <xdr:spPr>
                <a:xfrm>
                  <a:off x="1576843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4" name="ลูกศรเชื่อมต่อแบบตรง 43"/>
                <xdr:cNvCxnSpPr/>
              </xdr:nvCxnSpPr>
              <xdr:spPr>
                <a:xfrm>
                  <a:off x="1497169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5" name="ลูกศรเชื่อมต่อแบบตรง 44"/>
                <xdr:cNvCxnSpPr/>
              </xdr:nvCxnSpPr>
              <xdr:spPr>
                <a:xfrm>
                  <a:off x="1410567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6" name="ลูกศรเชื่อมต่อแบบตรง 45"/>
                <xdr:cNvCxnSpPr/>
              </xdr:nvCxnSpPr>
              <xdr:spPr>
                <a:xfrm>
                  <a:off x="1327429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7" name="ลูกศรเชื่อมต่อแบบตรง 46"/>
                <xdr:cNvCxnSpPr/>
              </xdr:nvCxnSpPr>
              <xdr:spPr>
                <a:xfrm>
                  <a:off x="1244289" y="5353971"/>
                  <a:ext cx="0" cy="108021"/>
                </a:xfrm>
                <a:prstGeom prst="straightConnector1">
                  <a:avLst/>
                </a:prstGeom>
                <a:ln w="6350">
                  <a:solidFill>
                    <a:srgbClr val="FF0000"/>
                  </a:solidFill>
                  <a:headEnd type="none"/>
                  <a:tailEnd type="arrow" w="sm" len="sm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$T$23">
            <xdr:nvSpPr>
              <xdr:cNvPr id="30" name="TextBox 29"/>
              <xdr:cNvSpPr txBox="1"/>
            </xdr:nvSpPr>
            <xdr:spPr>
              <a:xfrm>
                <a:off x="1479250" y="5193862"/>
                <a:ext cx="293866" cy="17125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ctr"/>
              <a:lstStyle/>
              <a:p>
                <a:pPr algn="ctr"/>
                <a:fld id="{B003C3CC-4ED4-4242-8A25-6954E0D7ED51}" type="TxLink">
                  <a:rPr lang="en-US" sz="800" b="0" i="0" u="none" strike="noStrike">
                    <a:solidFill>
                      <a:srgbClr val="000000"/>
                    </a:solidFill>
                    <a:latin typeface="TahomaaUPC"/>
                  </a:rPr>
                  <a:pPr algn="ctr"/>
                  <a:t>Wu</a:t>
                </a:fld>
                <a:endParaRPr lang="th-TH" sz="800"/>
              </a:p>
            </xdr:txBody>
          </xdr:sp>
          <xdr:sp macro="" textlink="$T$24">
            <xdr:nvSpPr>
              <xdr:cNvPr id="33" name="TextBox 32"/>
              <xdr:cNvSpPr txBox="1"/>
            </xdr:nvSpPr>
            <xdr:spPr>
              <a:xfrm>
                <a:off x="1917442" y="5013032"/>
                <a:ext cx="298449" cy="1873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ctr"/>
              <a:lstStyle/>
              <a:p>
                <a:pPr algn="ctr"/>
                <a:fld id="{44CB1E35-BB90-4B88-B7CB-33304AAC52D4}" type="TxLink">
                  <a:rPr lang="en-US" sz="800" b="0" i="0" u="none" strike="noStrike">
                    <a:solidFill>
                      <a:srgbClr val="000000"/>
                    </a:solidFill>
                    <a:latin typeface="TahomaaUPC"/>
                  </a:rPr>
                  <a:pPr algn="ctr"/>
                  <a:t>FIN</a:t>
                </a:fld>
                <a:endParaRPr lang="th-TH" sz="800"/>
              </a:p>
            </xdr:txBody>
          </xdr:sp>
          <xdr:sp macro="" textlink="$H$24">
            <xdr:nvSpPr>
              <xdr:cNvPr id="34" name="TextBox 33"/>
              <xdr:cNvSpPr txBox="1"/>
            </xdr:nvSpPr>
            <xdr:spPr>
              <a:xfrm>
                <a:off x="1459948" y="5508872"/>
                <a:ext cx="285750" cy="1873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ctr"/>
              <a:lstStyle/>
              <a:p>
                <a:pPr algn="ctr"/>
                <a:fld id="{21D550A4-E74B-48EA-B8D0-92850AAA2145}" type="TxLink">
                  <a:rPr lang="en-US" sz="800" b="0" i="0" u="none" strike="noStrike">
                    <a:solidFill>
                      <a:srgbClr val="0000FF"/>
                    </a:solidFill>
                    <a:latin typeface="Tahomai"/>
                  </a:rPr>
                  <a:pPr algn="ctr"/>
                  <a:t>1.20</a:t>
                </a:fld>
                <a:endParaRPr lang="th-TH" sz="700">
                  <a:solidFill>
                    <a:sysClr val="windowText" lastClr="000000"/>
                  </a:solidFill>
                </a:endParaRPr>
              </a:p>
            </xdr:txBody>
          </xdr:sp>
        </xdr:grpSp>
        <xdr:cxnSp macro="">
          <xdr:nvCxnSpPr>
            <xdr:cNvPr id="28" name="ลูกศรเชื่อมต่อแบบตรง 27"/>
            <xdr:cNvCxnSpPr/>
          </xdr:nvCxnSpPr>
          <xdr:spPr>
            <a:xfrm flipV="1">
              <a:off x="1200439" y="5658123"/>
              <a:ext cx="890931" cy="1"/>
            </a:xfrm>
            <a:prstGeom prst="straightConnector1">
              <a:avLst/>
            </a:prstGeom>
            <a:ln w="6350">
              <a:solidFill>
                <a:srgbClr val="0000FF"/>
              </a:solidFill>
              <a:headEnd type="oval" w="sm" len="sm"/>
              <a:tailEnd type="oval" w="sm" len="sm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5" name="ตัวเชื่อมต่อตรง 24"/>
          <xdr:cNvCxnSpPr/>
        </xdr:nvCxnSpPr>
        <xdr:spPr>
          <a:xfrm>
            <a:off x="1143153" y="6083300"/>
            <a:ext cx="0" cy="288000"/>
          </a:xfrm>
          <a:prstGeom prst="line">
            <a:avLst/>
          </a:prstGeom>
          <a:ln w="762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26</xdr:col>
      <xdr:colOff>12638</xdr:colOff>
      <xdr:row>146</xdr:row>
      <xdr:rowOff>161579</xdr:rowOff>
    </xdr:from>
    <xdr:ext cx="213200" cy="210250"/>
    <xdr:sp macro="" textlink="#REF!">
      <xdr:nvSpPr>
        <xdr:cNvPr id="48" name="TextBox 47"/>
        <xdr:cNvSpPr txBox="1"/>
      </xdr:nvSpPr>
      <xdr:spPr>
        <a:xfrm>
          <a:off x="5226322" y="25046895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6B28979D-68CF-4A04-BBC2-9C907EBB95E8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18</xdr:col>
      <xdr:colOff>143404</xdr:colOff>
      <xdr:row>152</xdr:row>
      <xdr:rowOff>82992</xdr:rowOff>
    </xdr:from>
    <xdr:ext cx="213199" cy="210250"/>
    <xdr:sp macro="" textlink="#REF!">
      <xdr:nvSpPr>
        <xdr:cNvPr id="49" name="TextBox 48"/>
        <xdr:cNvSpPr txBox="1"/>
      </xdr:nvSpPr>
      <xdr:spPr>
        <a:xfrm>
          <a:off x="3752878" y="25990992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3B9A981B-1C00-47F5-931A-503E99BF01DD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20</xdr:col>
      <xdr:colOff>71428</xdr:colOff>
      <xdr:row>144</xdr:row>
      <xdr:rowOff>166390</xdr:rowOff>
    </xdr:from>
    <xdr:ext cx="213200" cy="210250"/>
    <xdr:sp macro="" textlink="#REF!">
      <xdr:nvSpPr>
        <xdr:cNvPr id="51" name="TextBox 50"/>
        <xdr:cNvSpPr txBox="1"/>
      </xdr:nvSpPr>
      <xdr:spPr>
        <a:xfrm>
          <a:off x="4081954" y="24710811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7CCB4431-99A9-4109-BE50-CCBCC68BFCB2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20</xdr:col>
      <xdr:colOff>71430</xdr:colOff>
      <xdr:row>144</xdr:row>
      <xdr:rowOff>9188</xdr:rowOff>
    </xdr:from>
    <xdr:ext cx="213200" cy="210250"/>
    <xdr:sp macro="" textlink="#REF!">
      <xdr:nvSpPr>
        <xdr:cNvPr id="52" name="TextBox 51"/>
        <xdr:cNvSpPr txBox="1"/>
      </xdr:nvSpPr>
      <xdr:spPr>
        <a:xfrm>
          <a:off x="4081956" y="24553609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4A74FB76-08C0-4001-AAA2-AF5F7B006FBC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</xdr:col>
      <xdr:colOff>6771</xdr:colOff>
      <xdr:row>130</xdr:row>
      <xdr:rowOff>65844</xdr:rowOff>
    </xdr:from>
    <xdr:ext cx="210250" cy="213199"/>
    <xdr:sp macro="" textlink="#REF!">
      <xdr:nvSpPr>
        <xdr:cNvPr id="85" name="TextBox 84"/>
        <xdr:cNvSpPr txBox="1"/>
      </xdr:nvSpPr>
      <xdr:spPr>
        <a:xfrm rot="16200000">
          <a:off x="406349" y="22225477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A852927F-A266-4F9C-8280-78DFDC57A879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8</xdr:col>
      <xdr:colOff>57189</xdr:colOff>
      <xdr:row>133</xdr:row>
      <xdr:rowOff>161569</xdr:rowOff>
    </xdr:from>
    <xdr:ext cx="213200" cy="210250"/>
    <xdr:sp macro="" textlink="#REF!">
      <xdr:nvSpPr>
        <xdr:cNvPr id="91" name="TextBox 90"/>
        <xdr:cNvSpPr txBox="1"/>
      </xdr:nvSpPr>
      <xdr:spPr>
        <a:xfrm>
          <a:off x="1661400" y="22831069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52329CC6-F7ED-47D9-805D-3F206CEC4F94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8</xdr:col>
      <xdr:colOff>37639</xdr:colOff>
      <xdr:row>127</xdr:row>
      <xdr:rowOff>161567</xdr:rowOff>
    </xdr:from>
    <xdr:ext cx="213199" cy="210250"/>
    <xdr:sp macro="" textlink="#REF!">
      <xdr:nvSpPr>
        <xdr:cNvPr id="97" name="TextBox 96"/>
        <xdr:cNvSpPr txBox="1"/>
      </xdr:nvSpPr>
      <xdr:spPr>
        <a:xfrm>
          <a:off x="1641850" y="21808383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CCD97F0E-85C3-4935-A4A8-B1951235EE85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twoCellAnchor>
    <xdr:from>
      <xdr:col>30</xdr:col>
      <xdr:colOff>21164</xdr:colOff>
      <xdr:row>4</xdr:row>
      <xdr:rowOff>46558</xdr:rowOff>
    </xdr:from>
    <xdr:to>
      <xdr:col>56</xdr:col>
      <xdr:colOff>83714</xdr:colOff>
      <xdr:row>23</xdr:row>
      <xdr:rowOff>29008</xdr:rowOff>
    </xdr:to>
    <xdr:grpSp>
      <xdr:nvGrpSpPr>
        <xdr:cNvPr id="56" name="กลุ่ม 55"/>
        <xdr:cNvGrpSpPr/>
      </xdr:nvGrpSpPr>
      <xdr:grpSpPr>
        <a:xfrm>
          <a:off x="5922523" y="750580"/>
          <a:ext cx="5177061" cy="3326553"/>
          <a:chOff x="6049431" y="503765"/>
          <a:chExt cx="5263200" cy="3240000"/>
        </a:xfrm>
      </xdr:grpSpPr>
      <xdr:graphicFrame macro="">
        <xdr:nvGraphicFramePr>
          <xdr:cNvPr id="53" name="แผนภูมิ 52"/>
          <xdr:cNvGraphicFramePr/>
        </xdr:nvGraphicFramePr>
        <xdr:xfrm>
          <a:off x="6049431" y="503765"/>
          <a:ext cx="5263200" cy="32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54" name="TextBox 5"/>
          <xdr:cNvSpPr txBox="1"/>
        </xdr:nvSpPr>
        <xdr:spPr>
          <a:xfrm>
            <a:off x="8461375" y="3418200"/>
            <a:ext cx="1155506" cy="27660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Top Bars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  <xdr:twoCellAnchor>
    <xdr:from>
      <xdr:col>34</xdr:col>
      <xdr:colOff>100206</xdr:colOff>
      <xdr:row>23</xdr:row>
      <xdr:rowOff>156788</xdr:rowOff>
    </xdr:from>
    <xdr:to>
      <xdr:col>56</xdr:col>
      <xdr:colOff>18597</xdr:colOff>
      <xdr:row>36</xdr:row>
      <xdr:rowOff>89183</xdr:rowOff>
    </xdr:to>
    <xdr:grpSp>
      <xdr:nvGrpSpPr>
        <xdr:cNvPr id="58" name="กลุ่ม 57"/>
        <xdr:cNvGrpSpPr/>
      </xdr:nvGrpSpPr>
      <xdr:grpSpPr>
        <a:xfrm>
          <a:off x="6788413" y="4204913"/>
          <a:ext cx="4246054" cy="2220466"/>
          <a:chOff x="6986781" y="4148330"/>
          <a:chExt cx="4318941" cy="2157884"/>
        </a:xfrm>
      </xdr:grpSpPr>
      <xdr:graphicFrame macro="">
        <xdr:nvGraphicFramePr>
          <xdr:cNvPr id="98" name="แผนภูมิ 97"/>
          <xdr:cNvGraphicFramePr/>
        </xdr:nvGraphicFramePr>
        <xdr:xfrm>
          <a:off x="6986781" y="4148330"/>
          <a:ext cx="4318941" cy="21578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7" name="TextBox 5"/>
          <xdr:cNvSpPr txBox="1"/>
        </xdr:nvSpPr>
        <xdr:spPr>
          <a:xfrm>
            <a:off x="8515350" y="6002592"/>
            <a:ext cx="1167550" cy="29021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Short Span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47</xdr:row>
      <xdr:rowOff>36999</xdr:rowOff>
    </xdr:from>
    <xdr:to>
      <xdr:col>41</xdr:col>
      <xdr:colOff>122590</xdr:colOff>
      <xdr:row>65</xdr:row>
      <xdr:rowOff>88096</xdr:rowOff>
    </xdr:to>
    <xdr:grpSp>
      <xdr:nvGrpSpPr>
        <xdr:cNvPr id="23" name="กลุ่ม 22"/>
        <xdr:cNvGrpSpPr/>
      </xdr:nvGrpSpPr>
      <xdr:grpSpPr>
        <a:xfrm>
          <a:off x="133350" y="8095149"/>
          <a:ext cx="8190265" cy="3137197"/>
          <a:chOff x="133350" y="8095149"/>
          <a:chExt cx="8190265" cy="3137197"/>
        </a:xfrm>
      </xdr:grpSpPr>
      <xdr:grpSp>
        <xdr:nvGrpSpPr>
          <xdr:cNvPr id="9" name="กลุ่ม 8"/>
          <xdr:cNvGrpSpPr/>
        </xdr:nvGrpSpPr>
        <xdr:grpSpPr>
          <a:xfrm>
            <a:off x="133350" y="8543924"/>
            <a:ext cx="4581525" cy="2688422"/>
            <a:chOff x="11603775" y="2276309"/>
            <a:chExt cx="4475108" cy="2647085"/>
          </a:xfrm>
        </xdr:grpSpPr>
        <xdr:graphicFrame macro="">
          <xdr:nvGraphicFramePr>
            <xdr:cNvPr id="10" name="แผนภูมิ 9"/>
            <xdr:cNvGraphicFramePr/>
          </xdr:nvGraphicFramePr>
          <xdr:xfrm>
            <a:off x="11603775" y="2276309"/>
            <a:ext cx="4475108" cy="261661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11" name="TextBox 5"/>
            <xdr:cNvSpPr txBox="1"/>
          </xdr:nvSpPr>
          <xdr:spPr>
            <a:xfrm>
              <a:off x="13559834" y="4646788"/>
              <a:ext cx="1155506" cy="27660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Top Bars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  <xdr:grpSp>
        <xdr:nvGrpSpPr>
          <xdr:cNvPr id="12" name="กลุ่ม 11"/>
          <xdr:cNvGrpSpPr/>
        </xdr:nvGrpSpPr>
        <xdr:grpSpPr>
          <a:xfrm>
            <a:off x="3898772" y="8095149"/>
            <a:ext cx="4424843" cy="2201266"/>
            <a:chOff x="7023969" y="4148330"/>
            <a:chExt cx="4318941" cy="2163194"/>
          </a:xfrm>
        </xdr:grpSpPr>
        <xdr:graphicFrame macro="">
          <xdr:nvGraphicFramePr>
            <xdr:cNvPr id="13" name="แผนภูมิ 12"/>
            <xdr:cNvGraphicFramePr/>
          </xdr:nvGraphicFramePr>
          <xdr:xfrm>
            <a:off x="7023969" y="4148330"/>
            <a:ext cx="4318941" cy="215788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14" name="TextBox 5"/>
            <xdr:cNvSpPr txBox="1"/>
          </xdr:nvSpPr>
          <xdr:spPr>
            <a:xfrm>
              <a:off x="8440974" y="6021312"/>
              <a:ext cx="1167550" cy="2902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Short Span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D605"/>
  <sheetViews>
    <sheetView showGridLines="0" showRowColHeaders="0" tabSelected="1" zoomScale="92" zoomScaleNormal="92" workbookViewId="0">
      <selection activeCell="AA42" sqref="AA42"/>
    </sheetView>
  </sheetViews>
  <sheetFormatPr defaultColWidth="8.375" defaultRowHeight="14.1" customHeight="1" x14ac:dyDescent="0.2"/>
  <cols>
    <col min="1" max="343" width="2.625" style="146" customWidth="1"/>
    <col min="344" max="372" width="1.75" style="146" customWidth="1"/>
    <col min="373" max="16384" width="8.375" style="146"/>
  </cols>
  <sheetData>
    <row r="1" spans="1:129" ht="14.1" customHeight="1" x14ac:dyDescent="0.2">
      <c r="A1" s="153"/>
      <c r="B1" s="235" t="s">
        <v>110</v>
      </c>
      <c r="C1" s="241"/>
      <c r="D1" s="241"/>
      <c r="E1" s="241"/>
      <c r="F1" s="241"/>
      <c r="G1" s="241"/>
      <c r="H1" s="241"/>
      <c r="I1" s="241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</row>
    <row r="2" spans="1:129" ht="14.1" customHeight="1" thickBot="1" x14ac:dyDescent="0.25">
      <c r="A2" s="153"/>
      <c r="B2" s="86"/>
      <c r="C2" s="87"/>
      <c r="D2" s="523" t="s">
        <v>48</v>
      </c>
      <c r="E2" s="523"/>
      <c r="F2" s="523"/>
      <c r="G2" s="93"/>
      <c r="H2" s="87"/>
      <c r="I2" s="87"/>
      <c r="J2" s="87"/>
      <c r="K2" s="87"/>
      <c r="L2" s="87"/>
      <c r="M2" s="87"/>
      <c r="N2" s="87"/>
      <c r="O2" s="87"/>
      <c r="P2" s="87"/>
      <c r="Q2" s="356"/>
      <c r="R2" s="523" t="s">
        <v>106</v>
      </c>
      <c r="S2" s="530"/>
      <c r="T2" s="530"/>
      <c r="U2" s="530"/>
      <c r="V2" s="530"/>
      <c r="W2" s="530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8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</row>
    <row r="3" spans="1:129" ht="14.1" customHeight="1" thickBot="1" x14ac:dyDescent="0.25">
      <c r="A3" s="153"/>
      <c r="B3" s="88"/>
      <c r="C3" s="86"/>
      <c r="D3" s="524"/>
      <c r="E3" s="524"/>
      <c r="F3" s="524"/>
      <c r="G3" s="93"/>
      <c r="H3" s="87"/>
      <c r="I3" s="87"/>
      <c r="J3" s="87"/>
      <c r="K3" s="87"/>
      <c r="L3" s="87"/>
      <c r="M3" s="87"/>
      <c r="N3" s="87"/>
      <c r="O3" s="147"/>
      <c r="P3" s="45"/>
      <c r="Q3" s="86"/>
      <c r="R3" s="531"/>
      <c r="S3" s="531"/>
      <c r="T3" s="531"/>
      <c r="U3" s="531"/>
      <c r="V3" s="531"/>
      <c r="W3" s="531"/>
      <c r="X3" s="87"/>
      <c r="Y3" s="87"/>
      <c r="Z3" s="87"/>
      <c r="AA3" s="87"/>
      <c r="AB3" s="87"/>
      <c r="AC3" s="87"/>
      <c r="AD3" s="87"/>
      <c r="AE3" s="147"/>
      <c r="AF3" s="45"/>
      <c r="AG3" s="457" t="s">
        <v>265</v>
      </c>
      <c r="AH3" s="360"/>
      <c r="AI3" s="360"/>
      <c r="AJ3" s="360"/>
      <c r="AK3" s="231"/>
      <c r="AL3" s="436"/>
      <c r="AM3" s="437"/>
      <c r="AN3" s="437"/>
      <c r="AO3" s="437"/>
      <c r="AP3" s="438"/>
      <c r="AQ3" s="437"/>
      <c r="AR3" s="437"/>
      <c r="AS3" s="437"/>
      <c r="AT3" s="437"/>
      <c r="AU3" s="437"/>
      <c r="AV3" s="437"/>
      <c r="AW3" s="437"/>
      <c r="AX3" s="437"/>
      <c r="AY3" s="437"/>
      <c r="AZ3" s="437"/>
      <c r="BA3" s="437"/>
      <c r="BB3" s="437"/>
      <c r="BC3" s="437"/>
      <c r="BD3" s="437"/>
      <c r="BE3" s="437"/>
      <c r="BF3" s="439"/>
      <c r="BG3" s="405"/>
      <c r="BH3" s="80"/>
      <c r="BI3" s="80"/>
      <c r="BJ3" s="463"/>
      <c r="BK3" s="227"/>
      <c r="BL3" s="80"/>
      <c r="BM3" s="80"/>
      <c r="BN3" s="459"/>
      <c r="BO3" s="80"/>
      <c r="BP3" s="80"/>
      <c r="BQ3" s="80"/>
      <c r="BR3" s="227"/>
      <c r="BS3" s="227"/>
      <c r="BT3" s="227"/>
      <c r="BU3" s="227"/>
      <c r="BV3" s="237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</row>
    <row r="4" spans="1:129" ht="14.1" customHeight="1" x14ac:dyDescent="0.2">
      <c r="A4" s="153"/>
      <c r="B4" s="88"/>
      <c r="C4" s="88"/>
      <c r="D4" s="45"/>
      <c r="E4" s="45"/>
      <c r="F4" s="208" t="s">
        <v>192</v>
      </c>
      <c r="G4" s="45"/>
      <c r="H4" s="538">
        <v>3000</v>
      </c>
      <c r="I4" s="539"/>
      <c r="J4" s="540"/>
      <c r="K4" s="45"/>
      <c r="L4" s="478" t="s">
        <v>2</v>
      </c>
      <c r="M4" s="45"/>
      <c r="N4" s="45"/>
      <c r="O4" s="148"/>
      <c r="P4" s="45"/>
      <c r="Q4" s="88"/>
      <c r="R4" s="45"/>
      <c r="S4" s="48" t="s">
        <v>100</v>
      </c>
      <c r="T4" s="45"/>
      <c r="U4" s="520" t="s">
        <v>25</v>
      </c>
      <c r="V4" s="521"/>
      <c r="W4" s="521"/>
      <c r="X4" s="521"/>
      <c r="Y4" s="521"/>
      <c r="Z4" s="521"/>
      <c r="AA4" s="521"/>
      <c r="AB4" s="521"/>
      <c r="AC4" s="521"/>
      <c r="AD4" s="522"/>
      <c r="AE4" s="304"/>
      <c r="AF4" s="141"/>
      <c r="AG4" s="361"/>
      <c r="AH4" s="64"/>
      <c r="AI4" s="64"/>
      <c r="AJ4" s="64"/>
      <c r="AK4" s="94"/>
      <c r="AL4" s="6"/>
      <c r="AM4" s="23"/>
      <c r="AN4" s="23"/>
      <c r="AO4" s="23"/>
      <c r="AP4" s="16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440"/>
      <c r="BG4" s="405"/>
      <c r="BH4" s="80"/>
      <c r="BI4" s="80"/>
      <c r="BJ4" s="432"/>
      <c r="BK4" s="227"/>
      <c r="BL4" s="80"/>
      <c r="BM4" s="80"/>
      <c r="BN4" s="459"/>
      <c r="BO4" s="80"/>
      <c r="BP4" s="80"/>
      <c r="BQ4" s="80"/>
      <c r="BR4" s="227"/>
      <c r="BS4" s="227"/>
      <c r="BT4" s="227"/>
      <c r="BU4" s="227"/>
      <c r="BV4" s="237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</row>
    <row r="5" spans="1:129" ht="14.1" customHeight="1" thickBot="1" x14ac:dyDescent="0.25">
      <c r="A5" s="153"/>
      <c r="B5" s="88"/>
      <c r="C5" s="88"/>
      <c r="D5" s="45"/>
      <c r="E5" s="45"/>
      <c r="F5" s="45"/>
      <c r="G5" s="45"/>
      <c r="H5" s="478"/>
      <c r="I5" s="478"/>
      <c r="J5" s="478"/>
      <c r="K5" s="45"/>
      <c r="L5" s="45"/>
      <c r="M5" s="45"/>
      <c r="N5" s="45"/>
      <c r="O5" s="148"/>
      <c r="P5" s="45"/>
      <c r="Q5" s="88"/>
      <c r="R5" s="45"/>
      <c r="S5" s="45"/>
      <c r="T5" s="45"/>
      <c r="U5" s="478"/>
      <c r="V5" s="478"/>
      <c r="W5" s="478"/>
      <c r="X5" s="478"/>
      <c r="Y5" s="478"/>
      <c r="Z5" s="478"/>
      <c r="AA5" s="478"/>
      <c r="AB5" s="478"/>
      <c r="AC5" s="478"/>
      <c r="AD5" s="478"/>
      <c r="AE5" s="351"/>
      <c r="AF5" s="478"/>
      <c r="AG5" s="361"/>
      <c r="AH5" s="64"/>
      <c r="AI5" s="64"/>
      <c r="AJ5" s="64"/>
      <c r="AK5" s="94"/>
      <c r="AL5" s="381"/>
      <c r="AM5" s="23"/>
      <c r="AN5" s="23"/>
      <c r="AO5" s="23"/>
      <c r="AP5" s="16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440"/>
      <c r="BG5" s="405"/>
      <c r="BH5" s="80"/>
      <c r="BI5" s="80"/>
      <c r="BJ5" s="432"/>
      <c r="BK5" s="227"/>
      <c r="BL5" s="80"/>
      <c r="BM5" s="80"/>
      <c r="BN5" s="459"/>
      <c r="BO5" s="80"/>
      <c r="BP5" s="80"/>
      <c r="BQ5" s="80"/>
      <c r="BR5" s="227"/>
      <c r="BS5" s="227"/>
      <c r="BT5" s="227"/>
      <c r="BU5" s="227"/>
      <c r="BV5" s="237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</row>
    <row r="6" spans="1:129" ht="14.1" customHeight="1" x14ac:dyDescent="0.2">
      <c r="A6" s="153"/>
      <c r="B6" s="88"/>
      <c r="C6" s="88"/>
      <c r="D6" s="45"/>
      <c r="E6" s="45"/>
      <c r="F6" s="208" t="s">
        <v>193</v>
      </c>
      <c r="G6" s="45"/>
      <c r="H6" s="538">
        <v>2400</v>
      </c>
      <c r="I6" s="539"/>
      <c r="J6" s="540"/>
      <c r="K6" s="45"/>
      <c r="L6" s="478" t="s">
        <v>2</v>
      </c>
      <c r="M6" s="45"/>
      <c r="N6" s="45"/>
      <c r="O6" s="148"/>
      <c r="P6" s="45"/>
      <c r="Q6" s="88"/>
      <c r="R6" s="45"/>
      <c r="S6" s="48" t="s">
        <v>102</v>
      </c>
      <c r="T6" s="45"/>
      <c r="U6" s="520" t="s">
        <v>26</v>
      </c>
      <c r="V6" s="521"/>
      <c r="W6" s="521"/>
      <c r="X6" s="521"/>
      <c r="Y6" s="521"/>
      <c r="Z6" s="521"/>
      <c r="AA6" s="521"/>
      <c r="AB6" s="521"/>
      <c r="AC6" s="521"/>
      <c r="AD6" s="522"/>
      <c r="AE6" s="304"/>
      <c r="AF6" s="141"/>
      <c r="AG6" s="456"/>
      <c r="AH6" s="64"/>
      <c r="AI6" s="64"/>
      <c r="AJ6" s="64"/>
      <c r="AK6" s="94"/>
      <c r="AL6" s="327"/>
      <c r="AM6" s="21"/>
      <c r="AN6" s="21"/>
      <c r="AO6" s="21"/>
      <c r="AP6" s="21"/>
      <c r="AQ6" s="21"/>
      <c r="AR6" s="21"/>
      <c r="AS6" s="21"/>
      <c r="AT6" s="13"/>
      <c r="AU6" s="21"/>
      <c r="AV6" s="21"/>
      <c r="AW6" s="21"/>
      <c r="AX6" s="382"/>
      <c r="AY6" s="64"/>
      <c r="AZ6" s="64"/>
      <c r="BA6" s="64"/>
      <c r="BB6" s="64"/>
      <c r="BC6" s="64"/>
      <c r="BD6" s="64"/>
      <c r="BE6" s="21"/>
      <c r="BF6" s="441"/>
      <c r="BG6" s="96"/>
      <c r="BH6" s="95"/>
      <c r="BI6" s="95"/>
      <c r="BJ6" s="307"/>
      <c r="BK6" s="45"/>
      <c r="BL6" s="45"/>
      <c r="BM6" s="45"/>
      <c r="BN6" s="45"/>
      <c r="BO6" s="45"/>
      <c r="BP6" s="45"/>
      <c r="BQ6" s="45"/>
      <c r="BR6" s="237"/>
      <c r="BS6" s="237"/>
      <c r="BT6" s="237"/>
      <c r="BU6" s="237"/>
      <c r="BV6" s="237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</row>
    <row r="7" spans="1:129" ht="14.1" customHeight="1" thickBot="1" x14ac:dyDescent="0.25">
      <c r="A7" s="153"/>
      <c r="B7" s="88"/>
      <c r="C7" s="88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48"/>
      <c r="P7" s="141"/>
      <c r="Q7" s="89"/>
      <c r="R7" s="45"/>
      <c r="S7" s="45"/>
      <c r="T7" s="45"/>
      <c r="U7" s="478"/>
      <c r="V7" s="478"/>
      <c r="W7" s="478"/>
      <c r="X7" s="478"/>
      <c r="Y7" s="478"/>
      <c r="Z7" s="478"/>
      <c r="AA7" s="478"/>
      <c r="AB7" s="478"/>
      <c r="AC7" s="478"/>
      <c r="AD7" s="478"/>
      <c r="AE7" s="351"/>
      <c r="AF7" s="478"/>
      <c r="AG7" s="456"/>
      <c r="AH7" s="64"/>
      <c r="AI7" s="64"/>
      <c r="AJ7" s="64"/>
      <c r="AK7" s="94"/>
      <c r="AL7" s="3"/>
      <c r="AM7" s="461"/>
      <c r="AN7" s="65"/>
      <c r="AO7" s="64"/>
      <c r="AP7" s="64"/>
      <c r="AQ7" s="64"/>
      <c r="AR7" s="65"/>
      <c r="AS7" s="94"/>
      <c r="AT7" s="94"/>
      <c r="AU7" s="94"/>
      <c r="AV7" s="21"/>
      <c r="AW7" s="21"/>
      <c r="AX7" s="493"/>
      <c r="AY7" s="373"/>
      <c r="AZ7" s="312"/>
      <c r="BA7" s="330"/>
      <c r="BB7" s="330"/>
      <c r="BC7" s="330"/>
      <c r="BD7" s="331"/>
      <c r="BE7" s="359"/>
      <c r="BF7" s="441"/>
      <c r="BG7" s="96"/>
      <c r="BH7" s="95"/>
      <c r="BI7" s="95"/>
      <c r="BJ7" s="45"/>
      <c r="BK7" s="45"/>
      <c r="BL7" s="45"/>
      <c r="BM7" s="45"/>
      <c r="BN7" s="45"/>
      <c r="BO7" s="45"/>
      <c r="BP7" s="45"/>
      <c r="BQ7" s="45"/>
      <c r="BR7" s="237"/>
      <c r="BS7" s="237"/>
      <c r="BT7" s="237"/>
      <c r="BU7" s="237"/>
      <c r="BV7" s="237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</row>
    <row r="8" spans="1:129" ht="14.1" customHeight="1" x14ac:dyDescent="0.2">
      <c r="A8" s="153"/>
      <c r="B8" s="88"/>
      <c r="C8" s="88"/>
      <c r="D8" s="45"/>
      <c r="E8" s="45"/>
      <c r="F8" s="48" t="s">
        <v>47</v>
      </c>
      <c r="G8" s="45"/>
      <c r="H8" s="538">
        <v>150</v>
      </c>
      <c r="I8" s="539"/>
      <c r="J8" s="540"/>
      <c r="K8" s="45"/>
      <c r="L8" s="478" t="s">
        <v>2</v>
      </c>
      <c r="M8" s="45"/>
      <c r="N8" s="45"/>
      <c r="O8" s="148"/>
      <c r="P8" s="141"/>
      <c r="Q8" s="89"/>
      <c r="R8" s="45"/>
      <c r="S8" s="48" t="s">
        <v>103</v>
      </c>
      <c r="T8" s="45"/>
      <c r="U8" s="520" t="s">
        <v>27</v>
      </c>
      <c r="V8" s="521"/>
      <c r="W8" s="521"/>
      <c r="X8" s="521"/>
      <c r="Y8" s="521"/>
      <c r="Z8" s="521"/>
      <c r="AA8" s="521"/>
      <c r="AB8" s="521"/>
      <c r="AC8" s="521"/>
      <c r="AD8" s="522"/>
      <c r="AE8" s="304"/>
      <c r="AF8" s="141"/>
      <c r="AG8" s="361"/>
      <c r="AH8" s="64"/>
      <c r="AI8" s="64"/>
      <c r="AJ8" s="64"/>
      <c r="AK8" s="94"/>
      <c r="AL8" s="3"/>
      <c r="AM8" s="461"/>
      <c r="AN8" s="65"/>
      <c r="AO8" s="64"/>
      <c r="AP8" s="64"/>
      <c r="AQ8" s="64"/>
      <c r="AR8" s="16"/>
      <c r="AS8" s="94"/>
      <c r="AT8" s="94"/>
      <c r="AU8" s="94"/>
      <c r="AV8" s="21"/>
      <c r="AW8" s="21"/>
      <c r="AX8" s="331"/>
      <c r="AY8" s="359"/>
      <c r="AZ8" s="312"/>
      <c r="BA8" s="332"/>
      <c r="BB8" s="332"/>
      <c r="BC8" s="332"/>
      <c r="BD8" s="493"/>
      <c r="BE8" s="359"/>
      <c r="BF8" s="441"/>
      <c r="BG8" s="96"/>
      <c r="BH8" s="95"/>
      <c r="BI8" s="95"/>
      <c r="BJ8" s="45"/>
      <c r="BK8" s="45"/>
      <c r="BL8" s="45"/>
      <c r="BM8" s="45"/>
      <c r="BN8" s="45"/>
      <c r="BO8" s="45"/>
      <c r="BP8" s="45"/>
      <c r="BQ8" s="45"/>
      <c r="BR8" s="237"/>
      <c r="BS8" s="237"/>
      <c r="BT8" s="237"/>
      <c r="BU8" s="237"/>
      <c r="BV8" s="237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</row>
    <row r="9" spans="1:129" ht="14.1" customHeight="1" thickBot="1" x14ac:dyDescent="0.25">
      <c r="A9" s="153"/>
      <c r="B9" s="88"/>
      <c r="C9" s="90"/>
      <c r="D9" s="91"/>
      <c r="E9" s="91"/>
      <c r="F9" s="91"/>
      <c r="G9" s="91"/>
      <c r="H9" s="350"/>
      <c r="I9" s="350"/>
      <c r="J9" s="350"/>
      <c r="K9" s="91"/>
      <c r="L9" s="91"/>
      <c r="M9" s="91"/>
      <c r="N9" s="91"/>
      <c r="O9" s="149"/>
      <c r="P9" s="45"/>
      <c r="Q9" s="88"/>
      <c r="R9" s="45"/>
      <c r="S9" s="45"/>
      <c r="T9" s="45"/>
      <c r="U9" s="350"/>
      <c r="V9" s="350"/>
      <c r="W9" s="350"/>
      <c r="X9" s="350"/>
      <c r="Y9" s="350"/>
      <c r="Z9" s="350"/>
      <c r="AA9" s="350"/>
      <c r="AB9" s="350"/>
      <c r="AC9" s="350"/>
      <c r="AD9" s="350"/>
      <c r="AE9" s="148"/>
      <c r="AF9" s="45"/>
      <c r="AG9" s="361"/>
      <c r="AH9" s="64"/>
      <c r="AI9" s="64"/>
      <c r="AJ9" s="64"/>
      <c r="AK9" s="94"/>
      <c r="AL9" s="3"/>
      <c r="AM9" s="461"/>
      <c r="AN9" s="65"/>
      <c r="AO9" s="64"/>
      <c r="AP9" s="64"/>
      <c r="AQ9" s="64"/>
      <c r="AR9" s="16"/>
      <c r="AS9" s="94"/>
      <c r="AT9" s="94"/>
      <c r="AU9" s="94"/>
      <c r="AV9" s="21"/>
      <c r="AW9" s="21"/>
      <c r="AX9" s="58"/>
      <c r="AY9" s="359"/>
      <c r="AZ9" s="312"/>
      <c r="BA9" s="333"/>
      <c r="BB9" s="333"/>
      <c r="BC9" s="333"/>
      <c r="BD9" s="493"/>
      <c r="BE9" s="359"/>
      <c r="BF9" s="441"/>
      <c r="BG9" s="96"/>
      <c r="BH9" s="95"/>
      <c r="BI9" s="95"/>
      <c r="BJ9" s="45"/>
      <c r="BK9" s="45"/>
      <c r="BL9" s="45"/>
      <c r="BM9" s="45"/>
      <c r="BN9" s="45"/>
      <c r="BO9" s="45"/>
      <c r="BP9" s="45"/>
      <c r="BQ9" s="45"/>
      <c r="BR9" s="237"/>
      <c r="BS9" s="237"/>
      <c r="BT9" s="237"/>
      <c r="BU9" s="237"/>
      <c r="BV9" s="237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</row>
    <row r="10" spans="1:129" ht="14.1" customHeight="1" x14ac:dyDescent="0.2">
      <c r="A10" s="153"/>
      <c r="B10" s="88"/>
      <c r="C10" s="45"/>
      <c r="D10" s="524" t="s">
        <v>98</v>
      </c>
      <c r="E10" s="524"/>
      <c r="F10" s="524"/>
      <c r="G10" s="524"/>
      <c r="H10" s="524"/>
      <c r="I10" s="524"/>
      <c r="J10" s="524"/>
      <c r="K10" s="524"/>
      <c r="L10" s="45"/>
      <c r="M10" s="45"/>
      <c r="N10" s="45"/>
      <c r="O10" s="45"/>
      <c r="P10" s="45"/>
      <c r="Q10" s="88"/>
      <c r="R10" s="45"/>
      <c r="S10" s="48" t="s">
        <v>105</v>
      </c>
      <c r="T10" s="349"/>
      <c r="U10" s="520" t="s">
        <v>261</v>
      </c>
      <c r="V10" s="521"/>
      <c r="W10" s="521"/>
      <c r="X10" s="521"/>
      <c r="Y10" s="521"/>
      <c r="Z10" s="521"/>
      <c r="AA10" s="521"/>
      <c r="AB10" s="521"/>
      <c r="AC10" s="521"/>
      <c r="AD10" s="522"/>
      <c r="AE10" s="304"/>
      <c r="AF10" s="141"/>
      <c r="AG10" s="361"/>
      <c r="AH10" s="64"/>
      <c r="AI10" s="64"/>
      <c r="AJ10" s="64"/>
      <c r="AK10" s="94"/>
      <c r="AL10" s="328"/>
      <c r="AM10" s="21"/>
      <c r="AN10" s="21"/>
      <c r="AO10" s="373"/>
      <c r="AP10" s="373"/>
      <c r="AQ10" s="373"/>
      <c r="AR10" s="373"/>
      <c r="AS10" s="21"/>
      <c r="AT10" s="21"/>
      <c r="AU10" s="21"/>
      <c r="AV10" s="21"/>
      <c r="AW10" s="21"/>
      <c r="AX10" s="65"/>
      <c r="AY10" s="359"/>
      <c r="AZ10" s="312"/>
      <c r="BA10" s="334"/>
      <c r="BB10" s="334"/>
      <c r="BC10" s="334"/>
      <c r="BD10" s="331"/>
      <c r="BE10" s="18"/>
      <c r="BF10" s="223"/>
      <c r="BG10" s="222"/>
      <c r="BH10" s="78"/>
      <c r="BI10" s="95"/>
      <c r="BJ10" s="95"/>
      <c r="BK10" s="95"/>
      <c r="BL10" s="95"/>
      <c r="BM10" s="95"/>
      <c r="BN10" s="95"/>
      <c r="BO10" s="95"/>
      <c r="BP10" s="95"/>
      <c r="BQ10" s="95"/>
      <c r="BR10" s="237"/>
      <c r="BS10" s="237"/>
      <c r="BT10" s="237"/>
      <c r="BU10" s="237"/>
      <c r="BV10" s="237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/>
      <c r="CQ10" s="153"/>
      <c r="CR10" s="153"/>
      <c r="CS10" s="153"/>
      <c r="CT10" s="153"/>
      <c r="CU10" s="153"/>
      <c r="CV10" s="153"/>
      <c r="CW10" s="153"/>
      <c r="CX10" s="153"/>
      <c r="CY10" s="153"/>
      <c r="CZ10" s="153"/>
      <c r="DA10" s="153"/>
      <c r="DB10" s="153"/>
      <c r="DC10" s="153"/>
      <c r="DD10" s="153"/>
      <c r="DE10" s="153"/>
      <c r="DF10" s="153"/>
      <c r="DG10" s="153"/>
      <c r="DH10" s="153"/>
      <c r="DI10" s="153"/>
      <c r="DJ10" s="153"/>
      <c r="DK10" s="153"/>
      <c r="DL10" s="153"/>
      <c r="DM10" s="153"/>
      <c r="DN10" s="153"/>
      <c r="DO10" s="153"/>
      <c r="DP10" s="153"/>
      <c r="DQ10" s="153"/>
      <c r="DR10" s="153"/>
      <c r="DS10" s="153"/>
      <c r="DT10" s="153"/>
      <c r="DU10" s="153"/>
      <c r="DV10" s="153"/>
      <c r="DW10" s="153"/>
      <c r="DX10" s="153"/>
      <c r="DY10" s="153"/>
    </row>
    <row r="11" spans="1:129" ht="14.1" customHeight="1" thickBot="1" x14ac:dyDescent="0.25">
      <c r="A11" s="153"/>
      <c r="B11" s="88"/>
      <c r="C11" s="86"/>
      <c r="D11" s="524"/>
      <c r="E11" s="524"/>
      <c r="F11" s="524"/>
      <c r="G11" s="524"/>
      <c r="H11" s="524"/>
      <c r="I11" s="524"/>
      <c r="J11" s="524"/>
      <c r="K11" s="524"/>
      <c r="L11" s="87"/>
      <c r="M11" s="87"/>
      <c r="N11" s="87"/>
      <c r="O11" s="147"/>
      <c r="P11" s="45"/>
      <c r="Q11" s="88"/>
      <c r="R11" s="45"/>
      <c r="S11" s="45"/>
      <c r="T11" s="45"/>
      <c r="U11" s="478"/>
      <c r="V11" s="478"/>
      <c r="W11" s="478"/>
      <c r="X11" s="478"/>
      <c r="Y11" s="478"/>
      <c r="Z11" s="478"/>
      <c r="AA11" s="478"/>
      <c r="AB11" s="478"/>
      <c r="AC11" s="478"/>
      <c r="AD11" s="478"/>
      <c r="AE11" s="351"/>
      <c r="AF11" s="478"/>
      <c r="AG11" s="361"/>
      <c r="AH11" s="64"/>
      <c r="AI11" s="64"/>
      <c r="AJ11" s="64"/>
      <c r="AK11" s="94"/>
      <c r="AL11" s="328"/>
      <c r="AM11" s="21"/>
      <c r="AN11" s="21"/>
      <c r="AO11" s="373"/>
      <c r="AP11" s="373"/>
      <c r="AQ11" s="373"/>
      <c r="AR11" s="373"/>
      <c r="AS11" s="21"/>
      <c r="AT11" s="21"/>
      <c r="AU11" s="21"/>
      <c r="AV11" s="21"/>
      <c r="AW11" s="21"/>
      <c r="AX11" s="65"/>
      <c r="AY11" s="359"/>
      <c r="AZ11" s="312"/>
      <c r="BA11" s="335"/>
      <c r="BB11" s="335"/>
      <c r="BC11" s="335"/>
      <c r="BD11" s="331"/>
      <c r="BE11" s="373"/>
      <c r="BF11" s="441"/>
      <c r="BG11" s="96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237"/>
      <c r="BS11" s="237"/>
      <c r="BT11" s="237"/>
      <c r="BU11" s="237"/>
      <c r="BV11" s="237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</row>
    <row r="12" spans="1:129" ht="14.1" customHeight="1" x14ac:dyDescent="0.2">
      <c r="A12" s="153"/>
      <c r="B12" s="88"/>
      <c r="C12" s="88"/>
      <c r="D12" s="45"/>
      <c r="E12" s="45"/>
      <c r="F12" s="24" t="s">
        <v>29</v>
      </c>
      <c r="G12" s="45"/>
      <c r="H12" s="550">
        <v>0.9</v>
      </c>
      <c r="I12" s="551"/>
      <c r="J12" s="552"/>
      <c r="K12" s="45"/>
      <c r="L12" s="45"/>
      <c r="M12" s="45"/>
      <c r="N12" s="45"/>
      <c r="O12" s="148"/>
      <c r="P12" s="45"/>
      <c r="Q12" s="88"/>
      <c r="R12" s="45"/>
      <c r="S12" s="48" t="s">
        <v>101</v>
      </c>
      <c r="T12" s="45"/>
      <c r="U12" s="520" t="s">
        <v>108</v>
      </c>
      <c r="V12" s="521"/>
      <c r="W12" s="521"/>
      <c r="X12" s="521"/>
      <c r="Y12" s="521"/>
      <c r="Z12" s="521"/>
      <c r="AA12" s="521"/>
      <c r="AB12" s="521"/>
      <c r="AC12" s="521"/>
      <c r="AD12" s="522"/>
      <c r="AE12" s="304"/>
      <c r="AF12" s="141"/>
      <c r="AG12" s="361"/>
      <c r="AH12" s="64"/>
      <c r="AI12" s="64"/>
      <c r="AJ12" s="64"/>
      <c r="AK12" s="94"/>
      <c r="AL12" s="3"/>
      <c r="AM12" s="21"/>
      <c r="AN12" s="65"/>
      <c r="AO12" s="99"/>
      <c r="AP12" s="99"/>
      <c r="AQ12" s="99"/>
      <c r="AR12" s="65"/>
      <c r="AS12" s="64"/>
      <c r="AT12" s="64"/>
      <c r="AU12" s="64"/>
      <c r="AV12" s="64"/>
      <c r="AW12" s="64"/>
      <c r="AX12" s="493"/>
      <c r="AY12" s="359"/>
      <c r="AZ12" s="312"/>
      <c r="BA12" s="335"/>
      <c r="BB12" s="335"/>
      <c r="BC12" s="335"/>
      <c r="BD12" s="331"/>
      <c r="BE12" s="383"/>
      <c r="BF12" s="442"/>
      <c r="BG12" s="148"/>
      <c r="BH12" s="45"/>
      <c r="BI12" s="45"/>
      <c r="BJ12" s="45"/>
      <c r="BK12" s="45"/>
      <c r="BL12" s="45"/>
      <c r="BM12" s="232"/>
      <c r="BN12" s="232"/>
      <c r="BO12" s="232"/>
      <c r="BP12" s="232"/>
      <c r="BQ12" s="232"/>
      <c r="BR12" s="232"/>
      <c r="BS12" s="232"/>
      <c r="BT12" s="237"/>
      <c r="BU12" s="237"/>
      <c r="BV12" s="237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</row>
    <row r="13" spans="1:129" ht="14.1" customHeight="1" thickBot="1" x14ac:dyDescent="0.25">
      <c r="A13" s="153"/>
      <c r="B13" s="88"/>
      <c r="C13" s="88"/>
      <c r="D13" s="45"/>
      <c r="E13" s="45"/>
      <c r="F13" s="48"/>
      <c r="G13" s="45"/>
      <c r="H13" s="478"/>
      <c r="I13" s="478"/>
      <c r="J13" s="478"/>
      <c r="K13" s="45"/>
      <c r="L13" s="45"/>
      <c r="M13" s="45"/>
      <c r="N13" s="45"/>
      <c r="O13" s="148"/>
      <c r="P13" s="45"/>
      <c r="Q13" s="88"/>
      <c r="R13" s="45"/>
      <c r="S13" s="45"/>
      <c r="T13" s="45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351"/>
      <c r="AF13" s="478"/>
      <c r="AG13" s="361"/>
      <c r="AH13" s="64"/>
      <c r="AI13" s="64"/>
      <c r="AJ13" s="64"/>
      <c r="AK13" s="94"/>
      <c r="AL13" s="3"/>
      <c r="AM13" s="21"/>
      <c r="AN13" s="65"/>
      <c r="AO13" s="99"/>
      <c r="AP13" s="99"/>
      <c r="AQ13" s="99"/>
      <c r="AR13" s="65"/>
      <c r="AS13" s="312"/>
      <c r="AT13" s="312"/>
      <c r="AU13" s="312"/>
      <c r="AV13" s="384"/>
      <c r="AW13" s="64"/>
      <c r="AX13" s="65"/>
      <c r="AY13" s="359"/>
      <c r="AZ13" s="312"/>
      <c r="BA13" s="294"/>
      <c r="BB13" s="294"/>
      <c r="BC13" s="294"/>
      <c r="BD13" s="331"/>
      <c r="BE13" s="16"/>
      <c r="BF13" s="443"/>
      <c r="BG13" s="148"/>
      <c r="BH13" s="45"/>
      <c r="BI13" s="45"/>
      <c r="BJ13" s="45"/>
      <c r="BK13" s="45"/>
      <c r="BL13" s="45"/>
      <c r="BM13" s="44"/>
      <c r="BN13" s="44"/>
      <c r="BO13" s="44"/>
      <c r="BP13" s="44"/>
      <c r="BQ13" s="237"/>
      <c r="BR13" s="237"/>
      <c r="BS13" s="237"/>
      <c r="BT13" s="212"/>
      <c r="BU13" s="237"/>
      <c r="BV13" s="237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/>
      <c r="DU13" s="153"/>
      <c r="DV13" s="153"/>
      <c r="DW13" s="153"/>
      <c r="DX13" s="153"/>
      <c r="DY13" s="153"/>
    </row>
    <row r="14" spans="1:129" ht="14.1" customHeight="1" x14ac:dyDescent="0.2">
      <c r="A14" s="153"/>
      <c r="B14" s="88"/>
      <c r="C14" s="88"/>
      <c r="D14" s="45"/>
      <c r="E14" s="45"/>
      <c r="F14" s="24" t="s">
        <v>30</v>
      </c>
      <c r="G14" s="45"/>
      <c r="H14" s="550">
        <v>0.85</v>
      </c>
      <c r="I14" s="551"/>
      <c r="J14" s="552"/>
      <c r="K14" s="45"/>
      <c r="L14" s="45"/>
      <c r="M14" s="45"/>
      <c r="N14" s="45"/>
      <c r="O14" s="148"/>
      <c r="P14" s="45"/>
      <c r="Q14" s="88"/>
      <c r="R14" s="45"/>
      <c r="S14" s="48" t="s">
        <v>104</v>
      </c>
      <c r="T14" s="45"/>
      <c r="U14" s="520" t="s">
        <v>107</v>
      </c>
      <c r="V14" s="521"/>
      <c r="W14" s="521"/>
      <c r="X14" s="521"/>
      <c r="Y14" s="521"/>
      <c r="Z14" s="521"/>
      <c r="AA14" s="521"/>
      <c r="AB14" s="521"/>
      <c r="AC14" s="521"/>
      <c r="AD14" s="522"/>
      <c r="AE14" s="304"/>
      <c r="AF14" s="141"/>
      <c r="AG14" s="361"/>
      <c r="AH14" s="64"/>
      <c r="AI14" s="64"/>
      <c r="AJ14" s="64"/>
      <c r="AK14" s="94"/>
      <c r="AL14" s="4"/>
      <c r="AM14" s="21"/>
      <c r="AN14" s="65"/>
      <c r="AO14" s="64"/>
      <c r="AP14" s="64"/>
      <c r="AQ14" s="64"/>
      <c r="AR14" s="65"/>
      <c r="AS14" s="312"/>
      <c r="AT14" s="312"/>
      <c r="AU14" s="312"/>
      <c r="AV14" s="94"/>
      <c r="AW14" s="64"/>
      <c r="AX14" s="1"/>
      <c r="AY14" s="359"/>
      <c r="AZ14" s="312"/>
      <c r="BA14" s="336"/>
      <c r="BB14" s="64"/>
      <c r="BC14" s="64"/>
      <c r="BD14" s="487"/>
      <c r="BE14" s="487"/>
      <c r="BF14" s="444"/>
      <c r="BG14" s="148"/>
      <c r="BH14" s="45"/>
      <c r="BI14" s="45"/>
      <c r="BJ14" s="45"/>
      <c r="BK14" s="45"/>
      <c r="BL14" s="45"/>
      <c r="BM14" s="216"/>
      <c r="BN14" s="216"/>
      <c r="BO14" s="216"/>
      <c r="BP14" s="433"/>
      <c r="BQ14" s="95"/>
      <c r="BR14" s="237"/>
      <c r="BS14" s="237"/>
      <c r="BT14" s="212"/>
      <c r="BU14" s="237"/>
      <c r="BV14" s="237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</row>
    <row r="15" spans="1:129" ht="14.1" customHeight="1" thickBot="1" x14ac:dyDescent="0.25">
      <c r="A15" s="153"/>
      <c r="B15" s="88"/>
      <c r="C15" s="88"/>
      <c r="D15" s="45"/>
      <c r="E15" s="45"/>
      <c r="F15" s="48"/>
      <c r="G15" s="45"/>
      <c r="H15" s="478"/>
      <c r="I15" s="478"/>
      <c r="J15" s="478"/>
      <c r="K15" s="45"/>
      <c r="L15" s="45"/>
      <c r="M15" s="45"/>
      <c r="N15" s="45"/>
      <c r="O15" s="148"/>
      <c r="P15" s="45"/>
      <c r="Q15" s="90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149"/>
      <c r="AF15" s="45"/>
      <c r="AG15" s="361"/>
      <c r="AH15" s="64"/>
      <c r="AI15" s="64"/>
      <c r="AJ15" s="64"/>
      <c r="AK15" s="94"/>
      <c r="AL15" s="64"/>
      <c r="AM15" s="64"/>
      <c r="AN15" s="64"/>
      <c r="AO15" s="64"/>
      <c r="AP15" s="64"/>
      <c r="AQ15" s="64"/>
      <c r="AR15" s="94"/>
      <c r="AS15" s="312"/>
      <c r="AT15" s="312"/>
      <c r="AU15" s="312"/>
      <c r="AV15" s="64"/>
      <c r="AW15" s="64"/>
      <c r="AX15" s="1"/>
      <c r="AY15" s="359"/>
      <c r="AZ15" s="312"/>
      <c r="BA15" s="336"/>
      <c r="BB15" s="64"/>
      <c r="BC15" s="64"/>
      <c r="BD15" s="491"/>
      <c r="BE15" s="491"/>
      <c r="BF15" s="445"/>
      <c r="BG15" s="148"/>
      <c r="BH15" s="45"/>
      <c r="BI15" s="45"/>
      <c r="BJ15" s="45"/>
      <c r="BK15" s="45"/>
      <c r="BL15" s="45"/>
      <c r="BM15" s="314"/>
      <c r="BN15" s="314"/>
      <c r="BO15" s="314"/>
      <c r="BP15" s="433"/>
      <c r="BQ15" s="95"/>
      <c r="BR15" s="237"/>
      <c r="BS15" s="237"/>
      <c r="BT15" s="212"/>
      <c r="BU15" s="237"/>
      <c r="BV15" s="237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</row>
    <row r="16" spans="1:129" ht="14.1" customHeight="1" thickBot="1" x14ac:dyDescent="0.25">
      <c r="A16" s="153"/>
      <c r="B16" s="88"/>
      <c r="C16" s="88"/>
      <c r="D16" s="45"/>
      <c r="E16" s="45"/>
      <c r="F16" s="24" t="s">
        <v>28</v>
      </c>
      <c r="G16" s="45"/>
      <c r="H16" s="553">
        <f>EC38</f>
        <v>0.85</v>
      </c>
      <c r="I16" s="656"/>
      <c r="J16" s="657"/>
      <c r="K16" s="45"/>
      <c r="L16" s="45"/>
      <c r="M16" s="45"/>
      <c r="N16" s="45"/>
      <c r="O16" s="148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361"/>
      <c r="AH16" s="64"/>
      <c r="AI16" s="64"/>
      <c r="AJ16" s="64"/>
      <c r="AK16" s="94"/>
      <c r="AL16" s="327"/>
      <c r="AM16" s="21"/>
      <c r="AN16" s="21"/>
      <c r="AO16" s="21"/>
      <c r="AP16" s="21"/>
      <c r="AQ16" s="21"/>
      <c r="AR16" s="21"/>
      <c r="AS16" s="21"/>
      <c r="AT16" s="312"/>
      <c r="AU16" s="312"/>
      <c r="AV16" s="64"/>
      <c r="AW16" s="64"/>
      <c r="AX16" s="1"/>
      <c r="AY16" s="359"/>
      <c r="AZ16" s="312"/>
      <c r="BA16" s="64"/>
      <c r="BB16" s="64"/>
      <c r="BC16" s="64"/>
      <c r="BD16" s="493"/>
      <c r="BE16" s="493"/>
      <c r="BF16" s="446"/>
      <c r="BG16" s="148"/>
      <c r="BH16" s="45"/>
      <c r="BI16" s="45"/>
      <c r="BJ16" s="45"/>
      <c r="BK16" s="45"/>
      <c r="BL16" s="45"/>
      <c r="BM16" s="308"/>
      <c r="BN16" s="308"/>
      <c r="BO16" s="308"/>
      <c r="BP16" s="433"/>
      <c r="BQ16" s="95"/>
      <c r="BR16" s="237"/>
      <c r="BS16" s="237"/>
      <c r="BT16" s="212"/>
      <c r="BU16" s="237"/>
      <c r="BV16" s="237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</row>
    <row r="17" spans="1:250" ht="14.1" customHeight="1" x14ac:dyDescent="0.2">
      <c r="A17" s="153"/>
      <c r="B17" s="88"/>
      <c r="C17" s="90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149"/>
      <c r="P17" s="45"/>
      <c r="Q17" s="602" t="s">
        <v>44</v>
      </c>
      <c r="R17" s="603"/>
      <c r="S17" s="604"/>
      <c r="T17" s="605" t="s">
        <v>43</v>
      </c>
      <c r="U17" s="606"/>
      <c r="V17" s="607"/>
      <c r="W17" s="629">
        <f>IF(EC40&lt;H26,H26,EC40)</f>
        <v>10</v>
      </c>
      <c r="X17" s="630"/>
      <c r="Y17" s="630"/>
      <c r="Z17" s="630"/>
      <c r="AA17" s="630"/>
      <c r="AB17" s="631"/>
      <c r="AC17" s="667" t="s">
        <v>12</v>
      </c>
      <c r="AD17" s="668"/>
      <c r="AE17" s="669"/>
      <c r="AF17" s="45"/>
      <c r="AG17" s="361"/>
      <c r="AH17" s="64"/>
      <c r="AI17" s="64"/>
      <c r="AJ17" s="64"/>
      <c r="AK17" s="94"/>
      <c r="AL17" s="1"/>
      <c r="AM17" s="359"/>
      <c r="AN17" s="65"/>
      <c r="AO17" s="99"/>
      <c r="AP17" s="64"/>
      <c r="AQ17" s="64"/>
      <c r="AR17" s="65"/>
      <c r="AS17" s="21"/>
      <c r="AT17" s="312"/>
      <c r="AU17" s="312"/>
      <c r="AV17" s="13"/>
      <c r="AW17" s="64"/>
      <c r="AX17" s="1"/>
      <c r="AY17" s="359"/>
      <c r="AZ17" s="312"/>
      <c r="BA17" s="336"/>
      <c r="BB17" s="64"/>
      <c r="BC17" s="64"/>
      <c r="BD17" s="493"/>
      <c r="BE17" s="493"/>
      <c r="BF17" s="446"/>
      <c r="BG17" s="148"/>
      <c r="BH17" s="45"/>
      <c r="BI17" s="45"/>
      <c r="BJ17" s="45"/>
      <c r="BK17" s="45"/>
      <c r="BL17" s="45"/>
      <c r="BM17" s="308"/>
      <c r="BN17" s="308"/>
      <c r="BO17" s="308"/>
      <c r="BP17" s="433"/>
      <c r="BQ17" s="95"/>
      <c r="BR17" s="237"/>
      <c r="BS17" s="237"/>
      <c r="BT17" s="212"/>
      <c r="BU17" s="237"/>
      <c r="BV17" s="237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</row>
    <row r="18" spans="1:250" ht="14.1" customHeight="1" x14ac:dyDescent="0.2">
      <c r="A18" s="153"/>
      <c r="B18" s="88"/>
      <c r="C18" s="46"/>
      <c r="D18" s="525" t="s">
        <v>99</v>
      </c>
      <c r="E18" s="525"/>
      <c r="F18" s="525"/>
      <c r="G18" s="525"/>
      <c r="H18" s="525"/>
      <c r="I18" s="47"/>
      <c r="J18" s="46"/>
      <c r="K18" s="46"/>
      <c r="L18" s="46"/>
      <c r="M18" s="46"/>
      <c r="N18" s="46"/>
      <c r="O18" s="46"/>
      <c r="P18" s="45"/>
      <c r="Q18" s="590"/>
      <c r="R18" s="591"/>
      <c r="S18" s="592"/>
      <c r="T18" s="479" t="s">
        <v>252</v>
      </c>
      <c r="U18" s="352"/>
      <c r="V18" s="480" t="str">
        <f>IF(H4&gt;=3000,"DB","RB")</f>
        <v>DB</v>
      </c>
      <c r="W18" s="620">
        <v>12</v>
      </c>
      <c r="X18" s="621"/>
      <c r="Y18" s="621"/>
      <c r="Z18" s="621"/>
      <c r="AA18" s="621"/>
      <c r="AB18" s="622"/>
      <c r="AC18" s="635" t="s">
        <v>91</v>
      </c>
      <c r="AD18" s="636"/>
      <c r="AE18" s="637"/>
      <c r="AF18" s="45"/>
      <c r="AG18" s="361"/>
      <c r="AH18" s="64"/>
      <c r="AI18" s="64"/>
      <c r="AJ18" s="64"/>
      <c r="AK18" s="94"/>
      <c r="AL18" s="1"/>
      <c r="AM18" s="359"/>
      <c r="AN18" s="65"/>
      <c r="AO18" s="99"/>
      <c r="AP18" s="99"/>
      <c r="AQ18" s="99"/>
      <c r="AR18" s="65"/>
      <c r="AS18" s="21"/>
      <c r="AT18" s="312"/>
      <c r="AU18" s="312"/>
      <c r="AV18" s="13"/>
      <c r="AW18" s="64"/>
      <c r="AX18" s="473"/>
      <c r="AY18" s="493"/>
      <c r="AZ18" s="312"/>
      <c r="BA18" s="294"/>
      <c r="BB18" s="294"/>
      <c r="BC18" s="294"/>
      <c r="BD18" s="493"/>
      <c r="BE18" s="486"/>
      <c r="BF18" s="447"/>
      <c r="BG18" s="148"/>
      <c r="BH18" s="45"/>
      <c r="BI18" s="45"/>
      <c r="BJ18" s="45"/>
      <c r="BK18" s="45"/>
      <c r="BL18" s="45"/>
      <c r="BM18" s="309"/>
      <c r="BN18" s="309"/>
      <c r="BO18" s="309"/>
      <c r="BP18" s="433"/>
      <c r="BQ18" s="95"/>
      <c r="BR18" s="237"/>
      <c r="BS18" s="237"/>
      <c r="BT18" s="212"/>
      <c r="BU18" s="237"/>
      <c r="BV18" s="237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153"/>
      <c r="DS18" s="153"/>
      <c r="DT18" s="153"/>
      <c r="DU18" s="153"/>
      <c r="DV18" s="242"/>
      <c r="DW18" s="242"/>
      <c r="DX18" s="242"/>
      <c r="DY18" s="242"/>
      <c r="DZ18" s="474"/>
      <c r="EA18" s="474"/>
      <c r="EB18" s="474"/>
      <c r="EC18" s="474"/>
      <c r="ED18" s="474"/>
      <c r="EE18" s="474"/>
      <c r="EF18" s="474"/>
      <c r="EG18" s="474"/>
      <c r="EH18" s="474"/>
      <c r="EI18" s="474"/>
      <c r="EJ18" s="474"/>
      <c r="EK18" s="474"/>
      <c r="EL18" s="474"/>
      <c r="EM18" s="474"/>
      <c r="EN18" s="474"/>
      <c r="EO18" s="474"/>
      <c r="EP18" s="474"/>
      <c r="EQ18" s="474"/>
      <c r="ER18" s="474"/>
      <c r="ES18" s="474"/>
      <c r="ET18" s="474"/>
      <c r="EU18" s="474"/>
      <c r="EV18" s="474"/>
      <c r="EW18" s="474"/>
      <c r="EX18" s="474"/>
      <c r="EY18" s="474"/>
      <c r="EZ18" s="474"/>
      <c r="FA18" s="474"/>
      <c r="FB18" s="474"/>
      <c r="FC18" s="474"/>
      <c r="FD18" s="474"/>
      <c r="FE18" s="474"/>
      <c r="FF18" s="474"/>
      <c r="FG18" s="474"/>
      <c r="FH18" s="474"/>
      <c r="FI18" s="474"/>
      <c r="FJ18" s="474"/>
      <c r="FK18" s="474"/>
      <c r="FL18" s="474"/>
      <c r="FM18" s="474"/>
      <c r="FN18" s="474"/>
      <c r="FO18" s="474"/>
      <c r="FP18" s="474"/>
      <c r="FQ18" s="474"/>
      <c r="FR18" s="474"/>
      <c r="FS18" s="474"/>
      <c r="FT18" s="474"/>
      <c r="FU18" s="474"/>
      <c r="FV18" s="474"/>
      <c r="FW18" s="474"/>
      <c r="FX18" s="474"/>
      <c r="FY18" s="474"/>
      <c r="FZ18" s="474"/>
      <c r="GA18" s="474"/>
      <c r="GB18" s="474"/>
      <c r="GC18" s="474"/>
      <c r="GD18" s="474"/>
      <c r="GE18" s="474"/>
      <c r="GF18" s="474"/>
      <c r="GG18" s="474"/>
      <c r="GH18" s="474"/>
      <c r="GI18" s="474"/>
      <c r="GJ18" s="474"/>
      <c r="GK18" s="474"/>
      <c r="GL18" s="474"/>
      <c r="GM18" s="474"/>
      <c r="GN18" s="474"/>
      <c r="GO18" s="474"/>
      <c r="GP18" s="474"/>
      <c r="GQ18" s="474"/>
      <c r="GR18" s="474"/>
      <c r="GS18" s="474"/>
      <c r="GT18" s="474"/>
      <c r="GU18" s="474"/>
      <c r="GV18" s="474"/>
      <c r="GW18" s="474"/>
      <c r="GX18" s="474"/>
      <c r="GY18" s="474"/>
      <c r="GZ18" s="474"/>
      <c r="HA18" s="474"/>
      <c r="HB18" s="474"/>
      <c r="HC18" s="474"/>
      <c r="HD18" s="474"/>
      <c r="HE18" s="474"/>
      <c r="HF18" s="474"/>
      <c r="HG18" s="474"/>
      <c r="HH18" s="474"/>
      <c r="HI18" s="474"/>
      <c r="HJ18" s="474"/>
      <c r="HK18" s="474"/>
      <c r="HL18" s="474"/>
      <c r="HM18" s="474"/>
      <c r="HN18" s="474"/>
      <c r="HO18" s="474"/>
      <c r="HP18" s="474"/>
      <c r="HQ18" s="474"/>
      <c r="HR18" s="474"/>
      <c r="HS18" s="474"/>
      <c r="HT18" s="474"/>
      <c r="HU18" s="474"/>
      <c r="HV18" s="474"/>
      <c r="HW18" s="474"/>
      <c r="HX18" s="474"/>
      <c r="HY18" s="474"/>
      <c r="HZ18" s="474"/>
      <c r="IA18" s="474"/>
      <c r="IB18" s="474"/>
      <c r="IC18" s="474"/>
      <c r="ID18" s="474"/>
      <c r="IE18" s="474"/>
      <c r="IF18" s="474"/>
      <c r="IG18" s="474"/>
      <c r="IH18" s="474"/>
      <c r="II18" s="474"/>
      <c r="IJ18" s="474"/>
      <c r="IK18" s="474"/>
      <c r="IL18" s="474"/>
      <c r="IM18" s="474"/>
      <c r="IN18" s="474"/>
      <c r="IO18" s="474"/>
      <c r="IP18" s="474"/>
    </row>
    <row r="19" spans="1:250" ht="14.1" customHeight="1" thickBot="1" x14ac:dyDescent="0.25">
      <c r="A19" s="153"/>
      <c r="B19" s="88"/>
      <c r="C19" s="39"/>
      <c r="D19" s="526"/>
      <c r="E19" s="526"/>
      <c r="F19" s="526"/>
      <c r="G19" s="526"/>
      <c r="H19" s="526"/>
      <c r="I19" s="43"/>
      <c r="J19" s="237"/>
      <c r="K19" s="237"/>
      <c r="L19" s="237"/>
      <c r="M19" s="237"/>
      <c r="N19" s="237"/>
      <c r="O19" s="38"/>
      <c r="P19" s="45"/>
      <c r="Q19" s="590"/>
      <c r="R19" s="591"/>
      <c r="S19" s="592"/>
      <c r="T19" s="479" t="s">
        <v>253</v>
      </c>
      <c r="U19" s="352"/>
      <c r="V19" s="353" t="str">
        <f>IF(H6&lt;3000,"RB","DB")</f>
        <v>RB</v>
      </c>
      <c r="W19" s="632">
        <v>9</v>
      </c>
      <c r="X19" s="633"/>
      <c r="Y19" s="633"/>
      <c r="Z19" s="633"/>
      <c r="AA19" s="633"/>
      <c r="AB19" s="634"/>
      <c r="AC19" s="635" t="s">
        <v>91</v>
      </c>
      <c r="AD19" s="636"/>
      <c r="AE19" s="637"/>
      <c r="AF19" s="45"/>
      <c r="AG19" s="361"/>
      <c r="AH19" s="64"/>
      <c r="AI19" s="64"/>
      <c r="AJ19" s="64"/>
      <c r="AK19" s="94"/>
      <c r="AL19" s="1"/>
      <c r="AM19" s="359"/>
      <c r="AN19" s="65"/>
      <c r="AO19" s="99"/>
      <c r="AP19" s="99"/>
      <c r="AQ19" s="99"/>
      <c r="AR19" s="65"/>
      <c r="AS19" s="21"/>
      <c r="AT19" s="312"/>
      <c r="AU19" s="312"/>
      <c r="AV19" s="21"/>
      <c r="AW19" s="64"/>
      <c r="AX19" s="473"/>
      <c r="AY19" s="493"/>
      <c r="AZ19" s="312"/>
      <c r="BA19" s="338"/>
      <c r="BB19" s="358"/>
      <c r="BC19" s="358"/>
      <c r="BD19" s="493"/>
      <c r="BE19" s="486"/>
      <c r="BF19" s="447"/>
      <c r="BG19" s="148"/>
      <c r="BH19" s="45"/>
      <c r="BI19" s="45"/>
      <c r="BJ19" s="45"/>
      <c r="BK19" s="45"/>
      <c r="BL19" s="45"/>
      <c r="BM19" s="309"/>
      <c r="BN19" s="309"/>
      <c r="BO19" s="309"/>
      <c r="BP19" s="433"/>
      <c r="BQ19" s="95"/>
      <c r="BR19" s="237"/>
      <c r="BS19" s="237"/>
      <c r="BT19" s="212"/>
      <c r="BU19" s="237"/>
      <c r="BV19" s="237"/>
      <c r="BW19" s="243"/>
      <c r="BX19" s="243"/>
      <c r="BY19" s="243"/>
      <c r="BZ19" s="243"/>
      <c r="CA19" s="243"/>
      <c r="CB19" s="243"/>
      <c r="CC19" s="243"/>
      <c r="CD19" s="243"/>
      <c r="CE19" s="243"/>
      <c r="CF19" s="243"/>
      <c r="CG19" s="243"/>
      <c r="CH19" s="243"/>
      <c r="CI19" s="243"/>
      <c r="CJ19" s="243"/>
      <c r="CK19" s="243"/>
      <c r="CL19" s="243"/>
      <c r="CM19" s="243"/>
      <c r="CN19" s="243"/>
      <c r="CO19" s="243"/>
      <c r="CP19" s="243"/>
      <c r="CQ19" s="243"/>
      <c r="CR19" s="243"/>
      <c r="CS19" s="243"/>
      <c r="CT19" s="243"/>
      <c r="CU19" s="243"/>
      <c r="CV19" s="243"/>
      <c r="CW19" s="243"/>
      <c r="CX19" s="243"/>
      <c r="CY19" s="243"/>
      <c r="CZ19" s="243"/>
      <c r="DA19" s="243"/>
      <c r="DB19" s="243"/>
      <c r="DC19" s="243"/>
      <c r="DD19" s="243"/>
      <c r="DE19" s="243"/>
      <c r="DF19" s="243"/>
      <c r="DG19" s="243"/>
      <c r="DH19" s="243"/>
      <c r="DI19" s="243"/>
      <c r="DJ19" s="243"/>
      <c r="DK19" s="243"/>
      <c r="DL19" s="243"/>
      <c r="DM19" s="243"/>
      <c r="DN19" s="243"/>
      <c r="DO19" s="243"/>
      <c r="DP19" s="243"/>
      <c r="DQ19" s="243"/>
      <c r="DR19" s="153"/>
      <c r="DS19" s="153"/>
      <c r="DT19" s="153"/>
      <c r="DU19" s="153"/>
      <c r="DV19" s="243"/>
      <c r="DW19" s="243"/>
      <c r="DX19" s="243"/>
      <c r="DY19" s="243"/>
      <c r="DZ19" s="19"/>
      <c r="EA19" s="19"/>
      <c r="EB19" s="19"/>
      <c r="EC19" s="19"/>
      <c r="ED19" s="474"/>
      <c r="EE19" s="474"/>
      <c r="EF19" s="474"/>
      <c r="EG19" s="474"/>
      <c r="EH19" s="474"/>
      <c r="EI19" s="474"/>
      <c r="EJ19" s="474"/>
      <c r="EK19" s="474"/>
      <c r="EL19" s="474"/>
      <c r="EM19" s="474"/>
      <c r="EN19" s="474"/>
      <c r="EO19" s="474"/>
      <c r="EP19" s="474"/>
      <c r="EQ19" s="474"/>
      <c r="ER19" s="474"/>
      <c r="ES19" s="474"/>
      <c r="ET19" s="474"/>
      <c r="EU19" s="474"/>
      <c r="EV19" s="474"/>
      <c r="EW19" s="474"/>
      <c r="EX19" s="474"/>
      <c r="EY19" s="474"/>
      <c r="EZ19" s="474"/>
      <c r="FA19" s="474"/>
      <c r="FB19" s="474"/>
      <c r="FC19" s="474"/>
      <c r="FD19" s="474"/>
      <c r="FE19" s="474"/>
      <c r="FF19" s="474"/>
      <c r="FG19" s="474"/>
      <c r="FH19" s="474"/>
      <c r="FI19" s="474"/>
      <c r="FJ19" s="474"/>
      <c r="FK19" s="474"/>
      <c r="FL19" s="474"/>
      <c r="FM19" s="474"/>
      <c r="FN19" s="474"/>
      <c r="FO19" s="474"/>
      <c r="FP19" s="474"/>
      <c r="FQ19" s="474"/>
      <c r="FR19" s="474"/>
      <c r="FS19" s="474"/>
      <c r="FT19" s="474"/>
      <c r="FU19" s="474"/>
      <c r="FV19" s="474"/>
      <c r="FW19" s="474"/>
      <c r="FX19" s="474"/>
      <c r="FY19" s="474"/>
      <c r="FZ19" s="474"/>
      <c r="GA19" s="474"/>
      <c r="GB19" s="474"/>
      <c r="GC19" s="474"/>
      <c r="GD19" s="474"/>
      <c r="GE19" s="474"/>
      <c r="GF19" s="474"/>
      <c r="GG19" s="474"/>
      <c r="GH19" s="474"/>
      <c r="GI19" s="474"/>
      <c r="GJ19" s="474"/>
      <c r="GK19" s="474"/>
      <c r="GL19" s="474"/>
      <c r="GM19" s="474"/>
      <c r="GN19" s="474"/>
      <c r="GO19" s="474"/>
      <c r="GP19" s="474"/>
      <c r="GQ19" s="474"/>
      <c r="GR19" s="474"/>
      <c r="GS19" s="474"/>
      <c r="GT19" s="474"/>
      <c r="GU19" s="474"/>
      <c r="GV19" s="474"/>
      <c r="GW19" s="474"/>
      <c r="GX19" s="474"/>
      <c r="GY19" s="474"/>
      <c r="GZ19" s="474"/>
      <c r="HA19" s="474"/>
      <c r="HB19" s="474"/>
      <c r="HC19" s="474"/>
      <c r="HD19" s="474"/>
      <c r="HE19" s="474"/>
      <c r="HF19" s="474"/>
      <c r="HG19" s="474"/>
      <c r="HH19" s="474"/>
      <c r="HI19" s="474"/>
      <c r="HJ19" s="474"/>
      <c r="HK19" s="474"/>
      <c r="HL19" s="474"/>
      <c r="HM19" s="474"/>
      <c r="HN19" s="474"/>
      <c r="HO19" s="474"/>
      <c r="HP19" s="474"/>
      <c r="HQ19" s="474"/>
      <c r="HR19" s="474"/>
      <c r="HS19" s="474"/>
      <c r="HT19" s="474"/>
      <c r="HU19" s="474"/>
      <c r="HV19" s="474"/>
      <c r="HW19" s="474"/>
      <c r="HX19" s="474"/>
      <c r="HY19" s="474"/>
      <c r="HZ19" s="474"/>
      <c r="IA19" s="474"/>
      <c r="IB19" s="474"/>
      <c r="IC19" s="474"/>
      <c r="ID19" s="474"/>
      <c r="IE19" s="474"/>
      <c r="IF19" s="474"/>
      <c r="IG19" s="474"/>
      <c r="IH19" s="474"/>
      <c r="II19" s="474"/>
      <c r="IJ19" s="474"/>
      <c r="IK19" s="474"/>
      <c r="IL19" s="474"/>
      <c r="IM19" s="474"/>
      <c r="IN19" s="474"/>
      <c r="IO19" s="474"/>
      <c r="IP19" s="474"/>
    </row>
    <row r="20" spans="1:250" ht="14.1" customHeight="1" x14ac:dyDescent="0.2">
      <c r="A20" s="153"/>
      <c r="B20" s="88"/>
      <c r="C20" s="39"/>
      <c r="D20" s="237"/>
      <c r="E20" s="45"/>
      <c r="F20" s="48" t="s">
        <v>109</v>
      </c>
      <c r="G20" s="45"/>
      <c r="H20" s="520" t="s">
        <v>6</v>
      </c>
      <c r="I20" s="521"/>
      <c r="J20" s="521"/>
      <c r="K20" s="522"/>
      <c r="L20" s="237"/>
      <c r="M20" s="237"/>
      <c r="N20" s="237"/>
      <c r="O20" s="112"/>
      <c r="P20" s="45"/>
      <c r="Q20" s="587" t="s">
        <v>45</v>
      </c>
      <c r="R20" s="588"/>
      <c r="S20" s="588"/>
      <c r="T20" s="615" t="s">
        <v>132</v>
      </c>
      <c r="U20" s="615"/>
      <c r="V20" s="615"/>
      <c r="W20" s="670">
        <v>120</v>
      </c>
      <c r="X20" s="671"/>
      <c r="Y20" s="671"/>
      <c r="Z20" s="671"/>
      <c r="AA20" s="671"/>
      <c r="AB20" s="672"/>
      <c r="AC20" s="676" t="s">
        <v>46</v>
      </c>
      <c r="AD20" s="677"/>
      <c r="AE20" s="678"/>
      <c r="AF20" s="45"/>
      <c r="AG20" s="361"/>
      <c r="AH20" s="64"/>
      <c r="AI20" s="64"/>
      <c r="AJ20" s="64"/>
      <c r="AK20" s="94"/>
      <c r="AL20" s="64"/>
      <c r="AM20" s="64"/>
      <c r="AN20" s="64"/>
      <c r="AO20" s="64"/>
      <c r="AP20" s="64"/>
      <c r="AQ20" s="64"/>
      <c r="AR20" s="15"/>
      <c r="AS20" s="312"/>
      <c r="AT20" s="312"/>
      <c r="AU20" s="312"/>
      <c r="AV20" s="21"/>
      <c r="AW20" s="64"/>
      <c r="AX20" s="473"/>
      <c r="AY20" s="294"/>
      <c r="AZ20" s="312"/>
      <c r="BA20" s="294"/>
      <c r="BB20" s="295"/>
      <c r="BC20" s="295"/>
      <c r="BD20" s="372"/>
      <c r="BE20" s="372"/>
      <c r="BF20" s="447"/>
      <c r="BG20" s="148"/>
      <c r="BH20" s="45"/>
      <c r="BI20" s="45"/>
      <c r="BJ20" s="45"/>
      <c r="BK20" s="45"/>
      <c r="BL20" s="45"/>
      <c r="BM20" s="309"/>
      <c r="BN20" s="309"/>
      <c r="BO20" s="309"/>
      <c r="BP20" s="433"/>
      <c r="BQ20" s="95"/>
      <c r="BR20" s="237"/>
      <c r="BS20" s="237"/>
      <c r="BT20" s="212"/>
      <c r="BU20" s="237"/>
      <c r="BV20" s="237"/>
      <c r="BW20" s="244"/>
      <c r="BX20" s="244"/>
      <c r="BY20" s="244"/>
      <c r="BZ20" s="244"/>
      <c r="CA20" s="244"/>
      <c r="CB20" s="244"/>
      <c r="CC20" s="244"/>
      <c r="CD20" s="244"/>
      <c r="CE20" s="244"/>
      <c r="CF20" s="244"/>
      <c r="CG20" s="244"/>
      <c r="CH20" s="245"/>
      <c r="CI20" s="245"/>
      <c r="CJ20" s="245"/>
      <c r="CK20" s="245"/>
      <c r="CL20" s="245"/>
      <c r="CM20" s="245"/>
      <c r="CN20" s="245"/>
      <c r="CO20" s="245"/>
      <c r="CP20" s="245"/>
      <c r="CQ20" s="245"/>
      <c r="CR20" s="245"/>
      <c r="CS20" s="245"/>
      <c r="CT20" s="245"/>
      <c r="CU20" s="245"/>
      <c r="CV20" s="245"/>
      <c r="CW20" s="245"/>
      <c r="CX20" s="245"/>
      <c r="CY20" s="245"/>
      <c r="CZ20" s="245"/>
      <c r="DA20" s="245"/>
      <c r="DB20" s="245"/>
      <c r="DC20" s="245"/>
      <c r="DD20" s="245"/>
      <c r="DE20" s="246"/>
      <c r="DF20" s="246"/>
      <c r="DG20" s="246"/>
      <c r="DH20" s="247"/>
      <c r="DI20" s="248"/>
      <c r="DJ20" s="248"/>
      <c r="DK20" s="248"/>
      <c r="DL20" s="248"/>
      <c r="DM20" s="248"/>
      <c r="DN20" s="248"/>
      <c r="DO20" s="248"/>
      <c r="DP20" s="248"/>
      <c r="DQ20" s="249"/>
      <c r="DR20" s="153"/>
      <c r="DS20" s="153"/>
      <c r="DT20" s="153"/>
      <c r="DU20" s="153"/>
      <c r="DV20" s="249"/>
      <c r="DW20" s="249"/>
      <c r="DX20" s="249"/>
      <c r="DY20" s="249"/>
      <c r="DZ20" s="150"/>
      <c r="EA20" s="150"/>
      <c r="EB20" s="150"/>
      <c r="EC20" s="474"/>
      <c r="ED20" s="474"/>
      <c r="EE20" s="474">
        <v>1</v>
      </c>
      <c r="EF20" s="474"/>
      <c r="EG20" s="474"/>
      <c r="EH20" s="474"/>
      <c r="EI20" s="151"/>
      <c r="EJ20" s="151"/>
      <c r="EK20" s="151"/>
      <c r="EL20" s="151"/>
      <c r="EM20" s="151"/>
      <c r="EN20" s="151"/>
      <c r="EO20" s="151"/>
      <c r="EP20" s="474"/>
      <c r="EQ20" s="474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474"/>
      <c r="FG20" s="474"/>
      <c r="FH20" s="474"/>
      <c r="FI20" s="474"/>
      <c r="FJ20" s="474"/>
      <c r="FK20" s="474"/>
      <c r="FL20" s="474"/>
      <c r="FM20" s="474"/>
      <c r="FN20" s="474"/>
      <c r="FO20" s="474"/>
      <c r="FP20" s="474"/>
      <c r="FQ20" s="474"/>
      <c r="FR20" s="474"/>
      <c r="FS20" s="474"/>
      <c r="FT20" s="474"/>
      <c r="FU20" s="474"/>
      <c r="FV20" s="474"/>
      <c r="FW20" s="474"/>
      <c r="FX20" s="474"/>
      <c r="FY20" s="474"/>
      <c r="FZ20" s="474"/>
      <c r="GA20" s="474"/>
      <c r="GB20" s="474"/>
      <c r="GC20" s="474"/>
      <c r="GD20" s="474"/>
      <c r="GE20" s="474"/>
      <c r="GF20" s="474"/>
      <c r="GG20" s="474"/>
      <c r="GH20" s="474"/>
      <c r="GI20" s="474"/>
      <c r="GJ20" s="474"/>
      <c r="GK20" s="474"/>
      <c r="GL20" s="474"/>
      <c r="GM20" s="474"/>
      <c r="GN20" s="474"/>
      <c r="GO20" s="474"/>
      <c r="GP20" s="474"/>
      <c r="GQ20" s="474"/>
      <c r="GR20" s="474"/>
      <c r="GS20" s="474"/>
      <c r="GT20" s="474"/>
      <c r="GU20" s="474"/>
      <c r="GV20" s="474"/>
      <c r="GW20" s="474"/>
      <c r="GX20" s="474"/>
      <c r="GY20" s="474"/>
      <c r="GZ20" s="474"/>
      <c r="HA20" s="474"/>
      <c r="HB20" s="474"/>
      <c r="HC20" s="474"/>
      <c r="HD20" s="474"/>
      <c r="HE20" s="474"/>
      <c r="HF20" s="474"/>
      <c r="HG20" s="474"/>
      <c r="HH20" s="474"/>
      <c r="HI20" s="474"/>
      <c r="HJ20" s="474"/>
      <c r="HK20" s="474"/>
      <c r="HL20" s="474"/>
      <c r="HM20" s="474"/>
      <c r="HN20" s="474"/>
      <c r="HO20" s="474"/>
      <c r="HP20" s="474"/>
      <c r="HQ20" s="474"/>
      <c r="HR20" s="474"/>
      <c r="HS20" s="474"/>
      <c r="HT20" s="474"/>
      <c r="HU20" s="474"/>
      <c r="HV20" s="474"/>
      <c r="HW20" s="474"/>
      <c r="HX20" s="474"/>
      <c r="HY20" s="474"/>
      <c r="HZ20" s="474"/>
      <c r="IA20" s="474"/>
      <c r="IB20" s="474"/>
      <c r="IC20" s="474"/>
      <c r="ID20" s="474"/>
      <c r="IE20" s="474"/>
      <c r="IF20" s="474"/>
      <c r="IG20" s="474"/>
      <c r="IH20" s="474"/>
      <c r="II20" s="474"/>
      <c r="IJ20" s="474"/>
      <c r="IK20" s="474"/>
      <c r="IL20" s="474"/>
      <c r="IM20" s="474"/>
      <c r="IN20" s="474"/>
      <c r="IO20" s="474"/>
      <c r="IP20" s="474"/>
    </row>
    <row r="21" spans="1:250" ht="14.1" customHeight="1" x14ac:dyDescent="0.2">
      <c r="A21" s="153"/>
      <c r="B21" s="88"/>
      <c r="C21" s="35"/>
      <c r="D21" s="41"/>
      <c r="E21" s="41"/>
      <c r="F21" s="41"/>
      <c r="G21" s="41"/>
      <c r="H21" s="57" t="s">
        <v>111</v>
      </c>
      <c r="I21" s="46"/>
      <c r="J21" s="49"/>
      <c r="K21" s="49"/>
      <c r="L21" s="49"/>
      <c r="M21" s="49"/>
      <c r="N21" s="49"/>
      <c r="O21" s="50"/>
      <c r="P21" s="45"/>
      <c r="Q21" s="590"/>
      <c r="R21" s="591"/>
      <c r="S21" s="591"/>
      <c r="T21" s="615" t="s">
        <v>10</v>
      </c>
      <c r="U21" s="615"/>
      <c r="V21" s="615"/>
      <c r="W21" s="673">
        <v>200</v>
      </c>
      <c r="X21" s="674"/>
      <c r="Y21" s="674"/>
      <c r="Z21" s="674"/>
      <c r="AA21" s="674"/>
      <c r="AB21" s="675"/>
      <c r="AC21" s="679" t="s">
        <v>46</v>
      </c>
      <c r="AD21" s="680"/>
      <c r="AE21" s="681"/>
      <c r="AF21" s="45"/>
      <c r="AG21" s="361"/>
      <c r="AH21" s="64"/>
      <c r="AI21" s="64"/>
      <c r="AJ21" s="64"/>
      <c r="AK21" s="94"/>
      <c r="AL21" s="327"/>
      <c r="AM21" s="64"/>
      <c r="AN21" s="64"/>
      <c r="AO21" s="64"/>
      <c r="AP21" s="64"/>
      <c r="AQ21" s="64"/>
      <c r="AR21" s="64"/>
      <c r="AS21" s="64"/>
      <c r="AT21" s="64"/>
      <c r="AU21" s="64"/>
      <c r="AV21" s="21"/>
      <c r="AW21" s="372"/>
      <c r="AX21" s="1"/>
      <c r="AY21" s="372"/>
      <c r="AZ21" s="312"/>
      <c r="BA21" s="372"/>
      <c r="BB21" s="295"/>
      <c r="BC21" s="295"/>
      <c r="BD21" s="372"/>
      <c r="BE21" s="372"/>
      <c r="BF21" s="447"/>
      <c r="BG21" s="148"/>
      <c r="BH21" s="45"/>
      <c r="BI21" s="45"/>
      <c r="BJ21" s="45"/>
      <c r="BK21" s="45"/>
      <c r="BL21" s="45"/>
      <c r="BM21" s="309"/>
      <c r="BN21" s="309"/>
      <c r="BO21" s="309"/>
      <c r="BP21" s="433"/>
      <c r="BQ21" s="95"/>
      <c r="BR21" s="237"/>
      <c r="BS21" s="237"/>
      <c r="BT21" s="212"/>
      <c r="BU21" s="237"/>
      <c r="BV21" s="237"/>
      <c r="BW21" s="244"/>
      <c r="BX21" s="244"/>
      <c r="BY21" s="244"/>
      <c r="BZ21" s="244"/>
      <c r="CA21" s="244"/>
      <c r="CB21" s="244"/>
      <c r="CC21" s="244"/>
      <c r="CD21" s="244"/>
      <c r="CE21" s="244"/>
      <c r="CF21" s="244"/>
      <c r="CG21" s="244"/>
      <c r="CH21" s="245"/>
      <c r="CI21" s="245"/>
      <c r="CJ21" s="245"/>
      <c r="CK21" s="245"/>
      <c r="CL21" s="245"/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245"/>
      <c r="CY21" s="245"/>
      <c r="CZ21" s="245"/>
      <c r="DA21" s="245"/>
      <c r="DB21" s="245"/>
      <c r="DC21" s="245"/>
      <c r="DD21" s="245"/>
      <c r="DE21" s="246"/>
      <c r="DF21" s="246"/>
      <c r="DG21" s="246"/>
      <c r="DH21" s="247"/>
      <c r="DI21" s="250"/>
      <c r="DJ21" s="250"/>
      <c r="DK21" s="250"/>
      <c r="DL21" s="250"/>
      <c r="DM21" s="250"/>
      <c r="DN21" s="250"/>
      <c r="DO21" s="250"/>
      <c r="DP21" s="250"/>
      <c r="DQ21" s="251"/>
      <c r="DR21" s="153"/>
      <c r="DS21" s="153"/>
      <c r="DT21" s="153"/>
      <c r="DU21" s="153"/>
      <c r="DV21" s="251"/>
      <c r="DW21" s="251"/>
      <c r="DX21" s="251"/>
      <c r="DY21" s="251"/>
      <c r="DZ21" s="154"/>
      <c r="EA21" s="154"/>
      <c r="EB21" s="154"/>
      <c r="EC21" s="474"/>
      <c r="ED21" s="474"/>
      <c r="EE21" s="474">
        <v>2</v>
      </c>
      <c r="EF21" s="474"/>
      <c r="EG21" s="474"/>
      <c r="EH21" s="155"/>
      <c r="EI21" s="474"/>
      <c r="EJ21" s="474"/>
      <c r="EK21" s="474"/>
      <c r="EL21" s="474"/>
      <c r="EM21" s="474"/>
      <c r="EN21" s="155"/>
      <c r="EO21" s="474"/>
      <c r="EP21" s="474"/>
      <c r="EQ21" s="474"/>
      <c r="ER21" s="474"/>
      <c r="ES21" s="474"/>
      <c r="ET21" s="474"/>
      <c r="EU21" s="474"/>
      <c r="EV21" s="474"/>
      <c r="EW21" s="474"/>
      <c r="EX21" s="474"/>
      <c r="EY21" s="474"/>
      <c r="EZ21" s="474"/>
      <c r="FA21" s="474"/>
      <c r="FB21" s="474"/>
      <c r="FC21" s="474"/>
      <c r="FD21" s="474"/>
      <c r="FE21" s="474"/>
      <c r="FF21" s="474"/>
      <c r="FG21" s="474"/>
      <c r="FH21" s="474"/>
      <c r="FI21" s="474"/>
      <c r="FJ21" s="474"/>
      <c r="FK21" s="474"/>
      <c r="FL21" s="474"/>
      <c r="FM21" s="474"/>
      <c r="FN21" s="474"/>
      <c r="FO21" s="474"/>
      <c r="FP21" s="474"/>
      <c r="FQ21" s="474"/>
      <c r="FR21" s="474"/>
      <c r="FS21" s="474"/>
      <c r="FT21" s="474"/>
      <c r="FU21" s="474"/>
      <c r="FV21" s="474"/>
      <c r="FW21" s="474"/>
      <c r="FX21" s="474"/>
      <c r="FY21" s="474"/>
      <c r="FZ21" s="474"/>
      <c r="GA21" s="474"/>
      <c r="GB21" s="474"/>
      <c r="GC21" s="474"/>
      <c r="GD21" s="474"/>
      <c r="GE21" s="474"/>
      <c r="GF21" s="474"/>
      <c r="GG21" s="474"/>
      <c r="GH21" s="474"/>
      <c r="GI21" s="474"/>
      <c r="GJ21" s="474"/>
      <c r="GK21" s="474"/>
      <c r="GL21" s="474"/>
      <c r="GM21" s="474"/>
      <c r="GN21" s="474"/>
      <c r="GO21" s="474"/>
      <c r="GP21" s="474"/>
      <c r="GQ21" s="474"/>
      <c r="GR21" s="474"/>
      <c r="GS21" s="474"/>
      <c r="GT21" s="474"/>
      <c r="GU21" s="474"/>
      <c r="GV21" s="474"/>
      <c r="GW21" s="474"/>
      <c r="GX21" s="474"/>
      <c r="GY21" s="474"/>
      <c r="GZ21" s="474"/>
      <c r="HA21" s="474"/>
      <c r="HB21" s="474"/>
      <c r="HC21" s="474"/>
      <c r="HD21" s="474"/>
      <c r="HE21" s="474"/>
      <c r="HF21" s="474"/>
      <c r="HG21" s="474"/>
      <c r="HH21" s="474"/>
      <c r="HI21" s="474"/>
      <c r="HJ21" s="474"/>
      <c r="HK21" s="474"/>
      <c r="HL21" s="474"/>
      <c r="HM21" s="474"/>
      <c r="HN21" s="474"/>
      <c r="HO21" s="474"/>
      <c r="HP21" s="474"/>
      <c r="HQ21" s="474"/>
      <c r="HR21" s="474"/>
      <c r="HS21" s="474"/>
      <c r="HT21" s="474"/>
      <c r="HU21" s="474"/>
      <c r="HV21" s="474"/>
      <c r="HW21" s="474"/>
      <c r="HX21" s="474"/>
      <c r="HY21" s="474"/>
      <c r="HZ21" s="474"/>
      <c r="IA21" s="474"/>
      <c r="IB21" s="474"/>
      <c r="IC21" s="474"/>
      <c r="ID21" s="474"/>
      <c r="IE21" s="474"/>
      <c r="IF21" s="474"/>
      <c r="IG21" s="474"/>
      <c r="IH21" s="474"/>
      <c r="II21" s="474"/>
      <c r="IJ21" s="474"/>
      <c r="IK21" s="474"/>
      <c r="IL21" s="474"/>
      <c r="IM21" s="474"/>
      <c r="IN21" s="474"/>
      <c r="IO21" s="474"/>
      <c r="IP21" s="474"/>
    </row>
    <row r="22" spans="1:250" ht="14.1" customHeight="1" x14ac:dyDescent="0.2">
      <c r="A22" s="153"/>
      <c r="B22" s="88"/>
      <c r="C22" s="45"/>
      <c r="D22" s="528" t="s">
        <v>202</v>
      </c>
      <c r="E22" s="528"/>
      <c r="F22" s="528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590"/>
      <c r="R22" s="591"/>
      <c r="S22" s="591"/>
      <c r="T22" s="616" t="s">
        <v>199</v>
      </c>
      <c r="U22" s="617"/>
      <c r="V22" s="618"/>
      <c r="W22" s="673">
        <v>0</v>
      </c>
      <c r="X22" s="674"/>
      <c r="Y22" s="674"/>
      <c r="Z22" s="674"/>
      <c r="AA22" s="674"/>
      <c r="AB22" s="675"/>
      <c r="AC22" s="638" t="s">
        <v>14</v>
      </c>
      <c r="AD22" s="639"/>
      <c r="AE22" s="640"/>
      <c r="AF22" s="45"/>
      <c r="AG22" s="361"/>
      <c r="AH22" s="64"/>
      <c r="AI22" s="64"/>
      <c r="AJ22" s="64"/>
      <c r="AK22" s="94"/>
      <c r="AL22" s="296"/>
      <c r="AM22" s="296"/>
      <c r="AN22" s="296"/>
      <c r="AO22" s="296"/>
      <c r="AP22" s="296"/>
      <c r="AQ22" s="296"/>
      <c r="AR22" s="296"/>
      <c r="AS22" s="296"/>
      <c r="AT22" s="296"/>
      <c r="AU22" s="296"/>
      <c r="AV22" s="296"/>
      <c r="AW22" s="296"/>
      <c r="AX22" s="296"/>
      <c r="AY22" s="296"/>
      <c r="AZ22" s="296"/>
      <c r="BA22" s="296"/>
      <c r="BB22" s="296"/>
      <c r="BC22" s="296"/>
      <c r="BD22" s="296"/>
      <c r="BE22" s="296"/>
      <c r="BF22" s="448"/>
      <c r="BG22" s="406"/>
      <c r="BH22" s="306"/>
      <c r="BI22" s="306"/>
      <c r="BJ22" s="238"/>
      <c r="BK22" s="238"/>
      <c r="BL22" s="238"/>
      <c r="BM22" s="238"/>
      <c r="BN22" s="238"/>
      <c r="BO22" s="238"/>
      <c r="BP22" s="238"/>
      <c r="BQ22" s="238"/>
      <c r="BR22" s="238"/>
      <c r="BS22" s="238"/>
      <c r="BT22" s="238"/>
      <c r="BU22" s="238"/>
      <c r="BV22" s="237"/>
      <c r="BW22" s="244"/>
      <c r="BX22" s="244"/>
      <c r="BY22" s="244"/>
      <c r="BZ22" s="244"/>
      <c r="CA22" s="244"/>
      <c r="CB22" s="244"/>
      <c r="CC22" s="244"/>
      <c r="CD22" s="244"/>
      <c r="CE22" s="244"/>
      <c r="CF22" s="244"/>
      <c r="CG22" s="244"/>
      <c r="CH22" s="245"/>
      <c r="CI22" s="245"/>
      <c r="CJ22" s="245"/>
      <c r="CK22" s="245"/>
      <c r="CL22" s="245"/>
      <c r="CM22" s="245"/>
      <c r="CN22" s="245"/>
      <c r="CO22" s="245"/>
      <c r="CP22" s="245"/>
      <c r="CQ22" s="245"/>
      <c r="CR22" s="245"/>
      <c r="CS22" s="245"/>
      <c r="CT22" s="245"/>
      <c r="CU22" s="245"/>
      <c r="CV22" s="245"/>
      <c r="CW22" s="245"/>
      <c r="CX22" s="245"/>
      <c r="CY22" s="245"/>
      <c r="CZ22" s="245"/>
      <c r="DA22" s="245"/>
      <c r="DB22" s="245"/>
      <c r="DC22" s="245"/>
      <c r="DD22" s="245"/>
      <c r="DE22" s="246"/>
      <c r="DF22" s="246"/>
      <c r="DG22" s="246"/>
      <c r="DH22" s="247"/>
      <c r="DI22" s="250"/>
      <c r="DJ22" s="250"/>
      <c r="DK22" s="250"/>
      <c r="DL22" s="250"/>
      <c r="DM22" s="250"/>
      <c r="DN22" s="250"/>
      <c r="DO22" s="250"/>
      <c r="DP22" s="250"/>
      <c r="DQ22" s="251"/>
      <c r="DR22" s="153"/>
      <c r="DS22" s="153"/>
      <c r="DT22" s="153"/>
      <c r="DU22" s="153"/>
      <c r="DV22" s="251"/>
      <c r="DW22" s="251"/>
      <c r="DX22" s="251"/>
      <c r="DY22" s="251"/>
      <c r="DZ22" s="154"/>
      <c r="EA22" s="154"/>
      <c r="EB22" s="154"/>
      <c r="EC22" s="474"/>
      <c r="ED22" s="474"/>
      <c r="EE22" s="474">
        <v>3</v>
      </c>
      <c r="EF22" s="474"/>
      <c r="EG22" s="474"/>
      <c r="EH22" s="155"/>
      <c r="EI22" s="474"/>
      <c r="EJ22" s="474"/>
      <c r="EK22" s="474"/>
      <c r="EL22" s="474"/>
      <c r="EM22" s="474"/>
      <c r="EN22" s="155"/>
      <c r="EO22" s="474"/>
      <c r="EP22" s="474"/>
      <c r="EQ22" s="474"/>
      <c r="ER22" s="474"/>
      <c r="ES22" s="474"/>
      <c r="ET22" s="474"/>
      <c r="EU22" s="474"/>
      <c r="EV22" s="474"/>
      <c r="EW22" s="474"/>
      <c r="EX22" s="474"/>
      <c r="EY22" s="474"/>
      <c r="EZ22" s="474"/>
      <c r="FA22" s="113" t="s">
        <v>11</v>
      </c>
      <c r="FB22" s="474"/>
      <c r="FC22" s="474"/>
      <c r="FD22" s="474"/>
      <c r="FE22" s="474">
        <v>1</v>
      </c>
      <c r="FF22" s="474"/>
      <c r="FG22" s="474"/>
      <c r="FH22" s="474"/>
      <c r="FI22" s="474"/>
      <c r="FJ22" s="474"/>
      <c r="FK22" s="474"/>
      <c r="FL22" s="474"/>
      <c r="FM22" s="474"/>
      <c r="FN22" s="474"/>
      <c r="FO22" s="474"/>
      <c r="FP22" s="474"/>
      <c r="FQ22" s="474"/>
      <c r="FR22" s="474"/>
      <c r="FS22" s="474"/>
      <c r="FT22" s="474"/>
      <c r="FU22" s="474"/>
      <c r="FV22" s="474"/>
      <c r="FW22" s="474"/>
      <c r="FX22" s="474"/>
      <c r="FY22" s="474"/>
      <c r="FZ22" s="474"/>
      <c r="GA22" s="474"/>
      <c r="GB22" s="474"/>
      <c r="GC22" s="474"/>
      <c r="GD22" s="474"/>
      <c r="GE22" s="474"/>
      <c r="GF22" s="474"/>
      <c r="GG22" s="474"/>
      <c r="GH22" s="474"/>
      <c r="GI22" s="474"/>
      <c r="GJ22" s="474"/>
      <c r="GK22" s="474"/>
      <c r="GL22" s="474"/>
      <c r="GM22" s="474"/>
      <c r="GN22" s="474"/>
      <c r="GO22" s="474"/>
      <c r="GP22" s="474"/>
      <c r="GQ22" s="474"/>
      <c r="GR22" s="474"/>
      <c r="GS22" s="474"/>
      <c r="GT22" s="474"/>
      <c r="GU22" s="474"/>
      <c r="GV22" s="474"/>
      <c r="GW22" s="474"/>
      <c r="GX22" s="474"/>
      <c r="GY22" s="474"/>
      <c r="GZ22" s="474"/>
      <c r="HA22" s="474"/>
      <c r="HB22" s="474"/>
      <c r="HC22" s="474"/>
      <c r="HD22" s="474"/>
      <c r="HE22" s="474"/>
      <c r="HF22" s="474"/>
      <c r="HG22" s="474"/>
      <c r="HH22" s="474"/>
      <c r="HI22" s="474"/>
      <c r="HJ22" s="474"/>
      <c r="HK22" s="474"/>
      <c r="HL22" s="474"/>
      <c r="HM22" s="474"/>
      <c r="HN22" s="474"/>
      <c r="HO22" s="474"/>
      <c r="HP22" s="474"/>
      <c r="HQ22" s="474"/>
      <c r="HR22" s="474"/>
      <c r="HS22" s="474"/>
      <c r="HT22" s="474"/>
      <c r="HU22" s="474"/>
      <c r="HV22" s="474"/>
      <c r="HW22" s="474"/>
      <c r="HX22" s="474"/>
      <c r="HY22" s="474"/>
      <c r="HZ22" s="474"/>
      <c r="IA22" s="474"/>
      <c r="IB22" s="474"/>
      <c r="IC22" s="474"/>
      <c r="ID22" s="474"/>
      <c r="IE22" s="474"/>
      <c r="IF22" s="474"/>
      <c r="IG22" s="474"/>
      <c r="IH22" s="474"/>
      <c r="II22" s="474"/>
      <c r="IJ22" s="474"/>
      <c r="IK22" s="474"/>
      <c r="IL22" s="474"/>
      <c r="IM22" s="474"/>
      <c r="IN22" s="474"/>
      <c r="IO22" s="474"/>
      <c r="IP22" s="474"/>
    </row>
    <row r="23" spans="1:250" ht="14.1" customHeight="1" thickBot="1" x14ac:dyDescent="0.25">
      <c r="A23" s="153"/>
      <c r="B23" s="88"/>
      <c r="C23" s="86"/>
      <c r="D23" s="529"/>
      <c r="E23" s="529"/>
      <c r="F23" s="529"/>
      <c r="G23" s="87"/>
      <c r="H23" s="87"/>
      <c r="I23" s="87"/>
      <c r="J23" s="87"/>
      <c r="K23" s="87"/>
      <c r="L23" s="87"/>
      <c r="M23" s="87"/>
      <c r="N23" s="87"/>
      <c r="O23" s="147"/>
      <c r="P23" s="45"/>
      <c r="Q23" s="590"/>
      <c r="R23" s="591"/>
      <c r="S23" s="591"/>
      <c r="T23" s="615" t="s">
        <v>133</v>
      </c>
      <c r="U23" s="615"/>
      <c r="V23" s="615"/>
      <c r="W23" s="682">
        <f>(ES62*(ES61+W20))+(ES63*(W21))</f>
        <v>1012</v>
      </c>
      <c r="X23" s="683"/>
      <c r="Y23" s="683"/>
      <c r="Z23" s="683"/>
      <c r="AA23" s="683"/>
      <c r="AB23" s="684"/>
      <c r="AC23" s="638" t="s">
        <v>46</v>
      </c>
      <c r="AD23" s="639"/>
      <c r="AE23" s="640"/>
      <c r="AF23" s="45"/>
      <c r="AG23" s="361"/>
      <c r="AH23" s="64"/>
      <c r="AI23" s="64"/>
      <c r="AJ23" s="64"/>
      <c r="AK23" s="94"/>
      <c r="AL23" s="296"/>
      <c r="AM23" s="296"/>
      <c r="AN23" s="296"/>
      <c r="AO23" s="296"/>
      <c r="AP23" s="296"/>
      <c r="AQ23" s="296"/>
      <c r="AR23" s="296"/>
      <c r="AS23" s="296"/>
      <c r="AT23" s="296"/>
      <c r="AU23" s="296"/>
      <c r="AV23" s="296"/>
      <c r="AW23" s="296"/>
      <c r="AX23" s="296"/>
      <c r="AY23" s="296"/>
      <c r="AZ23" s="296"/>
      <c r="BA23" s="296"/>
      <c r="BB23" s="296"/>
      <c r="BC23" s="296"/>
      <c r="BD23" s="296"/>
      <c r="BE23" s="296"/>
      <c r="BF23" s="448"/>
      <c r="BG23" s="406"/>
      <c r="BH23" s="306"/>
      <c r="BI23" s="306"/>
      <c r="BJ23" s="238"/>
      <c r="BK23" s="238"/>
      <c r="BL23" s="238"/>
      <c r="BM23" s="238"/>
      <c r="BN23" s="238"/>
      <c r="BO23" s="238"/>
      <c r="BP23" s="238"/>
      <c r="BQ23" s="238"/>
      <c r="BR23" s="238"/>
      <c r="BS23" s="238"/>
      <c r="BT23" s="238"/>
      <c r="BU23" s="238"/>
      <c r="BV23" s="237"/>
      <c r="BW23" s="243"/>
      <c r="BX23" s="243"/>
      <c r="BY23" s="243"/>
      <c r="BZ23" s="243"/>
      <c r="CA23" s="243"/>
      <c r="CB23" s="243"/>
      <c r="CC23" s="243"/>
      <c r="CD23" s="243"/>
      <c r="CE23" s="243"/>
      <c r="CF23" s="243"/>
      <c r="CG23" s="243"/>
      <c r="CH23" s="243"/>
      <c r="CI23" s="243"/>
      <c r="CJ23" s="243"/>
      <c r="CK23" s="243"/>
      <c r="CL23" s="243"/>
      <c r="CM23" s="243"/>
      <c r="CN23" s="243"/>
      <c r="CO23" s="243"/>
      <c r="CP23" s="243"/>
      <c r="CQ23" s="243"/>
      <c r="CR23" s="243"/>
      <c r="CS23" s="243"/>
      <c r="CT23" s="243"/>
      <c r="CU23" s="243"/>
      <c r="CV23" s="243"/>
      <c r="CW23" s="243"/>
      <c r="CX23" s="243"/>
      <c r="CY23" s="243"/>
      <c r="CZ23" s="243"/>
      <c r="DA23" s="243"/>
      <c r="DB23" s="243"/>
      <c r="DC23" s="243"/>
      <c r="DD23" s="243"/>
      <c r="DE23" s="243"/>
      <c r="DF23" s="243"/>
      <c r="DG23" s="243"/>
      <c r="DH23" s="243"/>
      <c r="DI23" s="243"/>
      <c r="DJ23" s="243"/>
      <c r="DK23" s="243"/>
      <c r="DL23" s="243"/>
      <c r="DM23" s="243"/>
      <c r="DN23" s="243"/>
      <c r="DO23" s="243"/>
      <c r="DP23" s="243"/>
      <c r="DQ23" s="243"/>
      <c r="DR23" s="153"/>
      <c r="DS23" s="153"/>
      <c r="DT23" s="153"/>
      <c r="DU23" s="153"/>
      <c r="DV23" s="243"/>
      <c r="DW23" s="243"/>
      <c r="DX23" s="243"/>
      <c r="DY23" s="242"/>
      <c r="DZ23" s="474"/>
      <c r="EA23" s="474"/>
      <c r="EB23" s="474"/>
      <c r="EC23" s="19"/>
      <c r="ED23" s="474"/>
      <c r="EE23" s="474">
        <v>4</v>
      </c>
      <c r="EF23" s="474"/>
      <c r="EG23" s="474"/>
      <c r="EH23" s="155"/>
      <c r="EI23" s="474"/>
      <c r="EJ23" s="474"/>
      <c r="EK23" s="474"/>
      <c r="EL23" s="474"/>
      <c r="EM23" s="474"/>
      <c r="EN23" s="155"/>
      <c r="EO23" s="474"/>
      <c r="EP23" s="474"/>
      <c r="EQ23" s="474"/>
      <c r="ER23" s="474"/>
      <c r="ES23" s="474"/>
      <c r="ET23" s="474"/>
      <c r="EU23" s="474"/>
      <c r="EV23" s="474"/>
      <c r="EW23" s="474"/>
      <c r="EX23" s="474"/>
      <c r="EY23" s="474"/>
      <c r="EZ23" s="474"/>
      <c r="FA23" s="113" t="s">
        <v>10</v>
      </c>
      <c r="FB23" s="474"/>
      <c r="FC23" s="474"/>
      <c r="FD23" s="474"/>
      <c r="FE23" s="474">
        <v>2</v>
      </c>
      <c r="FF23" s="474"/>
      <c r="FG23" s="474"/>
      <c r="FH23" s="474"/>
      <c r="FI23" s="474"/>
      <c r="FJ23" s="474"/>
      <c r="FK23" s="474"/>
      <c r="FL23" s="474"/>
      <c r="FM23" s="474"/>
      <c r="FN23" s="474"/>
      <c r="FO23" s="474"/>
      <c r="FP23" s="474"/>
      <c r="FQ23" s="474"/>
      <c r="FR23" s="474"/>
      <c r="FS23" s="474"/>
      <c r="FT23" s="474"/>
      <c r="FU23" s="474"/>
      <c r="FV23" s="474"/>
      <c r="FW23" s="474"/>
      <c r="FX23" s="474"/>
      <c r="FY23" s="474"/>
      <c r="FZ23" s="474"/>
      <c r="GA23" s="474"/>
      <c r="GB23" s="474"/>
      <c r="GC23" s="474"/>
      <c r="GD23" s="474"/>
      <c r="GE23" s="474"/>
      <c r="GF23" s="474"/>
      <c r="GG23" s="474"/>
      <c r="GH23" s="474"/>
      <c r="GI23" s="474"/>
      <c r="GJ23" s="474"/>
      <c r="GK23" s="474"/>
      <c r="GL23" s="474"/>
      <c r="GM23" s="474"/>
      <c r="GN23" s="474"/>
      <c r="GO23" s="474"/>
      <c r="GP23" s="474"/>
      <c r="GQ23" s="474"/>
      <c r="GR23" s="474"/>
      <c r="GS23" s="474"/>
      <c r="GT23" s="474"/>
      <c r="GU23" s="474"/>
      <c r="GV23" s="474"/>
      <c r="GW23" s="474"/>
      <c r="GX23" s="474"/>
      <c r="GY23" s="474"/>
      <c r="GZ23" s="474"/>
      <c r="HA23" s="474"/>
      <c r="HB23" s="474"/>
      <c r="HC23" s="474"/>
      <c r="HD23" s="474"/>
      <c r="HE23" s="474"/>
      <c r="HF23" s="474"/>
      <c r="HG23" s="474"/>
      <c r="HH23" s="474"/>
      <c r="HI23" s="474"/>
      <c r="HJ23" s="474"/>
      <c r="HK23" s="474"/>
      <c r="HL23" s="474"/>
      <c r="HM23" s="474"/>
      <c r="HN23" s="474"/>
      <c r="HO23" s="474"/>
      <c r="HP23" s="474"/>
      <c r="HQ23" s="474"/>
      <c r="HR23" s="474"/>
      <c r="HS23" s="474"/>
      <c r="HT23" s="474"/>
      <c r="HU23" s="474"/>
      <c r="HV23" s="474"/>
      <c r="HW23" s="474"/>
      <c r="HX23" s="474"/>
      <c r="HY23" s="474"/>
      <c r="HZ23" s="474"/>
      <c r="IA23" s="474"/>
      <c r="IB23" s="474"/>
      <c r="IC23" s="474"/>
      <c r="ID23" s="474"/>
      <c r="IE23" s="474"/>
      <c r="IF23" s="474"/>
      <c r="IG23" s="474"/>
      <c r="IH23" s="474"/>
      <c r="II23" s="474"/>
      <c r="IJ23" s="474"/>
      <c r="IK23" s="474"/>
      <c r="IL23" s="474"/>
      <c r="IM23" s="474"/>
      <c r="IN23" s="474"/>
      <c r="IO23" s="474"/>
      <c r="IP23" s="474"/>
    </row>
    <row r="24" spans="1:250" ht="14.1" customHeight="1" x14ac:dyDescent="0.2">
      <c r="A24" s="153"/>
      <c r="B24" s="88"/>
      <c r="C24" s="88"/>
      <c r="D24" s="45"/>
      <c r="E24" s="45"/>
      <c r="F24" s="48" t="s">
        <v>194</v>
      </c>
      <c r="G24" s="45"/>
      <c r="H24" s="658">
        <v>1.2</v>
      </c>
      <c r="I24" s="659"/>
      <c r="J24" s="660"/>
      <c r="K24" s="45"/>
      <c r="L24" s="478" t="s">
        <v>12</v>
      </c>
      <c r="M24" s="45"/>
      <c r="N24" s="45"/>
      <c r="O24" s="148"/>
      <c r="P24" s="45"/>
      <c r="Q24" s="590"/>
      <c r="R24" s="591"/>
      <c r="S24" s="591"/>
      <c r="T24" s="616" t="s">
        <v>256</v>
      </c>
      <c r="U24" s="617"/>
      <c r="V24" s="618"/>
      <c r="W24" s="661">
        <f>ES62*W22</f>
        <v>0</v>
      </c>
      <c r="X24" s="662"/>
      <c r="Y24" s="662"/>
      <c r="Z24" s="662"/>
      <c r="AA24" s="662"/>
      <c r="AB24" s="663"/>
      <c r="AC24" s="638" t="s">
        <v>14</v>
      </c>
      <c r="AD24" s="639"/>
      <c r="AE24" s="640"/>
      <c r="AF24" s="45"/>
      <c r="AG24" s="361"/>
      <c r="AH24" s="64"/>
      <c r="AI24" s="64"/>
      <c r="AJ24" s="64"/>
      <c r="AK24" s="94"/>
      <c r="AL24" s="294"/>
      <c r="AM24" s="294"/>
      <c r="AN24" s="294"/>
      <c r="AO24" s="294"/>
      <c r="AP24" s="337"/>
      <c r="AQ24" s="337"/>
      <c r="AR24" s="337"/>
      <c r="AS24" s="337"/>
      <c r="AT24" s="337"/>
      <c r="AU24" s="337"/>
      <c r="AV24" s="337"/>
      <c r="AW24" s="337"/>
      <c r="AX24" s="337"/>
      <c r="AY24" s="337"/>
      <c r="AZ24" s="337"/>
      <c r="BA24" s="337"/>
      <c r="BB24" s="337"/>
      <c r="BC24" s="337"/>
      <c r="BD24" s="337"/>
      <c r="BE24" s="297"/>
      <c r="BF24" s="449"/>
      <c r="BG24" s="407"/>
      <c r="BH24" s="320"/>
      <c r="BI24" s="320"/>
      <c r="BJ24" s="45"/>
      <c r="BK24" s="45"/>
      <c r="BL24" s="45"/>
      <c r="BM24" s="45"/>
      <c r="BN24" s="219"/>
      <c r="BO24" s="219"/>
      <c r="BP24" s="219"/>
      <c r="BQ24" s="219"/>
      <c r="BR24" s="45"/>
      <c r="BS24" s="45"/>
      <c r="BT24" s="45"/>
      <c r="BU24" s="45"/>
      <c r="BV24" s="237"/>
      <c r="BW24" s="253"/>
      <c r="BX24" s="254"/>
      <c r="BY24" s="254"/>
      <c r="BZ24" s="242"/>
      <c r="CA24" s="242"/>
      <c r="CB24" s="242"/>
      <c r="CC24" s="242"/>
      <c r="CD24" s="242"/>
      <c r="CE24" s="242"/>
      <c r="CF24" s="242"/>
      <c r="CG24" s="242"/>
      <c r="CH24" s="242"/>
      <c r="CI24" s="242"/>
      <c r="CJ24" s="242"/>
      <c r="CK24" s="242"/>
      <c r="CL24" s="242"/>
      <c r="CM24" s="242"/>
      <c r="CN24" s="242"/>
      <c r="CO24" s="242"/>
      <c r="CP24" s="242"/>
      <c r="CQ24" s="242"/>
      <c r="CR24" s="242"/>
      <c r="CS24" s="242"/>
      <c r="CT24" s="242"/>
      <c r="CU24" s="242"/>
      <c r="CV24" s="242"/>
      <c r="CW24" s="242"/>
      <c r="CX24" s="242"/>
      <c r="CY24" s="242"/>
      <c r="CZ24" s="242"/>
      <c r="DA24" s="242"/>
      <c r="DB24" s="242"/>
      <c r="DC24" s="242"/>
      <c r="DD24" s="242"/>
      <c r="DE24" s="242"/>
      <c r="DF24" s="242"/>
      <c r="DG24" s="242"/>
      <c r="DH24" s="242"/>
      <c r="DI24" s="242"/>
      <c r="DJ24" s="242"/>
      <c r="DK24" s="242"/>
      <c r="DL24" s="242"/>
      <c r="DM24" s="242"/>
      <c r="DN24" s="242"/>
      <c r="DO24" s="242"/>
      <c r="DP24" s="242"/>
      <c r="DQ24" s="255"/>
      <c r="DR24" s="153"/>
      <c r="DS24" s="153"/>
      <c r="DT24" s="153"/>
      <c r="DU24" s="153"/>
      <c r="DV24" s="255"/>
      <c r="DW24" s="255"/>
      <c r="DX24" s="255"/>
      <c r="DY24" s="242"/>
      <c r="DZ24" s="474"/>
      <c r="EA24" s="474"/>
      <c r="EB24" s="474"/>
      <c r="EC24" s="31"/>
      <c r="ED24" s="31"/>
      <c r="EE24" s="474">
        <v>5</v>
      </c>
      <c r="EF24" s="474"/>
      <c r="EG24" s="474"/>
      <c r="EH24" s="92"/>
      <c r="EI24" s="151"/>
      <c r="EJ24" s="151"/>
      <c r="EK24" s="151"/>
      <c r="EL24" s="151"/>
      <c r="EM24" s="151"/>
      <c r="EN24" s="155"/>
      <c r="EO24" s="151"/>
      <c r="EP24" s="151"/>
      <c r="EQ24" s="474"/>
      <c r="ER24" s="474"/>
      <c r="ES24" s="474"/>
      <c r="ET24" s="474"/>
      <c r="EU24" s="474"/>
      <c r="EV24" s="474"/>
      <c r="EW24" s="474"/>
      <c r="EX24" s="474"/>
      <c r="EY24" s="474"/>
      <c r="EZ24" s="474"/>
      <c r="FA24" s="113" t="s">
        <v>9</v>
      </c>
      <c r="FB24" s="474"/>
      <c r="FC24" s="474"/>
      <c r="FD24" s="474"/>
      <c r="FE24" s="474">
        <v>3</v>
      </c>
      <c r="FF24" s="474"/>
      <c r="FG24" s="474"/>
      <c r="FH24" s="474"/>
      <c r="FI24" s="474"/>
      <c r="FJ24" s="474"/>
      <c r="FK24" s="474"/>
      <c r="FL24" s="474"/>
      <c r="FM24" s="474"/>
      <c r="FN24" s="474"/>
      <c r="FO24" s="474"/>
      <c r="FP24" s="474"/>
      <c r="FQ24" s="474"/>
      <c r="FR24" s="474"/>
      <c r="FS24" s="474"/>
      <c r="FT24" s="474"/>
      <c r="FU24" s="474"/>
      <c r="FV24" s="474"/>
      <c r="FW24" s="474"/>
      <c r="FX24" s="474"/>
      <c r="FY24" s="474"/>
      <c r="FZ24" s="474"/>
      <c r="GA24" s="474"/>
      <c r="GB24" s="474"/>
      <c r="GC24" s="474"/>
      <c r="GD24" s="474"/>
      <c r="GE24" s="474"/>
      <c r="GF24" s="474"/>
      <c r="GG24" s="474"/>
      <c r="GH24" s="474"/>
      <c r="GI24" s="474"/>
      <c r="GJ24" s="474"/>
      <c r="GK24" s="474"/>
      <c r="GL24" s="474"/>
      <c r="GM24" s="474"/>
      <c r="GN24" s="474"/>
      <c r="GO24" s="474"/>
      <c r="GP24" s="474"/>
      <c r="GQ24" s="474"/>
      <c r="GR24" s="474"/>
      <c r="GS24" s="474"/>
      <c r="GT24" s="474"/>
      <c r="GU24" s="474"/>
      <c r="GV24" s="474"/>
      <c r="GW24" s="474"/>
      <c r="GX24" s="474"/>
      <c r="GY24" s="474"/>
      <c r="GZ24" s="474"/>
      <c r="HA24" s="474"/>
      <c r="HB24" s="474"/>
      <c r="HC24" s="474"/>
      <c r="HD24" s="474"/>
      <c r="HE24" s="474"/>
      <c r="HF24" s="474"/>
      <c r="HG24" s="474"/>
      <c r="HH24" s="474"/>
      <c r="HI24" s="474"/>
      <c r="HJ24" s="474"/>
      <c r="HK24" s="474"/>
      <c r="HL24" s="474"/>
      <c r="HM24" s="474"/>
      <c r="HN24" s="474"/>
      <c r="HO24" s="474"/>
      <c r="HP24" s="474"/>
      <c r="HQ24" s="474"/>
      <c r="HR24" s="474"/>
      <c r="HS24" s="474"/>
      <c r="HT24" s="474"/>
      <c r="HU24" s="474"/>
      <c r="HV24" s="474"/>
      <c r="HW24" s="474"/>
      <c r="HX24" s="474"/>
      <c r="HY24" s="474"/>
      <c r="HZ24" s="474"/>
      <c r="IA24" s="474"/>
      <c r="IB24" s="474"/>
      <c r="IC24" s="474"/>
      <c r="ID24" s="474"/>
      <c r="IE24" s="474"/>
      <c r="IF24" s="474"/>
      <c r="IG24" s="474"/>
      <c r="IH24" s="474"/>
      <c r="II24" s="474"/>
      <c r="IJ24" s="474"/>
      <c r="IK24" s="474"/>
      <c r="IL24" s="474"/>
      <c r="IM24" s="474"/>
      <c r="IN24" s="474"/>
      <c r="IO24" s="474"/>
      <c r="IP24" s="474"/>
    </row>
    <row r="25" spans="1:250" ht="14.1" customHeight="1" thickBot="1" x14ac:dyDescent="0.25">
      <c r="A25" s="153"/>
      <c r="B25" s="88"/>
      <c r="C25" s="88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148"/>
      <c r="P25" s="45"/>
      <c r="Q25" s="587" t="s">
        <v>205</v>
      </c>
      <c r="R25" s="588"/>
      <c r="S25" s="589"/>
      <c r="T25" s="615" t="s">
        <v>203</v>
      </c>
      <c r="U25" s="615"/>
      <c r="V25" s="615"/>
      <c r="W25" s="615" t="s">
        <v>127</v>
      </c>
      <c r="X25" s="615"/>
      <c r="Y25" s="615"/>
      <c r="Z25" s="615"/>
      <c r="AA25" s="615"/>
      <c r="AB25" s="615"/>
      <c r="AC25" s="615"/>
      <c r="AD25" s="615"/>
      <c r="AE25" s="623"/>
      <c r="AF25" s="45"/>
      <c r="AG25" s="361"/>
      <c r="AH25" s="64"/>
      <c r="AI25" s="64"/>
      <c r="AJ25" s="64"/>
      <c r="AK25" s="94"/>
      <c r="AL25" s="295"/>
      <c r="AM25" s="295"/>
      <c r="AN25" s="295"/>
      <c r="AO25" s="295"/>
      <c r="AP25" s="338"/>
      <c r="AQ25" s="338"/>
      <c r="AR25" s="338"/>
      <c r="AS25" s="338"/>
      <c r="AT25" s="338"/>
      <c r="AU25" s="338"/>
      <c r="AV25" s="338"/>
      <c r="AW25" s="338"/>
      <c r="AX25" s="338"/>
      <c r="AY25" s="338"/>
      <c r="AZ25" s="338"/>
      <c r="BA25" s="338"/>
      <c r="BB25" s="338"/>
      <c r="BC25" s="338"/>
      <c r="BD25" s="338"/>
      <c r="BE25" s="294"/>
      <c r="BF25" s="446"/>
      <c r="BG25" s="408"/>
      <c r="BH25" s="308"/>
      <c r="BI25" s="308"/>
      <c r="BJ25" s="268"/>
      <c r="BK25" s="268"/>
      <c r="BL25" s="268"/>
      <c r="BM25" s="268"/>
      <c r="BN25" s="45"/>
      <c r="BO25" s="45"/>
      <c r="BP25" s="45"/>
      <c r="BQ25" s="45"/>
      <c r="BR25" s="45"/>
      <c r="BS25" s="45"/>
      <c r="BT25" s="45"/>
      <c r="BU25" s="45"/>
      <c r="BV25" s="237"/>
      <c r="BW25" s="253"/>
      <c r="BX25" s="254"/>
      <c r="BY25" s="254"/>
      <c r="BZ25" s="242"/>
      <c r="CA25" s="242"/>
      <c r="CB25" s="242"/>
      <c r="CC25" s="242"/>
      <c r="CD25" s="242"/>
      <c r="CE25" s="242"/>
      <c r="CF25" s="242"/>
      <c r="CG25" s="242"/>
      <c r="CH25" s="242"/>
      <c r="CI25" s="242"/>
      <c r="CJ25" s="242"/>
      <c r="CK25" s="242"/>
      <c r="CL25" s="242"/>
      <c r="CM25" s="242"/>
      <c r="CN25" s="242"/>
      <c r="CO25" s="242"/>
      <c r="CP25" s="242"/>
      <c r="CQ25" s="242"/>
      <c r="CR25" s="242"/>
      <c r="CS25" s="242"/>
      <c r="CT25" s="242"/>
      <c r="CU25" s="242"/>
      <c r="CV25" s="242"/>
      <c r="CW25" s="242"/>
      <c r="CX25" s="242"/>
      <c r="CY25" s="242"/>
      <c r="CZ25" s="242"/>
      <c r="DA25" s="242"/>
      <c r="DB25" s="242"/>
      <c r="DC25" s="242"/>
      <c r="DD25" s="242"/>
      <c r="DE25" s="242"/>
      <c r="DF25" s="242"/>
      <c r="DG25" s="242"/>
      <c r="DH25" s="242"/>
      <c r="DI25" s="242"/>
      <c r="DJ25" s="242"/>
      <c r="DK25" s="242"/>
      <c r="DL25" s="242"/>
      <c r="DM25" s="242"/>
      <c r="DN25" s="242"/>
      <c r="DO25" s="242"/>
      <c r="DP25" s="242"/>
      <c r="DQ25" s="242"/>
      <c r="DR25" s="153"/>
      <c r="DS25" s="153"/>
      <c r="DT25" s="153"/>
      <c r="DU25" s="153"/>
      <c r="DV25" s="242"/>
      <c r="DW25" s="242"/>
      <c r="DX25" s="242"/>
      <c r="DY25" s="242"/>
      <c r="DZ25" s="474"/>
      <c r="EA25" s="474"/>
      <c r="EB25" s="474"/>
      <c r="EC25" s="156"/>
      <c r="ED25" s="156"/>
      <c r="EE25" s="474">
        <v>6</v>
      </c>
      <c r="EF25" s="474"/>
      <c r="EG25" s="474"/>
      <c r="EH25" s="492"/>
      <c r="EI25" s="157"/>
      <c r="EJ25" s="157"/>
      <c r="EK25" s="158"/>
      <c r="EL25" s="158"/>
      <c r="EM25" s="158"/>
      <c r="EN25" s="158"/>
      <c r="EO25" s="492"/>
      <c r="EP25" s="492"/>
      <c r="EQ25" s="474"/>
      <c r="ER25" s="159"/>
      <c r="ES25" s="159"/>
      <c r="ET25" s="160"/>
      <c r="EU25" s="160"/>
      <c r="EV25" s="160"/>
      <c r="EW25" s="160"/>
      <c r="EX25" s="483"/>
      <c r="EY25" s="483"/>
      <c r="EZ25" s="483"/>
      <c r="FA25" s="113" t="s">
        <v>5</v>
      </c>
      <c r="FB25" s="474"/>
      <c r="FC25" s="474"/>
      <c r="FD25" s="474"/>
      <c r="FE25" s="474">
        <v>4</v>
      </c>
      <c r="FF25" s="474"/>
      <c r="FG25" s="474"/>
      <c r="FH25" s="474"/>
      <c r="FI25" s="474"/>
      <c r="FJ25" s="474"/>
      <c r="FK25" s="474"/>
      <c r="FL25" s="474"/>
      <c r="FM25" s="474"/>
      <c r="FN25" s="474"/>
      <c r="FO25" s="474"/>
      <c r="FP25" s="474"/>
      <c r="FQ25" s="474"/>
      <c r="FR25" s="474"/>
      <c r="FS25" s="474"/>
      <c r="FT25" s="474"/>
      <c r="FU25" s="474"/>
      <c r="FV25" s="474"/>
      <c r="FW25" s="474"/>
      <c r="FX25" s="474"/>
      <c r="FY25" s="474"/>
      <c r="FZ25" s="474"/>
      <c r="GA25" s="474"/>
      <c r="GB25" s="474"/>
      <c r="GC25" s="474"/>
      <c r="GD25" s="474"/>
      <c r="GE25" s="474"/>
      <c r="GF25" s="474"/>
      <c r="GG25" s="474"/>
      <c r="GH25" s="474"/>
      <c r="GI25" s="474"/>
      <c r="GJ25" s="474"/>
      <c r="GK25" s="474"/>
      <c r="GL25" s="474"/>
      <c r="GM25" s="474"/>
      <c r="GN25" s="474"/>
      <c r="GO25" s="474"/>
      <c r="GP25" s="474"/>
      <c r="GQ25" s="474"/>
      <c r="GR25" s="474"/>
      <c r="GS25" s="474"/>
      <c r="GT25" s="474"/>
      <c r="GU25" s="474"/>
      <c r="GV25" s="474"/>
      <c r="GW25" s="474"/>
      <c r="GX25" s="474"/>
      <c r="GY25" s="474"/>
      <c r="GZ25" s="474"/>
      <c r="HA25" s="474"/>
      <c r="HB25" s="474"/>
      <c r="HC25" s="474"/>
      <c r="HD25" s="474"/>
      <c r="HE25" s="474"/>
      <c r="HF25" s="474"/>
      <c r="HG25" s="474"/>
      <c r="HH25" s="474"/>
      <c r="HI25" s="474"/>
      <c r="HJ25" s="474"/>
      <c r="HK25" s="474"/>
      <c r="HL25" s="474"/>
      <c r="HM25" s="474"/>
      <c r="HN25" s="474"/>
      <c r="HO25" s="474"/>
      <c r="HP25" s="474"/>
      <c r="HQ25" s="474"/>
      <c r="HR25" s="474"/>
      <c r="HS25" s="474"/>
      <c r="HT25" s="474"/>
      <c r="HU25" s="474"/>
      <c r="HV25" s="474"/>
      <c r="HW25" s="474"/>
      <c r="HX25" s="474"/>
      <c r="HY25" s="474"/>
      <c r="HZ25" s="474"/>
      <c r="IA25" s="474"/>
      <c r="IB25" s="474"/>
      <c r="IC25" s="474"/>
      <c r="ID25" s="474"/>
      <c r="IE25" s="474"/>
      <c r="IF25" s="474"/>
      <c r="IG25" s="474"/>
      <c r="IH25" s="474"/>
      <c r="II25" s="474"/>
      <c r="IJ25" s="474"/>
      <c r="IK25" s="474"/>
      <c r="IL25" s="474"/>
      <c r="IM25" s="474"/>
      <c r="IN25" s="474"/>
      <c r="IO25" s="474"/>
      <c r="IP25" s="474"/>
    </row>
    <row r="26" spans="1:250" ht="14.1" customHeight="1" x14ac:dyDescent="0.2">
      <c r="A26" s="153"/>
      <c r="B26" s="88"/>
      <c r="C26" s="88"/>
      <c r="D26" s="45"/>
      <c r="E26" s="45"/>
      <c r="F26" s="48" t="s">
        <v>49</v>
      </c>
      <c r="G26" s="45"/>
      <c r="H26" s="520">
        <v>10</v>
      </c>
      <c r="I26" s="521"/>
      <c r="J26" s="522"/>
      <c r="K26" s="45"/>
      <c r="L26" s="45" t="s">
        <v>17</v>
      </c>
      <c r="M26" s="45"/>
      <c r="N26" s="45"/>
      <c r="O26" s="148"/>
      <c r="P26" s="45"/>
      <c r="Q26" s="590"/>
      <c r="R26" s="591"/>
      <c r="S26" s="592"/>
      <c r="T26" s="615" t="s">
        <v>234</v>
      </c>
      <c r="U26" s="615"/>
      <c r="V26" s="615"/>
      <c r="W26" s="641" t="s">
        <v>219</v>
      </c>
      <c r="X26" s="642"/>
      <c r="Y26" s="642"/>
      <c r="Z26" s="642"/>
      <c r="AA26" s="642"/>
      <c r="AB26" s="643"/>
      <c r="AC26" s="377" t="s">
        <v>0</v>
      </c>
      <c r="AD26" s="378"/>
      <c r="AE26" s="394"/>
      <c r="AF26" s="45"/>
      <c r="AG26" s="361"/>
      <c r="AH26" s="64"/>
      <c r="AI26" s="64"/>
      <c r="AJ26" s="64"/>
      <c r="AK26" s="94"/>
      <c r="AL26" s="294"/>
      <c r="AM26" s="294"/>
      <c r="AN26" s="294"/>
      <c r="AO26" s="294"/>
      <c r="AP26" s="330"/>
      <c r="AQ26" s="330"/>
      <c r="AR26" s="330"/>
      <c r="AS26" s="330"/>
      <c r="AT26" s="330"/>
      <c r="AU26" s="330"/>
      <c r="AV26" s="330"/>
      <c r="AW26" s="330"/>
      <c r="AX26" s="330"/>
      <c r="AY26" s="330"/>
      <c r="AZ26" s="330"/>
      <c r="BA26" s="330"/>
      <c r="BB26" s="330"/>
      <c r="BC26" s="330"/>
      <c r="BD26" s="330"/>
      <c r="BE26" s="294"/>
      <c r="BF26" s="446"/>
      <c r="BG26" s="408"/>
      <c r="BH26" s="308"/>
      <c r="BI26" s="308"/>
      <c r="BJ26" s="268"/>
      <c r="BK26" s="268"/>
      <c r="BL26" s="268"/>
      <c r="BM26" s="268"/>
      <c r="BN26" s="219"/>
      <c r="BO26" s="219"/>
      <c r="BP26" s="219"/>
      <c r="BQ26" s="219"/>
      <c r="BR26" s="45"/>
      <c r="BS26" s="45"/>
      <c r="BT26" s="45"/>
      <c r="BU26" s="45"/>
      <c r="BV26" s="237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6"/>
      <c r="CK26" s="256"/>
      <c r="CL26" s="256"/>
      <c r="CM26" s="256"/>
      <c r="CN26" s="256"/>
      <c r="CO26" s="256"/>
      <c r="CP26" s="256"/>
      <c r="CQ26" s="256"/>
      <c r="CR26" s="256"/>
      <c r="CS26" s="256"/>
      <c r="CT26" s="256"/>
      <c r="CU26" s="256"/>
      <c r="CV26" s="256"/>
      <c r="CW26" s="256"/>
      <c r="CX26" s="256"/>
      <c r="CY26" s="256"/>
      <c r="CZ26" s="256"/>
      <c r="DA26" s="256"/>
      <c r="DB26" s="256"/>
      <c r="DC26" s="256"/>
      <c r="DD26" s="256"/>
      <c r="DE26" s="256"/>
      <c r="DF26" s="256"/>
      <c r="DG26" s="256"/>
      <c r="DH26" s="256"/>
      <c r="DI26" s="256"/>
      <c r="DJ26" s="256"/>
      <c r="DK26" s="256"/>
      <c r="DL26" s="256"/>
      <c r="DM26" s="256"/>
      <c r="DN26" s="256"/>
      <c r="DO26" s="256"/>
      <c r="DP26" s="256"/>
      <c r="DQ26" s="242"/>
      <c r="DR26" s="153"/>
      <c r="DS26" s="153"/>
      <c r="DT26" s="153"/>
      <c r="DU26" s="153"/>
      <c r="DV26" s="242"/>
      <c r="DW26" s="242"/>
      <c r="DX26" s="242"/>
      <c r="DY26" s="242"/>
      <c r="DZ26" s="474"/>
      <c r="EA26" s="474"/>
      <c r="EB26" s="474"/>
      <c r="EC26" s="31"/>
      <c r="ED26" s="31"/>
      <c r="EE26" s="474">
        <v>7</v>
      </c>
      <c r="EF26" s="474"/>
      <c r="EG26" s="474"/>
      <c r="EH26" s="492"/>
      <c r="EI26" s="157"/>
      <c r="EJ26" s="157"/>
      <c r="EK26" s="158"/>
      <c r="EL26" s="158"/>
      <c r="EM26" s="158"/>
      <c r="EN26" s="158"/>
      <c r="EO26" s="492"/>
      <c r="EP26" s="162"/>
      <c r="EQ26" s="474"/>
      <c r="ER26" s="483"/>
      <c r="ES26" s="483"/>
      <c r="ET26" s="483"/>
      <c r="EU26" s="483"/>
      <c r="EV26" s="483"/>
      <c r="EW26" s="483"/>
      <c r="EX26" s="483"/>
      <c r="EY26" s="483"/>
      <c r="EZ26" s="483"/>
      <c r="FA26" s="113" t="s">
        <v>6</v>
      </c>
      <c r="FB26" s="474"/>
      <c r="FC26" s="474"/>
      <c r="FD26" s="474"/>
      <c r="FE26" s="474">
        <v>5</v>
      </c>
      <c r="FF26" s="474"/>
      <c r="FG26" s="474"/>
      <c r="FH26" s="474"/>
      <c r="FI26" s="474"/>
      <c r="FJ26" s="474"/>
      <c r="FK26" s="474"/>
      <c r="FL26" s="474"/>
      <c r="FM26" s="474"/>
      <c r="FN26" s="474"/>
      <c r="FO26" s="474"/>
      <c r="FP26" s="474"/>
      <c r="FQ26" s="474"/>
      <c r="FR26" s="474"/>
      <c r="FS26" s="474"/>
      <c r="FT26" s="474"/>
      <c r="FU26" s="474"/>
      <c r="FV26" s="474"/>
      <c r="FW26" s="474"/>
      <c r="FX26" s="474"/>
      <c r="FY26" s="474"/>
      <c r="FZ26" s="474"/>
      <c r="GA26" s="474"/>
      <c r="GB26" s="474"/>
      <c r="GC26" s="474"/>
      <c r="GD26" s="474"/>
      <c r="GE26" s="474"/>
      <c r="GF26" s="474"/>
      <c r="GG26" s="474"/>
      <c r="GH26" s="474"/>
      <c r="GI26" s="474"/>
      <c r="GJ26" s="474"/>
      <c r="GK26" s="474"/>
      <c r="GL26" s="474"/>
      <c r="GM26" s="474"/>
      <c r="GN26" s="474"/>
      <c r="GO26" s="474"/>
      <c r="GP26" s="474"/>
      <c r="GQ26" s="474"/>
      <c r="GR26" s="474"/>
      <c r="GS26" s="474"/>
      <c r="GT26" s="474"/>
      <c r="GU26" s="474"/>
      <c r="GV26" s="474"/>
      <c r="GW26" s="474"/>
      <c r="GX26" s="474"/>
      <c r="GY26" s="474"/>
      <c r="GZ26" s="474"/>
      <c r="HA26" s="474"/>
      <c r="HB26" s="474"/>
      <c r="HC26" s="474"/>
      <c r="HD26" s="474"/>
      <c r="HE26" s="474"/>
      <c r="HF26" s="474"/>
      <c r="HG26" s="474"/>
      <c r="HH26" s="474"/>
      <c r="HI26" s="474"/>
      <c r="HJ26" s="474"/>
      <c r="HK26" s="474"/>
      <c r="HL26" s="474"/>
      <c r="HM26" s="474"/>
      <c r="HN26" s="474"/>
      <c r="HO26" s="474"/>
      <c r="HP26" s="474"/>
      <c r="HQ26" s="474"/>
      <c r="HR26" s="474"/>
      <c r="HS26" s="474"/>
      <c r="HT26" s="474"/>
      <c r="HU26" s="474"/>
      <c r="HV26" s="474"/>
      <c r="HW26" s="474"/>
      <c r="HX26" s="474"/>
      <c r="HY26" s="474"/>
      <c r="HZ26" s="474"/>
      <c r="IA26" s="474"/>
      <c r="IB26" s="474"/>
      <c r="IC26" s="474"/>
      <c r="ID26" s="474"/>
      <c r="IE26" s="474"/>
      <c r="IF26" s="474"/>
      <c r="IG26" s="474"/>
      <c r="IH26" s="474"/>
      <c r="II26" s="474"/>
      <c r="IJ26" s="474"/>
      <c r="IK26" s="474"/>
      <c r="IL26" s="474"/>
      <c r="IM26" s="474"/>
      <c r="IN26" s="474"/>
      <c r="IO26" s="474"/>
      <c r="IP26" s="474"/>
    </row>
    <row r="27" spans="1:250" ht="14.1" customHeight="1" thickBot="1" x14ac:dyDescent="0.25">
      <c r="A27" s="153"/>
      <c r="B27" s="88"/>
      <c r="C27" s="88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148"/>
      <c r="P27" s="45"/>
      <c r="Q27" s="590"/>
      <c r="R27" s="591"/>
      <c r="S27" s="592"/>
      <c r="T27" s="616" t="s">
        <v>7</v>
      </c>
      <c r="U27" s="617"/>
      <c r="V27" s="618"/>
      <c r="W27" s="644">
        <f>(W23*H24^2*0.5)+(W24*H24)</f>
        <v>728.64</v>
      </c>
      <c r="X27" s="645"/>
      <c r="Y27" s="645"/>
      <c r="Z27" s="645"/>
      <c r="AA27" s="645"/>
      <c r="AB27" s="646"/>
      <c r="AC27" s="379" t="s">
        <v>18</v>
      </c>
      <c r="AD27" s="380"/>
      <c r="AE27" s="395"/>
      <c r="AF27" s="45"/>
      <c r="AG27" s="361"/>
      <c r="AH27" s="64"/>
      <c r="AI27" s="64"/>
      <c r="AJ27" s="64"/>
      <c r="AK27" s="94"/>
      <c r="AL27" s="17"/>
      <c r="AM27" s="17"/>
      <c r="AN27" s="17"/>
      <c r="AO27" s="17"/>
      <c r="AP27" s="374"/>
      <c r="AQ27" s="374"/>
      <c r="AR27" s="374"/>
      <c r="AS27" s="374"/>
      <c r="AT27" s="374"/>
      <c r="AU27" s="374"/>
      <c r="AV27" s="374"/>
      <c r="AW27" s="374"/>
      <c r="AX27" s="374"/>
      <c r="AY27" s="374"/>
      <c r="AZ27" s="374"/>
      <c r="BA27" s="374"/>
      <c r="BB27" s="374"/>
      <c r="BC27" s="374"/>
      <c r="BD27" s="374"/>
      <c r="BE27" s="295"/>
      <c r="BF27" s="450"/>
      <c r="BG27" s="409"/>
      <c r="BH27" s="314"/>
      <c r="BI27" s="314"/>
      <c r="BJ27" s="268"/>
      <c r="BK27" s="268"/>
      <c r="BL27" s="268"/>
      <c r="BM27" s="268"/>
      <c r="BN27" s="45"/>
      <c r="BO27" s="45"/>
      <c r="BP27" s="45"/>
      <c r="BQ27" s="45"/>
      <c r="BR27" s="45"/>
      <c r="BS27" s="45"/>
      <c r="BT27" s="45"/>
      <c r="BU27" s="45"/>
      <c r="BV27" s="237"/>
      <c r="BW27" s="242"/>
      <c r="BX27" s="242"/>
      <c r="BY27" s="242"/>
      <c r="BZ27" s="214"/>
      <c r="CA27" s="214"/>
      <c r="CB27" s="214"/>
      <c r="CC27" s="257"/>
      <c r="CD27" s="242"/>
      <c r="CE27" s="242"/>
      <c r="CF27" s="242"/>
      <c r="CG27" s="242"/>
      <c r="CH27" s="258"/>
      <c r="CI27" s="242"/>
      <c r="CJ27" s="242"/>
      <c r="CK27" s="242"/>
      <c r="CL27" s="242"/>
      <c r="CM27" s="242"/>
      <c r="CN27" s="242"/>
      <c r="CO27" s="242"/>
      <c r="CP27" s="242"/>
      <c r="CQ27" s="242"/>
      <c r="CR27" s="242"/>
      <c r="CS27" s="242"/>
      <c r="CT27" s="242"/>
      <c r="CU27" s="242"/>
      <c r="CV27" s="242"/>
      <c r="CW27" s="242"/>
      <c r="CX27" s="242"/>
      <c r="CY27" s="242"/>
      <c r="CZ27" s="242"/>
      <c r="DA27" s="242"/>
      <c r="DB27" s="242"/>
      <c r="DC27" s="242"/>
      <c r="DD27" s="242"/>
      <c r="DE27" s="242"/>
      <c r="DF27" s="242"/>
      <c r="DG27" s="259"/>
      <c r="DH27" s="259"/>
      <c r="DI27" s="259"/>
      <c r="DJ27" s="259"/>
      <c r="DK27" s="259"/>
      <c r="DL27" s="259"/>
      <c r="DM27" s="259"/>
      <c r="DN27" s="259"/>
      <c r="DO27" s="259"/>
      <c r="DP27" s="259"/>
      <c r="DQ27" s="259"/>
      <c r="DR27" s="259"/>
      <c r="DS27" s="242"/>
      <c r="DT27" s="242"/>
      <c r="DU27" s="260"/>
      <c r="DV27" s="242"/>
      <c r="DW27" s="242"/>
      <c r="DX27" s="242"/>
      <c r="DY27" s="242"/>
      <c r="DZ27" s="474"/>
      <c r="EA27" s="474"/>
      <c r="EB27" s="474"/>
      <c r="EC27" s="31"/>
      <c r="ED27" s="31"/>
      <c r="EE27" s="474">
        <v>8</v>
      </c>
      <c r="EF27" s="474"/>
      <c r="EG27" s="474"/>
      <c r="EH27" s="492"/>
      <c r="EI27" s="157"/>
      <c r="EJ27" s="157"/>
      <c r="EK27" s="158"/>
      <c r="EL27" s="158"/>
      <c r="EM27" s="158"/>
      <c r="EN27" s="158"/>
      <c r="EO27" s="492"/>
      <c r="EP27" s="492"/>
      <c r="EQ27" s="474"/>
      <c r="ER27" s="483"/>
      <c r="ES27" s="483"/>
      <c r="ET27" s="483"/>
      <c r="EU27" s="483"/>
      <c r="EV27" s="483"/>
      <c r="EW27" s="483"/>
      <c r="EX27" s="483"/>
      <c r="EY27" s="483"/>
      <c r="EZ27" s="483"/>
      <c r="FA27" s="474"/>
      <c r="FB27" s="474"/>
      <c r="FC27" s="474"/>
      <c r="FD27" s="474"/>
      <c r="FE27" s="474">
        <v>6</v>
      </c>
      <c r="FF27" s="474"/>
      <c r="FG27" s="474"/>
      <c r="FH27" s="474"/>
      <c r="FI27" s="474"/>
      <c r="FJ27" s="474"/>
      <c r="FK27" s="474"/>
      <c r="FL27" s="474"/>
      <c r="FM27" s="474"/>
      <c r="FN27" s="474"/>
      <c r="FO27" s="474"/>
      <c r="FP27" s="474"/>
      <c r="FQ27" s="474"/>
      <c r="FR27" s="474"/>
      <c r="FS27" s="474"/>
      <c r="FT27" s="474"/>
      <c r="FU27" s="474"/>
      <c r="FV27" s="474"/>
      <c r="FW27" s="474"/>
      <c r="FX27" s="474"/>
      <c r="FY27" s="474"/>
      <c r="FZ27" s="474"/>
      <c r="GA27" s="474"/>
      <c r="GB27" s="474"/>
      <c r="GC27" s="474"/>
      <c r="GD27" s="474"/>
      <c r="GE27" s="474"/>
      <c r="GF27" s="474"/>
      <c r="GG27" s="474"/>
      <c r="GH27" s="474"/>
      <c r="GI27" s="474"/>
      <c r="GJ27" s="474"/>
      <c r="GK27" s="474"/>
      <c r="GL27" s="474"/>
      <c r="GM27" s="474"/>
      <c r="GN27" s="474"/>
      <c r="GO27" s="474"/>
      <c r="GP27" s="474"/>
      <c r="GQ27" s="474"/>
      <c r="GR27" s="474"/>
      <c r="GS27" s="474"/>
      <c r="GT27" s="474"/>
      <c r="GU27" s="474"/>
      <c r="GV27" s="474"/>
      <c r="GW27" s="474"/>
      <c r="GX27" s="474"/>
      <c r="GY27" s="474"/>
      <c r="GZ27" s="474"/>
      <c r="HA27" s="474"/>
      <c r="HB27" s="474"/>
      <c r="HC27" s="474"/>
      <c r="HD27" s="474"/>
      <c r="HE27" s="474"/>
      <c r="HF27" s="474"/>
      <c r="HG27" s="474"/>
      <c r="HH27" s="474"/>
      <c r="HI27" s="474"/>
      <c r="HJ27" s="474"/>
      <c r="HK27" s="474"/>
      <c r="HL27" s="474"/>
      <c r="HM27" s="474"/>
      <c r="HN27" s="474"/>
      <c r="HO27" s="474"/>
      <c r="HP27" s="474"/>
      <c r="HQ27" s="474"/>
      <c r="HR27" s="474"/>
      <c r="HS27" s="474"/>
      <c r="HT27" s="474"/>
      <c r="HU27" s="474"/>
      <c r="HV27" s="474"/>
      <c r="HW27" s="474"/>
      <c r="HX27" s="474"/>
      <c r="HY27" s="474"/>
      <c r="HZ27" s="474"/>
      <c r="IA27" s="474"/>
      <c r="IB27" s="474"/>
      <c r="IC27" s="474"/>
      <c r="ID27" s="474"/>
      <c r="IE27" s="474"/>
      <c r="IF27" s="474"/>
      <c r="IG27" s="474"/>
      <c r="IH27" s="474"/>
      <c r="II27" s="474"/>
      <c r="IJ27" s="474"/>
      <c r="IK27" s="474"/>
      <c r="IL27" s="474"/>
      <c r="IM27" s="474"/>
      <c r="IN27" s="474"/>
      <c r="IO27" s="474"/>
      <c r="IP27" s="474"/>
    </row>
    <row r="28" spans="1:250" ht="14.1" customHeight="1" x14ac:dyDescent="0.2">
      <c r="A28" s="153"/>
      <c r="B28" s="88"/>
      <c r="C28" s="88"/>
      <c r="D28" s="153"/>
      <c r="E28" s="45"/>
      <c r="F28" s="48" t="s">
        <v>42</v>
      </c>
      <c r="G28" s="45"/>
      <c r="H28" s="547">
        <v>3</v>
      </c>
      <c r="I28" s="548"/>
      <c r="J28" s="549"/>
      <c r="K28" s="45"/>
      <c r="L28" s="45" t="s">
        <v>17</v>
      </c>
      <c r="M28" s="45"/>
      <c r="N28" s="45"/>
      <c r="O28" s="148"/>
      <c r="P28" s="45"/>
      <c r="Q28" s="590"/>
      <c r="R28" s="591"/>
      <c r="S28" s="592"/>
      <c r="T28" s="608" t="s">
        <v>204</v>
      </c>
      <c r="U28" s="609"/>
      <c r="V28" s="610"/>
      <c r="W28" s="619">
        <f>MAX(EG79:EG80)</f>
        <v>4.6079999999999997</v>
      </c>
      <c r="X28" s="645"/>
      <c r="Y28" s="645"/>
      <c r="Z28" s="645"/>
      <c r="AA28" s="645"/>
      <c r="AB28" s="646"/>
      <c r="AC28" s="379" t="s">
        <v>18</v>
      </c>
      <c r="AD28" s="380"/>
      <c r="AE28" s="395"/>
      <c r="AF28" s="45"/>
      <c r="AG28" s="361"/>
      <c r="AH28" s="64"/>
      <c r="AI28" s="64"/>
      <c r="AJ28" s="64"/>
      <c r="AK28" s="94"/>
      <c r="AL28" s="64"/>
      <c r="AM28" s="64"/>
      <c r="AN28" s="64"/>
      <c r="AO28" s="64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64"/>
      <c r="BF28" s="355"/>
      <c r="BG28" s="148"/>
      <c r="BH28" s="45"/>
      <c r="BI28" s="45"/>
      <c r="BJ28" s="45"/>
      <c r="BK28" s="45"/>
      <c r="BL28" s="45"/>
      <c r="BM28" s="45"/>
      <c r="BN28" s="322"/>
      <c r="BO28" s="322"/>
      <c r="BP28" s="322"/>
      <c r="BQ28" s="322"/>
      <c r="BR28" s="45"/>
      <c r="BS28" s="45"/>
      <c r="BT28" s="45"/>
      <c r="BU28" s="45"/>
      <c r="BV28" s="237"/>
      <c r="BW28" s="242"/>
      <c r="BX28" s="242"/>
      <c r="BY28" s="242"/>
      <c r="BZ28" s="261"/>
      <c r="CA28" s="261"/>
      <c r="CB28" s="261"/>
      <c r="CC28" s="257"/>
      <c r="CD28" s="262"/>
      <c r="CE28" s="242"/>
      <c r="CF28" s="263"/>
      <c r="CG28" s="242"/>
      <c r="CH28" s="258"/>
      <c r="CI28" s="242"/>
      <c r="CJ28" s="242"/>
      <c r="CK28" s="242"/>
      <c r="CL28" s="242"/>
      <c r="CM28" s="242"/>
      <c r="CN28" s="242"/>
      <c r="CO28" s="242"/>
      <c r="CP28" s="242"/>
      <c r="CQ28" s="242"/>
      <c r="CR28" s="242"/>
      <c r="CS28" s="242"/>
      <c r="CT28" s="242"/>
      <c r="CU28" s="242"/>
      <c r="CV28" s="242"/>
      <c r="CW28" s="242"/>
      <c r="CX28" s="242"/>
      <c r="CY28" s="242"/>
      <c r="CZ28" s="242"/>
      <c r="DA28" s="242"/>
      <c r="DB28" s="242"/>
      <c r="DC28" s="242"/>
      <c r="DD28" s="242"/>
      <c r="DE28" s="242"/>
      <c r="DF28" s="242"/>
      <c r="DG28" s="259"/>
      <c r="DH28" s="259"/>
      <c r="DI28" s="259"/>
      <c r="DJ28" s="259"/>
      <c r="DK28" s="259"/>
      <c r="DL28" s="259"/>
      <c r="DM28" s="259"/>
      <c r="DN28" s="259"/>
      <c r="DO28" s="259"/>
      <c r="DP28" s="259"/>
      <c r="DQ28" s="259"/>
      <c r="DR28" s="259"/>
      <c r="DS28" s="242"/>
      <c r="DT28" s="242"/>
      <c r="DU28" s="260"/>
      <c r="DV28" s="242"/>
      <c r="DW28" s="242"/>
      <c r="DX28" s="242"/>
      <c r="DY28" s="242"/>
      <c r="DZ28" s="474"/>
      <c r="EA28" s="474"/>
      <c r="EB28" s="474"/>
      <c r="EC28" s="31"/>
      <c r="ED28" s="31"/>
      <c r="EE28" s="474">
        <v>9</v>
      </c>
      <c r="EF28" s="474"/>
      <c r="EG28" s="474"/>
      <c r="EH28" s="492"/>
      <c r="EI28" s="157"/>
      <c r="EJ28" s="157"/>
      <c r="EK28" s="158"/>
      <c r="EL28" s="158"/>
      <c r="EM28" s="158"/>
      <c r="EN28" s="158"/>
      <c r="EO28" s="492"/>
      <c r="EP28" s="492"/>
      <c r="EQ28" s="474"/>
      <c r="ER28" s="159"/>
      <c r="ES28" s="159"/>
      <c r="ET28" s="160"/>
      <c r="EU28" s="160"/>
      <c r="EV28" s="160"/>
      <c r="EW28" s="160"/>
      <c r="EX28" s="483"/>
      <c r="EY28" s="483"/>
      <c r="EZ28" s="483"/>
      <c r="FA28" s="474"/>
      <c r="FB28" s="474"/>
      <c r="FC28" s="474"/>
      <c r="FD28" s="474"/>
      <c r="FE28" s="474">
        <v>7</v>
      </c>
      <c r="FF28" s="474"/>
      <c r="FG28" s="474"/>
      <c r="FH28" s="474"/>
      <c r="FI28" s="474"/>
      <c r="FJ28" s="474"/>
      <c r="FK28" s="474"/>
      <c r="FL28" s="474"/>
      <c r="FM28" s="474"/>
      <c r="FN28" s="474"/>
      <c r="FO28" s="474"/>
      <c r="FP28" s="474"/>
      <c r="FQ28" s="474"/>
      <c r="FR28" s="474"/>
      <c r="FS28" s="474"/>
      <c r="FT28" s="474"/>
      <c r="FU28" s="474"/>
      <c r="FV28" s="474"/>
      <c r="FW28" s="474"/>
      <c r="FX28" s="474"/>
      <c r="FY28" s="474"/>
      <c r="FZ28" s="474"/>
      <c r="GA28" s="474"/>
      <c r="GB28" s="474"/>
      <c r="GC28" s="474"/>
      <c r="GD28" s="474"/>
      <c r="GE28" s="474"/>
      <c r="GF28" s="474"/>
      <c r="GG28" s="474"/>
      <c r="GH28" s="474"/>
      <c r="GI28" s="474"/>
      <c r="GJ28" s="474"/>
      <c r="GK28" s="474"/>
      <c r="GL28" s="474"/>
      <c r="GM28" s="474"/>
      <c r="GN28" s="474"/>
      <c r="GO28" s="474"/>
      <c r="GP28" s="474"/>
      <c r="GQ28" s="474"/>
      <c r="GR28" s="474"/>
      <c r="GS28" s="474"/>
      <c r="GT28" s="474"/>
      <c r="GU28" s="474"/>
      <c r="GV28" s="474"/>
      <c r="GW28" s="474"/>
      <c r="GX28" s="474"/>
      <c r="GY28" s="474"/>
      <c r="GZ28" s="474"/>
      <c r="HA28" s="474"/>
      <c r="HB28" s="474"/>
      <c r="HC28" s="474"/>
      <c r="HD28" s="474"/>
      <c r="HE28" s="474"/>
      <c r="HF28" s="474"/>
      <c r="HG28" s="474"/>
      <c r="HH28" s="474"/>
      <c r="HI28" s="474"/>
      <c r="HJ28" s="474"/>
      <c r="HK28" s="474"/>
      <c r="HL28" s="474"/>
      <c r="HM28" s="474"/>
      <c r="HN28" s="474"/>
      <c r="HO28" s="474"/>
      <c r="HP28" s="474"/>
      <c r="HQ28" s="474"/>
      <c r="HR28" s="474"/>
      <c r="HS28" s="474"/>
      <c r="HT28" s="474"/>
      <c r="HU28" s="474"/>
      <c r="HV28" s="474"/>
      <c r="HW28" s="474"/>
      <c r="HX28" s="474"/>
      <c r="HY28" s="474"/>
      <c r="HZ28" s="474"/>
      <c r="IA28" s="474"/>
      <c r="IB28" s="474"/>
      <c r="IC28" s="474"/>
      <c r="ID28" s="474"/>
      <c r="IE28" s="474"/>
      <c r="IF28" s="474"/>
      <c r="IG28" s="474"/>
      <c r="IH28" s="474"/>
      <c r="II28" s="474"/>
      <c r="IJ28" s="474"/>
      <c r="IK28" s="474"/>
      <c r="IL28" s="474"/>
      <c r="IM28" s="474"/>
      <c r="IN28" s="474"/>
      <c r="IO28" s="474"/>
      <c r="IP28" s="474"/>
    </row>
    <row r="29" spans="1:250" ht="14.1" customHeight="1" x14ac:dyDescent="0.2">
      <c r="A29" s="153"/>
      <c r="B29" s="88"/>
      <c r="C29" s="90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149"/>
      <c r="P29" s="45"/>
      <c r="Q29" s="590"/>
      <c r="R29" s="591"/>
      <c r="S29" s="592"/>
      <c r="T29" s="537" t="s">
        <v>200</v>
      </c>
      <c r="U29" s="533"/>
      <c r="V29" s="533"/>
      <c r="W29" s="644">
        <f>MIN(EG82:EI84)</f>
        <v>0.24</v>
      </c>
      <c r="X29" s="645"/>
      <c r="Y29" s="645"/>
      <c r="Z29" s="645"/>
      <c r="AA29" s="645"/>
      <c r="AB29" s="646"/>
      <c r="AC29" s="379" t="s">
        <v>12</v>
      </c>
      <c r="AD29" s="380"/>
      <c r="AE29" s="395"/>
      <c r="AF29" s="45"/>
      <c r="AG29" s="361"/>
      <c r="AH29" s="64"/>
      <c r="AI29" s="64"/>
      <c r="AJ29" s="64"/>
      <c r="AK29" s="94"/>
      <c r="AL29" s="64"/>
      <c r="AM29" s="64"/>
      <c r="AN29" s="64"/>
      <c r="AO29" s="64"/>
      <c r="AP29" s="333"/>
      <c r="AQ29" s="333"/>
      <c r="AR29" s="333"/>
      <c r="AS29" s="333"/>
      <c r="AT29" s="333"/>
      <c r="AU29" s="333"/>
      <c r="AV29" s="333"/>
      <c r="AW29" s="333"/>
      <c r="AX29" s="333"/>
      <c r="AY29" s="333"/>
      <c r="AZ29" s="333"/>
      <c r="BA29" s="333"/>
      <c r="BB29" s="333"/>
      <c r="BC29" s="333"/>
      <c r="BD29" s="333"/>
      <c r="BE29" s="64"/>
      <c r="BF29" s="355"/>
      <c r="BG29" s="148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237"/>
      <c r="BW29" s="242"/>
      <c r="BX29" s="266"/>
      <c r="BY29" s="267"/>
      <c r="BZ29" s="261"/>
      <c r="CA29" s="261"/>
      <c r="CB29" s="261"/>
      <c r="CC29" s="257"/>
      <c r="CD29" s="242"/>
      <c r="CE29" s="242"/>
      <c r="CF29" s="242"/>
      <c r="CG29" s="242"/>
      <c r="CH29" s="242"/>
      <c r="CI29" s="242"/>
      <c r="CJ29" s="242"/>
      <c r="CK29" s="242"/>
      <c r="CL29" s="242"/>
      <c r="CM29" s="242"/>
      <c r="CN29" s="242"/>
      <c r="CO29" s="242"/>
      <c r="CP29" s="242"/>
      <c r="CQ29" s="242"/>
      <c r="CR29" s="242"/>
      <c r="CS29" s="242"/>
      <c r="CT29" s="242"/>
      <c r="CU29" s="242"/>
      <c r="CV29" s="242"/>
      <c r="CW29" s="242"/>
      <c r="CX29" s="242"/>
      <c r="CY29" s="242"/>
      <c r="CZ29" s="242"/>
      <c r="DA29" s="242"/>
      <c r="DB29" s="242"/>
      <c r="DC29" s="242"/>
      <c r="DD29" s="242"/>
      <c r="DE29" s="242"/>
      <c r="DF29" s="242"/>
      <c r="DG29" s="259"/>
      <c r="DH29" s="259"/>
      <c r="DI29" s="259"/>
      <c r="DJ29" s="259"/>
      <c r="DK29" s="259"/>
      <c r="DL29" s="259"/>
      <c r="DM29" s="259"/>
      <c r="DN29" s="259"/>
      <c r="DO29" s="259"/>
      <c r="DP29" s="259"/>
      <c r="DQ29" s="259"/>
      <c r="DR29" s="259"/>
      <c r="DS29" s="242"/>
      <c r="DT29" s="242"/>
      <c r="DU29" s="268"/>
      <c r="DV29" s="242"/>
      <c r="DW29" s="242"/>
      <c r="DX29" s="242"/>
      <c r="DY29" s="242"/>
      <c r="DZ29" s="474"/>
      <c r="EA29" s="474"/>
      <c r="EB29" s="474"/>
      <c r="EG29" s="163"/>
      <c r="EH29" s="164"/>
      <c r="EI29" s="164"/>
      <c r="EJ29" s="164"/>
      <c r="EK29" s="165"/>
      <c r="EL29" s="166"/>
      <c r="EM29" s="166"/>
      <c r="EN29" s="167"/>
      <c r="EO29" s="168"/>
      <c r="EP29" s="168"/>
      <c r="EQ29" s="169"/>
      <c r="ER29" s="170"/>
      <c r="ES29" s="169"/>
      <c r="ET29" s="169"/>
      <c r="EU29" s="169"/>
      <c r="EV29" s="170"/>
      <c r="EW29" s="170"/>
      <c r="EX29" s="170"/>
      <c r="EY29" s="170"/>
      <c r="EZ29" s="30"/>
      <c r="FA29" s="474"/>
      <c r="FB29" s="474"/>
      <c r="FC29" s="474"/>
      <c r="FD29" s="474"/>
      <c r="FE29" s="474">
        <v>8</v>
      </c>
      <c r="FF29" s="474"/>
      <c r="FG29" s="474"/>
      <c r="FH29" s="474"/>
      <c r="FI29" s="474"/>
      <c r="FJ29" s="474"/>
      <c r="FK29" s="474"/>
      <c r="FL29" s="474"/>
      <c r="FM29" s="474"/>
      <c r="FN29" s="474"/>
      <c r="FO29" s="474"/>
      <c r="FP29" s="474"/>
      <c r="FQ29" s="474"/>
      <c r="FR29" s="474"/>
      <c r="FS29" s="474"/>
      <c r="FT29" s="474"/>
      <c r="FU29" s="474"/>
      <c r="FV29" s="474"/>
      <c r="FW29" s="474"/>
      <c r="FX29" s="474"/>
      <c r="FY29" s="474"/>
      <c r="FZ29" s="474"/>
      <c r="GA29" s="474"/>
      <c r="GB29" s="474"/>
      <c r="GC29" s="474"/>
      <c r="GD29" s="474"/>
      <c r="GE29" s="474"/>
      <c r="GF29" s="474"/>
      <c r="GG29" s="474"/>
      <c r="GH29" s="474"/>
      <c r="GI29" s="474"/>
      <c r="GJ29" s="474"/>
      <c r="GK29" s="474"/>
      <c r="GL29" s="474"/>
      <c r="GM29" s="474"/>
      <c r="GN29" s="474"/>
      <c r="GO29" s="474"/>
      <c r="GP29" s="474"/>
      <c r="GQ29" s="474"/>
      <c r="GR29" s="474"/>
      <c r="GS29" s="474"/>
      <c r="GT29" s="474"/>
      <c r="GU29" s="474"/>
      <c r="GV29" s="474"/>
      <c r="GW29" s="474"/>
      <c r="GX29" s="474"/>
      <c r="GY29" s="474"/>
      <c r="GZ29" s="474"/>
      <c r="HA29" s="474"/>
      <c r="HB29" s="474"/>
      <c r="HC29" s="474"/>
      <c r="HD29" s="474"/>
      <c r="HE29" s="474"/>
      <c r="HF29" s="474"/>
      <c r="HG29" s="474"/>
      <c r="HH29" s="474"/>
      <c r="HI29" s="474"/>
      <c r="HJ29" s="474"/>
      <c r="HK29" s="474"/>
      <c r="HL29" s="474"/>
      <c r="HM29" s="474"/>
      <c r="HN29" s="474"/>
      <c r="HO29" s="474"/>
      <c r="HP29" s="474"/>
      <c r="HQ29" s="474"/>
      <c r="HR29" s="474"/>
      <c r="HS29" s="474"/>
      <c r="HT29" s="474"/>
      <c r="HU29" s="474"/>
      <c r="HV29" s="474"/>
      <c r="HW29" s="474"/>
      <c r="HX29" s="474"/>
      <c r="HY29" s="474"/>
      <c r="HZ29" s="474"/>
      <c r="IA29" s="474"/>
      <c r="IB29" s="474"/>
      <c r="IC29" s="474"/>
      <c r="ID29" s="474"/>
      <c r="IE29" s="474"/>
      <c r="IF29" s="474"/>
      <c r="IG29" s="474"/>
      <c r="IH29" s="474"/>
      <c r="II29" s="474"/>
      <c r="IJ29" s="474"/>
      <c r="IK29" s="474"/>
      <c r="IL29" s="474"/>
      <c r="IM29" s="474"/>
      <c r="IN29" s="474"/>
      <c r="IO29" s="474"/>
      <c r="IP29" s="474"/>
    </row>
    <row r="30" spans="1:250" ht="14.1" customHeight="1" x14ac:dyDescent="0.2">
      <c r="A30" s="153"/>
      <c r="B30" s="8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590"/>
      <c r="R30" s="591"/>
      <c r="S30" s="592"/>
      <c r="T30" s="537" t="s">
        <v>201</v>
      </c>
      <c r="U30" s="533"/>
      <c r="V30" s="533"/>
      <c r="W30" s="653">
        <v>0.2</v>
      </c>
      <c r="X30" s="654"/>
      <c r="Y30" s="654"/>
      <c r="Z30" s="654"/>
      <c r="AA30" s="654"/>
      <c r="AB30" s="655"/>
      <c r="AC30" s="379" t="s">
        <v>12</v>
      </c>
      <c r="AD30" s="380"/>
      <c r="AE30" s="395"/>
      <c r="AF30" s="45"/>
      <c r="AG30" s="361"/>
      <c r="AH30" s="64"/>
      <c r="AI30" s="64"/>
      <c r="AJ30" s="64"/>
      <c r="AK30" s="94"/>
      <c r="AL30" s="31"/>
      <c r="AM30" s="31"/>
      <c r="AN30" s="31"/>
      <c r="AO30" s="31"/>
      <c r="AP30" s="99"/>
      <c r="AQ30" s="64"/>
      <c r="AR30" s="64"/>
      <c r="AS30" s="64"/>
      <c r="AT30" s="64"/>
      <c r="AU30" s="64"/>
      <c r="AV30" s="64"/>
      <c r="AW30" s="64"/>
      <c r="AX30" s="64"/>
      <c r="AY30" s="64"/>
      <c r="AZ30" s="99"/>
      <c r="BA30" s="14"/>
      <c r="BB30" s="14"/>
      <c r="BC30" s="14"/>
      <c r="BD30" s="14"/>
      <c r="BE30" s="64"/>
      <c r="BF30" s="355"/>
      <c r="BG30" s="148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237"/>
      <c r="BW30" s="242"/>
      <c r="BX30" s="242"/>
      <c r="BY30" s="242"/>
      <c r="BZ30" s="264"/>
      <c r="CA30" s="264"/>
      <c r="CB30" s="264"/>
      <c r="CC30" s="257"/>
      <c r="CD30" s="262"/>
      <c r="CE30" s="242"/>
      <c r="CF30" s="263"/>
      <c r="CG30" s="242"/>
      <c r="CH30" s="242"/>
      <c r="CI30" s="271"/>
      <c r="CJ30" s="271"/>
      <c r="CK30" s="271"/>
      <c r="CL30" s="271"/>
      <c r="CM30" s="271"/>
      <c r="CN30" s="271"/>
      <c r="CO30" s="271"/>
      <c r="CP30" s="271"/>
      <c r="CQ30" s="271"/>
      <c r="CR30" s="271"/>
      <c r="CS30" s="271"/>
      <c r="CT30" s="271"/>
      <c r="CU30" s="271"/>
      <c r="CV30" s="271"/>
      <c r="CW30" s="271"/>
      <c r="CX30" s="271"/>
      <c r="CY30" s="271"/>
      <c r="CZ30" s="271"/>
      <c r="DA30" s="271"/>
      <c r="DB30" s="271"/>
      <c r="DC30" s="271"/>
      <c r="DD30" s="271"/>
      <c r="DE30" s="271"/>
      <c r="DF30" s="271"/>
      <c r="DG30" s="272"/>
      <c r="DH30" s="272"/>
      <c r="DI30" s="272"/>
      <c r="DJ30" s="272"/>
      <c r="DK30" s="272"/>
      <c r="DL30" s="272"/>
      <c r="DM30" s="272"/>
      <c r="DN30" s="272"/>
      <c r="DO30" s="272"/>
      <c r="DP30" s="272"/>
      <c r="DQ30" s="272"/>
      <c r="DR30" s="272"/>
      <c r="DS30" s="271"/>
      <c r="DT30" s="242"/>
      <c r="DU30" s="242"/>
      <c r="DV30" s="242"/>
      <c r="DW30" s="242"/>
      <c r="DX30" s="242"/>
      <c r="DY30" s="242"/>
      <c r="DZ30" s="474"/>
      <c r="EA30" s="474"/>
      <c r="EB30" s="474"/>
      <c r="EC30" s="170"/>
      <c r="ED30" s="170"/>
      <c r="EE30" s="170"/>
      <c r="EF30" s="170"/>
      <c r="EG30" s="170"/>
      <c r="EH30" s="164"/>
      <c r="EI30" s="474"/>
      <c r="EJ30" s="474"/>
      <c r="EK30" s="165"/>
      <c r="EL30" s="166"/>
      <c r="EM30" s="166"/>
      <c r="EN30" s="167"/>
      <c r="EO30" s="168"/>
      <c r="EP30" s="168"/>
      <c r="EQ30" s="169"/>
      <c r="ER30" s="474"/>
      <c r="ES30" s="474"/>
      <c r="ET30" s="169"/>
      <c r="EU30" s="169"/>
      <c r="EV30" s="170"/>
      <c r="EW30" s="170"/>
      <c r="EX30" s="170"/>
      <c r="EY30" s="170"/>
      <c r="EZ30" s="30"/>
      <c r="FA30" s="474"/>
      <c r="FB30" s="474"/>
      <c r="FC30" s="474"/>
      <c r="FD30" s="474"/>
      <c r="FE30" s="474">
        <v>9</v>
      </c>
      <c r="FF30" s="474"/>
      <c r="FG30" s="474"/>
      <c r="FH30" s="474"/>
      <c r="FI30" s="474"/>
      <c r="FJ30" s="474"/>
      <c r="FK30" s="474"/>
      <c r="FL30" s="474"/>
      <c r="FM30" s="474"/>
      <c r="FN30" s="474"/>
      <c r="FO30" s="474"/>
      <c r="FP30" s="474"/>
      <c r="FQ30" s="474"/>
      <c r="FR30" s="474"/>
      <c r="FS30" s="474"/>
      <c r="FT30" s="474"/>
      <c r="FU30" s="474"/>
      <c r="FV30" s="474"/>
      <c r="FW30" s="474"/>
      <c r="FX30" s="474"/>
      <c r="FY30" s="474"/>
      <c r="FZ30" s="474"/>
      <c r="GA30" s="474"/>
      <c r="GB30" s="474"/>
      <c r="GC30" s="474"/>
      <c r="GD30" s="474"/>
      <c r="GE30" s="474"/>
      <c r="GF30" s="474"/>
      <c r="GG30" s="474"/>
      <c r="GH30" s="474"/>
      <c r="GI30" s="474"/>
      <c r="GJ30" s="474"/>
      <c r="GK30" s="474"/>
      <c r="GL30" s="474"/>
      <c r="GM30" s="474"/>
      <c r="GN30" s="474"/>
      <c r="GO30" s="474"/>
      <c r="GP30" s="474"/>
      <c r="GQ30" s="474"/>
      <c r="GR30" s="474"/>
      <c r="GS30" s="474"/>
      <c r="GT30" s="474"/>
      <c r="GU30" s="474"/>
      <c r="GV30" s="474"/>
      <c r="GW30" s="474"/>
      <c r="GX30" s="474"/>
      <c r="GY30" s="474"/>
      <c r="GZ30" s="474"/>
      <c r="HA30" s="474"/>
      <c r="HB30" s="474"/>
      <c r="HC30" s="474"/>
      <c r="HD30" s="474"/>
      <c r="HE30" s="474"/>
      <c r="HF30" s="474"/>
      <c r="HG30" s="474"/>
      <c r="HH30" s="474"/>
      <c r="HI30" s="474"/>
      <c r="HJ30" s="474"/>
      <c r="HK30" s="474"/>
      <c r="HL30" s="474"/>
      <c r="HM30" s="474"/>
      <c r="HN30" s="474"/>
      <c r="HO30" s="474"/>
      <c r="HP30" s="474"/>
      <c r="HQ30" s="474"/>
      <c r="HR30" s="474"/>
      <c r="HS30" s="474"/>
      <c r="HT30" s="474"/>
      <c r="HU30" s="474"/>
      <c r="HV30" s="474"/>
      <c r="HW30" s="474"/>
      <c r="HX30" s="474"/>
      <c r="HY30" s="474"/>
      <c r="HZ30" s="474"/>
      <c r="IA30" s="474"/>
      <c r="IB30" s="474"/>
      <c r="IC30" s="474"/>
      <c r="ID30" s="474"/>
      <c r="IE30" s="474"/>
      <c r="IF30" s="474"/>
      <c r="IG30" s="474"/>
      <c r="IH30" s="474"/>
      <c r="II30" s="474"/>
      <c r="IJ30" s="474"/>
      <c r="IK30" s="474"/>
      <c r="IL30" s="474"/>
      <c r="IM30" s="474"/>
      <c r="IN30" s="474"/>
      <c r="IO30" s="474"/>
      <c r="IP30" s="474"/>
    </row>
    <row r="31" spans="1:250" ht="14.1" customHeight="1" x14ac:dyDescent="0.2">
      <c r="A31" s="153"/>
      <c r="B31" s="88"/>
      <c r="C31" s="86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47"/>
      <c r="P31" s="45"/>
      <c r="Q31" s="590"/>
      <c r="R31" s="591"/>
      <c r="S31" s="592"/>
      <c r="T31" s="527" t="s">
        <v>92</v>
      </c>
      <c r="U31" s="527"/>
      <c r="V31" s="527"/>
      <c r="W31" s="664" t="str">
        <f>IF(W30&lt;=W29,"OK","NOT")</f>
        <v>OK</v>
      </c>
      <c r="X31" s="665"/>
      <c r="Y31" s="665"/>
      <c r="Z31" s="665"/>
      <c r="AA31" s="665"/>
      <c r="AB31" s="666"/>
      <c r="AC31" s="314" t="s">
        <v>0</v>
      </c>
      <c r="AD31" s="314"/>
      <c r="AE31" s="396"/>
      <c r="AF31" s="45"/>
      <c r="AG31" s="361"/>
      <c r="AH31" s="64"/>
      <c r="AI31" s="64"/>
      <c r="AJ31" s="64"/>
      <c r="AK31" s="94"/>
      <c r="AL31" s="31"/>
      <c r="AM31" s="31"/>
      <c r="AN31" s="31"/>
      <c r="AO31" s="31"/>
      <c r="AP31" s="99"/>
      <c r="AQ31" s="64"/>
      <c r="AR31" s="64"/>
      <c r="AS31" s="64"/>
      <c r="AT31" s="64"/>
      <c r="AU31" s="64"/>
      <c r="AV31" s="64"/>
      <c r="AW31" s="64"/>
      <c r="AX31" s="64"/>
      <c r="AY31" s="64"/>
      <c r="AZ31" s="99"/>
      <c r="BA31" s="14"/>
      <c r="BB31" s="14"/>
      <c r="BC31" s="14"/>
      <c r="BD31" s="14"/>
      <c r="BE31" s="64"/>
      <c r="BF31" s="355"/>
      <c r="BG31" s="148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237"/>
      <c r="BW31" s="242"/>
      <c r="BX31" s="242"/>
      <c r="BY31" s="242"/>
      <c r="BZ31" s="274"/>
      <c r="CA31" s="274"/>
      <c r="CB31" s="274"/>
      <c r="CC31" s="257"/>
      <c r="CD31" s="262"/>
      <c r="CE31" s="242"/>
      <c r="CF31" s="263"/>
      <c r="CG31" s="242"/>
      <c r="CH31" s="257"/>
      <c r="CI31" s="242"/>
      <c r="CJ31" s="242"/>
      <c r="CK31" s="242"/>
      <c r="CL31" s="242"/>
      <c r="CM31" s="242"/>
      <c r="CN31" s="242"/>
      <c r="CO31" s="242"/>
      <c r="CP31" s="242"/>
      <c r="CQ31" s="242"/>
      <c r="CR31" s="242"/>
      <c r="CS31" s="242"/>
      <c r="CT31" s="242"/>
      <c r="CU31" s="242"/>
      <c r="CV31" s="242"/>
      <c r="CW31" s="242"/>
      <c r="CX31" s="242"/>
      <c r="CY31" s="242"/>
      <c r="CZ31" s="242"/>
      <c r="DA31" s="242"/>
      <c r="DB31" s="242"/>
      <c r="DC31" s="242"/>
      <c r="DD31" s="242"/>
      <c r="DE31" s="242"/>
      <c r="DF31" s="242"/>
      <c r="DG31" s="268"/>
      <c r="DH31" s="268"/>
      <c r="DI31" s="268"/>
      <c r="DJ31" s="268"/>
      <c r="DK31" s="268"/>
      <c r="DL31" s="268"/>
      <c r="DM31" s="268"/>
      <c r="DN31" s="268"/>
      <c r="DO31" s="268"/>
      <c r="DP31" s="268"/>
      <c r="DQ31" s="268"/>
      <c r="DR31" s="268"/>
      <c r="DS31" s="268"/>
      <c r="DT31" s="257"/>
      <c r="DU31" s="242"/>
      <c r="DV31" s="242"/>
      <c r="DW31" s="242"/>
      <c r="DX31" s="242"/>
      <c r="DY31" s="242"/>
      <c r="DZ31" s="474"/>
      <c r="EA31" s="474"/>
      <c r="EB31" s="474"/>
      <c r="EF31" s="170"/>
      <c r="EG31" s="170"/>
      <c r="EH31" s="166"/>
      <c r="EI31" s="166"/>
      <c r="EJ31" s="167"/>
      <c r="EK31" s="165"/>
      <c r="EL31" s="166"/>
      <c r="EM31" s="166"/>
      <c r="EN31" s="167"/>
      <c r="EO31" s="168"/>
      <c r="EP31" s="168"/>
      <c r="EQ31" s="169"/>
      <c r="ER31" s="170"/>
      <c r="ES31" s="169"/>
      <c r="ET31" s="169"/>
      <c r="EU31" s="169"/>
      <c r="EV31" s="170"/>
      <c r="EW31" s="170"/>
      <c r="EX31" s="170"/>
      <c r="EY31" s="170"/>
      <c r="EZ31" s="30"/>
      <c r="FA31" s="474"/>
      <c r="FB31" s="474"/>
      <c r="FC31" s="474"/>
      <c r="FD31" s="474"/>
      <c r="FE31" s="474"/>
      <c r="FF31" s="474"/>
      <c r="FG31" s="474"/>
      <c r="FH31" s="474"/>
      <c r="FI31" s="474"/>
      <c r="FJ31" s="474"/>
      <c r="FK31" s="474"/>
      <c r="FL31" s="474"/>
      <c r="FM31" s="474"/>
      <c r="FN31" s="474"/>
      <c r="FO31" s="474"/>
      <c r="FP31" s="474"/>
      <c r="FQ31" s="474"/>
      <c r="FR31" s="474"/>
      <c r="FS31" s="474"/>
      <c r="FT31" s="474"/>
      <c r="FU31" s="474"/>
      <c r="FV31" s="474"/>
      <c r="FW31" s="474"/>
      <c r="FX31" s="474"/>
      <c r="FY31" s="474"/>
      <c r="FZ31" s="474"/>
      <c r="GA31" s="474"/>
      <c r="GB31" s="474"/>
      <c r="GC31" s="474"/>
      <c r="GD31" s="474"/>
      <c r="GE31" s="474"/>
      <c r="GF31" s="474"/>
      <c r="GG31" s="474"/>
      <c r="GH31" s="474"/>
      <c r="GI31" s="474"/>
      <c r="GJ31" s="474"/>
      <c r="GK31" s="474"/>
      <c r="GL31" s="474"/>
      <c r="GM31" s="474"/>
      <c r="GN31" s="474"/>
      <c r="GO31" s="474"/>
      <c r="GP31" s="474"/>
      <c r="GQ31" s="474"/>
      <c r="GR31" s="474"/>
      <c r="GS31" s="474"/>
      <c r="GT31" s="474"/>
      <c r="GU31" s="474"/>
      <c r="GV31" s="474"/>
      <c r="GW31" s="474"/>
      <c r="GX31" s="474"/>
      <c r="GY31" s="474"/>
      <c r="GZ31" s="474"/>
      <c r="HA31" s="474"/>
      <c r="HB31" s="474"/>
      <c r="HC31" s="474"/>
      <c r="HD31" s="474"/>
      <c r="HE31" s="474"/>
      <c r="HF31" s="474"/>
      <c r="HG31" s="474"/>
      <c r="HH31" s="474"/>
      <c r="HI31" s="474"/>
      <c r="HJ31" s="474"/>
      <c r="HK31" s="474"/>
      <c r="HL31" s="474"/>
      <c r="HM31" s="474"/>
      <c r="HN31" s="474"/>
      <c r="HO31" s="474"/>
      <c r="HP31" s="474"/>
      <c r="HQ31" s="474"/>
      <c r="HR31" s="474"/>
      <c r="HS31" s="474"/>
      <c r="HT31" s="474"/>
      <c r="HU31" s="474"/>
      <c r="HV31" s="474"/>
      <c r="HW31" s="474"/>
      <c r="HX31" s="474"/>
      <c r="HY31" s="474"/>
      <c r="HZ31" s="474"/>
      <c r="IA31" s="474"/>
      <c r="IB31" s="474"/>
      <c r="IC31" s="474"/>
      <c r="ID31" s="474"/>
      <c r="IE31" s="474"/>
      <c r="IF31" s="474"/>
      <c r="IG31" s="474"/>
      <c r="IH31" s="474"/>
      <c r="II31" s="474"/>
      <c r="IJ31" s="474"/>
      <c r="IK31" s="474"/>
      <c r="IL31" s="474"/>
      <c r="IM31" s="474"/>
      <c r="IN31" s="474"/>
      <c r="IO31" s="474"/>
      <c r="IP31" s="474"/>
    </row>
    <row r="32" spans="1:250" ht="14.1" customHeight="1" x14ac:dyDescent="0.2">
      <c r="A32" s="153"/>
      <c r="B32" s="88"/>
      <c r="C32" s="88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148"/>
      <c r="P32" s="45"/>
      <c r="Q32" s="590"/>
      <c r="R32" s="591"/>
      <c r="S32" s="592"/>
      <c r="T32" s="615" t="s">
        <v>203</v>
      </c>
      <c r="U32" s="615"/>
      <c r="V32" s="615"/>
      <c r="W32" s="615" t="s">
        <v>128</v>
      </c>
      <c r="X32" s="615"/>
      <c r="Y32" s="615"/>
      <c r="Z32" s="615"/>
      <c r="AA32" s="615"/>
      <c r="AB32" s="615"/>
      <c r="AC32" s="615"/>
      <c r="AD32" s="615"/>
      <c r="AE32" s="623"/>
      <c r="AF32" s="45"/>
      <c r="AG32" s="361"/>
      <c r="AH32" s="64"/>
      <c r="AI32" s="64"/>
      <c r="AJ32" s="64"/>
      <c r="AK32" s="9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99"/>
      <c r="BE32" s="14"/>
      <c r="BF32" s="501"/>
      <c r="BG32" s="502"/>
      <c r="BH32" s="220"/>
      <c r="BI32" s="45"/>
      <c r="BJ32" s="45"/>
      <c r="BK32" s="45"/>
      <c r="BL32" s="45"/>
      <c r="BM32" s="45"/>
      <c r="BN32" s="219"/>
      <c r="BO32" s="220"/>
      <c r="BP32" s="220"/>
      <c r="BQ32" s="220"/>
      <c r="BR32" s="220"/>
      <c r="BS32" s="45"/>
      <c r="BT32" s="45"/>
      <c r="BU32" s="45"/>
      <c r="BV32" s="237"/>
      <c r="BW32" s="242"/>
      <c r="BX32" s="242"/>
      <c r="BY32" s="267"/>
      <c r="BZ32" s="274"/>
      <c r="CA32" s="274"/>
      <c r="CB32" s="274"/>
      <c r="CC32" s="257"/>
      <c r="CD32" s="242"/>
      <c r="CE32" s="242"/>
      <c r="CF32" s="242"/>
      <c r="CG32" s="242"/>
      <c r="CH32" s="267"/>
      <c r="CI32" s="242"/>
      <c r="CJ32" s="242"/>
      <c r="CK32" s="242"/>
      <c r="CL32" s="242"/>
      <c r="CM32" s="242"/>
      <c r="CN32" s="242"/>
      <c r="CO32" s="242"/>
      <c r="CP32" s="242"/>
      <c r="CQ32" s="242"/>
      <c r="CR32" s="242"/>
      <c r="CS32" s="242"/>
      <c r="CT32" s="242"/>
      <c r="CU32" s="242"/>
      <c r="CV32" s="242"/>
      <c r="CW32" s="242"/>
      <c r="CX32" s="242"/>
      <c r="CY32" s="242"/>
      <c r="CZ32" s="242"/>
      <c r="DA32" s="242"/>
      <c r="DB32" s="242"/>
      <c r="DC32" s="242"/>
      <c r="DD32" s="242"/>
      <c r="DE32" s="242"/>
      <c r="DF32" s="242"/>
      <c r="DG32" s="274"/>
      <c r="DH32" s="274"/>
      <c r="DI32" s="274"/>
      <c r="DJ32" s="274"/>
      <c r="DK32" s="274"/>
      <c r="DL32" s="274"/>
      <c r="DM32" s="274"/>
      <c r="DN32" s="274"/>
      <c r="DO32" s="274"/>
      <c r="DP32" s="274"/>
      <c r="DQ32" s="274"/>
      <c r="DR32" s="274"/>
      <c r="DS32" s="274"/>
      <c r="DT32" s="257"/>
      <c r="DU32" s="242"/>
      <c r="DV32" s="242"/>
      <c r="DW32" s="242"/>
      <c r="DX32" s="242"/>
      <c r="DY32" s="242"/>
      <c r="DZ32" s="474"/>
      <c r="EA32" s="474"/>
      <c r="EB32" s="474"/>
      <c r="EC32" s="170"/>
      <c r="ED32" s="170"/>
      <c r="EE32" s="170"/>
      <c r="EF32" s="170"/>
      <c r="EG32" s="170"/>
      <c r="EH32" s="166"/>
      <c r="EI32" s="166"/>
      <c r="EJ32" s="167"/>
      <c r="EK32" s="165"/>
      <c r="EL32" s="166"/>
      <c r="EM32" s="166"/>
      <c r="EN32" s="167"/>
      <c r="EO32" s="168"/>
      <c r="EP32" s="168"/>
      <c r="EQ32" s="169"/>
      <c r="ER32" s="170"/>
      <c r="ES32" s="169"/>
      <c r="ET32" s="169"/>
      <c r="EU32" s="169"/>
      <c r="EV32" s="170"/>
      <c r="EW32" s="170"/>
      <c r="EX32" s="170"/>
      <c r="EY32" s="170"/>
      <c r="EZ32" s="30"/>
      <c r="FA32" s="474"/>
      <c r="FB32" s="474"/>
      <c r="FC32" s="474"/>
      <c r="FD32" s="474"/>
      <c r="FE32" s="474"/>
      <c r="FF32" s="474"/>
      <c r="FG32" s="474"/>
      <c r="FH32" s="474"/>
      <c r="FI32" s="474"/>
      <c r="FJ32" s="474"/>
      <c r="FK32" s="474"/>
      <c r="FL32" s="474"/>
      <c r="FM32" s="474"/>
      <c r="FN32" s="474"/>
      <c r="FO32" s="474"/>
      <c r="FP32" s="474"/>
      <c r="FQ32" s="474"/>
      <c r="FR32" s="474"/>
      <c r="FS32" s="474"/>
      <c r="FT32" s="474"/>
      <c r="FU32" s="474"/>
      <c r="FV32" s="474"/>
      <c r="FW32" s="474"/>
      <c r="FX32" s="474"/>
      <c r="FY32" s="474"/>
      <c r="FZ32" s="474"/>
      <c r="GA32" s="474"/>
      <c r="GB32" s="474"/>
      <c r="GC32" s="474"/>
      <c r="GD32" s="474"/>
      <c r="GE32" s="474"/>
      <c r="GF32" s="474"/>
      <c r="GG32" s="474"/>
      <c r="GH32" s="474"/>
      <c r="GI32" s="474"/>
      <c r="GJ32" s="474"/>
      <c r="GK32" s="474"/>
      <c r="GL32" s="474"/>
      <c r="GM32" s="474"/>
      <c r="GN32" s="474"/>
      <c r="GO32" s="474"/>
      <c r="GP32" s="474"/>
      <c r="GQ32" s="474"/>
      <c r="GR32" s="474"/>
      <c r="GS32" s="474"/>
      <c r="GT32" s="474"/>
      <c r="GU32" s="474"/>
      <c r="GV32" s="474"/>
      <c r="GW32" s="474"/>
      <c r="GX32" s="474"/>
      <c r="GY32" s="474"/>
      <c r="GZ32" s="474"/>
      <c r="HA32" s="474"/>
      <c r="HB32" s="474"/>
      <c r="HC32" s="474"/>
      <c r="HD32" s="474"/>
      <c r="HE32" s="474"/>
      <c r="HF32" s="474"/>
      <c r="HG32" s="474"/>
      <c r="HH32" s="474"/>
      <c r="HI32" s="474"/>
      <c r="HJ32" s="474"/>
      <c r="HK32" s="474"/>
      <c r="HL32" s="474"/>
      <c r="HM32" s="474"/>
      <c r="HN32" s="474"/>
      <c r="HO32" s="474"/>
      <c r="HP32" s="474"/>
      <c r="HQ32" s="474"/>
      <c r="HR32" s="474"/>
      <c r="HS32" s="474"/>
      <c r="HT32" s="474"/>
      <c r="HU32" s="474"/>
      <c r="HV32" s="474"/>
      <c r="HW32" s="474"/>
      <c r="HX32" s="474"/>
      <c r="HY32" s="474"/>
      <c r="HZ32" s="474"/>
      <c r="IA32" s="474"/>
      <c r="IB32" s="474"/>
      <c r="IC32" s="474"/>
      <c r="ID32" s="474"/>
      <c r="IE32" s="474"/>
      <c r="IF32" s="474"/>
      <c r="IG32" s="474"/>
      <c r="IH32" s="474"/>
      <c r="II32" s="474"/>
      <c r="IJ32" s="474"/>
      <c r="IK32" s="474"/>
      <c r="IL32" s="474"/>
      <c r="IM32" s="474"/>
      <c r="IN32" s="474"/>
      <c r="IO32" s="474"/>
      <c r="IP32" s="474"/>
    </row>
    <row r="33" spans="1:276" ht="14.1" customHeight="1" x14ac:dyDescent="0.2">
      <c r="A33" s="153"/>
      <c r="B33" s="39"/>
      <c r="C33" s="39"/>
      <c r="D33" s="78"/>
      <c r="E33" s="78"/>
      <c r="F33" s="78"/>
      <c r="G33" s="78"/>
      <c r="H33" s="78"/>
      <c r="I33" s="237"/>
      <c r="J33" s="237"/>
      <c r="K33" s="237"/>
      <c r="L33" s="237"/>
      <c r="M33" s="237"/>
      <c r="N33" s="237"/>
      <c r="O33" s="36"/>
      <c r="P33" s="237"/>
      <c r="Q33" s="590"/>
      <c r="R33" s="591"/>
      <c r="S33" s="592"/>
      <c r="T33" s="615" t="s">
        <v>234</v>
      </c>
      <c r="U33" s="615"/>
      <c r="V33" s="615"/>
      <c r="W33" s="641" t="s">
        <v>220</v>
      </c>
      <c r="X33" s="642"/>
      <c r="Y33" s="642"/>
      <c r="Z33" s="642"/>
      <c r="AA33" s="642"/>
      <c r="AB33" s="642"/>
      <c r="AC33" s="397" t="s">
        <v>0</v>
      </c>
      <c r="AD33" s="213"/>
      <c r="AE33" s="398"/>
      <c r="AF33" s="237"/>
      <c r="AG33" s="361"/>
      <c r="AH33" s="64"/>
      <c r="AI33" s="64"/>
      <c r="AJ33" s="64"/>
      <c r="AK33" s="94"/>
      <c r="AL33" s="329"/>
      <c r="AM33" s="94"/>
      <c r="AN33" s="312"/>
      <c r="AO33" s="98"/>
      <c r="AP33" s="94"/>
      <c r="AQ33" s="94"/>
      <c r="AR33" s="94"/>
      <c r="AS33" s="64"/>
      <c r="AT33" s="64"/>
      <c r="AU33" s="64"/>
      <c r="AV33" s="64"/>
      <c r="AW33" s="371"/>
      <c r="AX33" s="64"/>
      <c r="AY33" s="371"/>
      <c r="AZ33" s="371"/>
      <c r="BA33" s="371"/>
      <c r="BB33" s="385"/>
      <c r="BC33" s="385"/>
      <c r="BD33" s="371"/>
      <c r="BE33" s="371"/>
      <c r="BF33" s="451"/>
      <c r="BG33" s="410"/>
      <c r="BH33" s="318"/>
      <c r="BI33" s="434"/>
      <c r="BJ33" s="434"/>
      <c r="BK33" s="318"/>
      <c r="BL33" s="318"/>
      <c r="BM33" s="318"/>
      <c r="BN33" s="318"/>
      <c r="BO33" s="318"/>
      <c r="BP33" s="435"/>
      <c r="BQ33" s="237"/>
      <c r="BR33" s="237"/>
      <c r="BS33" s="237"/>
      <c r="BT33" s="212"/>
      <c r="BU33" s="237"/>
      <c r="BV33" s="237"/>
      <c r="BW33" s="242"/>
      <c r="BX33" s="242"/>
      <c r="BY33" s="267"/>
      <c r="BZ33" s="274"/>
      <c r="CA33" s="268"/>
      <c r="CB33" s="268"/>
      <c r="CC33" s="257"/>
      <c r="CD33" s="242"/>
      <c r="CE33" s="242"/>
      <c r="CF33" s="242"/>
      <c r="CG33" s="242"/>
      <c r="CH33" s="242"/>
      <c r="CI33" s="242"/>
      <c r="CJ33" s="242"/>
      <c r="CK33" s="242"/>
      <c r="CL33" s="242"/>
      <c r="CM33" s="242"/>
      <c r="CN33" s="242"/>
      <c r="CO33" s="242"/>
      <c r="CP33" s="242"/>
      <c r="CQ33" s="242"/>
      <c r="CR33" s="242"/>
      <c r="CS33" s="242"/>
      <c r="CT33" s="242"/>
      <c r="CU33" s="242"/>
      <c r="CV33" s="242"/>
      <c r="CW33" s="242"/>
      <c r="CX33" s="242"/>
      <c r="CY33" s="242"/>
      <c r="CZ33" s="242"/>
      <c r="DA33" s="242"/>
      <c r="DB33" s="242"/>
      <c r="DC33" s="242"/>
      <c r="DD33" s="242"/>
      <c r="DE33" s="242"/>
      <c r="DF33" s="242"/>
      <c r="DG33" s="234"/>
      <c r="DH33" s="234"/>
      <c r="DI33" s="214"/>
      <c r="DJ33" s="214"/>
      <c r="DK33" s="214"/>
      <c r="DL33" s="214"/>
      <c r="DM33" s="214"/>
      <c r="DN33" s="214"/>
      <c r="DO33" s="214"/>
      <c r="DP33" s="214"/>
      <c r="DQ33" s="214"/>
      <c r="DR33" s="214"/>
      <c r="DS33" s="161"/>
      <c r="DT33" s="242"/>
      <c r="DU33" s="242"/>
      <c r="DV33" s="242"/>
      <c r="DW33" s="242"/>
      <c r="DX33" s="242"/>
      <c r="DY33" s="242"/>
      <c r="DZ33" s="474"/>
      <c r="EA33" s="474"/>
      <c r="EB33" s="474"/>
      <c r="EC33" s="170"/>
      <c r="ED33" s="170"/>
      <c r="EE33" s="170"/>
      <c r="EF33" s="170"/>
      <c r="EG33" s="170"/>
      <c r="EH33" s="170"/>
      <c r="EI33" s="170"/>
      <c r="EJ33" s="170"/>
      <c r="EK33" s="170"/>
      <c r="EL33" s="170"/>
      <c r="EM33" s="170"/>
      <c r="EN33" s="170"/>
      <c r="EO33" s="170"/>
      <c r="EP33" s="170"/>
      <c r="EQ33" s="170"/>
      <c r="ER33" s="477"/>
      <c r="ES33" s="169"/>
      <c r="ET33" s="169"/>
      <c r="EU33" s="169"/>
      <c r="EV33" s="170"/>
      <c r="EW33" s="170"/>
      <c r="EX33" s="170"/>
      <c r="EY33" s="170"/>
      <c r="EZ33" s="30"/>
      <c r="FA33" s="474"/>
      <c r="FB33" s="474"/>
      <c r="FC33" s="474"/>
      <c r="FD33" s="474"/>
      <c r="FE33" s="474"/>
      <c r="FF33" s="474"/>
      <c r="FG33" s="474"/>
      <c r="FH33" s="474"/>
      <c r="FI33" s="474"/>
      <c r="FJ33" s="474"/>
      <c r="FK33" s="474"/>
      <c r="FL33" s="158"/>
      <c r="FM33" s="158"/>
      <c r="FN33" s="158"/>
      <c r="FO33" s="474"/>
      <c r="FP33" s="474"/>
      <c r="FQ33" s="474"/>
      <c r="FR33" s="474"/>
      <c r="FS33" s="474"/>
      <c r="FT33" s="474"/>
      <c r="FU33" s="474"/>
      <c r="FV33" s="474"/>
      <c r="FW33" s="474"/>
      <c r="FX33" s="474"/>
      <c r="FY33" s="474"/>
      <c r="FZ33" s="474"/>
      <c r="GA33" s="474"/>
      <c r="GB33" s="474"/>
      <c r="GC33" s="474"/>
      <c r="GD33" s="474"/>
      <c r="GE33" s="474"/>
      <c r="GF33" s="474"/>
      <c r="GG33" s="474"/>
      <c r="GH33" s="474"/>
      <c r="GI33" s="474"/>
      <c r="GJ33" s="474"/>
      <c r="GK33" s="474"/>
      <c r="GL33" s="474"/>
      <c r="GM33" s="474"/>
      <c r="GN33" s="474"/>
      <c r="GO33" s="474"/>
      <c r="GP33" s="474"/>
      <c r="GQ33" s="474"/>
      <c r="GR33" s="474"/>
      <c r="GS33" s="474"/>
      <c r="GT33" s="474"/>
      <c r="GU33" s="474"/>
      <c r="GV33" s="474"/>
      <c r="GW33" s="474"/>
      <c r="GX33" s="474"/>
      <c r="GY33" s="474"/>
      <c r="GZ33" s="474"/>
      <c r="HA33" s="474"/>
      <c r="HB33" s="474"/>
      <c r="HC33" s="474"/>
      <c r="HD33" s="474"/>
      <c r="HE33" s="474"/>
      <c r="HF33" s="474"/>
      <c r="HG33" s="474"/>
      <c r="HH33" s="474"/>
      <c r="HI33" s="474"/>
      <c r="HJ33" s="474"/>
      <c r="HK33" s="474"/>
      <c r="HL33" s="474"/>
      <c r="HM33" s="474"/>
      <c r="HN33" s="474"/>
      <c r="HO33" s="474"/>
      <c r="HP33" s="474"/>
      <c r="HQ33" s="474"/>
      <c r="HR33" s="474"/>
      <c r="HS33" s="474"/>
      <c r="HT33" s="474"/>
      <c r="HU33" s="474"/>
      <c r="HV33" s="474"/>
      <c r="HW33" s="474"/>
      <c r="HX33" s="474"/>
      <c r="HY33" s="474"/>
      <c r="HZ33" s="474"/>
      <c r="IA33" s="474"/>
      <c r="IB33" s="474"/>
      <c r="IC33" s="474"/>
      <c r="ID33" s="474"/>
      <c r="IE33" s="474"/>
      <c r="IF33" s="474"/>
      <c r="IG33" s="474"/>
      <c r="IH33" s="474"/>
      <c r="II33" s="474"/>
      <c r="IJ33" s="474"/>
      <c r="IK33" s="474"/>
      <c r="IL33" s="474"/>
      <c r="IM33" s="474"/>
      <c r="IN33" s="474"/>
      <c r="IO33" s="474"/>
      <c r="IP33" s="474"/>
    </row>
    <row r="34" spans="1:276" ht="14.1" customHeight="1" x14ac:dyDescent="0.2">
      <c r="A34" s="153"/>
      <c r="B34" s="39"/>
      <c r="C34" s="39"/>
      <c r="D34" s="78"/>
      <c r="E34" s="78"/>
      <c r="F34" s="78"/>
      <c r="G34" s="78"/>
      <c r="H34" s="78"/>
      <c r="I34" s="237"/>
      <c r="J34" s="237"/>
      <c r="K34" s="237"/>
      <c r="L34" s="237"/>
      <c r="M34" s="237"/>
      <c r="N34" s="237"/>
      <c r="O34" s="36"/>
      <c r="P34" s="376"/>
      <c r="Q34" s="590"/>
      <c r="R34" s="591"/>
      <c r="S34" s="592"/>
      <c r="T34" s="608" t="s">
        <v>204</v>
      </c>
      <c r="U34" s="609"/>
      <c r="V34" s="610"/>
      <c r="W34" s="649">
        <f>EG87</f>
        <v>2.5</v>
      </c>
      <c r="X34" s="650"/>
      <c r="Y34" s="650"/>
      <c r="Z34" s="650"/>
      <c r="AA34" s="650"/>
      <c r="AB34" s="650"/>
      <c r="AC34" s="379" t="s">
        <v>18</v>
      </c>
      <c r="AD34" s="356"/>
      <c r="AE34" s="357"/>
      <c r="AF34" s="237"/>
      <c r="AG34" s="361"/>
      <c r="AH34" s="64"/>
      <c r="AI34" s="64"/>
      <c r="AJ34" s="64"/>
      <c r="AK34" s="94"/>
      <c r="AL34" s="2"/>
      <c r="AM34" s="94"/>
      <c r="AN34" s="65"/>
      <c r="AO34" s="332"/>
      <c r="AP34" s="22"/>
      <c r="AQ34" s="22"/>
      <c r="AR34" s="2"/>
      <c r="AS34" s="64"/>
      <c r="AT34" s="64"/>
      <c r="AU34" s="64"/>
      <c r="AV34" s="64"/>
      <c r="AW34" s="330"/>
      <c r="AX34" s="330"/>
      <c r="AY34" s="330"/>
      <c r="AZ34" s="330"/>
      <c r="BA34" s="330"/>
      <c r="BB34" s="330"/>
      <c r="BC34" s="330"/>
      <c r="BD34" s="330"/>
      <c r="BE34" s="330"/>
      <c r="BF34" s="444"/>
      <c r="BG34" s="411"/>
      <c r="BH34" s="216"/>
      <c r="BI34" s="216"/>
      <c r="BJ34" s="216"/>
      <c r="BK34" s="216"/>
      <c r="BL34" s="216"/>
      <c r="BM34" s="216"/>
      <c r="BN34" s="216"/>
      <c r="BO34" s="216"/>
      <c r="BP34" s="435"/>
      <c r="BQ34" s="237"/>
      <c r="BR34" s="237"/>
      <c r="BS34" s="237"/>
      <c r="BT34" s="212"/>
      <c r="BU34" s="237"/>
      <c r="BV34" s="237"/>
      <c r="BW34" s="242"/>
      <c r="BX34" s="242"/>
      <c r="BY34" s="267"/>
      <c r="BZ34" s="274"/>
      <c r="CA34" s="274"/>
      <c r="CB34" s="274"/>
      <c r="CC34" s="257"/>
      <c r="CD34" s="242"/>
      <c r="CE34" s="242"/>
      <c r="CF34" s="242"/>
      <c r="CG34" s="242"/>
      <c r="CH34" s="268"/>
      <c r="CI34" s="242"/>
      <c r="CJ34" s="242"/>
      <c r="CK34" s="242"/>
      <c r="CL34" s="242"/>
      <c r="CM34" s="242"/>
      <c r="CN34" s="242"/>
      <c r="CO34" s="242"/>
      <c r="CP34" s="242"/>
      <c r="CQ34" s="242"/>
      <c r="CR34" s="242"/>
      <c r="CS34" s="242"/>
      <c r="CT34" s="242"/>
      <c r="CU34" s="242"/>
      <c r="CV34" s="242"/>
      <c r="CW34" s="242"/>
      <c r="CX34" s="242"/>
      <c r="CY34" s="242"/>
      <c r="CZ34" s="242"/>
      <c r="DA34" s="242"/>
      <c r="DB34" s="242"/>
      <c r="DC34" s="242"/>
      <c r="DD34" s="242"/>
      <c r="DE34" s="242"/>
      <c r="DF34" s="242"/>
      <c r="DG34" s="268"/>
      <c r="DH34" s="268"/>
      <c r="DI34" s="268"/>
      <c r="DJ34" s="268"/>
      <c r="DK34" s="268"/>
      <c r="DL34" s="268"/>
      <c r="DM34" s="268"/>
      <c r="DN34" s="268"/>
      <c r="DO34" s="268"/>
      <c r="DP34" s="268"/>
      <c r="DQ34" s="268"/>
      <c r="DR34" s="268"/>
      <c r="DS34" s="268"/>
      <c r="DT34" s="267"/>
      <c r="DU34" s="242"/>
      <c r="DV34" s="242"/>
      <c r="DW34" s="242"/>
      <c r="DX34" s="242"/>
      <c r="DY34" s="242"/>
      <c r="DZ34" s="160"/>
      <c r="EA34" s="160"/>
      <c r="EB34" s="474"/>
      <c r="EC34" s="170"/>
      <c r="ED34" s="170"/>
      <c r="EE34" s="170"/>
      <c r="EF34" s="170"/>
      <c r="EG34" s="170"/>
      <c r="EH34" s="170"/>
      <c r="EI34" s="170"/>
      <c r="EJ34" s="170"/>
      <c r="EK34" s="170"/>
      <c r="EL34" s="170" t="str">
        <f>IF(H4&lt;4000,"(0.40+(fy/7000))","")</f>
        <v>(0.40+(fy/7000))</v>
      </c>
      <c r="EM34" s="170"/>
      <c r="EN34" s="170"/>
      <c r="EO34" s="170"/>
      <c r="EP34" s="170"/>
      <c r="EQ34" s="170"/>
      <c r="ER34" s="170"/>
      <c r="ES34" s="170"/>
      <c r="ET34" s="170"/>
      <c r="EU34" s="170"/>
      <c r="EV34" s="170"/>
      <c r="EW34" s="170"/>
      <c r="EX34" s="170"/>
      <c r="EY34" s="170"/>
      <c r="EZ34" s="30"/>
      <c r="FA34" s="474"/>
      <c r="FB34" s="471" t="s">
        <v>58</v>
      </c>
      <c r="FC34" s="474"/>
      <c r="FD34" s="471" t="s">
        <v>59</v>
      </c>
      <c r="FE34" s="474"/>
      <c r="FF34" s="171" t="str">
        <f>IF($H$4&gt;2400,FB34,FD34)</f>
        <v>DB12</v>
      </c>
      <c r="FG34" s="474"/>
      <c r="FH34" s="171" t="str">
        <f>IF(H6&gt;2400,FB34,FD34)</f>
        <v>RB6</v>
      </c>
      <c r="FI34" s="474"/>
      <c r="FJ34" s="474"/>
      <c r="FK34" s="474"/>
      <c r="FL34" s="471"/>
      <c r="FM34" s="474"/>
      <c r="FN34" s="474"/>
      <c r="FO34" s="474"/>
      <c r="FP34" s="474"/>
      <c r="FQ34" s="474"/>
      <c r="FR34" s="474"/>
      <c r="FS34" s="474"/>
      <c r="FT34" s="474"/>
      <c r="FU34" s="474"/>
      <c r="FV34" s="474"/>
      <c r="FW34" s="474"/>
      <c r="FX34" s="474"/>
      <c r="FY34" s="474"/>
      <c r="FZ34" s="474"/>
      <c r="GA34" s="474"/>
      <c r="GB34" s="474"/>
      <c r="GC34" s="474"/>
      <c r="GD34" s="474"/>
      <c r="GE34" s="474"/>
      <c r="GF34" s="474"/>
      <c r="GG34" s="474"/>
      <c r="GH34" s="474"/>
      <c r="GI34" s="474"/>
      <c r="GJ34" s="474"/>
      <c r="GK34" s="474"/>
      <c r="GL34" s="474"/>
      <c r="GM34" s="474"/>
      <c r="GN34" s="474"/>
      <c r="GO34" s="474"/>
      <c r="GP34" s="474"/>
      <c r="GQ34" s="474"/>
      <c r="GR34" s="474"/>
      <c r="GS34" s="474"/>
      <c r="GT34" s="474"/>
      <c r="GU34" s="474"/>
      <c r="GV34" s="474"/>
      <c r="GW34" s="474"/>
      <c r="GX34" s="474"/>
      <c r="GY34" s="474"/>
      <c r="GZ34" s="474"/>
      <c r="HA34" s="474"/>
      <c r="HB34" s="474"/>
      <c r="HC34" s="474"/>
      <c r="HD34" s="474"/>
      <c r="HE34" s="474"/>
      <c r="HF34" s="474"/>
      <c r="HG34" s="474"/>
      <c r="HH34" s="474"/>
      <c r="HI34" s="474"/>
      <c r="HJ34" s="474"/>
      <c r="HK34" s="474"/>
      <c r="HL34" s="474"/>
      <c r="HM34" s="474"/>
      <c r="HN34" s="474"/>
      <c r="HO34" s="474"/>
      <c r="HP34" s="474"/>
      <c r="HQ34" s="474"/>
      <c r="HR34" s="474"/>
      <c r="HS34" s="474"/>
      <c r="HT34" s="474"/>
      <c r="HU34" s="474"/>
      <c r="HV34" s="474"/>
      <c r="HW34" s="474"/>
      <c r="HX34" s="474"/>
      <c r="HY34" s="474"/>
      <c r="HZ34" s="474"/>
      <c r="IA34" s="474"/>
      <c r="IB34" s="474"/>
      <c r="IC34" s="474"/>
      <c r="ID34" s="474"/>
      <c r="IE34" s="474"/>
      <c r="IF34" s="474"/>
      <c r="IG34" s="474"/>
      <c r="IH34" s="474"/>
      <c r="II34" s="474"/>
      <c r="IJ34" s="474"/>
      <c r="IK34" s="474"/>
      <c r="IL34" s="474"/>
      <c r="IM34" s="474"/>
      <c r="IN34" s="474"/>
      <c r="IO34" s="474"/>
      <c r="IP34" s="474"/>
    </row>
    <row r="35" spans="1:276" ht="14.1" customHeight="1" x14ac:dyDescent="0.2">
      <c r="A35" s="153"/>
      <c r="B35" s="39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148"/>
      <c r="P35" s="45"/>
      <c r="Q35" s="590"/>
      <c r="R35" s="591"/>
      <c r="S35" s="592"/>
      <c r="T35" s="537" t="s">
        <v>200</v>
      </c>
      <c r="U35" s="533"/>
      <c r="V35" s="533"/>
      <c r="W35" s="651">
        <f>MIN(EG88:EI90)</f>
        <v>0.25</v>
      </c>
      <c r="X35" s="652"/>
      <c r="Y35" s="652"/>
      <c r="Z35" s="652"/>
      <c r="AA35" s="652"/>
      <c r="AB35" s="652"/>
      <c r="AC35" s="379" t="s">
        <v>12</v>
      </c>
      <c r="AD35" s="380"/>
      <c r="AE35" s="395"/>
      <c r="AF35" s="45"/>
      <c r="AG35" s="361"/>
      <c r="AH35" s="64"/>
      <c r="AI35" s="64"/>
      <c r="AJ35" s="64"/>
      <c r="AK35" s="94"/>
      <c r="AL35" s="1"/>
      <c r="AM35" s="94"/>
      <c r="AN35" s="65"/>
      <c r="AO35" s="332"/>
      <c r="AP35" s="22"/>
      <c r="AQ35" s="22"/>
      <c r="AR35" s="2"/>
      <c r="AS35" s="386"/>
      <c r="AT35" s="64"/>
      <c r="AU35" s="64"/>
      <c r="AV35" s="64"/>
      <c r="AW35" s="330"/>
      <c r="AX35" s="229"/>
      <c r="AY35" s="330"/>
      <c r="AZ35" s="330"/>
      <c r="BA35" s="330"/>
      <c r="BB35" s="330"/>
      <c r="BC35" s="330"/>
      <c r="BD35" s="330"/>
      <c r="BE35" s="330"/>
      <c r="BF35" s="444"/>
      <c r="BG35" s="411"/>
      <c r="BH35" s="216"/>
      <c r="BI35" s="216"/>
      <c r="BJ35" s="216"/>
      <c r="BK35" s="216"/>
      <c r="BL35" s="216"/>
      <c r="BM35" s="216"/>
      <c r="BN35" s="216"/>
      <c r="BO35" s="216"/>
      <c r="BP35" s="435"/>
      <c r="BQ35" s="237"/>
      <c r="BR35" s="237"/>
      <c r="BS35" s="237"/>
      <c r="BT35" s="212"/>
      <c r="BU35" s="237"/>
      <c r="BV35" s="237"/>
      <c r="BW35" s="242"/>
      <c r="BX35" s="242"/>
      <c r="BY35" s="267"/>
      <c r="BZ35" s="274"/>
      <c r="CA35" s="268"/>
      <c r="CB35" s="268"/>
      <c r="CC35" s="257"/>
      <c r="CD35" s="242"/>
      <c r="CE35" s="242"/>
      <c r="CF35" s="242"/>
      <c r="CG35" s="242"/>
      <c r="CH35" s="242"/>
      <c r="CI35" s="242"/>
      <c r="CJ35" s="242"/>
      <c r="CK35" s="242"/>
      <c r="CL35" s="242"/>
      <c r="CM35" s="242"/>
      <c r="CN35" s="242"/>
      <c r="CO35" s="242"/>
      <c r="CP35" s="242"/>
      <c r="CQ35" s="242"/>
      <c r="CR35" s="242"/>
      <c r="CS35" s="242"/>
      <c r="CT35" s="242"/>
      <c r="CU35" s="242"/>
      <c r="CV35" s="242"/>
      <c r="CW35" s="242"/>
      <c r="CX35" s="242"/>
      <c r="CY35" s="242"/>
      <c r="CZ35" s="242"/>
      <c r="DA35" s="242"/>
      <c r="DB35" s="242"/>
      <c r="DC35" s="242"/>
      <c r="DD35" s="242"/>
      <c r="DE35" s="242"/>
      <c r="DF35" s="242"/>
      <c r="DG35" s="274"/>
      <c r="DH35" s="274"/>
      <c r="DI35" s="274"/>
      <c r="DJ35" s="274"/>
      <c r="DK35" s="274"/>
      <c r="DL35" s="274"/>
      <c r="DM35" s="274"/>
      <c r="DN35" s="274"/>
      <c r="DO35" s="274"/>
      <c r="DP35" s="274"/>
      <c r="DQ35" s="274"/>
      <c r="DR35" s="274"/>
      <c r="DS35" s="274"/>
      <c r="DT35" s="267"/>
      <c r="DU35" s="242"/>
      <c r="DV35" s="242"/>
      <c r="DW35" s="242"/>
      <c r="DX35" s="242"/>
      <c r="DY35" s="242"/>
      <c r="EA35" s="31"/>
      <c r="EB35" s="474"/>
      <c r="EC35" s="172" t="s">
        <v>60</v>
      </c>
      <c r="ED35" s="477" t="s">
        <v>1</v>
      </c>
      <c r="EE35" s="580">
        <v>0.85</v>
      </c>
      <c r="EF35" s="580"/>
      <c r="EG35" s="170"/>
      <c r="EH35" s="170"/>
      <c r="EI35" s="170"/>
      <c r="EJ35" s="170"/>
      <c r="EK35" s="170"/>
      <c r="EL35" s="170"/>
      <c r="EM35" s="170"/>
      <c r="EN35" s="173" t="s">
        <v>61</v>
      </c>
      <c r="EO35" s="170"/>
      <c r="EP35" s="170"/>
      <c r="EQ35" s="170"/>
      <c r="ER35" s="170"/>
      <c r="ES35" s="170"/>
      <c r="ET35" s="170"/>
      <c r="EU35" s="477" t="s">
        <v>3</v>
      </c>
      <c r="EV35" s="477" t="s">
        <v>62</v>
      </c>
      <c r="EW35" s="576">
        <v>280</v>
      </c>
      <c r="EX35" s="576"/>
      <c r="EY35" s="173" t="s">
        <v>2</v>
      </c>
      <c r="EZ35" s="30"/>
      <c r="FA35" s="474"/>
      <c r="FB35" s="471" t="s">
        <v>63</v>
      </c>
      <c r="FC35" s="474"/>
      <c r="FD35" s="471" t="s">
        <v>64</v>
      </c>
      <c r="FE35" s="474"/>
      <c r="FF35" s="171" t="str">
        <f t="shared" ref="FF35:FF39" si="0">IF($H$4&gt;2400,FB35,FD35)</f>
        <v>DB16</v>
      </c>
      <c r="FG35" s="474"/>
      <c r="FH35" s="171" t="str">
        <f>IF(H6&gt;2400,FB35,FD35)</f>
        <v>RB9</v>
      </c>
      <c r="FI35" s="474"/>
      <c r="FJ35" s="474"/>
      <c r="FK35" s="474"/>
      <c r="FL35" s="471"/>
      <c r="FM35" s="474"/>
      <c r="FN35" s="474"/>
      <c r="FO35" s="474"/>
      <c r="FP35" s="474"/>
      <c r="FQ35" s="474"/>
      <c r="FR35" s="474"/>
      <c r="FS35" s="474"/>
      <c r="FT35" s="474"/>
      <c r="FU35" s="474"/>
      <c r="FV35" s="474"/>
      <c r="FW35" s="474"/>
      <c r="FX35" s="474"/>
      <c r="FY35" s="474"/>
      <c r="FZ35" s="474"/>
      <c r="GA35" s="474"/>
      <c r="GB35" s="474"/>
      <c r="GC35" s="474"/>
      <c r="GD35" s="474"/>
      <c r="GE35" s="474"/>
      <c r="GF35" s="474"/>
      <c r="GG35" s="474"/>
      <c r="GH35" s="474"/>
      <c r="GI35" s="474"/>
      <c r="GJ35" s="474"/>
      <c r="GK35" s="474"/>
      <c r="GL35" s="474"/>
      <c r="GM35" s="474"/>
      <c r="GN35" s="474"/>
      <c r="GO35" s="474"/>
      <c r="GP35" s="474"/>
      <c r="GQ35" s="474"/>
      <c r="GR35" s="474"/>
      <c r="GS35" s="474"/>
      <c r="GT35" s="474"/>
      <c r="GU35" s="474"/>
      <c r="GV35" s="474"/>
      <c r="GW35" s="474"/>
      <c r="GX35" s="474"/>
      <c r="GY35" s="474"/>
      <c r="GZ35" s="474"/>
      <c r="HA35" s="474"/>
      <c r="HB35" s="474"/>
      <c r="HC35" s="474"/>
      <c r="HD35" s="474"/>
      <c r="HE35" s="474"/>
      <c r="HF35" s="474"/>
      <c r="HG35" s="474"/>
      <c r="HH35" s="474"/>
      <c r="HI35" s="474"/>
      <c r="HJ35" s="474"/>
      <c r="HK35" s="474"/>
      <c r="HL35" s="474"/>
      <c r="HM35" s="474"/>
      <c r="HN35" s="474"/>
      <c r="HO35" s="474"/>
      <c r="HP35" s="474"/>
      <c r="HQ35" s="474"/>
      <c r="HR35" s="474"/>
      <c r="HS35" s="474"/>
      <c r="HT35" s="474"/>
      <c r="HU35" s="474"/>
      <c r="HV35" s="474"/>
      <c r="HW35" s="474"/>
      <c r="HX35" s="474"/>
      <c r="HY35" s="474"/>
      <c r="HZ35" s="474"/>
      <c r="IA35" s="474"/>
      <c r="IB35" s="474"/>
      <c r="IC35" s="474"/>
      <c r="ID35" s="474"/>
      <c r="IE35" s="474"/>
      <c r="IF35" s="474"/>
      <c r="IG35" s="474"/>
      <c r="IH35" s="474"/>
      <c r="II35" s="474"/>
      <c r="IJ35" s="474"/>
      <c r="IK35" s="474"/>
      <c r="IL35" s="474"/>
      <c r="IM35" s="474"/>
      <c r="IN35" s="474"/>
      <c r="IO35" s="474"/>
      <c r="IP35" s="474"/>
    </row>
    <row r="36" spans="1:276" ht="14.1" customHeight="1" x14ac:dyDescent="0.2">
      <c r="A36" s="153"/>
      <c r="B36" s="88"/>
      <c r="C36" s="88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148"/>
      <c r="P36" s="45"/>
      <c r="Q36" s="590"/>
      <c r="R36" s="591"/>
      <c r="S36" s="592"/>
      <c r="T36" s="537" t="s">
        <v>201</v>
      </c>
      <c r="U36" s="533"/>
      <c r="V36" s="533"/>
      <c r="W36" s="596">
        <v>0.25</v>
      </c>
      <c r="X36" s="597"/>
      <c r="Y36" s="597"/>
      <c r="Z36" s="597"/>
      <c r="AA36" s="597"/>
      <c r="AB36" s="598"/>
      <c r="AC36" s="379" t="s">
        <v>12</v>
      </c>
      <c r="AD36" s="380"/>
      <c r="AE36" s="395"/>
      <c r="AF36" s="45"/>
      <c r="AG36" s="361"/>
      <c r="AH36" s="64"/>
      <c r="AI36" s="64"/>
      <c r="AJ36" s="64"/>
      <c r="AK36" s="94"/>
      <c r="AL36" s="64"/>
      <c r="AM36" s="64"/>
      <c r="AN36" s="64"/>
      <c r="AO36" s="64"/>
      <c r="AP36" s="64"/>
      <c r="AQ36" s="64"/>
      <c r="AR36" s="64"/>
      <c r="AS36" s="64"/>
      <c r="AT36" s="85"/>
      <c r="AU36" s="94"/>
      <c r="AV36" s="94"/>
      <c r="AW36" s="94"/>
      <c r="AX36" s="64"/>
      <c r="AY36" s="14"/>
      <c r="AZ36" s="14"/>
      <c r="BA36" s="14"/>
      <c r="BB36" s="14"/>
      <c r="BC36" s="94"/>
      <c r="BD36" s="94"/>
      <c r="BE36" s="94"/>
      <c r="BF36" s="224"/>
      <c r="BG36" s="36"/>
      <c r="BH36" s="237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42"/>
      <c r="BX36" s="45"/>
      <c r="BY36" s="45"/>
      <c r="BZ36" s="45"/>
      <c r="CA36" s="45"/>
      <c r="CB36" s="45"/>
      <c r="CC36" s="45"/>
      <c r="CD36" s="45"/>
      <c r="CE36" s="45"/>
      <c r="CF36" s="242"/>
      <c r="CG36" s="279"/>
      <c r="CH36" s="268"/>
      <c r="CI36" s="268"/>
      <c r="CJ36" s="268"/>
      <c r="CK36" s="268"/>
      <c r="CL36" s="268"/>
      <c r="CM36" s="268"/>
      <c r="CN36" s="268"/>
      <c r="CO36" s="268"/>
      <c r="CP36" s="268"/>
      <c r="CQ36" s="268"/>
      <c r="CR36" s="268"/>
      <c r="CS36" s="268"/>
      <c r="CT36" s="268"/>
      <c r="CU36" s="268"/>
      <c r="CV36" s="268"/>
      <c r="CW36" s="268"/>
      <c r="CX36" s="268"/>
      <c r="CY36" s="268"/>
      <c r="CZ36" s="268"/>
      <c r="DA36" s="268"/>
      <c r="DB36" s="268"/>
      <c r="DC36" s="268"/>
      <c r="DD36" s="268"/>
      <c r="DE36" s="242"/>
      <c r="DF36" s="242"/>
      <c r="DG36" s="268"/>
      <c r="DH36" s="268"/>
      <c r="DI36" s="268"/>
      <c r="DJ36" s="268"/>
      <c r="DK36" s="268"/>
      <c r="DL36" s="268"/>
      <c r="DM36" s="268"/>
      <c r="DN36" s="268"/>
      <c r="DO36" s="268"/>
      <c r="DP36" s="268"/>
      <c r="DQ36" s="268"/>
      <c r="DR36" s="268"/>
      <c r="DS36" s="268"/>
      <c r="DT36" s="267"/>
      <c r="DU36" s="242"/>
      <c r="DV36" s="242"/>
      <c r="DW36" s="242"/>
      <c r="DX36" s="242"/>
      <c r="DY36" s="242"/>
      <c r="EA36" s="31"/>
      <c r="EB36" s="474"/>
      <c r="EC36" s="172" t="s">
        <v>60</v>
      </c>
      <c r="ED36" s="477" t="s">
        <v>1</v>
      </c>
      <c r="EE36" s="173" t="s">
        <v>68</v>
      </c>
      <c r="EF36" s="173"/>
      <c r="EG36" s="170"/>
      <c r="EH36" s="170"/>
      <c r="EI36" s="170"/>
      <c r="EJ36" s="170"/>
      <c r="EK36" s="170"/>
      <c r="EL36" s="170"/>
      <c r="EM36" s="170"/>
      <c r="EN36" s="173" t="s">
        <v>61</v>
      </c>
      <c r="EO36" s="170"/>
      <c r="EP36" s="576">
        <v>280</v>
      </c>
      <c r="EQ36" s="576"/>
      <c r="ER36" s="173" t="s">
        <v>2</v>
      </c>
      <c r="ES36" s="170"/>
      <c r="ET36" s="173" t="s">
        <v>69</v>
      </c>
      <c r="EU36" s="477" t="s">
        <v>3</v>
      </c>
      <c r="EV36" s="477" t="s">
        <v>62</v>
      </c>
      <c r="EW36" s="576">
        <v>560</v>
      </c>
      <c r="EX36" s="576"/>
      <c r="EY36" s="173" t="s">
        <v>2</v>
      </c>
      <c r="EZ36" s="30"/>
      <c r="FA36" s="474"/>
      <c r="FB36" s="471" t="s">
        <v>70</v>
      </c>
      <c r="FC36" s="474"/>
      <c r="FD36" s="471" t="s">
        <v>71</v>
      </c>
      <c r="FE36" s="474"/>
      <c r="FF36" s="171" t="str">
        <f t="shared" si="0"/>
        <v>DB20</v>
      </c>
      <c r="FG36" s="474"/>
      <c r="FH36" s="171" t="str">
        <f>IF(H6&gt;2400,FB36,FD36)</f>
        <v>RB12</v>
      </c>
      <c r="FI36" s="474"/>
      <c r="FJ36" s="474"/>
      <c r="FK36" s="474"/>
      <c r="FL36" s="471"/>
      <c r="FM36" s="474"/>
      <c r="FN36" s="474"/>
      <c r="FO36" s="474"/>
      <c r="FP36" s="474"/>
      <c r="FQ36" s="474"/>
      <c r="FR36" s="474"/>
      <c r="FS36" s="474"/>
      <c r="FT36" s="474"/>
      <c r="FU36" s="474"/>
      <c r="FV36" s="474"/>
      <c r="FW36" s="474"/>
      <c r="FX36" s="474"/>
      <c r="FY36" s="474"/>
      <c r="FZ36" s="474"/>
      <c r="GA36" s="474"/>
      <c r="GB36" s="474"/>
      <c r="GC36" s="474"/>
      <c r="GD36" s="474"/>
      <c r="GE36" s="474"/>
      <c r="GF36" s="474"/>
      <c r="GG36" s="474"/>
      <c r="GH36" s="474"/>
      <c r="GI36" s="474"/>
      <c r="GJ36" s="474"/>
      <c r="GK36" s="474"/>
      <c r="GL36" s="474"/>
      <c r="GM36" s="474"/>
      <c r="GN36" s="474"/>
      <c r="GO36" s="474"/>
      <c r="GP36" s="474"/>
      <c r="GQ36" s="474"/>
      <c r="GR36" s="474"/>
      <c r="GS36" s="474"/>
      <c r="GT36" s="474"/>
      <c r="GU36" s="474"/>
      <c r="GV36" s="474"/>
      <c r="GW36" s="474"/>
      <c r="GX36" s="474"/>
      <c r="GY36" s="474"/>
      <c r="GZ36" s="474"/>
      <c r="HA36" s="474"/>
      <c r="HB36" s="474"/>
      <c r="HC36" s="474"/>
      <c r="HD36" s="474"/>
      <c r="HE36" s="474"/>
      <c r="HF36" s="474"/>
      <c r="HG36" s="474"/>
      <c r="HH36" s="474"/>
      <c r="HI36" s="474"/>
      <c r="HJ36" s="474"/>
      <c r="HK36" s="474"/>
      <c r="HL36" s="474"/>
      <c r="HM36" s="474"/>
      <c r="HN36" s="474"/>
      <c r="HO36" s="474"/>
      <c r="HP36" s="474"/>
      <c r="HQ36" s="474"/>
      <c r="HR36" s="474"/>
      <c r="HS36" s="474"/>
      <c r="HT36" s="474"/>
      <c r="HU36" s="474"/>
      <c r="HV36" s="474"/>
      <c r="HW36" s="474"/>
      <c r="HX36" s="474"/>
      <c r="HY36" s="474"/>
      <c r="HZ36" s="474"/>
      <c r="IA36" s="474"/>
      <c r="IB36" s="474"/>
      <c r="IC36" s="474"/>
      <c r="ID36" s="474"/>
      <c r="IE36" s="474"/>
      <c r="IF36" s="474"/>
      <c r="IG36" s="474"/>
      <c r="IH36" s="474"/>
      <c r="II36" s="474"/>
      <c r="IJ36" s="474"/>
      <c r="IK36" s="474"/>
      <c r="IL36" s="474"/>
      <c r="IM36" s="474"/>
      <c r="IN36" s="474"/>
      <c r="IO36" s="474"/>
      <c r="IP36" s="474"/>
    </row>
    <row r="37" spans="1:276" ht="14.1" customHeight="1" x14ac:dyDescent="0.2">
      <c r="A37" s="153"/>
      <c r="B37" s="88"/>
      <c r="C37" s="90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149"/>
      <c r="P37" s="45"/>
      <c r="Q37" s="593"/>
      <c r="R37" s="594"/>
      <c r="S37" s="595"/>
      <c r="T37" s="532" t="s">
        <v>92</v>
      </c>
      <c r="U37" s="532"/>
      <c r="V37" s="532"/>
      <c r="W37" s="599" t="str">
        <f>IF(W36&lt;=W35,"OK","NOT")</f>
        <v>OK</v>
      </c>
      <c r="X37" s="600"/>
      <c r="Y37" s="600"/>
      <c r="Z37" s="600"/>
      <c r="AA37" s="600"/>
      <c r="AB37" s="601"/>
      <c r="AC37" s="399" t="s">
        <v>0</v>
      </c>
      <c r="AD37" s="400"/>
      <c r="AE37" s="401"/>
      <c r="AF37" s="45"/>
      <c r="AG37" s="362"/>
      <c r="AH37" s="363"/>
      <c r="AI37" s="363"/>
      <c r="AJ37" s="363"/>
      <c r="AK37" s="221"/>
      <c r="AL37" s="452"/>
      <c r="AM37" s="221"/>
      <c r="AN37" s="221"/>
      <c r="AO37" s="221"/>
      <c r="AP37" s="221"/>
      <c r="AQ37" s="221"/>
      <c r="AR37" s="221"/>
      <c r="AS37" s="221"/>
      <c r="AT37" s="363"/>
      <c r="AU37" s="453"/>
      <c r="AV37" s="453"/>
      <c r="AW37" s="453"/>
      <c r="AX37" s="453"/>
      <c r="AY37" s="453"/>
      <c r="AZ37" s="453"/>
      <c r="BA37" s="453"/>
      <c r="BB37" s="453"/>
      <c r="BC37" s="453"/>
      <c r="BD37" s="453"/>
      <c r="BE37" s="453"/>
      <c r="BF37" s="454"/>
      <c r="BG37" s="96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237"/>
      <c r="BS37" s="237"/>
      <c r="BT37" s="237"/>
      <c r="BU37" s="237"/>
      <c r="BV37" s="237"/>
      <c r="BW37" s="280"/>
      <c r="BX37" s="45"/>
      <c r="BY37" s="45"/>
      <c r="BZ37" s="280"/>
      <c r="CA37" s="280"/>
      <c r="CB37" s="256"/>
      <c r="CC37" s="256"/>
      <c r="CD37" s="256"/>
      <c r="CE37" s="256"/>
      <c r="CF37" s="256"/>
      <c r="CG37" s="279"/>
      <c r="CH37" s="242"/>
      <c r="CI37" s="242"/>
      <c r="CJ37" s="242"/>
      <c r="CK37" s="242"/>
      <c r="CL37" s="242"/>
      <c r="CM37" s="242"/>
      <c r="CN37" s="242"/>
      <c r="CO37" s="242"/>
      <c r="CP37" s="242"/>
      <c r="CQ37" s="242"/>
      <c r="CR37" s="242"/>
      <c r="CS37" s="242"/>
      <c r="CT37" s="242"/>
      <c r="CU37" s="242"/>
      <c r="CV37" s="242"/>
      <c r="CW37" s="242"/>
      <c r="CX37" s="242"/>
      <c r="CY37" s="242"/>
      <c r="CZ37" s="242"/>
      <c r="DA37" s="242"/>
      <c r="DB37" s="242"/>
      <c r="DC37" s="242"/>
      <c r="DD37" s="242"/>
      <c r="DE37" s="242"/>
      <c r="DF37" s="242"/>
      <c r="DG37" s="242"/>
      <c r="DH37" s="242"/>
      <c r="DI37" s="242"/>
      <c r="DJ37" s="242"/>
      <c r="DK37" s="242"/>
      <c r="DL37" s="242"/>
      <c r="DM37" s="242"/>
      <c r="DN37" s="242"/>
      <c r="DO37" s="242"/>
      <c r="DP37" s="242"/>
      <c r="DQ37" s="242"/>
      <c r="DR37" s="242"/>
      <c r="DS37" s="281"/>
      <c r="DT37" s="267"/>
      <c r="DU37" s="242"/>
      <c r="DV37" s="242"/>
      <c r="DW37" s="242"/>
      <c r="DX37" s="242"/>
      <c r="DY37" s="242"/>
      <c r="EA37" s="31"/>
      <c r="EB37" s="474"/>
      <c r="EC37" s="172" t="s">
        <v>60</v>
      </c>
      <c r="ED37" s="477" t="s">
        <v>1</v>
      </c>
      <c r="EE37" s="580">
        <v>0.65</v>
      </c>
      <c r="EF37" s="580"/>
      <c r="EG37" s="170"/>
      <c r="EH37" s="170"/>
      <c r="EI37" s="170"/>
      <c r="EJ37" s="170"/>
      <c r="EK37" s="170"/>
      <c r="EL37" s="170"/>
      <c r="EM37" s="170"/>
      <c r="EN37" s="173" t="s">
        <v>61</v>
      </c>
      <c r="EO37" s="170"/>
      <c r="EP37" s="170"/>
      <c r="EQ37" s="170"/>
      <c r="ER37" s="170"/>
      <c r="ES37" s="170"/>
      <c r="ET37" s="170"/>
      <c r="EU37" s="477" t="s">
        <v>3</v>
      </c>
      <c r="EV37" s="477" t="s">
        <v>72</v>
      </c>
      <c r="EW37" s="576">
        <v>560</v>
      </c>
      <c r="EX37" s="576"/>
      <c r="EY37" s="173" t="s">
        <v>2</v>
      </c>
      <c r="EZ37" s="30"/>
      <c r="FA37" s="474"/>
      <c r="FB37" s="471" t="s">
        <v>73</v>
      </c>
      <c r="FC37" s="474"/>
      <c r="FD37" s="471" t="s">
        <v>74</v>
      </c>
      <c r="FE37" s="474"/>
      <c r="FF37" s="171" t="str">
        <f t="shared" si="0"/>
        <v>DB25</v>
      </c>
      <c r="FG37" s="474"/>
      <c r="FH37" s="171" t="str">
        <f>IF(H6&gt;2400,FB37,FD37)</f>
        <v>RB15</v>
      </c>
      <c r="FI37" s="474"/>
      <c r="FJ37" s="474"/>
      <c r="FK37" s="474"/>
      <c r="FL37" s="471"/>
      <c r="FM37" s="474"/>
      <c r="FN37" s="474"/>
      <c r="FO37" s="474"/>
      <c r="FP37" s="474"/>
      <c r="FQ37" s="474"/>
      <c r="FR37" s="474"/>
      <c r="FS37" s="474"/>
      <c r="FT37" s="474"/>
      <c r="FU37" s="474"/>
      <c r="FV37" s="474"/>
      <c r="FW37" s="474"/>
      <c r="FX37" s="474"/>
      <c r="FY37" s="474"/>
      <c r="FZ37" s="474"/>
      <c r="GA37" s="474"/>
      <c r="GB37" s="474"/>
      <c r="GC37" s="474"/>
      <c r="GD37" s="474"/>
      <c r="GE37" s="474"/>
      <c r="GF37" s="474"/>
      <c r="GG37" s="474"/>
      <c r="GH37" s="474"/>
      <c r="GI37" s="474"/>
      <c r="GJ37" s="474"/>
      <c r="GK37" s="474"/>
      <c r="GL37" s="474"/>
      <c r="GM37" s="474"/>
      <c r="GN37" s="474"/>
      <c r="GO37" s="474"/>
      <c r="GP37" s="474"/>
      <c r="GQ37" s="474"/>
      <c r="GR37" s="474"/>
      <c r="GS37" s="474"/>
      <c r="GT37" s="474"/>
      <c r="GU37" s="474"/>
      <c r="GV37" s="474"/>
      <c r="GW37" s="474"/>
      <c r="GX37" s="474"/>
      <c r="GY37" s="474"/>
      <c r="GZ37" s="474"/>
      <c r="HA37" s="474"/>
      <c r="HB37" s="474"/>
      <c r="HC37" s="474"/>
      <c r="HD37" s="474"/>
      <c r="HE37" s="474"/>
      <c r="HF37" s="474"/>
      <c r="HG37" s="474"/>
      <c r="HH37" s="474"/>
      <c r="HI37" s="474"/>
      <c r="HJ37" s="474"/>
      <c r="HK37" s="474"/>
      <c r="HL37" s="474"/>
      <c r="HM37" s="474"/>
      <c r="HN37" s="474"/>
      <c r="HO37" s="474"/>
      <c r="HP37" s="474"/>
      <c r="HQ37" s="474"/>
      <c r="HR37" s="474"/>
      <c r="HS37" s="474"/>
      <c r="HT37" s="474"/>
      <c r="HU37" s="474"/>
      <c r="HV37" s="474"/>
      <c r="HW37" s="474"/>
      <c r="HX37" s="474"/>
      <c r="HY37" s="474"/>
      <c r="HZ37" s="474"/>
      <c r="IA37" s="474"/>
      <c r="IB37" s="474"/>
      <c r="IC37" s="474"/>
      <c r="ID37" s="474"/>
      <c r="IE37" s="474"/>
      <c r="IF37" s="474"/>
      <c r="IG37" s="474"/>
      <c r="IH37" s="474"/>
      <c r="II37" s="474"/>
      <c r="IJ37" s="474"/>
      <c r="IK37" s="474"/>
      <c r="IL37" s="474"/>
      <c r="IM37" s="474"/>
      <c r="IN37" s="474"/>
      <c r="IO37" s="474"/>
      <c r="IP37" s="474"/>
    </row>
    <row r="38" spans="1:276" ht="14.1" customHeight="1" x14ac:dyDescent="0.2">
      <c r="A38" s="153"/>
      <c r="B38" s="9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41"/>
      <c r="AL38" s="91"/>
      <c r="AM38" s="41"/>
      <c r="AN38" s="41"/>
      <c r="AO38" s="41"/>
      <c r="AP38" s="41"/>
      <c r="AQ38" s="41"/>
      <c r="AR38" s="41"/>
      <c r="AS38" s="41"/>
      <c r="AT38" s="402"/>
      <c r="AU38" s="41"/>
      <c r="AV38" s="403"/>
      <c r="AW38" s="403"/>
      <c r="AX38" s="403"/>
      <c r="AY38" s="403"/>
      <c r="AZ38" s="403"/>
      <c r="BA38" s="403"/>
      <c r="BB38" s="403"/>
      <c r="BC38" s="403"/>
      <c r="BD38" s="403"/>
      <c r="BE38" s="403"/>
      <c r="BF38" s="403"/>
      <c r="BG38" s="404"/>
      <c r="BH38" s="232"/>
      <c r="BI38" s="232"/>
      <c r="BJ38" s="232"/>
      <c r="BK38" s="232"/>
      <c r="BL38" s="232"/>
      <c r="BM38" s="232"/>
      <c r="BN38" s="232"/>
      <c r="BO38" s="232"/>
      <c r="BP38" s="232"/>
      <c r="BQ38" s="232"/>
      <c r="BR38" s="232"/>
      <c r="BS38" s="232"/>
      <c r="BT38" s="237"/>
      <c r="BU38" s="237"/>
      <c r="BV38" s="237"/>
      <c r="BW38" s="45"/>
      <c r="BX38" s="45"/>
      <c r="BY38" s="45"/>
      <c r="BZ38" s="45"/>
      <c r="CA38" s="45"/>
      <c r="CB38" s="45"/>
      <c r="CC38" s="214"/>
      <c r="CD38" s="214"/>
      <c r="CE38" s="214"/>
      <c r="CF38" s="45"/>
      <c r="CG38" s="242"/>
      <c r="CH38" s="242"/>
      <c r="CI38" s="242"/>
      <c r="CJ38" s="242"/>
      <c r="CK38" s="242"/>
      <c r="CL38" s="242"/>
      <c r="CM38" s="242"/>
      <c r="CN38" s="242"/>
      <c r="CO38" s="242"/>
      <c r="CP38" s="242"/>
      <c r="CQ38" s="242"/>
      <c r="CR38" s="242"/>
      <c r="CS38" s="242"/>
      <c r="CT38" s="242"/>
      <c r="CU38" s="242"/>
      <c r="CV38" s="242"/>
      <c r="CW38" s="242"/>
      <c r="CX38" s="242"/>
      <c r="CY38" s="242"/>
      <c r="CZ38" s="242"/>
      <c r="DA38" s="242"/>
      <c r="DB38" s="242"/>
      <c r="DC38" s="242"/>
      <c r="DD38" s="242"/>
      <c r="DE38" s="242"/>
      <c r="DF38" s="242"/>
      <c r="DG38" s="242"/>
      <c r="DH38" s="242"/>
      <c r="DI38" s="242"/>
      <c r="DJ38" s="242"/>
      <c r="DK38" s="242"/>
      <c r="DL38" s="242"/>
      <c r="DM38" s="242"/>
      <c r="DN38" s="242"/>
      <c r="DO38" s="242"/>
      <c r="DP38" s="242"/>
      <c r="DQ38" s="242"/>
      <c r="DR38" s="242"/>
      <c r="DS38" s="217"/>
      <c r="DT38" s="242"/>
      <c r="DU38" s="242"/>
      <c r="DV38" s="242"/>
      <c r="DW38" s="242"/>
      <c r="DX38" s="242"/>
      <c r="DY38" s="242"/>
      <c r="EA38" s="31"/>
      <c r="EB38" s="474"/>
      <c r="EC38" s="580">
        <f>ROUND((IF(H8&lt;=280,0.85,IF(H8&gt;560,0.65,0.85-(0.05*((H8-280)/70))))),2)</f>
        <v>0.85</v>
      </c>
      <c r="ED38" s="580"/>
      <c r="EE38" s="169"/>
      <c r="EF38" s="170"/>
      <c r="EG38" s="170"/>
      <c r="EH38" s="170"/>
      <c r="EI38" s="170"/>
      <c r="EJ38" s="170"/>
      <c r="EK38" s="170"/>
      <c r="EL38" s="170"/>
      <c r="EM38" s="170"/>
      <c r="EN38" s="170"/>
      <c r="EO38" s="170"/>
      <c r="EP38" s="170"/>
      <c r="EQ38" s="170"/>
      <c r="ER38" s="170"/>
      <c r="ES38" s="170"/>
      <c r="ET38" s="170"/>
      <c r="EU38" s="170"/>
      <c r="EV38" s="170"/>
      <c r="EW38" s="170"/>
      <c r="EX38" s="170"/>
      <c r="EY38" s="170"/>
      <c r="EZ38" s="30"/>
      <c r="FA38" s="474"/>
      <c r="FB38" s="471" t="s">
        <v>79</v>
      </c>
      <c r="FC38" s="474"/>
      <c r="FD38" s="471" t="s">
        <v>80</v>
      </c>
      <c r="FE38" s="474"/>
      <c r="FF38" s="171" t="str">
        <f t="shared" si="0"/>
        <v>DB28</v>
      </c>
      <c r="FG38" s="474"/>
      <c r="FH38" s="171" t="str">
        <f>IF(H6&gt;2400,FB38,FD38)</f>
        <v>RB19</v>
      </c>
      <c r="FI38" s="474"/>
      <c r="FJ38" s="474"/>
      <c r="FK38" s="474"/>
      <c r="FL38" s="471"/>
      <c r="FM38" s="474"/>
      <c r="FN38" s="474"/>
      <c r="FO38" s="474"/>
      <c r="FP38" s="474"/>
      <c r="FQ38" s="474"/>
      <c r="FR38" s="474"/>
      <c r="FS38" s="474"/>
      <c r="FT38" s="474"/>
      <c r="FU38" s="474"/>
      <c r="FV38" s="474"/>
      <c r="FW38" s="474"/>
      <c r="FX38" s="474"/>
      <c r="FY38" s="474"/>
      <c r="FZ38" s="474"/>
      <c r="GA38" s="474"/>
      <c r="GB38" s="474"/>
      <c r="GC38" s="474"/>
      <c r="GD38" s="474"/>
      <c r="GE38" s="474"/>
      <c r="GF38" s="474"/>
      <c r="GG38" s="474"/>
      <c r="GH38" s="474"/>
      <c r="GI38" s="474"/>
      <c r="GJ38" s="474"/>
      <c r="GK38" s="474"/>
      <c r="GL38" s="474"/>
      <c r="GM38" s="474"/>
      <c r="GN38" s="474"/>
      <c r="GO38" s="474"/>
      <c r="GP38" s="474"/>
      <c r="GQ38" s="474"/>
      <c r="GR38" s="474"/>
      <c r="GS38" s="474"/>
      <c r="GT38" s="474"/>
      <c r="GU38" s="474"/>
      <c r="GV38" s="474"/>
      <c r="GW38" s="474"/>
      <c r="GX38" s="474"/>
      <c r="GY38" s="474"/>
      <c r="GZ38" s="474"/>
      <c r="HA38" s="474"/>
      <c r="HB38" s="474"/>
      <c r="HC38" s="474"/>
      <c r="HD38" s="474"/>
      <c r="HE38" s="474"/>
      <c r="HF38" s="474"/>
      <c r="HG38" s="474"/>
      <c r="HH38" s="474"/>
      <c r="HI38" s="474"/>
      <c r="HJ38" s="474"/>
      <c r="HK38" s="474"/>
      <c r="HL38" s="474"/>
      <c r="HM38" s="474"/>
      <c r="HN38" s="474"/>
      <c r="HO38" s="474"/>
      <c r="HP38" s="474"/>
      <c r="HQ38" s="474"/>
      <c r="HR38" s="474"/>
      <c r="HS38" s="474"/>
      <c r="HT38" s="474"/>
      <c r="HU38" s="474"/>
      <c r="HV38" s="474"/>
      <c r="HW38" s="474"/>
      <c r="HX38" s="474"/>
      <c r="HY38" s="474"/>
      <c r="HZ38" s="474"/>
      <c r="IA38" s="474"/>
      <c r="IB38" s="474"/>
      <c r="IC38" s="474"/>
      <c r="ID38" s="474"/>
      <c r="IE38" s="474"/>
      <c r="IF38" s="474"/>
      <c r="IG38" s="474"/>
      <c r="IH38" s="474"/>
      <c r="II38" s="474"/>
      <c r="IJ38" s="474"/>
      <c r="IK38" s="474"/>
      <c r="IL38" s="474"/>
      <c r="IM38" s="474"/>
      <c r="IN38" s="474"/>
      <c r="IO38" s="474"/>
      <c r="IP38" s="474"/>
    </row>
    <row r="39" spans="1:276" ht="14.1" customHeight="1" x14ac:dyDescent="0.2">
      <c r="A39" s="153"/>
      <c r="B39" s="45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45"/>
      <c r="Q39" s="45"/>
      <c r="R39" s="45"/>
      <c r="S39" s="45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237"/>
      <c r="AL39" s="228"/>
      <c r="AM39" s="412"/>
      <c r="AN39" s="212"/>
      <c r="AO39" s="478"/>
      <c r="AP39" s="226"/>
      <c r="AQ39" s="226"/>
      <c r="AR39" s="226"/>
      <c r="AS39" s="226"/>
      <c r="AT39" s="226"/>
      <c r="AU39" s="237"/>
      <c r="AV39" s="237"/>
      <c r="AW39" s="219"/>
      <c r="AX39" s="219"/>
      <c r="AY39" s="219"/>
      <c r="AZ39" s="219"/>
      <c r="BA39" s="219"/>
      <c r="BB39" s="237"/>
      <c r="BC39" s="237"/>
      <c r="BD39" s="219"/>
      <c r="BE39" s="219"/>
      <c r="BF39" s="219"/>
      <c r="BG39" s="219"/>
      <c r="BH39" s="219"/>
      <c r="BI39" s="237"/>
      <c r="BJ39" s="237"/>
      <c r="BK39" s="219"/>
      <c r="BL39" s="219"/>
      <c r="BM39" s="219"/>
      <c r="BN39" s="219"/>
      <c r="BO39" s="219"/>
      <c r="BP39" s="237"/>
      <c r="BQ39" s="237"/>
      <c r="BR39" s="237"/>
      <c r="BS39" s="237"/>
      <c r="BT39" s="478"/>
      <c r="BU39" s="237"/>
      <c r="BV39" s="237"/>
      <c r="BW39" s="45"/>
      <c r="BX39" s="45"/>
      <c r="BY39" s="45"/>
      <c r="BZ39" s="45"/>
      <c r="CA39" s="45"/>
      <c r="CB39" s="45"/>
      <c r="CC39" s="214"/>
      <c r="CD39" s="214"/>
      <c r="CE39" s="214"/>
      <c r="CF39" s="45"/>
      <c r="CG39" s="242"/>
      <c r="CH39" s="242"/>
      <c r="CI39" s="242"/>
      <c r="CJ39" s="242"/>
      <c r="CK39" s="242"/>
      <c r="CL39" s="242"/>
      <c r="CM39" s="242"/>
      <c r="CN39" s="242"/>
      <c r="CO39" s="242"/>
      <c r="CP39" s="242"/>
      <c r="CQ39" s="242"/>
      <c r="CR39" s="242"/>
      <c r="CS39" s="242"/>
      <c r="CT39" s="242"/>
      <c r="CU39" s="242"/>
      <c r="CV39" s="242"/>
      <c r="CW39" s="242"/>
      <c r="CX39" s="242"/>
      <c r="CY39" s="242"/>
      <c r="CZ39" s="242"/>
      <c r="DA39" s="242"/>
      <c r="DB39" s="242"/>
      <c r="DC39" s="242"/>
      <c r="DD39" s="242"/>
      <c r="DE39" s="242"/>
      <c r="DF39" s="242"/>
      <c r="DG39" s="272"/>
      <c r="DH39" s="272"/>
      <c r="DI39" s="272"/>
      <c r="DJ39" s="272"/>
      <c r="DK39" s="272"/>
      <c r="DL39" s="272"/>
      <c r="DM39" s="272"/>
      <c r="DN39" s="272"/>
      <c r="DO39" s="272"/>
      <c r="DP39" s="272"/>
      <c r="DQ39" s="272"/>
      <c r="DR39" s="272"/>
      <c r="DS39" s="268"/>
      <c r="DT39" s="268"/>
      <c r="DU39" s="242"/>
      <c r="DV39" s="242"/>
      <c r="DW39" s="242"/>
      <c r="DX39" s="242"/>
      <c r="DY39" s="242"/>
      <c r="EA39" s="31"/>
      <c r="EB39" s="474"/>
      <c r="EC39" s="583">
        <f>FO63</f>
        <v>9.9428571428571431</v>
      </c>
      <c r="ED39" s="583"/>
      <c r="EE39" s="583"/>
      <c r="EF39" s="170"/>
      <c r="EG39" s="170"/>
      <c r="EH39" s="170"/>
      <c r="EI39" s="170"/>
      <c r="EJ39" s="477"/>
      <c r="EK39" s="175"/>
      <c r="EL39" s="175"/>
      <c r="EM39" s="175"/>
      <c r="EN39" s="170"/>
      <c r="EO39" s="170"/>
      <c r="EP39" s="477"/>
      <c r="EQ39" s="169"/>
      <c r="ER39" s="169"/>
      <c r="ES39" s="173"/>
      <c r="ET39" s="173"/>
      <c r="EU39" s="176"/>
      <c r="EV39" s="176"/>
      <c r="EW39" s="176"/>
      <c r="EX39" s="176"/>
      <c r="EY39" s="170"/>
      <c r="EZ39" s="30"/>
      <c r="FA39" s="474"/>
      <c r="FB39" s="471" t="s">
        <v>81</v>
      </c>
      <c r="FC39" s="474"/>
      <c r="FD39" s="474" t="s">
        <v>82</v>
      </c>
      <c r="FE39" s="474"/>
      <c r="FF39" s="171" t="str">
        <f t="shared" si="0"/>
        <v>DB32</v>
      </c>
      <c r="FG39" s="171"/>
      <c r="FH39" s="171" t="str">
        <f>IF(H6&gt;2400,FB39,FD39)</f>
        <v>RB25</v>
      </c>
      <c r="FI39" s="171"/>
      <c r="FJ39" s="474"/>
      <c r="FK39" s="474"/>
      <c r="FL39" s="471"/>
      <c r="FM39" s="474"/>
      <c r="FN39" s="474"/>
      <c r="FO39" s="474"/>
      <c r="FP39" s="474"/>
      <c r="FQ39" s="474"/>
      <c r="FR39" s="474"/>
      <c r="FS39" s="474"/>
      <c r="FT39" s="474"/>
      <c r="FU39" s="474"/>
      <c r="FV39" s="474"/>
      <c r="FW39" s="474"/>
      <c r="FX39" s="474"/>
      <c r="FY39" s="474"/>
      <c r="FZ39" s="474"/>
      <c r="GA39" s="474"/>
      <c r="GB39" s="474"/>
      <c r="GC39" s="474"/>
      <c r="GD39" s="474"/>
      <c r="GE39" s="474"/>
      <c r="GF39" s="474"/>
      <c r="GG39" s="474"/>
      <c r="GH39" s="474"/>
      <c r="GI39" s="474"/>
      <c r="GJ39" s="474"/>
      <c r="GK39" s="474"/>
      <c r="GL39" s="474"/>
      <c r="GM39" s="474"/>
      <c r="GN39" s="474"/>
      <c r="GO39" s="474"/>
      <c r="GP39" s="474"/>
      <c r="GQ39" s="474"/>
      <c r="GR39" s="474"/>
      <c r="GS39" s="474"/>
      <c r="GT39" s="474"/>
      <c r="GU39" s="474"/>
      <c r="GV39" s="474"/>
      <c r="GW39" s="474"/>
      <c r="GX39" s="474"/>
      <c r="GY39" s="474"/>
      <c r="GZ39" s="474"/>
      <c r="HA39" s="474"/>
      <c r="HB39" s="474"/>
      <c r="HC39" s="474"/>
      <c r="HD39" s="474"/>
      <c r="HE39" s="474"/>
      <c r="HF39" s="474"/>
      <c r="HG39" s="474"/>
      <c r="HH39" s="474"/>
      <c r="HI39" s="474"/>
      <c r="HJ39" s="474"/>
      <c r="HK39" s="474"/>
      <c r="HL39" s="474"/>
      <c r="HM39" s="474"/>
      <c r="HN39" s="474"/>
      <c r="HO39" s="474"/>
      <c r="HP39" s="474"/>
      <c r="HQ39" s="474"/>
      <c r="HR39" s="474"/>
      <c r="HS39" s="474"/>
      <c r="HT39" s="474"/>
      <c r="HU39" s="474"/>
      <c r="HV39" s="474"/>
      <c r="HW39" s="474"/>
      <c r="HX39" s="474"/>
      <c r="HY39" s="474"/>
      <c r="HZ39" s="474"/>
      <c r="IA39" s="474"/>
      <c r="IB39" s="474"/>
      <c r="IC39" s="474"/>
      <c r="ID39" s="474"/>
      <c r="IE39" s="474"/>
      <c r="IF39" s="474"/>
      <c r="IG39" s="474"/>
      <c r="IH39" s="474"/>
      <c r="II39" s="474"/>
      <c r="IJ39" s="474"/>
      <c r="IK39" s="474"/>
      <c r="IL39" s="474"/>
      <c r="IM39" s="474"/>
      <c r="IN39" s="474"/>
      <c r="IO39" s="474"/>
      <c r="IP39" s="474"/>
    </row>
    <row r="40" spans="1:276" ht="14.1" customHeight="1" x14ac:dyDescent="0.2">
      <c r="A40" s="153"/>
      <c r="B40" s="45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45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237"/>
      <c r="AL40" s="273"/>
      <c r="AM40" s="412"/>
      <c r="AN40" s="212"/>
      <c r="AO40" s="270"/>
      <c r="AP40" s="45"/>
      <c r="AQ40" s="45"/>
      <c r="AR40" s="45"/>
      <c r="AS40" s="45"/>
      <c r="AT40" s="45"/>
      <c r="AU40" s="237"/>
      <c r="AV40" s="237"/>
      <c r="AW40" s="219"/>
      <c r="AX40" s="219"/>
      <c r="AY40" s="219"/>
      <c r="AZ40" s="219"/>
      <c r="BA40" s="219"/>
      <c r="BB40" s="237"/>
      <c r="BC40" s="237"/>
      <c r="BD40" s="219"/>
      <c r="BE40" s="219"/>
      <c r="BF40" s="219"/>
      <c r="BG40" s="219"/>
      <c r="BH40" s="219"/>
      <c r="BI40" s="237"/>
      <c r="BJ40" s="237"/>
      <c r="BK40" s="219"/>
      <c r="BL40" s="219"/>
      <c r="BM40" s="219"/>
      <c r="BN40" s="219"/>
      <c r="BO40" s="219"/>
      <c r="BP40" s="237"/>
      <c r="BQ40" s="237"/>
      <c r="BR40" s="237"/>
      <c r="BS40" s="237"/>
      <c r="BT40" s="478"/>
      <c r="BU40" s="237"/>
      <c r="BV40" s="237"/>
      <c r="BW40" s="45"/>
      <c r="BX40" s="45"/>
      <c r="BY40" s="45"/>
      <c r="BZ40" s="45"/>
      <c r="CA40" s="45"/>
      <c r="CB40" s="45"/>
      <c r="CC40" s="268"/>
      <c r="CD40" s="268"/>
      <c r="CE40" s="268"/>
      <c r="CF40" s="45"/>
      <c r="CG40" s="242"/>
      <c r="CH40" s="257"/>
      <c r="CI40" s="242"/>
      <c r="CJ40" s="242"/>
      <c r="CK40" s="242"/>
      <c r="CL40" s="242"/>
      <c r="CM40" s="242"/>
      <c r="CN40" s="242"/>
      <c r="CO40" s="242"/>
      <c r="CP40" s="242"/>
      <c r="CQ40" s="242"/>
      <c r="CR40" s="242"/>
      <c r="CS40" s="242"/>
      <c r="CT40" s="242"/>
      <c r="CU40" s="242"/>
      <c r="CV40" s="242"/>
      <c r="CW40" s="242"/>
      <c r="CX40" s="242"/>
      <c r="CY40" s="242"/>
      <c r="CZ40" s="242"/>
      <c r="DA40" s="242"/>
      <c r="DB40" s="242"/>
      <c r="DC40" s="242"/>
      <c r="DD40" s="242"/>
      <c r="DE40" s="242"/>
      <c r="DF40" s="242"/>
      <c r="DG40" s="274"/>
      <c r="DH40" s="274"/>
      <c r="DI40" s="274"/>
      <c r="DJ40" s="274"/>
      <c r="DK40" s="274"/>
      <c r="DL40" s="274"/>
      <c r="DM40" s="274"/>
      <c r="DN40" s="274"/>
      <c r="DO40" s="274"/>
      <c r="DP40" s="274"/>
      <c r="DQ40" s="274"/>
      <c r="DR40" s="274"/>
      <c r="DS40" s="281"/>
      <c r="DT40" s="257"/>
      <c r="DU40" s="242"/>
      <c r="DV40" s="242"/>
      <c r="DW40" s="242"/>
      <c r="DX40" s="242"/>
      <c r="DY40" s="242"/>
      <c r="EA40" s="31"/>
      <c r="EB40" s="474"/>
      <c r="EC40" s="173">
        <f>IF(EC39&lt;=FA43,FA43,IF(EC39&lt;=FA44,FA44,IF(EC39&lt;=FA45,FA45,IF(EC39&lt;=FA46,FA46,IF(EC39&lt;=FA47,FA47,IF(EC39&lt;=FA48,FA48,IF(EC39&lt;=FA49,FA49,IF(EC39&lt;=FA50,FA50,IF(EC39&lt;=FA51,FA51,IF(EC39&lt;=FA52,FA52))))))))))</f>
        <v>10</v>
      </c>
      <c r="ED40" s="175"/>
      <c r="EE40" s="170"/>
      <c r="EF40" s="170"/>
      <c r="EG40" s="170"/>
      <c r="EH40" s="170"/>
      <c r="EI40" s="170"/>
      <c r="EJ40" s="477"/>
      <c r="EK40" s="175"/>
      <c r="EL40" s="175"/>
      <c r="EM40" s="175"/>
      <c r="EN40" s="170"/>
      <c r="EO40" s="170"/>
      <c r="EP40" s="477"/>
      <c r="EQ40" s="169"/>
      <c r="ER40" s="169"/>
      <c r="ES40" s="173"/>
      <c r="ET40" s="173"/>
      <c r="EU40" s="176"/>
      <c r="EV40" s="176"/>
      <c r="EW40" s="170"/>
      <c r="EX40" s="170"/>
      <c r="EY40" s="170"/>
      <c r="EZ40" s="30"/>
      <c r="FA40" s="474"/>
      <c r="FB40" s="474"/>
      <c r="FC40" s="474"/>
      <c r="FD40" s="474"/>
      <c r="FE40" s="474"/>
      <c r="FF40" s="474"/>
      <c r="FG40" s="474"/>
      <c r="FH40" s="474"/>
      <c r="FI40" s="474"/>
      <c r="FJ40" s="474"/>
      <c r="FK40" s="474"/>
      <c r="FL40" s="471"/>
      <c r="FM40" s="474"/>
      <c r="FN40" s="474"/>
      <c r="FO40" s="474"/>
      <c r="FP40" s="474"/>
      <c r="FQ40" s="474"/>
      <c r="FR40" s="474"/>
      <c r="FS40" s="474"/>
      <c r="FT40" s="474"/>
      <c r="FU40" s="474"/>
      <c r="FV40" s="474"/>
      <c r="FW40" s="474"/>
      <c r="FX40" s="474"/>
      <c r="FY40" s="474"/>
      <c r="FZ40" s="474"/>
      <c r="GA40" s="474"/>
      <c r="GB40" s="474"/>
      <c r="GC40" s="474"/>
      <c r="GD40" s="474"/>
      <c r="GE40" s="474"/>
      <c r="GF40" s="474"/>
      <c r="GG40" s="474"/>
      <c r="GH40" s="474"/>
      <c r="GI40" s="474"/>
      <c r="GJ40" s="474"/>
      <c r="GK40" s="474"/>
      <c r="GL40" s="474"/>
      <c r="GM40" s="474"/>
      <c r="GN40" s="474"/>
      <c r="GO40" s="474"/>
      <c r="GP40" s="474"/>
      <c r="GQ40" s="474"/>
      <c r="GR40" s="474"/>
      <c r="GS40" s="474"/>
      <c r="GT40" s="474"/>
      <c r="GU40" s="474"/>
      <c r="GV40" s="474"/>
      <c r="GW40" s="474"/>
      <c r="GX40" s="474"/>
      <c r="GY40" s="474"/>
      <c r="GZ40" s="474"/>
      <c r="HA40" s="474"/>
      <c r="HB40" s="474"/>
      <c r="HC40" s="474"/>
      <c r="HD40" s="474"/>
      <c r="HE40" s="474"/>
      <c r="HF40" s="474"/>
      <c r="HG40" s="474"/>
      <c r="HH40" s="474"/>
      <c r="HI40" s="474"/>
      <c r="HJ40" s="474"/>
      <c r="HK40" s="474"/>
      <c r="HL40" s="474"/>
      <c r="HM40" s="474"/>
      <c r="HN40" s="474"/>
      <c r="HO40" s="474"/>
      <c r="HP40" s="474"/>
      <c r="HQ40" s="474"/>
      <c r="HR40" s="474"/>
      <c r="HS40" s="474"/>
      <c r="HT40" s="474"/>
      <c r="HU40" s="474"/>
      <c r="HV40" s="474"/>
      <c r="HW40" s="474"/>
      <c r="HX40" s="474"/>
      <c r="HY40" s="474"/>
      <c r="HZ40" s="474"/>
      <c r="IA40" s="474"/>
      <c r="IB40" s="474"/>
      <c r="IC40" s="474"/>
      <c r="ID40" s="474"/>
      <c r="IE40" s="474"/>
      <c r="IF40" s="474"/>
      <c r="IG40" s="474"/>
      <c r="IH40" s="474"/>
      <c r="II40" s="474"/>
      <c r="IJ40" s="474"/>
      <c r="IK40" s="474"/>
      <c r="IL40" s="474"/>
      <c r="IM40" s="474"/>
      <c r="IN40" s="474"/>
      <c r="IO40" s="474"/>
      <c r="IP40" s="474"/>
    </row>
    <row r="41" spans="1:276" ht="14.1" customHeight="1" x14ac:dyDescent="0.2">
      <c r="A41" s="153"/>
      <c r="B41" s="45"/>
      <c r="C41" s="153"/>
      <c r="D41" s="45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45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237"/>
      <c r="AL41" s="45"/>
      <c r="AM41" s="45"/>
      <c r="AN41" s="45"/>
      <c r="AO41" s="45"/>
      <c r="AP41" s="45"/>
      <c r="AQ41" s="45"/>
      <c r="AR41" s="45"/>
      <c r="AS41" s="45"/>
      <c r="AT41" s="45"/>
      <c r="AU41" s="237"/>
      <c r="AV41" s="237"/>
      <c r="AW41" s="219"/>
      <c r="AX41" s="219"/>
      <c r="AY41" s="219"/>
      <c r="AZ41" s="219"/>
      <c r="BA41" s="219"/>
      <c r="BB41" s="237"/>
      <c r="BC41" s="237"/>
      <c r="BD41" s="298"/>
      <c r="BE41" s="298"/>
      <c r="BF41" s="298"/>
      <c r="BG41" s="298"/>
      <c r="BH41" s="298"/>
      <c r="BI41" s="237"/>
      <c r="BJ41" s="237"/>
      <c r="BK41" s="219"/>
      <c r="BL41" s="219"/>
      <c r="BM41" s="219"/>
      <c r="BN41" s="219"/>
      <c r="BO41" s="219"/>
      <c r="BP41" s="237"/>
      <c r="BQ41" s="237"/>
      <c r="BR41" s="237"/>
      <c r="BS41" s="237"/>
      <c r="BT41" s="478"/>
      <c r="BU41" s="237"/>
      <c r="BV41" s="237"/>
      <c r="BW41" s="45"/>
      <c r="BX41" s="45"/>
      <c r="BY41" s="45"/>
      <c r="BZ41" s="45"/>
      <c r="CA41" s="45"/>
      <c r="CB41" s="45"/>
      <c r="CC41" s="282"/>
      <c r="CD41" s="282"/>
      <c r="CE41" s="282"/>
      <c r="CF41" s="45"/>
      <c r="CG41" s="242"/>
      <c r="CH41" s="267"/>
      <c r="CI41" s="242"/>
      <c r="CJ41" s="242"/>
      <c r="CK41" s="242"/>
      <c r="CL41" s="242"/>
      <c r="CM41" s="242"/>
      <c r="CN41" s="242"/>
      <c r="CO41" s="242"/>
      <c r="CP41" s="242"/>
      <c r="CQ41" s="242"/>
      <c r="CR41" s="242"/>
      <c r="CS41" s="242"/>
      <c r="CT41" s="242"/>
      <c r="CU41" s="242"/>
      <c r="CV41" s="242"/>
      <c r="CW41" s="242"/>
      <c r="CX41" s="242"/>
      <c r="CY41" s="242"/>
      <c r="CZ41" s="242"/>
      <c r="DA41" s="242"/>
      <c r="DB41" s="242"/>
      <c r="DC41" s="242"/>
      <c r="DD41" s="242"/>
      <c r="DE41" s="242"/>
      <c r="DF41" s="242"/>
      <c r="DG41" s="274"/>
      <c r="DH41" s="274"/>
      <c r="DI41" s="274"/>
      <c r="DJ41" s="274"/>
      <c r="DK41" s="274"/>
      <c r="DL41" s="274"/>
      <c r="DM41" s="274"/>
      <c r="DN41" s="274"/>
      <c r="DO41" s="274"/>
      <c r="DP41" s="274"/>
      <c r="DQ41" s="274"/>
      <c r="DR41" s="274"/>
      <c r="DS41" s="214"/>
      <c r="DT41" s="257"/>
      <c r="DU41" s="242"/>
      <c r="DV41" s="242"/>
      <c r="DW41" s="242"/>
      <c r="DX41" s="242"/>
      <c r="DY41" s="242"/>
      <c r="EA41" s="31"/>
      <c r="EB41" s="474"/>
      <c r="EE41" s="170"/>
      <c r="EF41" s="170"/>
      <c r="EG41" s="170"/>
      <c r="EH41" s="170"/>
      <c r="EI41" s="170"/>
      <c r="EJ41" s="477"/>
      <c r="EK41" s="175"/>
      <c r="EL41" s="175"/>
      <c r="EM41" s="175"/>
      <c r="EN41" s="170"/>
      <c r="EO41" s="170"/>
      <c r="EP41" s="477"/>
      <c r="EQ41" s="169"/>
      <c r="ER41" s="169"/>
      <c r="ES41" s="173"/>
      <c r="ET41" s="173"/>
      <c r="EU41" s="173"/>
      <c r="EV41" s="170"/>
      <c r="EW41" s="170"/>
      <c r="EX41" s="170"/>
      <c r="EY41" s="170"/>
      <c r="EZ41" s="30"/>
      <c r="FA41" s="474"/>
      <c r="FB41" s="474"/>
      <c r="FC41" s="474"/>
      <c r="FD41" s="474"/>
      <c r="FE41" s="474"/>
      <c r="FF41" s="474"/>
      <c r="FG41" s="474"/>
      <c r="FH41" s="474"/>
      <c r="FI41" s="474"/>
      <c r="FJ41" s="474"/>
      <c r="FK41" s="474"/>
      <c r="FL41" s="471"/>
      <c r="FM41" s="474"/>
      <c r="FN41" s="474"/>
      <c r="FO41" s="474"/>
      <c r="FP41" s="474"/>
      <c r="FQ41" s="474"/>
      <c r="FR41" s="474"/>
      <c r="FS41" s="474"/>
      <c r="FT41" s="474"/>
      <c r="FU41" s="474"/>
      <c r="FV41" s="474"/>
      <c r="FW41" s="474"/>
      <c r="FX41" s="474"/>
      <c r="FY41" s="474"/>
      <c r="FZ41" s="474"/>
      <c r="GA41" s="474"/>
      <c r="GB41" s="474"/>
      <c r="GC41" s="474"/>
      <c r="GD41" s="474"/>
      <c r="GE41" s="474"/>
      <c r="GF41" s="474"/>
      <c r="GG41" s="474"/>
      <c r="GH41" s="474"/>
      <c r="GI41" s="474"/>
      <c r="GJ41" s="474"/>
      <c r="GK41" s="474"/>
      <c r="GL41" s="474"/>
      <c r="GM41" s="474"/>
      <c r="GN41" s="474"/>
      <c r="GO41" s="474"/>
      <c r="GP41" s="474"/>
      <c r="GQ41" s="474"/>
      <c r="GR41" s="474"/>
      <c r="GS41" s="474"/>
      <c r="GT41" s="474"/>
      <c r="GU41" s="474"/>
      <c r="GV41" s="474"/>
      <c r="GW41" s="474"/>
      <c r="GX41" s="474"/>
      <c r="GY41" s="474"/>
      <c r="GZ41" s="474"/>
      <c r="HA41" s="474"/>
      <c r="HB41" s="474"/>
      <c r="HC41" s="474"/>
      <c r="HD41" s="474"/>
      <c r="HE41" s="474"/>
      <c r="HF41" s="474"/>
      <c r="HG41" s="474"/>
      <c r="HH41" s="474"/>
      <c r="HI41" s="474"/>
      <c r="HJ41" s="474"/>
      <c r="HK41" s="474"/>
      <c r="HL41" s="474"/>
      <c r="HM41" s="474"/>
      <c r="HN41" s="474"/>
      <c r="HO41" s="474"/>
      <c r="HP41" s="474"/>
      <c r="HQ41" s="474"/>
      <c r="HR41" s="474"/>
      <c r="HS41" s="474"/>
      <c r="HT41" s="474"/>
      <c r="HU41" s="474"/>
      <c r="HV41" s="474"/>
      <c r="HW41" s="474"/>
      <c r="HX41" s="474"/>
      <c r="HY41" s="474"/>
      <c r="HZ41" s="474"/>
      <c r="IA41" s="474"/>
      <c r="IB41" s="474"/>
      <c r="IC41" s="474"/>
      <c r="ID41" s="474"/>
      <c r="IE41" s="474"/>
      <c r="IF41" s="474"/>
      <c r="IG41" s="474"/>
      <c r="IH41" s="474"/>
      <c r="II41" s="474"/>
      <c r="IJ41" s="474"/>
      <c r="IK41" s="474"/>
      <c r="IL41" s="474"/>
      <c r="IM41" s="474"/>
      <c r="IN41" s="474"/>
      <c r="IO41" s="474"/>
      <c r="IP41" s="474"/>
      <c r="JG41" s="146" t="s">
        <v>136</v>
      </c>
    </row>
    <row r="42" spans="1:276" ht="14.1" customHeight="1" x14ac:dyDescent="0.2">
      <c r="A42" s="153"/>
      <c r="B42" s="45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45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237"/>
      <c r="AL42" s="45"/>
      <c r="AM42" s="45"/>
      <c r="AN42" s="45"/>
      <c r="AO42" s="45"/>
      <c r="AP42" s="45"/>
      <c r="AQ42" s="45"/>
      <c r="AR42" s="45"/>
      <c r="AS42" s="45"/>
      <c r="AT42" s="45"/>
      <c r="AU42" s="237"/>
      <c r="AV42" s="237"/>
      <c r="AW42" s="219"/>
      <c r="AX42" s="219"/>
      <c r="AY42" s="219"/>
      <c r="AZ42" s="219"/>
      <c r="BA42" s="219"/>
      <c r="BB42" s="237"/>
      <c r="BC42" s="237"/>
      <c r="BD42" s="219"/>
      <c r="BE42" s="219"/>
      <c r="BF42" s="219"/>
      <c r="BG42" s="219"/>
      <c r="BH42" s="219"/>
      <c r="BI42" s="237"/>
      <c r="BJ42" s="237"/>
      <c r="BK42" s="219"/>
      <c r="BL42" s="219"/>
      <c r="BM42" s="219"/>
      <c r="BN42" s="219"/>
      <c r="BO42" s="219"/>
      <c r="BP42" s="237"/>
      <c r="BQ42" s="237"/>
      <c r="BR42" s="237"/>
      <c r="BS42" s="237"/>
      <c r="BT42" s="478"/>
      <c r="BU42" s="237"/>
      <c r="BV42" s="237"/>
      <c r="BW42" s="45"/>
      <c r="BX42" s="45"/>
      <c r="BY42" s="45"/>
      <c r="BZ42" s="45"/>
      <c r="CA42" s="45"/>
      <c r="CB42" s="45"/>
      <c r="CC42" s="214"/>
      <c r="CD42" s="214"/>
      <c r="CE42" s="214"/>
      <c r="CF42" s="45"/>
      <c r="CG42" s="242"/>
      <c r="CH42" s="268"/>
      <c r="CI42" s="242"/>
      <c r="CJ42" s="242"/>
      <c r="CK42" s="242"/>
      <c r="CL42" s="242"/>
      <c r="CM42" s="242"/>
      <c r="CN42" s="242"/>
      <c r="CO42" s="242"/>
      <c r="CP42" s="242"/>
      <c r="CQ42" s="242"/>
      <c r="CR42" s="242"/>
      <c r="CS42" s="242"/>
      <c r="CT42" s="242"/>
      <c r="CU42" s="242"/>
      <c r="CV42" s="242"/>
      <c r="CW42" s="242"/>
      <c r="CX42" s="242"/>
      <c r="CY42" s="242"/>
      <c r="CZ42" s="242"/>
      <c r="DA42" s="242"/>
      <c r="DB42" s="242"/>
      <c r="DC42" s="242"/>
      <c r="DD42" s="242"/>
      <c r="DE42" s="242"/>
      <c r="DF42" s="242"/>
      <c r="DG42" s="268"/>
      <c r="DH42" s="268"/>
      <c r="DI42" s="268"/>
      <c r="DJ42" s="268"/>
      <c r="DK42" s="268"/>
      <c r="DL42" s="268"/>
      <c r="DM42" s="268"/>
      <c r="DN42" s="268"/>
      <c r="DO42" s="268"/>
      <c r="DP42" s="268"/>
      <c r="DQ42" s="268"/>
      <c r="DR42" s="268"/>
      <c r="DS42" s="242"/>
      <c r="DT42" s="267"/>
      <c r="DU42" s="242"/>
      <c r="DV42" s="242"/>
      <c r="DW42" s="242"/>
      <c r="DX42" s="242"/>
      <c r="DY42" s="242"/>
      <c r="EA42" s="31"/>
      <c r="EB42" s="474"/>
      <c r="EC42" s="476" t="s">
        <v>69</v>
      </c>
      <c r="ED42" s="476" t="s">
        <v>85</v>
      </c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474"/>
      <c r="FA42" s="474"/>
      <c r="FB42" s="474"/>
      <c r="FC42" s="474"/>
      <c r="FD42" s="474"/>
      <c r="FE42" s="474"/>
      <c r="FF42" s="474"/>
      <c r="FG42" s="474"/>
      <c r="FH42" s="474">
        <v>150</v>
      </c>
      <c r="FI42" s="474"/>
      <c r="FJ42" s="474"/>
      <c r="FK42" s="474"/>
      <c r="FL42" s="471"/>
      <c r="FM42" s="474"/>
      <c r="FN42" s="474"/>
      <c r="FO42" s="474"/>
      <c r="FP42" s="474"/>
      <c r="FQ42" s="474"/>
      <c r="FR42" s="474"/>
      <c r="FS42" s="474"/>
      <c r="FT42" s="474"/>
      <c r="FU42" s="474"/>
      <c r="FV42" s="474"/>
      <c r="FW42" s="474"/>
      <c r="FX42" s="474"/>
      <c r="FY42" s="474"/>
      <c r="FZ42" s="474"/>
      <c r="GA42" s="474"/>
      <c r="GB42" s="474"/>
      <c r="GC42" s="474"/>
      <c r="GD42" s="474"/>
      <c r="GE42" s="474"/>
      <c r="GF42" s="474"/>
      <c r="GG42" s="474"/>
      <c r="GH42" s="474"/>
      <c r="GI42" s="474"/>
      <c r="GJ42" s="474"/>
      <c r="GK42" s="474"/>
      <c r="GL42" s="474"/>
      <c r="GM42" s="474"/>
      <c r="GN42" s="474"/>
      <c r="GO42" s="474"/>
      <c r="GP42" s="474"/>
      <c r="GQ42" s="474"/>
      <c r="GR42" s="474"/>
      <c r="GS42" s="474"/>
      <c r="GT42" s="474"/>
      <c r="GU42" s="474"/>
      <c r="GV42" s="474"/>
      <c r="GW42" s="474"/>
      <c r="GX42" s="474"/>
      <c r="GY42" s="474"/>
      <c r="GZ42" s="474"/>
      <c r="HA42" s="474"/>
      <c r="HB42" s="474"/>
      <c r="HC42" s="474"/>
      <c r="HD42" s="474"/>
      <c r="HE42" s="474"/>
      <c r="HF42" s="474"/>
      <c r="HG42" s="474"/>
      <c r="HH42" s="474"/>
      <c r="HI42" s="474"/>
      <c r="HJ42" s="474"/>
      <c r="HK42" s="474"/>
      <c r="HL42" s="474"/>
      <c r="HM42" s="474"/>
      <c r="HN42" s="474"/>
      <c r="HO42" s="474"/>
      <c r="HP42" s="474"/>
      <c r="HQ42" s="474"/>
      <c r="HR42" s="474"/>
      <c r="HS42" s="474"/>
      <c r="HT42" s="474"/>
      <c r="HU42" s="474"/>
      <c r="HV42" s="474"/>
      <c r="HW42" s="474"/>
      <c r="HX42" s="474"/>
      <c r="HY42" s="474"/>
      <c r="HZ42" s="474"/>
      <c r="IA42" s="474"/>
      <c r="IB42" s="474"/>
      <c r="IC42" s="474"/>
      <c r="ID42" s="474"/>
      <c r="IE42" s="474"/>
      <c r="IF42" s="474"/>
      <c r="IG42" s="474"/>
      <c r="IH42" s="474"/>
      <c r="II42" s="474"/>
      <c r="IJ42" s="474"/>
      <c r="IK42" s="474"/>
      <c r="IL42" s="474"/>
      <c r="IM42" s="474"/>
      <c r="IN42" s="474"/>
      <c r="IO42" s="474"/>
      <c r="IP42" s="474"/>
      <c r="JG42" s="146" t="s">
        <v>23</v>
      </c>
      <c r="JH42" s="146">
        <v>0</v>
      </c>
      <c r="JI42" s="146">
        <v>-0.2</v>
      </c>
      <c r="JJ42" s="146">
        <v>-0.2</v>
      </c>
      <c r="JK42" s="146">
        <v>0</v>
      </c>
      <c r="JL42" s="177">
        <v>0</v>
      </c>
    </row>
    <row r="43" spans="1:276" ht="14.1" customHeight="1" x14ac:dyDescent="0.2">
      <c r="A43" s="153"/>
      <c r="B43" s="45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45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237"/>
      <c r="AL43" s="45"/>
      <c r="AM43" s="45"/>
      <c r="AN43" s="45"/>
      <c r="AO43" s="45"/>
      <c r="AP43" s="45"/>
      <c r="AQ43" s="45"/>
      <c r="AR43" s="45"/>
      <c r="AS43" s="45"/>
      <c r="AT43" s="45"/>
      <c r="AU43" s="237"/>
      <c r="AV43" s="237"/>
      <c r="AW43" s="219"/>
      <c r="AX43" s="219"/>
      <c r="AY43" s="219"/>
      <c r="AZ43" s="219"/>
      <c r="BA43" s="219"/>
      <c r="BB43" s="237"/>
      <c r="BC43" s="237"/>
      <c r="BD43" s="219"/>
      <c r="BE43" s="219"/>
      <c r="BF43" s="219"/>
      <c r="BG43" s="219"/>
      <c r="BH43" s="219"/>
      <c r="BI43" s="237"/>
      <c r="BJ43" s="237"/>
      <c r="BK43" s="219"/>
      <c r="BL43" s="219"/>
      <c r="BM43" s="219"/>
      <c r="BN43" s="219"/>
      <c r="BO43" s="219"/>
      <c r="BP43" s="237"/>
      <c r="BQ43" s="237"/>
      <c r="BR43" s="237"/>
      <c r="BS43" s="237"/>
      <c r="BT43" s="478"/>
      <c r="BU43" s="237"/>
      <c r="BV43" s="237"/>
      <c r="BW43" s="45"/>
      <c r="BX43" s="45"/>
      <c r="BY43" s="45"/>
      <c r="BZ43" s="45"/>
      <c r="CA43" s="45"/>
      <c r="CB43" s="45"/>
      <c r="CC43" s="214"/>
      <c r="CD43" s="214"/>
      <c r="CE43" s="214"/>
      <c r="CF43" s="45"/>
      <c r="CG43" s="242"/>
      <c r="CH43" s="283"/>
      <c r="CI43" s="283"/>
      <c r="CJ43" s="283"/>
      <c r="CK43" s="283"/>
      <c r="CL43" s="283"/>
      <c r="CM43" s="283"/>
      <c r="CN43" s="283"/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3"/>
      <c r="DC43" s="283"/>
      <c r="DD43" s="283"/>
      <c r="DE43" s="284"/>
      <c r="DF43" s="284"/>
      <c r="DG43" s="284"/>
      <c r="DH43" s="284"/>
      <c r="DI43" s="284"/>
      <c r="DJ43" s="284"/>
      <c r="DK43" s="284"/>
      <c r="DL43" s="284"/>
      <c r="DM43" s="284"/>
      <c r="DN43" s="242"/>
      <c r="DO43" s="242"/>
      <c r="DP43" s="242"/>
      <c r="DQ43" s="242"/>
      <c r="DR43" s="242"/>
      <c r="DS43" s="242"/>
      <c r="DT43" s="242"/>
      <c r="DU43" s="242"/>
      <c r="DV43" s="242"/>
      <c r="DW43" s="242"/>
      <c r="DX43" s="242"/>
      <c r="DY43" s="242"/>
      <c r="EA43" s="31"/>
      <c r="EB43" s="474"/>
      <c r="EC43" s="114" t="s">
        <v>86</v>
      </c>
      <c r="ED43" s="170"/>
      <c r="EE43" s="173" t="s">
        <v>1</v>
      </c>
      <c r="EF43" s="573">
        <f>IF(H4=2400,0.0025,IF(H4=3000,0.002,IF(H4=4000,0.0018,IF(H4&gt;4000,0.0018*(4000/H4)))))</f>
        <v>2E-3</v>
      </c>
      <c r="EG43" s="573"/>
      <c r="EH43" s="573"/>
      <c r="EI43" s="114"/>
      <c r="EJ43" s="170" t="s">
        <v>87</v>
      </c>
      <c r="EK43" s="114" t="s">
        <v>88</v>
      </c>
      <c r="EL43" s="170"/>
      <c r="EM43" s="477" t="s">
        <v>1</v>
      </c>
      <c r="EN43" s="573" t="e">
        <f>IF(#REF!=2400,0.0025,IF(#REF!=3000,0.002,IF(#REF!=4000,0.0018,IF(#REF!&gt;4000,0.0018*(4000/#REF!)))))</f>
        <v>#REF!</v>
      </c>
      <c r="EO43" s="573"/>
      <c r="EP43" s="573"/>
      <c r="EQ43" s="26"/>
      <c r="ER43" s="571">
        <v>1.4</v>
      </c>
      <c r="ES43" s="571"/>
      <c r="ET43" s="555">
        <v>1.7</v>
      </c>
      <c r="EU43" s="555"/>
      <c r="EV43" s="474"/>
      <c r="EW43" s="555">
        <v>2400</v>
      </c>
      <c r="EX43" s="555"/>
      <c r="EY43" s="475">
        <v>2</v>
      </c>
      <c r="EZ43" s="137"/>
      <c r="FA43" s="137">
        <v>8</v>
      </c>
      <c r="FB43" s="31"/>
      <c r="FC43" s="11">
        <v>0.1</v>
      </c>
      <c r="FD43" s="11"/>
      <c r="FE43" s="474"/>
      <c r="FF43" s="474">
        <v>30</v>
      </c>
      <c r="FG43" s="474"/>
      <c r="FH43" s="9">
        <v>173</v>
      </c>
      <c r="FI43" s="474"/>
      <c r="FJ43" s="474">
        <v>50</v>
      </c>
      <c r="FK43" s="474"/>
      <c r="FL43" s="5">
        <v>0.9</v>
      </c>
      <c r="FM43" s="8">
        <v>0.85</v>
      </c>
      <c r="FN43" s="474"/>
      <c r="FO43" s="474"/>
      <c r="FP43" s="474"/>
      <c r="FQ43" s="474"/>
      <c r="FR43" s="474"/>
      <c r="FS43" s="474"/>
      <c r="FT43" s="474"/>
      <c r="FU43" s="474"/>
      <c r="FV43" s="474"/>
      <c r="FW43" s="474"/>
      <c r="FX43" s="474"/>
      <c r="FY43" s="474"/>
      <c r="FZ43" s="474"/>
      <c r="GA43" s="474"/>
      <c r="GB43" s="474"/>
      <c r="GC43" s="474"/>
      <c r="GD43" s="474"/>
      <c r="GE43" s="474"/>
      <c r="GF43" s="474"/>
      <c r="GG43" s="474"/>
      <c r="GH43" s="474"/>
      <c r="GI43" s="474"/>
      <c r="GJ43" s="474"/>
      <c r="GK43" s="474"/>
      <c r="GL43" s="474"/>
      <c r="GM43" s="474"/>
      <c r="GN43" s="474"/>
      <c r="GO43" s="474"/>
      <c r="GP43" s="474"/>
      <c r="GQ43" s="474"/>
      <c r="GR43" s="474"/>
      <c r="GS43" s="474"/>
      <c r="GT43" s="474"/>
      <c r="GU43" s="474"/>
      <c r="GV43" s="474"/>
      <c r="GW43" s="474"/>
      <c r="GX43" s="474"/>
      <c r="GY43" s="474"/>
      <c r="GZ43" s="474"/>
      <c r="HA43" s="474"/>
      <c r="HB43" s="474"/>
      <c r="HC43" s="474"/>
      <c r="HD43" s="474"/>
      <c r="HE43" s="474"/>
      <c r="HF43" s="474"/>
      <c r="HG43" s="474"/>
      <c r="HH43" s="474"/>
      <c r="HI43" s="474"/>
      <c r="HJ43" s="474"/>
      <c r="HK43" s="474"/>
      <c r="HL43" s="474"/>
      <c r="HM43" s="474"/>
      <c r="HN43" s="474"/>
      <c r="HO43" s="474"/>
      <c r="HP43" s="474"/>
      <c r="HQ43" s="474"/>
      <c r="HR43" s="474"/>
      <c r="HS43" s="474"/>
      <c r="HT43" s="474"/>
      <c r="HU43" s="474"/>
      <c r="HV43" s="474"/>
      <c r="HW43" s="474"/>
      <c r="HX43" s="474"/>
      <c r="HY43" s="474"/>
      <c r="HZ43" s="474"/>
      <c r="IA43" s="474"/>
      <c r="IB43" s="474"/>
      <c r="IC43" s="474"/>
      <c r="ID43" s="474"/>
      <c r="IE43" s="474"/>
      <c r="IF43" s="474"/>
      <c r="IG43" s="474"/>
      <c r="IH43" s="474"/>
      <c r="II43" s="474"/>
      <c r="IJ43" s="474"/>
      <c r="IK43" s="474"/>
      <c r="IL43" s="474"/>
      <c r="IM43" s="474"/>
      <c r="IN43" s="474"/>
      <c r="IO43" s="474"/>
      <c r="IP43" s="474"/>
      <c r="JG43" s="146" t="s">
        <v>24</v>
      </c>
      <c r="JH43" s="146">
        <v>0</v>
      </c>
      <c r="JI43" s="146">
        <v>0</v>
      </c>
      <c r="JJ43" s="146">
        <v>-0.4</v>
      </c>
      <c r="JK43" s="146">
        <v>-0.4</v>
      </c>
      <c r="JL43" s="177">
        <f>JL49</f>
        <v>-0.125</v>
      </c>
    </row>
    <row r="44" spans="1:276" ht="14.1" customHeight="1" x14ac:dyDescent="0.2">
      <c r="A44" s="153"/>
      <c r="B44" s="45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45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237"/>
      <c r="AL44" s="45"/>
      <c r="AM44" s="45"/>
      <c r="AN44" s="45"/>
      <c r="AO44" s="45"/>
      <c r="AP44" s="45"/>
      <c r="AQ44" s="45"/>
      <c r="AR44" s="45"/>
      <c r="AS44" s="45"/>
      <c r="AT44" s="45"/>
      <c r="AU44" s="237"/>
      <c r="AV44" s="237"/>
      <c r="AW44" s="413"/>
      <c r="AX44" s="413"/>
      <c r="AY44" s="413"/>
      <c r="AZ44" s="413"/>
      <c r="BA44" s="413"/>
      <c r="BB44" s="237"/>
      <c r="BC44" s="237"/>
      <c r="BD44" s="413"/>
      <c r="BE44" s="413"/>
      <c r="BF44" s="413"/>
      <c r="BG44" s="413"/>
      <c r="BH44" s="413"/>
      <c r="BI44" s="237"/>
      <c r="BJ44" s="237"/>
      <c r="BK44" s="413"/>
      <c r="BL44" s="413"/>
      <c r="BM44" s="413"/>
      <c r="BN44" s="413"/>
      <c r="BO44" s="413"/>
      <c r="BP44" s="237"/>
      <c r="BQ44" s="237"/>
      <c r="BR44" s="237"/>
      <c r="BS44" s="237"/>
      <c r="BT44" s="478"/>
      <c r="BU44" s="237"/>
      <c r="BV44" s="237"/>
      <c r="BW44" s="45"/>
      <c r="BX44" s="45"/>
      <c r="BY44" s="45"/>
      <c r="BZ44" s="45"/>
      <c r="CA44" s="45"/>
      <c r="CB44" s="45"/>
      <c r="CC44" s="268"/>
      <c r="CD44" s="268"/>
      <c r="CE44" s="268"/>
      <c r="CF44" s="45"/>
      <c r="CG44" s="242"/>
      <c r="CH44" s="283"/>
      <c r="CI44" s="283"/>
      <c r="CJ44" s="283"/>
      <c r="CK44" s="283"/>
      <c r="CL44" s="283"/>
      <c r="CM44" s="283"/>
      <c r="CN44" s="283"/>
      <c r="CO44" s="283"/>
      <c r="CP44" s="283"/>
      <c r="CQ44" s="283"/>
      <c r="CR44" s="283"/>
      <c r="CS44" s="283"/>
      <c r="CT44" s="283"/>
      <c r="CU44" s="283"/>
      <c r="CV44" s="283"/>
      <c r="CW44" s="283"/>
      <c r="CX44" s="283"/>
      <c r="CY44" s="283"/>
      <c r="CZ44" s="283"/>
      <c r="DA44" s="283"/>
      <c r="DB44" s="283"/>
      <c r="DC44" s="283"/>
      <c r="DD44" s="283"/>
      <c r="DE44" s="284"/>
      <c r="DF44" s="284"/>
      <c r="DG44" s="284"/>
      <c r="DH44" s="284"/>
      <c r="DI44" s="284"/>
      <c r="DJ44" s="284"/>
      <c r="DK44" s="284"/>
      <c r="DL44" s="284"/>
      <c r="DM44" s="284"/>
      <c r="DN44" s="242"/>
      <c r="DO44" s="242"/>
      <c r="DP44" s="242"/>
      <c r="DQ44" s="242"/>
      <c r="DR44" s="242"/>
      <c r="DS44" s="242"/>
      <c r="DT44" s="242"/>
      <c r="DU44" s="242"/>
      <c r="DV44" s="242"/>
      <c r="DW44" s="242"/>
      <c r="DX44" s="242"/>
      <c r="DY44" s="242"/>
      <c r="EA44" s="31"/>
      <c r="EB44" s="474"/>
      <c r="EC44" s="474" t="s">
        <v>89</v>
      </c>
      <c r="ED44" s="474"/>
      <c r="EE44" s="474"/>
      <c r="EF44" s="474" t="s">
        <v>90</v>
      </c>
      <c r="EG44" s="474"/>
      <c r="EH44" s="474"/>
      <c r="EI44" s="474"/>
      <c r="EJ44" s="474"/>
      <c r="EK44" s="474"/>
      <c r="EL44" s="474"/>
      <c r="EM44" s="474"/>
      <c r="EN44" s="474"/>
      <c r="EO44" s="474"/>
      <c r="EP44" s="474"/>
      <c r="EQ44" s="474"/>
      <c r="ER44" s="555">
        <v>1.7</v>
      </c>
      <c r="ES44" s="555"/>
      <c r="ET44" s="571">
        <v>2</v>
      </c>
      <c r="EU44" s="571"/>
      <c r="EV44" s="474"/>
      <c r="EW44" s="555">
        <v>3000</v>
      </c>
      <c r="EX44" s="555"/>
      <c r="EY44" s="475">
        <v>2.5</v>
      </c>
      <c r="EZ44" s="179"/>
      <c r="FA44" s="137">
        <v>10</v>
      </c>
      <c r="FB44" s="31"/>
      <c r="FC44" s="11">
        <v>0.125</v>
      </c>
      <c r="FD44" s="11"/>
      <c r="FE44" s="474"/>
      <c r="FF44" s="474">
        <v>100</v>
      </c>
      <c r="FG44" s="474"/>
      <c r="FH44" s="9">
        <v>180</v>
      </c>
      <c r="FI44" s="474"/>
      <c r="FJ44" s="474">
        <v>100</v>
      </c>
      <c r="FK44" s="474"/>
      <c r="FL44" s="5">
        <v>0.85</v>
      </c>
      <c r="FM44" s="8">
        <v>0.8</v>
      </c>
      <c r="FN44" s="474"/>
      <c r="FO44" s="474"/>
      <c r="FP44" s="474"/>
      <c r="FQ44" s="474"/>
      <c r="FR44" s="474"/>
      <c r="FS44" s="474"/>
      <c r="FT44" s="474"/>
      <c r="FU44" s="474"/>
      <c r="FV44" s="474"/>
      <c r="FW44" s="474"/>
      <c r="FX44" s="474"/>
      <c r="FY44" s="474"/>
      <c r="FZ44" s="474"/>
      <c r="GA44" s="474"/>
      <c r="GB44" s="474"/>
      <c r="GC44" s="474"/>
      <c r="GD44" s="474"/>
      <c r="GE44" s="474"/>
      <c r="GF44" s="474"/>
      <c r="GG44" s="474"/>
      <c r="GH44" s="474"/>
      <c r="GI44" s="474"/>
      <c r="GJ44" s="474"/>
      <c r="GK44" s="474"/>
      <c r="GL44" s="474"/>
      <c r="GM44" s="474"/>
      <c r="GN44" s="474"/>
      <c r="GO44" s="474"/>
      <c r="GP44" s="474"/>
      <c r="GQ44" s="474"/>
      <c r="GR44" s="474"/>
      <c r="GS44" s="474"/>
      <c r="GT44" s="474"/>
      <c r="GU44" s="474"/>
      <c r="GV44" s="474"/>
      <c r="GW44" s="474"/>
      <c r="GX44" s="474"/>
      <c r="GY44" s="474"/>
      <c r="GZ44" s="474"/>
      <c r="HA44" s="474"/>
      <c r="HB44" s="474"/>
      <c r="HC44" s="474"/>
      <c r="HD44" s="474"/>
      <c r="HE44" s="474"/>
      <c r="HF44" s="474"/>
      <c r="HG44" s="474"/>
      <c r="HH44" s="474"/>
      <c r="HI44" s="474"/>
      <c r="HJ44" s="474"/>
      <c r="HK44" s="474"/>
      <c r="HL44" s="474"/>
      <c r="HM44" s="474"/>
      <c r="HN44" s="474"/>
      <c r="HO44" s="474"/>
      <c r="HP44" s="474"/>
      <c r="HQ44" s="474"/>
      <c r="HR44" s="474"/>
      <c r="HS44" s="474"/>
      <c r="HT44" s="474"/>
      <c r="HU44" s="474"/>
      <c r="HV44" s="474"/>
      <c r="HW44" s="474"/>
      <c r="HX44" s="474"/>
      <c r="HY44" s="474"/>
      <c r="HZ44" s="474"/>
      <c r="IA44" s="474"/>
      <c r="IB44" s="474"/>
      <c r="IC44" s="474"/>
      <c r="ID44" s="474"/>
      <c r="IE44" s="474"/>
      <c r="IF44" s="474"/>
      <c r="IG44" s="474"/>
      <c r="IH44" s="474"/>
      <c r="II44" s="474"/>
      <c r="IJ44" s="474"/>
      <c r="IK44" s="474"/>
      <c r="IL44" s="474"/>
      <c r="IM44" s="474"/>
      <c r="IN44" s="474"/>
      <c r="IO44" s="474"/>
      <c r="IP44" s="474"/>
      <c r="JG44" s="146" t="s">
        <v>135</v>
      </c>
    </row>
    <row r="45" spans="1:276" ht="14.1" customHeight="1" x14ac:dyDescent="0.2">
      <c r="A45" s="153"/>
      <c r="B45" s="45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45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237"/>
      <c r="AL45" s="45"/>
      <c r="AM45" s="45"/>
      <c r="AN45" s="45"/>
      <c r="AO45" s="45"/>
      <c r="AP45" s="45"/>
      <c r="AQ45" s="45"/>
      <c r="AR45" s="45"/>
      <c r="AS45" s="45"/>
      <c r="AT45" s="45"/>
      <c r="AU45" s="237"/>
      <c r="AV45" s="237"/>
      <c r="AW45" s="413"/>
      <c r="AX45" s="413"/>
      <c r="AY45" s="413"/>
      <c r="AZ45" s="413"/>
      <c r="BA45" s="413"/>
      <c r="BB45" s="237"/>
      <c r="BC45" s="237"/>
      <c r="BD45" s="413"/>
      <c r="BE45" s="413"/>
      <c r="BF45" s="413"/>
      <c r="BG45" s="413"/>
      <c r="BH45" s="413"/>
      <c r="BI45" s="237"/>
      <c r="BJ45" s="237"/>
      <c r="BK45" s="413"/>
      <c r="BL45" s="413"/>
      <c r="BM45" s="413"/>
      <c r="BN45" s="413"/>
      <c r="BO45" s="413"/>
      <c r="BP45" s="237"/>
      <c r="BQ45" s="237"/>
      <c r="BR45" s="237"/>
      <c r="BS45" s="237"/>
      <c r="BT45" s="478"/>
      <c r="BU45" s="237"/>
      <c r="BV45" s="237"/>
      <c r="BW45" s="214"/>
      <c r="BX45" s="214"/>
      <c r="BY45" s="214"/>
      <c r="BZ45" s="214"/>
      <c r="CA45" s="214"/>
      <c r="CB45" s="214"/>
      <c r="CC45" s="214"/>
      <c r="CD45" s="214"/>
      <c r="CE45" s="214"/>
      <c r="CF45" s="45"/>
      <c r="CG45" s="242"/>
      <c r="CH45" s="267"/>
      <c r="CI45" s="267"/>
      <c r="CJ45" s="267"/>
      <c r="CK45" s="267"/>
      <c r="CL45" s="267"/>
      <c r="CM45" s="267"/>
      <c r="CN45" s="267"/>
      <c r="CO45" s="267"/>
      <c r="CP45" s="267"/>
      <c r="CQ45" s="267"/>
      <c r="CR45" s="267"/>
      <c r="CS45" s="267"/>
      <c r="CT45" s="267"/>
      <c r="CU45" s="267"/>
      <c r="CV45" s="267"/>
      <c r="CW45" s="267"/>
      <c r="CX45" s="267"/>
      <c r="CY45" s="267"/>
      <c r="CZ45" s="267"/>
      <c r="DA45" s="267"/>
      <c r="DB45" s="267"/>
      <c r="DC45" s="267"/>
      <c r="DD45" s="267"/>
      <c r="DE45" s="267"/>
      <c r="DF45" s="267"/>
      <c r="DG45" s="274"/>
      <c r="DH45" s="268"/>
      <c r="DI45" s="268"/>
      <c r="DJ45" s="267"/>
      <c r="DK45" s="242"/>
      <c r="DL45" s="284"/>
      <c r="DM45" s="284"/>
      <c r="DN45" s="242"/>
      <c r="DO45" s="242"/>
      <c r="DP45" s="242"/>
      <c r="DQ45" s="242"/>
      <c r="DR45" s="242"/>
      <c r="DS45" s="242"/>
      <c r="DT45" s="242"/>
      <c r="DU45" s="242"/>
      <c r="DV45" s="242"/>
      <c r="DW45" s="242"/>
      <c r="DX45" s="242"/>
      <c r="DY45" s="242"/>
      <c r="DZ45" s="474"/>
      <c r="EA45" s="474"/>
      <c r="EB45" s="474"/>
      <c r="EC45" s="474"/>
      <c r="ED45" s="474"/>
      <c r="EE45" s="474"/>
      <c r="EF45" s="474"/>
      <c r="EG45" s="474"/>
      <c r="EH45" s="474"/>
      <c r="EI45" s="474"/>
      <c r="EJ45" s="474"/>
      <c r="EK45" s="474"/>
      <c r="EL45" s="474"/>
      <c r="EM45" s="474"/>
      <c r="EN45" s="474"/>
      <c r="EO45" s="474"/>
      <c r="EP45" s="474"/>
      <c r="EQ45" s="474"/>
      <c r="ER45" s="474"/>
      <c r="ES45" s="31"/>
      <c r="ET45" s="31"/>
      <c r="EU45" s="31"/>
      <c r="EV45" s="474"/>
      <c r="EW45" s="555">
        <v>4000</v>
      </c>
      <c r="EX45" s="555"/>
      <c r="EY45" s="475">
        <v>3</v>
      </c>
      <c r="EZ45" s="474"/>
      <c r="FA45" s="137">
        <v>12.5</v>
      </c>
      <c r="FB45" s="31"/>
      <c r="FC45" s="11">
        <v>0.15</v>
      </c>
      <c r="FD45" s="11"/>
      <c r="FE45" s="474"/>
      <c r="FF45" s="474">
        <v>150</v>
      </c>
      <c r="FG45" s="474"/>
      <c r="FH45" s="10">
        <v>210</v>
      </c>
      <c r="FI45" s="474"/>
      <c r="FJ45" s="474">
        <v>120</v>
      </c>
      <c r="FK45" s="474"/>
      <c r="FL45" s="5">
        <v>0.8</v>
      </c>
      <c r="FM45" s="8">
        <v>0.75</v>
      </c>
      <c r="FN45" s="474"/>
      <c r="FO45" s="474"/>
      <c r="FP45" s="474"/>
      <c r="FQ45" s="474"/>
      <c r="FR45" s="474"/>
      <c r="FS45" s="474"/>
      <c r="FT45" s="474"/>
      <c r="FU45" s="474"/>
      <c r="FV45" s="474"/>
      <c r="FW45" s="474"/>
      <c r="FX45" s="474"/>
      <c r="FY45" s="474"/>
      <c r="FZ45" s="474"/>
      <c r="GA45" s="474"/>
      <c r="GB45" s="474"/>
      <c r="GC45" s="474"/>
      <c r="GD45" s="474"/>
      <c r="GE45" s="474"/>
      <c r="GF45" s="474"/>
      <c r="GG45" s="474"/>
      <c r="GH45" s="474"/>
      <c r="GI45" s="474"/>
      <c r="GJ45" s="474"/>
      <c r="GK45" s="474"/>
      <c r="GL45" s="474"/>
      <c r="GM45" s="474"/>
      <c r="GN45" s="474"/>
      <c r="GO45" s="474"/>
      <c r="GP45" s="474"/>
      <c r="GQ45" s="474"/>
      <c r="GR45" s="474"/>
      <c r="GS45" s="474"/>
      <c r="GT45" s="474"/>
      <c r="GU45" s="474"/>
      <c r="GV45" s="474"/>
      <c r="GW45" s="474"/>
      <c r="GX45" s="474"/>
      <c r="GY45" s="474"/>
      <c r="GZ45" s="474"/>
      <c r="HA45" s="474"/>
      <c r="HB45" s="474"/>
      <c r="HC45" s="474"/>
      <c r="HD45" s="474"/>
      <c r="HE45" s="474"/>
      <c r="HF45" s="474"/>
      <c r="HG45" s="474"/>
      <c r="HH45" s="474"/>
      <c r="HI45" s="474"/>
      <c r="HJ45" s="474"/>
      <c r="HK45" s="474"/>
      <c r="HL45" s="474"/>
      <c r="HM45" s="474"/>
      <c r="HN45" s="474"/>
      <c r="HO45" s="474"/>
      <c r="HP45" s="474"/>
      <c r="HQ45" s="474"/>
      <c r="HR45" s="474"/>
      <c r="HS45" s="474"/>
      <c r="HT45" s="474"/>
      <c r="HU45" s="474"/>
      <c r="HV45" s="474"/>
      <c r="HW45" s="474"/>
      <c r="HX45" s="474"/>
      <c r="HY45" s="474"/>
      <c r="HZ45" s="474"/>
      <c r="IA45" s="474"/>
      <c r="IB45" s="474"/>
      <c r="IC45" s="474"/>
      <c r="ID45" s="474"/>
      <c r="IE45" s="474"/>
      <c r="IF45" s="474"/>
      <c r="IG45" s="474"/>
      <c r="IH45" s="474"/>
      <c r="II45" s="474"/>
      <c r="IJ45" s="474"/>
      <c r="IK45" s="474"/>
      <c r="IL45" s="474"/>
      <c r="IM45" s="474"/>
      <c r="IN45" s="474"/>
      <c r="IO45" s="474"/>
      <c r="IP45" s="474"/>
      <c r="JG45" s="146" t="s">
        <v>23</v>
      </c>
      <c r="JH45" s="146">
        <v>2</v>
      </c>
      <c r="JI45" s="146">
        <v>2.2000000000000002</v>
      </c>
      <c r="JJ45" s="146">
        <v>2.2000000000000002</v>
      </c>
      <c r="JK45" s="146">
        <v>2</v>
      </c>
      <c r="JL45" s="177">
        <v>2</v>
      </c>
    </row>
    <row r="46" spans="1:276" ht="14.1" customHeight="1" x14ac:dyDescent="0.2">
      <c r="A46" s="153"/>
      <c r="B46" s="45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45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237"/>
      <c r="AL46" s="414"/>
      <c r="AM46" s="226"/>
      <c r="AN46" s="226"/>
      <c r="AO46" s="226"/>
      <c r="AP46" s="226"/>
      <c r="AQ46" s="226"/>
      <c r="AR46" s="226"/>
      <c r="AS46" s="226"/>
      <c r="AT46" s="226"/>
      <c r="AU46" s="237"/>
      <c r="AV46" s="237"/>
      <c r="AW46" s="413"/>
      <c r="AX46" s="413"/>
      <c r="AY46" s="413"/>
      <c r="AZ46" s="413"/>
      <c r="BA46" s="413"/>
      <c r="BB46" s="237"/>
      <c r="BC46" s="237"/>
      <c r="BD46" s="413"/>
      <c r="BE46" s="413"/>
      <c r="BF46" s="413"/>
      <c r="BG46" s="413"/>
      <c r="BH46" s="413"/>
      <c r="BI46" s="237"/>
      <c r="BJ46" s="237"/>
      <c r="BK46" s="413"/>
      <c r="BL46" s="413"/>
      <c r="BM46" s="413"/>
      <c r="BN46" s="413"/>
      <c r="BO46" s="413"/>
      <c r="BP46" s="237"/>
      <c r="BQ46" s="237"/>
      <c r="BR46" s="237"/>
      <c r="BS46" s="237"/>
      <c r="BT46" s="478"/>
      <c r="BU46" s="237"/>
      <c r="BV46" s="237"/>
      <c r="BW46" s="45"/>
      <c r="BX46" s="45"/>
      <c r="BY46" s="45"/>
      <c r="BZ46" s="45"/>
      <c r="CA46" s="45"/>
      <c r="CB46" s="214"/>
      <c r="CC46" s="214"/>
      <c r="CD46" s="214"/>
      <c r="CE46" s="214"/>
      <c r="CF46" s="45"/>
      <c r="CG46" s="242"/>
      <c r="CH46" s="267"/>
      <c r="CI46" s="242"/>
      <c r="CJ46" s="242"/>
      <c r="CK46" s="242"/>
      <c r="CL46" s="242"/>
      <c r="CM46" s="242"/>
      <c r="CN46" s="242"/>
      <c r="CO46" s="242"/>
      <c r="CP46" s="242"/>
      <c r="CQ46" s="242"/>
      <c r="CR46" s="242"/>
      <c r="CS46" s="242"/>
      <c r="CT46" s="242"/>
      <c r="CU46" s="242"/>
      <c r="CV46" s="242"/>
      <c r="CW46" s="242"/>
      <c r="CX46" s="242"/>
      <c r="CY46" s="242"/>
      <c r="CZ46" s="242"/>
      <c r="DA46" s="242"/>
      <c r="DB46" s="242"/>
      <c r="DC46" s="242"/>
      <c r="DD46" s="242"/>
      <c r="DE46" s="242"/>
      <c r="DF46" s="267"/>
      <c r="DG46" s="274"/>
      <c r="DH46" s="268"/>
      <c r="DI46" s="268"/>
      <c r="DJ46" s="267"/>
      <c r="DK46" s="242"/>
      <c r="DL46" s="284"/>
      <c r="DM46" s="284"/>
      <c r="DN46" s="242"/>
      <c r="DO46" s="242"/>
      <c r="DP46" s="242"/>
      <c r="DQ46" s="242"/>
      <c r="DR46" s="242"/>
      <c r="DS46" s="242"/>
      <c r="DT46" s="242"/>
      <c r="DU46" s="242"/>
      <c r="DV46" s="242"/>
      <c r="DW46" s="242"/>
      <c r="DX46" s="242"/>
      <c r="DY46" s="242"/>
      <c r="DZ46" s="474"/>
      <c r="EA46" s="474"/>
      <c r="EB46" s="474"/>
      <c r="EC46" s="474"/>
      <c r="ED46" s="472"/>
      <c r="EE46" s="474"/>
      <c r="EF46" s="474"/>
      <c r="EG46" s="211"/>
      <c r="EH46" s="211"/>
      <c r="EI46" s="211"/>
      <c r="EJ46" s="211"/>
      <c r="EK46" s="211"/>
      <c r="EL46" s="211"/>
      <c r="EM46" s="211"/>
      <c r="EN46" s="211"/>
      <c r="EO46" s="211"/>
      <c r="EP46" s="104"/>
      <c r="EQ46" s="104"/>
      <c r="ER46" s="474"/>
      <c r="ES46" s="474"/>
      <c r="ET46" s="474"/>
      <c r="EU46" s="474"/>
      <c r="EV46" s="474"/>
      <c r="EW46" s="555">
        <v>5000</v>
      </c>
      <c r="EX46" s="555"/>
      <c r="EY46" s="475">
        <v>4</v>
      </c>
      <c r="EZ46" s="474"/>
      <c r="FA46" s="137">
        <v>15</v>
      </c>
      <c r="FB46" s="31"/>
      <c r="FC46" s="11">
        <v>0.17499999999999999</v>
      </c>
      <c r="FD46" s="11"/>
      <c r="FE46" s="474"/>
      <c r="FF46" s="474">
        <v>200</v>
      </c>
      <c r="FG46" s="474"/>
      <c r="FH46" s="10">
        <v>240</v>
      </c>
      <c r="FI46" s="474"/>
      <c r="FJ46" s="474">
        <v>150</v>
      </c>
      <c r="FK46" s="474"/>
      <c r="FL46" s="474"/>
      <c r="FM46" s="474"/>
      <c r="FN46" s="474"/>
      <c r="FO46" s="474"/>
      <c r="FP46" s="474"/>
      <c r="FQ46" s="474"/>
      <c r="FR46" s="474"/>
      <c r="FS46" s="474"/>
      <c r="FT46" s="474"/>
      <c r="FU46" s="474"/>
      <c r="FV46" s="474"/>
      <c r="FW46" s="474"/>
      <c r="FX46" s="474"/>
      <c r="FY46" s="474"/>
      <c r="FZ46" s="474"/>
      <c r="GA46" s="474"/>
      <c r="GB46" s="474"/>
      <c r="GC46" s="474"/>
      <c r="GD46" s="474"/>
      <c r="GE46" s="474"/>
      <c r="GF46" s="474"/>
      <c r="GG46" s="474"/>
      <c r="GH46" s="474"/>
      <c r="GI46" s="474"/>
      <c r="GJ46" s="474"/>
      <c r="GK46" s="474"/>
      <c r="GL46" s="474"/>
      <c r="GM46" s="474"/>
      <c r="GN46" s="474"/>
      <c r="GO46" s="474"/>
      <c r="GP46" s="474"/>
      <c r="GQ46" s="474"/>
      <c r="GR46" s="474"/>
      <c r="GS46" s="474"/>
      <c r="GT46" s="474"/>
      <c r="GU46" s="474"/>
      <c r="GV46" s="474"/>
      <c r="GW46" s="474"/>
      <c r="GX46" s="474"/>
      <c r="GY46" s="474"/>
      <c r="GZ46" s="474"/>
      <c r="HA46" s="474"/>
      <c r="HB46" s="474"/>
      <c r="HC46" s="474"/>
      <c r="HD46" s="474"/>
      <c r="HE46" s="474"/>
      <c r="HF46" s="474"/>
      <c r="HG46" s="474"/>
      <c r="HH46" s="474"/>
      <c r="HI46" s="474"/>
      <c r="HJ46" s="474"/>
      <c r="HK46" s="474"/>
      <c r="HL46" s="474"/>
      <c r="HM46" s="474"/>
      <c r="HN46" s="474"/>
      <c r="HO46" s="474"/>
      <c r="HP46" s="474"/>
      <c r="HQ46" s="474"/>
      <c r="HR46" s="474"/>
      <c r="HS46" s="474"/>
      <c r="HT46" s="474"/>
      <c r="HU46" s="474"/>
      <c r="HV46" s="474"/>
      <c r="HW46" s="474"/>
      <c r="HX46" s="474"/>
      <c r="HY46" s="474"/>
      <c r="HZ46" s="474"/>
      <c r="IA46" s="474"/>
      <c r="IB46" s="474"/>
      <c r="IC46" s="474"/>
      <c r="ID46" s="474"/>
      <c r="IE46" s="474"/>
      <c r="IF46" s="474"/>
      <c r="IG46" s="474"/>
      <c r="IH46" s="474"/>
      <c r="II46" s="474"/>
      <c r="IJ46" s="474"/>
      <c r="IK46" s="474"/>
      <c r="IL46" s="474"/>
      <c r="IM46" s="474"/>
      <c r="IN46" s="474"/>
      <c r="IO46" s="474"/>
      <c r="IP46" s="474"/>
      <c r="JG46" s="146" t="s">
        <v>24</v>
      </c>
      <c r="JH46" s="146">
        <v>0</v>
      </c>
      <c r="JI46" s="146">
        <v>0</v>
      </c>
      <c r="JJ46" s="146">
        <v>-0.4</v>
      </c>
      <c r="JK46" s="146">
        <v>-0.4</v>
      </c>
      <c r="JL46" s="177">
        <f>JL49</f>
        <v>-0.125</v>
      </c>
    </row>
    <row r="47" spans="1:276" ht="14.1" customHeight="1" x14ac:dyDescent="0.2">
      <c r="A47" s="153"/>
      <c r="B47" s="45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45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237"/>
      <c r="AL47" s="478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45"/>
      <c r="AX47" s="45"/>
      <c r="AY47" s="45"/>
      <c r="AZ47" s="45"/>
      <c r="BA47" s="45"/>
      <c r="BB47" s="237"/>
      <c r="BC47" s="237"/>
      <c r="BD47" s="45"/>
      <c r="BE47" s="45"/>
      <c r="BF47" s="45"/>
      <c r="BG47" s="45"/>
      <c r="BH47" s="45"/>
      <c r="BI47" s="237"/>
      <c r="BJ47" s="237"/>
      <c r="BK47" s="45"/>
      <c r="BL47" s="45"/>
      <c r="BM47" s="45"/>
      <c r="BN47" s="45"/>
      <c r="BO47" s="45"/>
      <c r="BP47" s="237"/>
      <c r="BQ47" s="237"/>
      <c r="BR47" s="237"/>
      <c r="BS47" s="237"/>
      <c r="BT47" s="212"/>
      <c r="BU47" s="237"/>
      <c r="BV47" s="237"/>
      <c r="BW47" s="278"/>
      <c r="BX47" s="278"/>
      <c r="BY47" s="278"/>
      <c r="BZ47" s="278"/>
      <c r="CA47" s="278"/>
      <c r="CB47" s="268"/>
      <c r="CC47" s="268"/>
      <c r="CD47" s="268"/>
      <c r="CE47" s="268"/>
      <c r="CF47" s="45"/>
      <c r="CG47" s="242"/>
      <c r="CH47" s="242"/>
      <c r="CI47" s="242"/>
      <c r="CJ47" s="242"/>
      <c r="CK47" s="242"/>
      <c r="CL47" s="242"/>
      <c r="CM47" s="242"/>
      <c r="CN47" s="242"/>
      <c r="CO47" s="242"/>
      <c r="CP47" s="242"/>
      <c r="CQ47" s="242"/>
      <c r="CR47" s="242"/>
      <c r="CS47" s="242"/>
      <c r="CT47" s="242"/>
      <c r="CU47" s="242"/>
      <c r="CV47" s="242"/>
      <c r="CW47" s="242"/>
      <c r="CX47" s="242"/>
      <c r="CY47" s="242"/>
      <c r="CZ47" s="242"/>
      <c r="DA47" s="242"/>
      <c r="DB47" s="242"/>
      <c r="DC47" s="242"/>
      <c r="DD47" s="242"/>
      <c r="DE47" s="242"/>
      <c r="DF47" s="242"/>
      <c r="DG47" s="242"/>
      <c r="DH47" s="242"/>
      <c r="DI47" s="242"/>
      <c r="DJ47" s="242"/>
      <c r="DK47" s="242"/>
      <c r="DL47" s="284"/>
      <c r="DM47" s="284"/>
      <c r="DN47" s="242"/>
      <c r="DO47" s="242"/>
      <c r="DP47" s="242"/>
      <c r="DQ47" s="242"/>
      <c r="DR47" s="242"/>
      <c r="DS47" s="242"/>
      <c r="DT47" s="242"/>
      <c r="DU47" s="242"/>
      <c r="DV47" s="242"/>
      <c r="DW47" s="242"/>
      <c r="DX47" s="242"/>
      <c r="DY47" s="242"/>
      <c r="DZ47" s="474"/>
      <c r="EA47" s="474"/>
      <c r="EB47" s="474"/>
      <c r="EC47" s="25"/>
      <c r="ED47" s="25"/>
      <c r="EE47" s="25"/>
      <c r="EF47" s="25"/>
      <c r="EG47" s="25"/>
      <c r="EH47" s="25"/>
      <c r="EI47" s="25"/>
      <c r="EJ47" s="20"/>
      <c r="EK47" s="20"/>
      <c r="EL47" s="20"/>
      <c r="EM47" s="20"/>
      <c r="EN47" s="20"/>
      <c r="EO47" s="20"/>
      <c r="EP47" s="101"/>
      <c r="EQ47" s="180"/>
      <c r="ER47" s="586" t="e">
        <f>MAX(#REF!)</f>
        <v>#REF!</v>
      </c>
      <c r="ES47" s="586"/>
      <c r="ET47" s="559" t="e">
        <f>IF(ER47=AP24,ER48,IF(ER47=AU24,ER49,IF(ER47=AZ24,ER50)))</f>
        <v>#REF!</v>
      </c>
      <c r="EU47" s="559"/>
      <c r="EV47" s="181"/>
      <c r="EW47" s="181"/>
      <c r="EX47" s="474"/>
      <c r="EY47" s="475">
        <v>5</v>
      </c>
      <c r="EZ47" s="474"/>
      <c r="FA47" s="137">
        <v>17.5</v>
      </c>
      <c r="FB47" s="31"/>
      <c r="FC47" s="11">
        <v>0.2</v>
      </c>
      <c r="FD47" s="11"/>
      <c r="FE47" s="474"/>
      <c r="FF47" s="474">
        <v>250</v>
      </c>
      <c r="FG47" s="474"/>
      <c r="FH47" s="7">
        <v>280</v>
      </c>
      <c r="FI47" s="474"/>
      <c r="FJ47" s="474">
        <v>200</v>
      </c>
      <c r="FK47" s="474"/>
      <c r="FL47" s="474"/>
      <c r="FM47" s="474"/>
      <c r="FN47" s="474"/>
      <c r="FO47" s="474"/>
      <c r="FP47" s="474"/>
      <c r="FQ47" s="474"/>
      <c r="FR47" s="474"/>
      <c r="FS47" s="474"/>
      <c r="FT47" s="474"/>
      <c r="FU47" s="474"/>
      <c r="FV47" s="474"/>
      <c r="FW47" s="474"/>
      <c r="FX47" s="474"/>
      <c r="FY47" s="474"/>
      <c r="FZ47" s="474"/>
      <c r="GA47" s="474"/>
      <c r="GB47" s="474"/>
      <c r="GC47" s="474"/>
      <c r="GD47" s="474"/>
      <c r="GE47" s="474"/>
      <c r="GF47" s="474"/>
      <c r="GG47" s="474"/>
      <c r="GH47" s="474"/>
      <c r="GI47" s="474"/>
      <c r="GJ47" s="474"/>
      <c r="GK47" s="474"/>
      <c r="GL47" s="474"/>
      <c r="GM47" s="474"/>
      <c r="GN47" s="474"/>
      <c r="GO47" s="474"/>
      <c r="GP47" s="474"/>
      <c r="GQ47" s="474"/>
      <c r="GR47" s="474"/>
      <c r="GS47" s="474"/>
      <c r="GT47" s="474"/>
      <c r="GU47" s="474"/>
      <c r="GV47" s="474"/>
      <c r="GW47" s="474"/>
      <c r="GX47" s="474"/>
      <c r="GY47" s="474"/>
      <c r="GZ47" s="474"/>
      <c r="HA47" s="474"/>
      <c r="HB47" s="474"/>
      <c r="HC47" s="474"/>
      <c r="HD47" s="474"/>
      <c r="HE47" s="474"/>
      <c r="HF47" s="474"/>
      <c r="HG47" s="474"/>
      <c r="HH47" s="474"/>
      <c r="HI47" s="474"/>
      <c r="HJ47" s="474"/>
      <c r="HK47" s="474"/>
      <c r="HL47" s="474"/>
      <c r="HM47" s="474"/>
      <c r="HN47" s="474"/>
      <c r="HO47" s="474"/>
      <c r="HP47" s="474"/>
      <c r="HQ47" s="474"/>
      <c r="HR47" s="474"/>
      <c r="HS47" s="474"/>
      <c r="HT47" s="474"/>
      <c r="HU47" s="474"/>
      <c r="HV47" s="474"/>
      <c r="HW47" s="474"/>
      <c r="HX47" s="474"/>
      <c r="HY47" s="474"/>
      <c r="HZ47" s="474"/>
      <c r="IA47" s="474"/>
      <c r="IB47" s="474"/>
      <c r="IC47" s="474"/>
      <c r="ID47" s="474"/>
      <c r="IE47" s="474"/>
      <c r="IF47" s="474"/>
      <c r="IG47" s="474"/>
      <c r="IH47" s="474"/>
      <c r="II47" s="474"/>
      <c r="IJ47" s="474"/>
      <c r="IK47" s="474"/>
      <c r="IL47" s="474"/>
      <c r="IM47" s="474"/>
      <c r="IN47" s="474"/>
      <c r="IO47" s="474"/>
      <c r="IP47" s="474"/>
      <c r="JG47" s="146" t="s">
        <v>137</v>
      </c>
      <c r="JK47" s="146" t="s">
        <v>138</v>
      </c>
    </row>
    <row r="48" spans="1:276" ht="14.1" customHeight="1" x14ac:dyDescent="0.2">
      <c r="A48" s="153"/>
      <c r="B48" s="237"/>
      <c r="C48" s="63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237"/>
      <c r="AL48" s="478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237"/>
      <c r="BS48" s="237"/>
      <c r="BT48" s="212"/>
      <c r="BU48" s="237"/>
      <c r="BV48" s="237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242"/>
      <c r="CH48" s="282"/>
      <c r="CI48" s="242"/>
      <c r="CJ48" s="242"/>
      <c r="CK48" s="242"/>
      <c r="CL48" s="242"/>
      <c r="CM48" s="242"/>
      <c r="CN48" s="242"/>
      <c r="CO48" s="242"/>
      <c r="CP48" s="242"/>
      <c r="CQ48" s="242"/>
      <c r="CR48" s="242"/>
      <c r="CS48" s="242"/>
      <c r="CT48" s="242"/>
      <c r="CU48" s="242"/>
      <c r="CV48" s="242"/>
      <c r="CW48" s="242"/>
      <c r="CX48" s="242"/>
      <c r="CY48" s="242"/>
      <c r="CZ48" s="242"/>
      <c r="DA48" s="242"/>
      <c r="DB48" s="242"/>
      <c r="DC48" s="242"/>
      <c r="DD48" s="242"/>
      <c r="DE48" s="242"/>
      <c r="DF48" s="267"/>
      <c r="DG48" s="274"/>
      <c r="DH48" s="274"/>
      <c r="DI48" s="274"/>
      <c r="DJ48" s="267"/>
      <c r="DK48" s="267"/>
      <c r="DL48" s="284"/>
      <c r="DM48" s="284"/>
      <c r="DN48" s="242"/>
      <c r="DO48" s="242"/>
      <c r="DP48" s="242"/>
      <c r="DQ48" s="242"/>
      <c r="DR48" s="242"/>
      <c r="DS48" s="242"/>
      <c r="DT48" s="242"/>
      <c r="DU48" s="242"/>
      <c r="DV48" s="242"/>
      <c r="DW48" s="242"/>
      <c r="DX48" s="242"/>
      <c r="DY48" s="242"/>
      <c r="DZ48" s="474"/>
      <c r="EA48" s="474"/>
      <c r="EB48" s="474"/>
      <c r="EC48" s="25"/>
      <c r="ED48" s="138"/>
      <c r="EE48" s="138"/>
      <c r="EF48" s="138"/>
      <c r="EG48" s="211"/>
      <c r="EH48" s="211"/>
      <c r="EI48" s="211"/>
      <c r="EJ48" s="211"/>
      <c r="EK48" s="211"/>
      <c r="EL48" s="211"/>
      <c r="EM48" s="211"/>
      <c r="EN48" s="211"/>
      <c r="EO48" s="211"/>
      <c r="EP48" s="101"/>
      <c r="EQ48" s="182"/>
      <c r="ER48" s="559">
        <f>AP25</f>
        <v>0</v>
      </c>
      <c r="ES48" s="559"/>
      <c r="ET48" s="474"/>
      <c r="EU48" s="26"/>
      <c r="EV48" s="181"/>
      <c r="EW48" s="181"/>
      <c r="EX48" s="474"/>
      <c r="EY48" s="475">
        <v>7.5</v>
      </c>
      <c r="EZ48" s="474"/>
      <c r="FA48" s="137">
        <v>20</v>
      </c>
      <c r="FB48" s="31"/>
      <c r="FC48" s="11">
        <v>0.22500000000000001</v>
      </c>
      <c r="FD48" s="11"/>
      <c r="FE48" s="474"/>
      <c r="FF48" s="474">
        <v>300</v>
      </c>
      <c r="FG48" s="474"/>
      <c r="FH48" s="7">
        <v>300</v>
      </c>
      <c r="FI48" s="474"/>
      <c r="FJ48" s="474">
        <v>250</v>
      </c>
      <c r="FK48" s="474"/>
      <c r="FL48" s="474"/>
      <c r="FM48" s="474"/>
      <c r="FN48" s="474"/>
      <c r="FO48" s="474"/>
      <c r="FP48" s="474"/>
      <c r="FQ48" s="474"/>
      <c r="FR48" s="474"/>
      <c r="FS48" s="474"/>
      <c r="FT48" s="474"/>
      <c r="FU48" s="474"/>
      <c r="FV48" s="474"/>
      <c r="FW48" s="474"/>
      <c r="FX48" s="474"/>
      <c r="FY48" s="474"/>
      <c r="FZ48" s="474"/>
      <c r="GA48" s="474"/>
      <c r="GB48" s="474"/>
      <c r="GC48" s="474"/>
      <c r="GD48" s="474"/>
      <c r="GE48" s="474"/>
      <c r="GF48" s="474"/>
      <c r="GG48" s="474"/>
      <c r="GH48" s="474"/>
      <c r="GI48" s="474"/>
      <c r="GJ48" s="474"/>
      <c r="GK48" s="474"/>
      <c r="GL48" s="474"/>
      <c r="GM48" s="474"/>
      <c r="GN48" s="474"/>
      <c r="GO48" s="474"/>
      <c r="GP48" s="474"/>
      <c r="GQ48" s="474"/>
      <c r="GR48" s="474"/>
      <c r="GS48" s="474"/>
      <c r="GT48" s="474"/>
      <c r="GU48" s="474"/>
      <c r="GV48" s="474"/>
      <c r="GW48" s="474"/>
      <c r="GX48" s="474"/>
      <c r="GY48" s="474"/>
      <c r="GZ48" s="474"/>
      <c r="HA48" s="474"/>
      <c r="HB48" s="474"/>
      <c r="HC48" s="474"/>
      <c r="HD48" s="474"/>
      <c r="HE48" s="474"/>
      <c r="HF48" s="474"/>
      <c r="HG48" s="474"/>
      <c r="HH48" s="474"/>
      <c r="HI48" s="474"/>
      <c r="HJ48" s="474"/>
      <c r="HK48" s="474"/>
      <c r="HL48" s="474"/>
      <c r="HM48" s="474"/>
      <c r="HN48" s="474"/>
      <c r="HO48" s="474"/>
      <c r="HP48" s="474"/>
      <c r="HQ48" s="474"/>
      <c r="HR48" s="474"/>
      <c r="HS48" s="474"/>
      <c r="HT48" s="474"/>
      <c r="HU48" s="474"/>
      <c r="HV48" s="474"/>
      <c r="HW48" s="474"/>
      <c r="HX48" s="474"/>
      <c r="HY48" s="474"/>
      <c r="HZ48" s="474"/>
      <c r="IA48" s="474"/>
      <c r="IB48" s="474"/>
      <c r="IC48" s="474"/>
      <c r="ID48" s="474"/>
      <c r="IE48" s="474"/>
      <c r="IF48" s="474"/>
      <c r="IG48" s="474"/>
      <c r="IH48" s="474"/>
      <c r="II48" s="474"/>
      <c r="IJ48" s="474"/>
      <c r="IK48" s="474"/>
      <c r="IL48" s="474"/>
      <c r="IM48" s="474"/>
      <c r="IN48" s="474"/>
      <c r="IO48" s="474"/>
      <c r="IP48" s="474"/>
      <c r="JG48" s="146" t="s">
        <v>23</v>
      </c>
      <c r="JH48" s="146">
        <v>0</v>
      </c>
      <c r="JI48" s="146">
        <v>1</v>
      </c>
      <c r="JK48" s="146" t="s">
        <v>23</v>
      </c>
      <c r="JL48" s="177">
        <v>0</v>
      </c>
      <c r="JM48" s="177">
        <v>1</v>
      </c>
      <c r="JO48" s="146">
        <v>1</v>
      </c>
      <c r="JP48" s="146">
        <v>1</v>
      </c>
    </row>
    <row r="49" spans="1:290" ht="14.1" customHeight="1" x14ac:dyDescent="0.2">
      <c r="A49" s="153"/>
      <c r="B49" s="237"/>
      <c r="C49" s="63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  <c r="BI49" s="237"/>
      <c r="BJ49" s="237"/>
      <c r="BK49" s="237"/>
      <c r="BL49" s="237"/>
      <c r="BM49" s="237"/>
      <c r="BN49" s="237"/>
      <c r="BO49" s="237"/>
      <c r="BP49" s="237"/>
      <c r="BQ49" s="237"/>
      <c r="BR49" s="237"/>
      <c r="BS49" s="237"/>
      <c r="BT49" s="237"/>
      <c r="BU49" s="237"/>
      <c r="BV49" s="237"/>
      <c r="BW49" s="285"/>
      <c r="BX49" s="285"/>
      <c r="BY49" s="285"/>
      <c r="BZ49" s="285"/>
      <c r="CA49" s="285"/>
      <c r="CB49" s="268"/>
      <c r="CC49" s="268"/>
      <c r="CD49" s="268"/>
      <c r="CE49" s="268"/>
      <c r="CF49" s="45"/>
      <c r="CG49" s="242"/>
      <c r="CH49" s="282"/>
      <c r="CI49" s="242"/>
      <c r="CJ49" s="242"/>
      <c r="CK49" s="242"/>
      <c r="CL49" s="242"/>
      <c r="CM49" s="242"/>
      <c r="CN49" s="242"/>
      <c r="CO49" s="242"/>
      <c r="CP49" s="242"/>
      <c r="CQ49" s="242"/>
      <c r="CR49" s="242"/>
      <c r="CS49" s="242"/>
      <c r="CT49" s="242"/>
      <c r="CU49" s="242"/>
      <c r="CV49" s="242"/>
      <c r="CW49" s="242"/>
      <c r="CX49" s="242"/>
      <c r="CY49" s="242"/>
      <c r="CZ49" s="242"/>
      <c r="DA49" s="242"/>
      <c r="DB49" s="242"/>
      <c r="DC49" s="242"/>
      <c r="DD49" s="242"/>
      <c r="DE49" s="242"/>
      <c r="DF49" s="267"/>
      <c r="DG49" s="274"/>
      <c r="DH49" s="274"/>
      <c r="DI49" s="274"/>
      <c r="DJ49" s="267"/>
      <c r="DK49" s="267"/>
      <c r="DL49" s="284"/>
      <c r="DM49" s="284"/>
      <c r="DN49" s="242"/>
      <c r="DO49" s="242"/>
      <c r="DP49" s="242"/>
      <c r="DQ49" s="242"/>
      <c r="DR49" s="242"/>
      <c r="DS49" s="242"/>
      <c r="DT49" s="242"/>
      <c r="DU49" s="242"/>
      <c r="DV49" s="242"/>
      <c r="DW49" s="242"/>
      <c r="DX49" s="242"/>
      <c r="DY49" s="242"/>
      <c r="DZ49" s="474"/>
      <c r="EA49" s="474"/>
      <c r="EB49" s="474"/>
      <c r="EC49" s="25"/>
      <c r="ED49" s="138"/>
      <c r="EE49" s="138"/>
      <c r="EF49" s="138"/>
      <c r="EG49" s="211"/>
      <c r="EH49" s="211"/>
      <c r="EI49" s="211"/>
      <c r="EJ49" s="211"/>
      <c r="EK49" s="211"/>
      <c r="EL49" s="211"/>
      <c r="EM49" s="211"/>
      <c r="EN49" s="211"/>
      <c r="EO49" s="211"/>
      <c r="EP49" s="101"/>
      <c r="EQ49" s="182"/>
      <c r="ER49" s="559">
        <f>AU25</f>
        <v>0</v>
      </c>
      <c r="ES49" s="559"/>
      <c r="ET49" s="474"/>
      <c r="EU49" s="26"/>
      <c r="EV49" s="181"/>
      <c r="EW49" s="181"/>
      <c r="EX49" s="474"/>
      <c r="EY49" s="474"/>
      <c r="EZ49" s="474"/>
      <c r="FA49" s="137">
        <v>22.5</v>
      </c>
      <c r="FB49" s="31"/>
      <c r="FC49" s="11">
        <v>0.25</v>
      </c>
      <c r="FD49" s="11"/>
      <c r="FE49" s="474"/>
      <c r="FF49" s="474">
        <v>400</v>
      </c>
      <c r="FG49" s="474"/>
      <c r="FH49" s="7">
        <v>320</v>
      </c>
      <c r="FI49" s="474"/>
      <c r="FJ49" s="474">
        <v>300</v>
      </c>
      <c r="FK49" s="474"/>
      <c r="FL49" s="474"/>
      <c r="FM49" s="474"/>
      <c r="FN49" s="474"/>
      <c r="FO49" s="474"/>
      <c r="FP49" s="474"/>
      <c r="FQ49" s="474"/>
      <c r="FR49" s="474"/>
      <c r="FS49" s="474"/>
      <c r="FT49" s="474"/>
      <c r="FU49" s="474"/>
      <c r="FV49" s="474"/>
      <c r="FW49" s="474"/>
      <c r="FX49" s="474"/>
      <c r="FY49" s="474"/>
      <c r="FZ49" s="474"/>
      <c r="GA49" s="474"/>
      <c r="GB49" s="474"/>
      <c r="GC49" s="474"/>
      <c r="GD49" s="474"/>
      <c r="GE49" s="474"/>
      <c r="GF49" s="474"/>
      <c r="GG49" s="474"/>
      <c r="GH49" s="474"/>
      <c r="GI49" s="474"/>
      <c r="GJ49" s="474"/>
      <c r="GK49" s="474"/>
      <c r="GL49" s="474"/>
      <c r="GM49" s="474"/>
      <c r="GN49" s="474"/>
      <c r="GO49" s="474"/>
      <c r="GP49" s="474"/>
      <c r="GQ49" s="474"/>
      <c r="GR49" s="474"/>
      <c r="GS49" s="474"/>
      <c r="GT49" s="474"/>
      <c r="GU49" s="474"/>
      <c r="GV49" s="474"/>
      <c r="GW49" s="474"/>
      <c r="GX49" s="474"/>
      <c r="GY49" s="474"/>
      <c r="GZ49" s="474"/>
      <c r="HA49" s="474"/>
      <c r="HB49" s="474"/>
      <c r="HC49" s="474"/>
      <c r="HD49" s="474"/>
      <c r="HE49" s="474"/>
      <c r="HF49" s="474"/>
      <c r="HG49" s="474"/>
      <c r="HH49" s="474"/>
      <c r="HI49" s="474"/>
      <c r="HJ49" s="474"/>
      <c r="HK49" s="474"/>
      <c r="HL49" s="474"/>
      <c r="HM49" s="474"/>
      <c r="HN49" s="474"/>
      <c r="HO49" s="474"/>
      <c r="HP49" s="474"/>
      <c r="HQ49" s="474"/>
      <c r="HR49" s="474"/>
      <c r="HS49" s="474"/>
      <c r="HT49" s="474"/>
      <c r="HU49" s="474"/>
      <c r="HV49" s="474"/>
      <c r="HW49" s="474"/>
      <c r="HX49" s="474"/>
      <c r="HY49" s="474"/>
      <c r="HZ49" s="474"/>
      <c r="IA49" s="474"/>
      <c r="IB49" s="474"/>
      <c r="IC49" s="474"/>
      <c r="ID49" s="474"/>
      <c r="IE49" s="474"/>
      <c r="IF49" s="474"/>
      <c r="IG49" s="474"/>
      <c r="IH49" s="474"/>
      <c r="II49" s="474"/>
      <c r="IJ49" s="474"/>
      <c r="IK49" s="474"/>
      <c r="IL49" s="474"/>
      <c r="IM49" s="474"/>
      <c r="IN49" s="474"/>
      <c r="IO49" s="474"/>
      <c r="IP49" s="474"/>
      <c r="JG49" s="146" t="s">
        <v>24</v>
      </c>
      <c r="JH49" s="146">
        <v>0</v>
      </c>
      <c r="JI49" s="146">
        <v>0</v>
      </c>
      <c r="JK49" s="146" t="s">
        <v>24</v>
      </c>
      <c r="JL49" s="177">
        <f>(-H26-2.5)/100</f>
        <v>-0.125</v>
      </c>
      <c r="JM49" s="177">
        <f>JL49</f>
        <v>-0.125</v>
      </c>
      <c r="JO49" s="146">
        <f>JL49</f>
        <v>-0.125</v>
      </c>
      <c r="JP49" s="146">
        <v>0</v>
      </c>
    </row>
    <row r="50" spans="1:290" ht="14.1" customHeight="1" x14ac:dyDescent="0.2">
      <c r="A50" s="153"/>
      <c r="B50" s="237"/>
      <c r="C50" s="63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237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81"/>
      <c r="AX50" s="81"/>
      <c r="AY50" s="78"/>
      <c r="AZ50" s="78"/>
      <c r="BA50" s="78"/>
      <c r="BB50" s="78"/>
      <c r="BC50" s="78"/>
      <c r="BD50" s="78"/>
      <c r="BE50" s="79"/>
      <c r="BF50" s="79"/>
      <c r="BG50" s="78"/>
      <c r="BH50" s="78"/>
      <c r="BI50" s="95"/>
      <c r="BJ50" s="95"/>
      <c r="BK50" s="95"/>
      <c r="BL50" s="95"/>
      <c r="BM50" s="95"/>
      <c r="BN50" s="95"/>
      <c r="BO50" s="95"/>
      <c r="BP50" s="95"/>
      <c r="BQ50" s="95"/>
      <c r="BR50" s="237"/>
      <c r="BS50" s="237"/>
      <c r="BT50" s="237"/>
      <c r="BU50" s="237"/>
      <c r="BV50" s="237"/>
      <c r="BW50" s="265"/>
      <c r="BX50" s="265"/>
      <c r="BY50" s="265"/>
      <c r="BZ50" s="265"/>
      <c r="CA50" s="265"/>
      <c r="CB50" s="268"/>
      <c r="CC50" s="268"/>
      <c r="CD50" s="268"/>
      <c r="CE50" s="268"/>
      <c r="CF50" s="45"/>
      <c r="CG50" s="242"/>
      <c r="CH50" s="242"/>
      <c r="CI50" s="242"/>
      <c r="CJ50" s="242"/>
      <c r="CK50" s="242"/>
      <c r="CL50" s="242"/>
      <c r="CM50" s="242"/>
      <c r="CN50" s="242"/>
      <c r="CO50" s="242"/>
      <c r="CP50" s="242"/>
      <c r="CQ50" s="242"/>
      <c r="CR50" s="242"/>
      <c r="CS50" s="242"/>
      <c r="CT50" s="242"/>
      <c r="CU50" s="242"/>
      <c r="CV50" s="242"/>
      <c r="CW50" s="242"/>
      <c r="CX50" s="242"/>
      <c r="CY50" s="242"/>
      <c r="CZ50" s="242"/>
      <c r="DA50" s="242"/>
      <c r="DB50" s="242"/>
      <c r="DC50" s="242"/>
      <c r="DD50" s="242"/>
      <c r="DE50" s="242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242"/>
      <c r="DR50" s="242"/>
      <c r="DS50" s="242"/>
      <c r="DT50" s="242"/>
      <c r="DU50" s="242"/>
      <c r="DV50" s="242"/>
      <c r="DW50" s="242"/>
      <c r="DX50" s="242"/>
      <c r="DY50" s="242"/>
      <c r="DZ50" s="474"/>
      <c r="EA50" s="474"/>
      <c r="EB50" s="474"/>
      <c r="EC50" s="25"/>
      <c r="ED50" s="138"/>
      <c r="EE50" s="138"/>
      <c r="EF50" s="138"/>
      <c r="EG50" s="211"/>
      <c r="EH50" s="211"/>
      <c r="EI50" s="211"/>
      <c r="EJ50" s="211"/>
      <c r="EK50" s="211"/>
      <c r="EL50" s="211"/>
      <c r="EM50" s="211"/>
      <c r="EN50" s="211"/>
      <c r="EO50" s="211"/>
      <c r="EP50" s="101"/>
      <c r="EQ50" s="182"/>
      <c r="ER50" s="559">
        <f>AZ25</f>
        <v>0</v>
      </c>
      <c r="ES50" s="559"/>
      <c r="ET50" s="474"/>
      <c r="EU50" s="26"/>
      <c r="EV50" s="181"/>
      <c r="EW50" s="181"/>
      <c r="EX50" s="474"/>
      <c r="EY50" s="474"/>
      <c r="EZ50" s="474"/>
      <c r="FA50" s="137">
        <v>25</v>
      </c>
      <c r="FB50" s="31"/>
      <c r="FC50" s="11">
        <v>0.27500000000000002</v>
      </c>
      <c r="FD50" s="11"/>
      <c r="FE50" s="474"/>
      <c r="FF50" s="474">
        <v>500</v>
      </c>
      <c r="FG50" s="474"/>
      <c r="FH50" s="9">
        <v>350</v>
      </c>
      <c r="FI50" s="474"/>
      <c r="FJ50" s="474">
        <v>350</v>
      </c>
      <c r="FK50" s="474"/>
      <c r="FL50" s="474"/>
      <c r="FM50" s="474"/>
      <c r="FN50" s="474"/>
      <c r="FO50" s="474"/>
      <c r="FP50" s="474"/>
      <c r="FQ50" s="474"/>
      <c r="FR50" s="474"/>
      <c r="FS50" s="474"/>
      <c r="FT50" s="474"/>
      <c r="FU50" s="474"/>
      <c r="FV50" s="474"/>
      <c r="FW50" s="474"/>
      <c r="FX50" s="474"/>
      <c r="FY50" s="474"/>
      <c r="FZ50" s="474"/>
      <c r="GA50" s="474"/>
      <c r="GB50" s="474"/>
      <c r="GC50" s="474"/>
      <c r="GD50" s="474"/>
      <c r="GE50" s="474"/>
      <c r="GF50" s="474"/>
      <c r="GG50" s="474"/>
      <c r="GH50" s="474"/>
      <c r="GI50" s="474"/>
      <c r="GJ50" s="474"/>
      <c r="GK50" s="474"/>
      <c r="GL50" s="474"/>
      <c r="GM50" s="474"/>
      <c r="GN50" s="474"/>
      <c r="GO50" s="474"/>
      <c r="GP50" s="474"/>
      <c r="GQ50" s="474"/>
      <c r="GR50" s="474"/>
      <c r="GS50" s="474"/>
      <c r="GT50" s="474"/>
      <c r="GU50" s="474"/>
      <c r="GV50" s="474"/>
      <c r="GW50" s="474"/>
      <c r="GX50" s="474"/>
      <c r="GY50" s="474"/>
      <c r="GZ50" s="474"/>
      <c r="HA50" s="474"/>
      <c r="HB50" s="474"/>
      <c r="HC50" s="474"/>
      <c r="HD50" s="474"/>
      <c r="HE50" s="474"/>
      <c r="HF50" s="474"/>
      <c r="HG50" s="474"/>
      <c r="HH50" s="474"/>
      <c r="HI50" s="474"/>
      <c r="HJ50" s="474"/>
      <c r="HK50" s="474"/>
      <c r="HL50" s="474"/>
      <c r="HM50" s="474"/>
      <c r="HN50" s="474"/>
      <c r="HO50" s="474"/>
      <c r="HP50" s="474"/>
      <c r="HQ50" s="474"/>
      <c r="HR50" s="474"/>
      <c r="HS50" s="474"/>
      <c r="HT50" s="474"/>
      <c r="HU50" s="474"/>
      <c r="HV50" s="474"/>
      <c r="HW50" s="474"/>
      <c r="HX50" s="474"/>
      <c r="HY50" s="474"/>
      <c r="HZ50" s="474"/>
      <c r="IA50" s="474"/>
      <c r="IB50" s="474"/>
      <c r="IC50" s="474"/>
      <c r="ID50" s="474"/>
      <c r="IE50" s="474"/>
      <c r="IF50" s="474"/>
      <c r="IG50" s="474"/>
      <c r="IH50" s="474"/>
      <c r="II50" s="474"/>
      <c r="IJ50" s="474"/>
      <c r="IK50" s="474"/>
      <c r="IL50" s="474"/>
      <c r="IM50" s="474"/>
      <c r="IN50" s="474"/>
      <c r="IO50" s="474"/>
      <c r="IP50" s="474"/>
      <c r="JG50" s="146" t="s">
        <v>139</v>
      </c>
    </row>
    <row r="51" spans="1:290" ht="14.1" customHeight="1" x14ac:dyDescent="0.2">
      <c r="A51" s="153"/>
      <c r="B51" s="237"/>
      <c r="C51" s="63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237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237"/>
      <c r="BS51" s="237"/>
      <c r="BT51" s="237"/>
      <c r="BU51" s="237"/>
      <c r="BV51" s="237"/>
      <c r="BW51" s="214"/>
      <c r="BX51" s="214"/>
      <c r="BY51" s="214"/>
      <c r="BZ51" s="214"/>
      <c r="CA51" s="214"/>
      <c r="CB51" s="214"/>
      <c r="CC51" s="214"/>
      <c r="CD51" s="214"/>
      <c r="CE51" s="214"/>
      <c r="CF51" s="45"/>
      <c r="CG51" s="242"/>
      <c r="CH51" s="280"/>
      <c r="CI51" s="280"/>
      <c r="CJ51" s="280"/>
      <c r="CK51" s="280"/>
      <c r="CL51" s="280"/>
      <c r="CM51" s="280"/>
      <c r="CN51" s="280"/>
      <c r="CO51" s="280"/>
      <c r="CP51" s="280"/>
      <c r="CQ51" s="280"/>
      <c r="CR51" s="280"/>
      <c r="CS51" s="280"/>
      <c r="CT51" s="280"/>
      <c r="CU51" s="280"/>
      <c r="CV51" s="280"/>
      <c r="CW51" s="280"/>
      <c r="CX51" s="280"/>
      <c r="CY51" s="280"/>
      <c r="CZ51" s="280"/>
      <c r="DA51" s="280"/>
      <c r="DB51" s="280"/>
      <c r="DC51" s="280"/>
      <c r="DD51" s="280"/>
      <c r="DE51" s="242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242"/>
      <c r="DR51" s="242"/>
      <c r="DS51" s="242"/>
      <c r="DT51" s="242"/>
      <c r="DU51" s="242"/>
      <c r="DV51" s="242"/>
      <c r="DW51" s="242"/>
      <c r="DX51" s="242"/>
      <c r="DY51" s="242"/>
      <c r="DZ51" s="474"/>
      <c r="EA51" s="474"/>
      <c r="EB51" s="474"/>
      <c r="EC51" s="25"/>
      <c r="ED51" s="138"/>
      <c r="EE51" s="138"/>
      <c r="EF51" s="138"/>
      <c r="EG51" s="211"/>
      <c r="EH51" s="211"/>
      <c r="EI51" s="211"/>
      <c r="EJ51" s="211"/>
      <c r="EK51" s="211"/>
      <c r="EL51" s="211"/>
      <c r="EM51" s="211"/>
      <c r="EN51" s="211"/>
      <c r="EO51" s="211"/>
      <c r="EP51" s="101"/>
      <c r="EQ51" s="182"/>
      <c r="ER51" s="182"/>
      <c r="ES51" s="182"/>
      <c r="ET51" s="183"/>
      <c r="EU51" s="183"/>
      <c r="EV51" s="183"/>
      <c r="EW51" s="183"/>
      <c r="EX51" s="183"/>
      <c r="EY51" s="183"/>
      <c r="EZ51" s="183"/>
      <c r="FA51" s="137">
        <v>27.5</v>
      </c>
      <c r="FB51" s="183"/>
      <c r="FC51" s="11">
        <v>0.3</v>
      </c>
      <c r="FD51" s="11"/>
      <c r="FE51" s="474"/>
      <c r="FF51" s="474">
        <v>600</v>
      </c>
      <c r="FG51" s="474"/>
      <c r="FH51" s="9">
        <v>380</v>
      </c>
      <c r="FI51" s="474"/>
      <c r="FJ51" s="474">
        <v>400</v>
      </c>
      <c r="FK51" s="474"/>
      <c r="FL51" s="474"/>
      <c r="FM51" s="474"/>
      <c r="FN51" s="474"/>
      <c r="FO51" s="474"/>
      <c r="FP51" s="474"/>
      <c r="FQ51" s="474"/>
      <c r="FR51" s="474"/>
      <c r="FS51" s="474"/>
      <c r="FT51" s="474"/>
      <c r="FU51" s="474"/>
      <c r="FV51" s="474"/>
      <c r="FW51" s="474"/>
      <c r="FX51" s="474"/>
      <c r="FY51" s="474"/>
      <c r="FZ51" s="474"/>
      <c r="GA51" s="474"/>
      <c r="GB51" s="474"/>
      <c r="GC51" s="474"/>
      <c r="GD51" s="474"/>
      <c r="GE51" s="474"/>
      <c r="GF51" s="474"/>
      <c r="GG51" s="474"/>
      <c r="GH51" s="474"/>
      <c r="GI51" s="474"/>
      <c r="GJ51" s="474"/>
      <c r="GK51" s="474"/>
      <c r="GL51" s="474"/>
      <c r="GM51" s="474"/>
      <c r="GN51" s="474"/>
      <c r="GO51" s="474"/>
      <c r="GP51" s="474"/>
      <c r="GQ51" s="474"/>
      <c r="GR51" s="474"/>
      <c r="GS51" s="474"/>
      <c r="GT51" s="474"/>
      <c r="GU51" s="474"/>
      <c r="GV51" s="474"/>
      <c r="GW51" s="474"/>
      <c r="GX51" s="474"/>
      <c r="GY51" s="474"/>
      <c r="GZ51" s="474"/>
      <c r="HA51" s="474"/>
      <c r="HB51" s="474"/>
      <c r="HC51" s="474"/>
      <c r="HD51" s="474"/>
      <c r="HE51" s="474"/>
      <c r="HF51" s="474"/>
      <c r="HG51" s="474"/>
      <c r="HH51" s="474"/>
      <c r="HI51" s="474"/>
      <c r="HJ51" s="474"/>
      <c r="HK51" s="474"/>
      <c r="HL51" s="474"/>
      <c r="HM51" s="474"/>
      <c r="HN51" s="474"/>
      <c r="HO51" s="474"/>
      <c r="HP51" s="474"/>
      <c r="HQ51" s="474"/>
      <c r="HR51" s="474"/>
      <c r="HS51" s="474"/>
      <c r="HT51" s="474"/>
      <c r="HU51" s="474"/>
      <c r="HV51" s="474"/>
      <c r="HW51" s="474"/>
      <c r="HX51" s="474"/>
      <c r="HY51" s="474"/>
      <c r="HZ51" s="474"/>
      <c r="IA51" s="474"/>
      <c r="IB51" s="474"/>
      <c r="IC51" s="474"/>
      <c r="ID51" s="474"/>
      <c r="IE51" s="474"/>
      <c r="IF51" s="474"/>
      <c r="IG51" s="474"/>
      <c r="IH51" s="474"/>
      <c r="II51" s="474"/>
      <c r="IJ51" s="474"/>
      <c r="IK51" s="474"/>
      <c r="IL51" s="474"/>
      <c r="IM51" s="474"/>
      <c r="IN51" s="474"/>
      <c r="IO51" s="474"/>
      <c r="IP51" s="474"/>
      <c r="JG51" s="146" t="s">
        <v>23</v>
      </c>
      <c r="JH51" s="146">
        <v>-0.14000000000000001</v>
      </c>
      <c r="JI51" s="146">
        <v>2.14</v>
      </c>
      <c r="JK51" s="146">
        <f>JH51</f>
        <v>-0.14000000000000001</v>
      </c>
      <c r="JL51" s="146">
        <f>JK51</f>
        <v>-0.14000000000000001</v>
      </c>
      <c r="JN51" s="146">
        <f>JI51</f>
        <v>2.14</v>
      </c>
      <c r="JO51" s="146">
        <f>JN51</f>
        <v>2.14</v>
      </c>
      <c r="JQ51" s="184">
        <v>-0.14000000000000001</v>
      </c>
      <c r="JR51" s="184">
        <v>2.14</v>
      </c>
      <c r="JS51" s="184"/>
      <c r="JT51" s="184">
        <f>JQ51</f>
        <v>-0.14000000000000001</v>
      </c>
      <c r="JU51" s="184">
        <f>JT51</f>
        <v>-0.14000000000000001</v>
      </c>
      <c r="JV51" s="184"/>
      <c r="JW51" s="184">
        <f>JR51</f>
        <v>2.14</v>
      </c>
      <c r="JX51" s="184">
        <f>JW51</f>
        <v>2.14</v>
      </c>
    </row>
    <row r="52" spans="1:290" ht="14.1" customHeight="1" x14ac:dyDescent="0.2">
      <c r="A52" s="153"/>
      <c r="B52" s="237"/>
      <c r="C52" s="63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237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237"/>
      <c r="BS52" s="237"/>
      <c r="BT52" s="237"/>
      <c r="BU52" s="237"/>
      <c r="BV52" s="237"/>
      <c r="BW52" s="274"/>
      <c r="BX52" s="274"/>
      <c r="BY52" s="274"/>
      <c r="BZ52" s="274"/>
      <c r="CA52" s="274"/>
      <c r="CB52" s="214"/>
      <c r="CC52" s="214"/>
      <c r="CD52" s="214"/>
      <c r="CE52" s="214"/>
      <c r="CF52" s="45"/>
      <c r="CG52" s="242"/>
      <c r="CH52" s="242"/>
      <c r="CI52" s="242"/>
      <c r="CJ52" s="242"/>
      <c r="CK52" s="242"/>
      <c r="CL52" s="242"/>
      <c r="CM52" s="242"/>
      <c r="CN52" s="242"/>
      <c r="CO52" s="242"/>
      <c r="CP52" s="242"/>
      <c r="CQ52" s="242"/>
      <c r="CR52" s="242"/>
      <c r="CS52" s="242"/>
      <c r="CT52" s="242"/>
      <c r="CU52" s="242"/>
      <c r="CV52" s="242"/>
      <c r="CW52" s="242"/>
      <c r="CX52" s="242"/>
      <c r="CY52" s="242"/>
      <c r="CZ52" s="242"/>
      <c r="DA52" s="242"/>
      <c r="DB52" s="242"/>
      <c r="DC52" s="242"/>
      <c r="DD52" s="242"/>
      <c r="DE52" s="242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242"/>
      <c r="DR52" s="242"/>
      <c r="DS52" s="242"/>
      <c r="DT52" s="242"/>
      <c r="DU52" s="242"/>
      <c r="DV52" s="242"/>
      <c r="DW52" s="242"/>
      <c r="DX52" s="242"/>
      <c r="DY52" s="242"/>
      <c r="DZ52" s="474"/>
      <c r="EA52" s="474"/>
      <c r="EB52" s="474"/>
      <c r="EC52" s="25"/>
      <c r="ED52" s="138"/>
      <c r="EE52" s="138"/>
      <c r="EF52" s="138"/>
      <c r="EG52" s="211"/>
      <c r="EH52" s="211"/>
      <c r="EI52" s="211"/>
      <c r="EJ52" s="211"/>
      <c r="EK52" s="211"/>
      <c r="EL52" s="211"/>
      <c r="EM52" s="211"/>
      <c r="EN52" s="211"/>
      <c r="EO52" s="211"/>
      <c r="EP52" s="101"/>
      <c r="EQ52" s="182"/>
      <c r="ER52" s="26">
        <v>6</v>
      </c>
      <c r="ES52" s="474"/>
      <c r="ET52" s="26">
        <v>10</v>
      </c>
      <c r="EU52" s="185"/>
      <c r="EV52" s="186">
        <f t="shared" ref="EV52:EV58" si="1">IF($H$4&gt;=3000,ET52,ER52)</f>
        <v>10</v>
      </c>
      <c r="EW52" s="474"/>
      <c r="EX52" s="186">
        <f>IF(H6&gt;=3000,ET52,ER52)</f>
        <v>6</v>
      </c>
      <c r="EY52" s="183"/>
      <c r="EZ52" s="183"/>
      <c r="FA52" s="137">
        <v>30</v>
      </c>
      <c r="FB52" s="183"/>
      <c r="FC52" s="11">
        <v>0.32500000000000001</v>
      </c>
      <c r="FD52" s="11"/>
      <c r="FE52" s="474"/>
      <c r="FF52" s="474">
        <v>800</v>
      </c>
      <c r="FG52" s="474"/>
      <c r="FH52" s="7">
        <v>400</v>
      </c>
      <c r="FI52" s="474"/>
      <c r="FJ52" s="474">
        <v>450</v>
      </c>
      <c r="FK52" s="474"/>
      <c r="FL52" s="474"/>
      <c r="FM52" s="474"/>
      <c r="FN52" s="474"/>
      <c r="FO52" s="474"/>
      <c r="FP52" s="474"/>
      <c r="FQ52" s="474"/>
      <c r="FR52" s="474"/>
      <c r="FS52" s="474"/>
      <c r="FT52" s="474"/>
      <c r="FU52" s="474"/>
      <c r="FV52" s="474"/>
      <c r="FW52" s="474"/>
      <c r="FX52" s="474"/>
      <c r="FY52" s="474"/>
      <c r="FZ52" s="474"/>
      <c r="GA52" s="474"/>
      <c r="GB52" s="474"/>
      <c r="GC52" s="474"/>
      <c r="GD52" s="474"/>
      <c r="GE52" s="474"/>
      <c r="GF52" s="474"/>
      <c r="GG52" s="474"/>
      <c r="GH52" s="474"/>
      <c r="GI52" s="474"/>
      <c r="GJ52" s="474"/>
      <c r="GK52" s="474"/>
      <c r="GL52" s="474"/>
      <c r="GM52" s="474"/>
      <c r="GN52" s="474"/>
      <c r="GO52" s="474"/>
      <c r="GP52" s="474"/>
      <c r="GQ52" s="474"/>
      <c r="GR52" s="474"/>
      <c r="GS52" s="474"/>
      <c r="GT52" s="474"/>
      <c r="GU52" s="474"/>
      <c r="GV52" s="474"/>
      <c r="GW52" s="474"/>
      <c r="GX52" s="474"/>
      <c r="GY52" s="474"/>
      <c r="GZ52" s="474"/>
      <c r="HA52" s="474"/>
      <c r="HB52" s="474"/>
      <c r="HC52" s="474"/>
      <c r="HD52" s="474"/>
      <c r="HE52" s="474"/>
      <c r="HF52" s="474"/>
      <c r="HG52" s="474"/>
      <c r="HH52" s="474"/>
      <c r="HI52" s="474"/>
      <c r="HJ52" s="474"/>
      <c r="HK52" s="474"/>
      <c r="HL52" s="474"/>
      <c r="HM52" s="474"/>
      <c r="HN52" s="474"/>
      <c r="HO52" s="474"/>
      <c r="HP52" s="474"/>
      <c r="HQ52" s="474"/>
      <c r="HR52" s="474"/>
      <c r="HS52" s="474"/>
      <c r="HT52" s="474"/>
      <c r="HU52" s="474"/>
      <c r="HV52" s="474"/>
      <c r="HW52" s="474"/>
      <c r="HX52" s="474"/>
      <c r="HY52" s="474"/>
      <c r="HZ52" s="474"/>
      <c r="IA52" s="474"/>
      <c r="IB52" s="474"/>
      <c r="IC52" s="474"/>
      <c r="ID52" s="474"/>
      <c r="IE52" s="474"/>
      <c r="IF52" s="474"/>
      <c r="IG52" s="474"/>
      <c r="IH52" s="474"/>
      <c r="II52" s="474"/>
      <c r="IJ52" s="474"/>
      <c r="IK52" s="474"/>
      <c r="IL52" s="474"/>
      <c r="IM52" s="474"/>
      <c r="IN52" s="474"/>
      <c r="IO52" s="474"/>
      <c r="IP52" s="474"/>
      <c r="JG52" s="146" t="s">
        <v>24</v>
      </c>
      <c r="JH52" s="146">
        <f>-(H26-H28+2.5)/100</f>
        <v>-9.5000000000000001E-2</v>
      </c>
      <c r="JI52" s="146">
        <f>JH52</f>
        <v>-9.5000000000000001E-2</v>
      </c>
      <c r="JK52" s="146">
        <f>JH52</f>
        <v>-9.5000000000000001E-2</v>
      </c>
      <c r="JL52" s="146">
        <f>JK52+0.04</f>
        <v>-5.5E-2</v>
      </c>
      <c r="JN52" s="146">
        <f>JI52</f>
        <v>-9.5000000000000001E-2</v>
      </c>
      <c r="JO52" s="146">
        <f>JN52+0.04</f>
        <v>-5.5E-2</v>
      </c>
      <c r="JQ52" s="184">
        <f>-(H26-H28+2.5-1.5)/100</f>
        <v>-0.08</v>
      </c>
      <c r="JR52" s="184">
        <f>JQ52</f>
        <v>-0.08</v>
      </c>
      <c r="JS52" s="184"/>
      <c r="JT52" s="184">
        <f>JQ52</f>
        <v>-0.08</v>
      </c>
      <c r="JU52" s="184">
        <f>JT52+0.03</f>
        <v>-0.05</v>
      </c>
      <c r="JV52" s="184"/>
      <c r="JW52" s="184">
        <f>JR52</f>
        <v>-0.08</v>
      </c>
      <c r="JX52" s="184">
        <f>JW52+0.03</f>
        <v>-0.05</v>
      </c>
    </row>
    <row r="53" spans="1:290" ht="14.1" customHeight="1" x14ac:dyDescent="0.2">
      <c r="A53" s="153"/>
      <c r="B53" s="237"/>
      <c r="C53" s="63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237"/>
      <c r="AL53" s="52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237"/>
      <c r="BS53" s="237"/>
      <c r="BT53" s="237"/>
      <c r="BU53" s="237"/>
      <c r="BV53" s="237"/>
      <c r="BW53" s="268"/>
      <c r="BX53" s="268"/>
      <c r="BY53" s="268"/>
      <c r="BZ53" s="268"/>
      <c r="CA53" s="268"/>
      <c r="CB53" s="268"/>
      <c r="CC53" s="268"/>
      <c r="CD53" s="268"/>
      <c r="CE53" s="268"/>
      <c r="CF53" s="45"/>
      <c r="CG53" s="242"/>
      <c r="CH53" s="280"/>
      <c r="CI53" s="280"/>
      <c r="CJ53" s="280"/>
      <c r="CK53" s="280"/>
      <c r="CL53" s="280"/>
      <c r="CM53" s="280"/>
      <c r="CN53" s="280"/>
      <c r="CO53" s="280"/>
      <c r="CP53" s="280"/>
      <c r="CQ53" s="280"/>
      <c r="CR53" s="280"/>
      <c r="CS53" s="280"/>
      <c r="CT53" s="280"/>
      <c r="CU53" s="280"/>
      <c r="CV53" s="280"/>
      <c r="CW53" s="280"/>
      <c r="CX53" s="280"/>
      <c r="CY53" s="280"/>
      <c r="CZ53" s="280"/>
      <c r="DA53" s="280"/>
      <c r="DB53" s="280"/>
      <c r="DC53" s="280"/>
      <c r="DD53" s="280"/>
      <c r="DE53" s="242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242"/>
      <c r="DR53" s="242"/>
      <c r="DS53" s="242"/>
      <c r="DT53" s="242"/>
      <c r="DU53" s="242"/>
      <c r="DV53" s="242"/>
      <c r="DW53" s="242"/>
      <c r="DX53" s="242"/>
      <c r="DY53" s="242"/>
      <c r="DZ53" s="474"/>
      <c r="EA53" s="474"/>
      <c r="EB53" s="474"/>
      <c r="EC53" s="25"/>
      <c r="ED53" s="138"/>
      <c r="EE53" s="138"/>
      <c r="EF53" s="138"/>
      <c r="EG53" s="211"/>
      <c r="EH53" s="211"/>
      <c r="EI53" s="211"/>
      <c r="EJ53" s="211"/>
      <c r="EK53" s="211"/>
      <c r="EL53" s="211"/>
      <c r="EM53" s="211"/>
      <c r="EN53" s="211"/>
      <c r="EO53" s="211"/>
      <c r="EP53" s="101"/>
      <c r="EQ53" s="182"/>
      <c r="ER53" s="26">
        <v>9</v>
      </c>
      <c r="ES53" s="474"/>
      <c r="ET53" s="26">
        <v>12</v>
      </c>
      <c r="EU53" s="185"/>
      <c r="EV53" s="186">
        <f t="shared" si="1"/>
        <v>12</v>
      </c>
      <c r="EW53" s="474"/>
      <c r="EX53" s="186">
        <f>IF(H6&gt;=3000,ET53,ER53)</f>
        <v>9</v>
      </c>
      <c r="EY53" s="183"/>
      <c r="EZ53" s="183"/>
      <c r="FA53" s="183"/>
      <c r="FB53" s="183"/>
      <c r="FC53" s="11">
        <v>0.35</v>
      </c>
      <c r="FD53" s="11"/>
      <c r="FE53" s="474"/>
      <c r="FF53" s="474"/>
      <c r="FG53" s="474"/>
      <c r="FH53" s="7">
        <v>420</v>
      </c>
      <c r="FI53" s="474"/>
      <c r="FJ53" s="474">
        <v>500</v>
      </c>
      <c r="FK53" s="474"/>
      <c r="FL53" s="474"/>
      <c r="FM53" s="474"/>
      <c r="FN53" s="474"/>
      <c r="FO53" s="474"/>
      <c r="FP53" s="474"/>
      <c r="FQ53" s="474"/>
      <c r="FR53" s="474"/>
      <c r="FS53" s="474"/>
      <c r="FT53" s="474"/>
      <c r="FU53" s="474"/>
      <c r="FV53" s="474"/>
      <c r="FW53" s="474"/>
      <c r="FX53" s="474"/>
      <c r="FY53" s="474"/>
      <c r="FZ53" s="474"/>
      <c r="GA53" s="474"/>
      <c r="GB53" s="474"/>
      <c r="GC53" s="474"/>
      <c r="GD53" s="474"/>
      <c r="GE53" s="474"/>
      <c r="GF53" s="474"/>
      <c r="GG53" s="474"/>
      <c r="GH53" s="474"/>
      <c r="GI53" s="474"/>
      <c r="GJ53" s="474"/>
      <c r="GK53" s="474"/>
      <c r="GL53" s="474"/>
      <c r="GM53" s="474"/>
      <c r="GN53" s="474"/>
      <c r="GO53" s="474"/>
      <c r="GP53" s="474"/>
      <c r="GQ53" s="474"/>
      <c r="GR53" s="474"/>
      <c r="GS53" s="474"/>
      <c r="GT53" s="474"/>
      <c r="GU53" s="474"/>
      <c r="GV53" s="474"/>
      <c r="GW53" s="474"/>
      <c r="GX53" s="474"/>
      <c r="GY53" s="474"/>
      <c r="GZ53" s="474"/>
      <c r="HA53" s="474"/>
      <c r="HB53" s="474"/>
      <c r="HC53" s="474"/>
      <c r="HD53" s="474"/>
      <c r="HE53" s="474"/>
      <c r="HF53" s="474"/>
      <c r="HG53" s="474"/>
      <c r="HH53" s="474"/>
      <c r="HI53" s="474"/>
      <c r="HJ53" s="474"/>
      <c r="HK53" s="474"/>
      <c r="HL53" s="474"/>
      <c r="HM53" s="474"/>
      <c r="HN53" s="474"/>
      <c r="HO53" s="474"/>
      <c r="HP53" s="474"/>
      <c r="HQ53" s="474"/>
      <c r="HR53" s="474"/>
      <c r="HS53" s="474"/>
      <c r="HT53" s="474"/>
      <c r="HU53" s="474"/>
      <c r="HV53" s="474"/>
      <c r="HW53" s="474"/>
      <c r="HX53" s="474"/>
      <c r="HY53" s="474"/>
      <c r="HZ53" s="474"/>
      <c r="IA53" s="474"/>
      <c r="IB53" s="474"/>
      <c r="IC53" s="474"/>
      <c r="ID53" s="474"/>
      <c r="IE53" s="474"/>
      <c r="IF53" s="474"/>
      <c r="IG53" s="474"/>
      <c r="IH53" s="474"/>
      <c r="II53" s="474"/>
      <c r="IJ53" s="474"/>
      <c r="IK53" s="474"/>
      <c r="IL53" s="474"/>
      <c r="IM53" s="474"/>
      <c r="IN53" s="474"/>
      <c r="IO53" s="474"/>
      <c r="IP53" s="474"/>
      <c r="JG53" s="146" t="s">
        <v>140</v>
      </c>
    </row>
    <row r="54" spans="1:290" ht="14.1" customHeight="1" x14ac:dyDescent="0.2">
      <c r="A54" s="153"/>
      <c r="B54" s="237"/>
      <c r="C54" s="63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237"/>
      <c r="AL54" s="52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237"/>
      <c r="BS54" s="237"/>
      <c r="BT54" s="237"/>
      <c r="BU54" s="237"/>
      <c r="BV54" s="237"/>
      <c r="BW54" s="278"/>
      <c r="BX54" s="278"/>
      <c r="BY54" s="278"/>
      <c r="BZ54" s="278"/>
      <c r="CA54" s="278"/>
      <c r="CB54" s="268"/>
      <c r="CC54" s="268"/>
      <c r="CD54" s="268"/>
      <c r="CE54" s="268"/>
      <c r="CF54" s="45"/>
      <c r="CG54" s="242"/>
      <c r="CH54" s="242"/>
      <c r="CI54" s="242"/>
      <c r="CJ54" s="242"/>
      <c r="CK54" s="242"/>
      <c r="CL54" s="242"/>
      <c r="CM54" s="242"/>
      <c r="CN54" s="242"/>
      <c r="CO54" s="242"/>
      <c r="CP54" s="242"/>
      <c r="CQ54" s="242"/>
      <c r="CR54" s="242"/>
      <c r="CS54" s="242"/>
      <c r="CT54" s="242"/>
      <c r="CU54" s="242"/>
      <c r="CV54" s="242"/>
      <c r="CW54" s="242"/>
      <c r="CX54" s="242"/>
      <c r="CY54" s="242"/>
      <c r="CZ54" s="242"/>
      <c r="DA54" s="242"/>
      <c r="DB54" s="242"/>
      <c r="DC54" s="242"/>
      <c r="DD54" s="242"/>
      <c r="DE54" s="242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242"/>
      <c r="DR54" s="242"/>
      <c r="DS54" s="242"/>
      <c r="DT54" s="242"/>
      <c r="DU54" s="242"/>
      <c r="DV54" s="242"/>
      <c r="DW54" s="242"/>
      <c r="DX54" s="242"/>
      <c r="DY54" s="242"/>
      <c r="DZ54" s="474"/>
      <c r="EA54" s="474"/>
      <c r="EB54" s="474"/>
      <c r="EC54" s="25"/>
      <c r="ED54" s="138"/>
      <c r="EE54" s="138"/>
      <c r="EF54" s="138"/>
      <c r="EG54" s="211"/>
      <c r="EH54" s="211"/>
      <c r="EI54" s="211"/>
      <c r="EJ54" s="211"/>
      <c r="EK54" s="211"/>
      <c r="EL54" s="211"/>
      <c r="EM54" s="211"/>
      <c r="EN54" s="211"/>
      <c r="EO54" s="211"/>
      <c r="EP54" s="101"/>
      <c r="EQ54" s="182"/>
      <c r="ER54" s="26">
        <v>12</v>
      </c>
      <c r="ES54" s="474"/>
      <c r="ET54" s="26">
        <v>16</v>
      </c>
      <c r="EU54" s="185"/>
      <c r="EV54" s="186">
        <f t="shared" si="1"/>
        <v>16</v>
      </c>
      <c r="EW54" s="474"/>
      <c r="EX54" s="186">
        <f>IF(H6&gt;=3000,ET54,ER54)</f>
        <v>12</v>
      </c>
      <c r="EY54" s="183"/>
      <c r="EZ54" s="183"/>
      <c r="FA54" s="183"/>
      <c r="FB54" s="183"/>
      <c r="FC54" s="11">
        <v>0.375</v>
      </c>
      <c r="FD54" s="11"/>
      <c r="FE54" s="474"/>
      <c r="FF54" s="474"/>
      <c r="FG54" s="474"/>
      <c r="FH54" s="7">
        <v>450</v>
      </c>
      <c r="FI54" s="474"/>
      <c r="FJ54" s="474"/>
      <c r="FK54" s="474"/>
      <c r="FL54" s="474"/>
      <c r="FM54" s="474"/>
      <c r="FN54" s="474"/>
      <c r="FO54" s="474"/>
      <c r="FP54" s="474"/>
      <c r="FQ54" s="474"/>
      <c r="FR54" s="474"/>
      <c r="FS54" s="474"/>
      <c r="FT54" s="474"/>
      <c r="FU54" s="474"/>
      <c r="FV54" s="474"/>
      <c r="FW54" s="474"/>
      <c r="FX54" s="474"/>
      <c r="FY54" s="474"/>
      <c r="FZ54" s="474"/>
      <c r="GA54" s="474"/>
      <c r="GB54" s="474"/>
      <c r="GC54" s="474"/>
      <c r="GD54" s="474"/>
      <c r="GE54" s="474"/>
      <c r="GF54" s="474"/>
      <c r="GG54" s="474"/>
      <c r="GH54" s="474"/>
      <c r="GI54" s="474"/>
      <c r="GJ54" s="474"/>
      <c r="GK54" s="474"/>
      <c r="GL54" s="474"/>
      <c r="GM54" s="474"/>
      <c r="GN54" s="474"/>
      <c r="GO54" s="474"/>
      <c r="GP54" s="474"/>
      <c r="GQ54" s="474"/>
      <c r="GR54" s="474"/>
      <c r="GS54" s="474"/>
      <c r="GT54" s="474"/>
      <c r="GU54" s="474"/>
      <c r="GV54" s="474"/>
      <c r="GW54" s="474"/>
      <c r="GX54" s="474"/>
      <c r="GY54" s="474"/>
      <c r="GZ54" s="474"/>
      <c r="HA54" s="474"/>
      <c r="HB54" s="474"/>
      <c r="HC54" s="474"/>
      <c r="HD54" s="474"/>
      <c r="HE54" s="474"/>
      <c r="HF54" s="474"/>
      <c r="HG54" s="474"/>
      <c r="HH54" s="474"/>
      <c r="HI54" s="474"/>
      <c r="HJ54" s="474"/>
      <c r="HK54" s="474"/>
      <c r="HL54" s="474"/>
      <c r="HM54" s="474"/>
      <c r="HN54" s="474"/>
      <c r="HO54" s="474"/>
      <c r="HP54" s="474"/>
      <c r="HQ54" s="474"/>
      <c r="HR54" s="474"/>
      <c r="HS54" s="474"/>
      <c r="HT54" s="474"/>
      <c r="HU54" s="474"/>
      <c r="HV54" s="474"/>
      <c r="HW54" s="474"/>
      <c r="HX54" s="474"/>
      <c r="HY54" s="474"/>
      <c r="HZ54" s="474"/>
      <c r="IA54" s="474"/>
      <c r="IB54" s="474"/>
      <c r="IC54" s="474"/>
      <c r="ID54" s="474"/>
      <c r="IE54" s="474"/>
      <c r="IF54" s="474"/>
      <c r="IG54" s="474"/>
      <c r="IH54" s="474"/>
      <c r="II54" s="474"/>
      <c r="IJ54" s="474"/>
      <c r="IK54" s="474"/>
      <c r="IL54" s="474"/>
      <c r="IM54" s="474"/>
      <c r="IN54" s="474"/>
      <c r="IO54" s="474"/>
      <c r="IP54" s="474"/>
      <c r="JG54" s="146" t="s">
        <v>23</v>
      </c>
      <c r="JH54" s="146">
        <v>-0.17</v>
      </c>
      <c r="JI54" s="146">
        <f>1-(H28/100)</f>
        <v>0.97</v>
      </c>
      <c r="JK54" s="146">
        <f>JH54</f>
        <v>-0.17</v>
      </c>
      <c r="JL54" s="146">
        <f>JH54</f>
        <v>-0.17</v>
      </c>
      <c r="JN54" s="184"/>
      <c r="JQ54" s="184">
        <v>-0.17</v>
      </c>
      <c r="JR54" s="184">
        <v>0.5</v>
      </c>
      <c r="JS54" s="184"/>
      <c r="JT54" s="184">
        <f>JQ54</f>
        <v>-0.17</v>
      </c>
      <c r="JU54" s="184">
        <f>JQ54</f>
        <v>-0.17</v>
      </c>
    </row>
    <row r="55" spans="1:290" ht="14.1" customHeight="1" x14ac:dyDescent="0.2">
      <c r="A55" s="153"/>
      <c r="B55" s="237"/>
      <c r="C55" s="463"/>
      <c r="D55" s="463"/>
      <c r="E55" s="463"/>
      <c r="F55" s="463"/>
      <c r="G55" s="478"/>
      <c r="H55" s="478"/>
      <c r="I55" s="478"/>
      <c r="J55" s="478"/>
      <c r="K55" s="478"/>
      <c r="L55" s="478"/>
      <c r="M55" s="478"/>
      <c r="N55" s="478"/>
      <c r="O55" s="478"/>
      <c r="P55" s="478"/>
      <c r="Q55" s="478"/>
      <c r="R55" s="478"/>
      <c r="S55" s="478"/>
      <c r="T55" s="478"/>
      <c r="U55" s="478"/>
      <c r="V55" s="478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153"/>
      <c r="AH55" s="153"/>
      <c r="AI55" s="153"/>
      <c r="AJ55" s="153"/>
      <c r="AK55" s="237"/>
      <c r="AL55" s="52"/>
      <c r="AM55" s="81"/>
      <c r="AN55" s="81"/>
      <c r="AO55" s="81"/>
      <c r="AP55" s="81"/>
      <c r="AQ55" s="81"/>
      <c r="AR55" s="81"/>
      <c r="AS55" s="81"/>
      <c r="AT55" s="81"/>
      <c r="AU55" s="80"/>
      <c r="AV55" s="80"/>
      <c r="AW55" s="80"/>
      <c r="AX55" s="80"/>
      <c r="AY55" s="81"/>
      <c r="AZ55" s="81"/>
      <c r="BA55" s="81"/>
      <c r="BB55" s="81"/>
      <c r="BC55" s="79"/>
      <c r="BD55" s="79"/>
      <c r="BE55" s="79"/>
      <c r="BF55" s="79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237"/>
      <c r="BS55" s="237"/>
      <c r="BT55" s="237"/>
      <c r="BU55" s="237"/>
      <c r="BV55" s="237"/>
      <c r="BW55" s="285"/>
      <c r="BX55" s="285"/>
      <c r="BY55" s="285"/>
      <c r="BZ55" s="285"/>
      <c r="CA55" s="285"/>
      <c r="CB55" s="268"/>
      <c r="CC55" s="268"/>
      <c r="CD55" s="268"/>
      <c r="CE55" s="268"/>
      <c r="CF55" s="45"/>
      <c r="CG55" s="242"/>
      <c r="CH55" s="280"/>
      <c r="CI55" s="280"/>
      <c r="CJ55" s="280"/>
      <c r="CK55" s="280"/>
      <c r="CL55" s="280"/>
      <c r="CM55" s="280"/>
      <c r="CN55" s="280"/>
      <c r="CO55" s="280"/>
      <c r="CP55" s="280"/>
      <c r="CQ55" s="280"/>
      <c r="CR55" s="280"/>
      <c r="CS55" s="280"/>
      <c r="CT55" s="280"/>
      <c r="CU55" s="280"/>
      <c r="CV55" s="280"/>
      <c r="CW55" s="280"/>
      <c r="CX55" s="280"/>
      <c r="CY55" s="280"/>
      <c r="CZ55" s="280"/>
      <c r="DA55" s="280"/>
      <c r="DB55" s="280"/>
      <c r="DC55" s="280"/>
      <c r="DD55" s="280"/>
      <c r="DE55" s="242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242"/>
      <c r="DR55" s="242"/>
      <c r="DS55" s="242"/>
      <c r="DT55" s="242"/>
      <c r="DU55" s="242"/>
      <c r="DV55" s="242"/>
      <c r="DW55" s="242"/>
      <c r="DX55" s="242"/>
      <c r="DY55" s="242"/>
      <c r="DZ55" s="474"/>
      <c r="EA55" s="474"/>
      <c r="EB55" s="474"/>
      <c r="EC55" s="25"/>
      <c r="ED55" s="138"/>
      <c r="EE55" s="138"/>
      <c r="EF55" s="138"/>
      <c r="EG55" s="211"/>
      <c r="EH55" s="211"/>
      <c r="EI55" s="211"/>
      <c r="EJ55" s="211"/>
      <c r="EK55" s="211"/>
      <c r="EL55" s="211"/>
      <c r="EM55" s="211"/>
      <c r="EN55" s="211"/>
      <c r="EO55" s="211"/>
      <c r="EP55" s="101"/>
      <c r="EQ55" s="182"/>
      <c r="ER55" s="26">
        <v>15</v>
      </c>
      <c r="ES55" s="474"/>
      <c r="ET55" s="26">
        <v>20</v>
      </c>
      <c r="EU55" s="185"/>
      <c r="EV55" s="186">
        <f t="shared" si="1"/>
        <v>20</v>
      </c>
      <c r="EW55" s="474"/>
      <c r="EX55" s="186">
        <f>IF(H6&gt;=3000,ET55,ER55)</f>
        <v>15</v>
      </c>
      <c r="EY55" s="183"/>
      <c r="EZ55" s="183"/>
      <c r="FA55" s="183"/>
      <c r="FB55" s="183"/>
      <c r="FC55" s="11">
        <v>0.4</v>
      </c>
      <c r="FD55" s="11"/>
      <c r="FE55" s="474"/>
      <c r="FF55" s="474"/>
      <c r="FG55" s="474"/>
      <c r="FH55" s="474"/>
      <c r="FI55" s="474"/>
      <c r="FJ55" s="474"/>
      <c r="FK55" s="474"/>
      <c r="FL55" s="474"/>
      <c r="FM55" s="474"/>
      <c r="FN55" s="474"/>
      <c r="FO55" s="474"/>
      <c r="FP55" s="474"/>
      <c r="FQ55" s="474"/>
      <c r="FR55" s="474"/>
      <c r="FS55" s="474"/>
      <c r="FT55" s="474"/>
      <c r="FU55" s="474"/>
      <c r="FV55" s="474"/>
      <c r="FW55" s="474"/>
      <c r="FX55" s="474"/>
      <c r="FY55" s="474"/>
      <c r="FZ55" s="474"/>
      <c r="GA55" s="474"/>
      <c r="GB55" s="474"/>
      <c r="GC55" s="474"/>
      <c r="GD55" s="474"/>
      <c r="GE55" s="474"/>
      <c r="GF55" s="474"/>
      <c r="GG55" s="474"/>
      <c r="GH55" s="474"/>
      <c r="GI55" s="474"/>
      <c r="GJ55" s="474"/>
      <c r="GK55" s="474"/>
      <c r="GL55" s="474"/>
      <c r="GM55" s="474"/>
      <c r="GN55" s="474"/>
      <c r="GO55" s="474"/>
      <c r="GP55" s="474"/>
      <c r="GQ55" s="474"/>
      <c r="GR55" s="474"/>
      <c r="GS55" s="474"/>
      <c r="GT55" s="474"/>
      <c r="GU55" s="474"/>
      <c r="GV55" s="474"/>
      <c r="GW55" s="474"/>
      <c r="GX55" s="474"/>
      <c r="GY55" s="474"/>
      <c r="GZ55" s="474"/>
      <c r="HA55" s="474"/>
      <c r="HB55" s="474"/>
      <c r="HC55" s="474"/>
      <c r="HD55" s="474"/>
      <c r="HE55" s="474"/>
      <c r="HF55" s="474"/>
      <c r="HG55" s="474"/>
      <c r="HH55" s="474"/>
      <c r="HI55" s="474"/>
      <c r="HJ55" s="474"/>
      <c r="HK55" s="474"/>
      <c r="HL55" s="474"/>
      <c r="HM55" s="474"/>
      <c r="HN55" s="474"/>
      <c r="HO55" s="474"/>
      <c r="HP55" s="474"/>
      <c r="HQ55" s="474"/>
      <c r="HR55" s="474"/>
      <c r="HS55" s="474"/>
      <c r="HT55" s="474"/>
      <c r="HU55" s="474"/>
      <c r="HV55" s="474"/>
      <c r="HW55" s="474"/>
      <c r="HX55" s="474"/>
      <c r="HY55" s="474"/>
      <c r="HZ55" s="474"/>
      <c r="IA55" s="474"/>
      <c r="IB55" s="474"/>
      <c r="IC55" s="474"/>
      <c r="ID55" s="474"/>
      <c r="IE55" s="474"/>
      <c r="IF55" s="474"/>
      <c r="IG55" s="474"/>
      <c r="IH55" s="474"/>
      <c r="II55" s="474"/>
      <c r="IJ55" s="474"/>
      <c r="IK55" s="474"/>
      <c r="IL55" s="474"/>
      <c r="IM55" s="474"/>
      <c r="IN55" s="474"/>
      <c r="IO55" s="474"/>
      <c r="IP55" s="474"/>
      <c r="JG55" s="146" t="s">
        <v>24</v>
      </c>
      <c r="JH55" s="146">
        <f>-H28/100</f>
        <v>-0.03</v>
      </c>
      <c r="JI55" s="146">
        <f>JH55</f>
        <v>-0.03</v>
      </c>
      <c r="JK55" s="146">
        <f>JH55</f>
        <v>-0.03</v>
      </c>
      <c r="JL55" s="146">
        <f>JK55-0.25</f>
        <v>-0.28000000000000003</v>
      </c>
      <c r="JN55" s="184"/>
      <c r="JQ55" s="184">
        <f>(-H28-1.5)/100</f>
        <v>-4.4999999999999998E-2</v>
      </c>
      <c r="JR55" s="184">
        <f>JQ55</f>
        <v>-4.4999999999999998E-2</v>
      </c>
      <c r="JS55" s="184"/>
      <c r="JT55" s="184">
        <f>JQ55</f>
        <v>-4.4999999999999998E-2</v>
      </c>
      <c r="JU55" s="184">
        <f>JT55-0.25</f>
        <v>-0.29499999999999998</v>
      </c>
    </row>
    <row r="56" spans="1:290" ht="14.1" customHeight="1" x14ac:dyDescent="0.2">
      <c r="A56" s="153"/>
      <c r="B56" s="237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153"/>
      <c r="AH56" s="153"/>
      <c r="AI56" s="153"/>
      <c r="AJ56" s="153"/>
      <c r="AK56" s="237"/>
      <c r="AL56" s="52"/>
      <c r="AM56" s="81"/>
      <c r="AN56" s="81"/>
      <c r="AO56" s="81"/>
      <c r="AP56" s="81"/>
      <c r="AQ56" s="81"/>
      <c r="AR56" s="81"/>
      <c r="AS56" s="81"/>
      <c r="AT56" s="81"/>
      <c r="AU56" s="80"/>
      <c r="AV56" s="80"/>
      <c r="AW56" s="80"/>
      <c r="AX56" s="80"/>
      <c r="AY56" s="81"/>
      <c r="AZ56" s="81"/>
      <c r="BA56" s="81"/>
      <c r="BB56" s="81"/>
      <c r="BC56" s="79"/>
      <c r="BD56" s="79"/>
      <c r="BE56" s="79"/>
      <c r="BF56" s="79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237"/>
      <c r="BS56" s="237"/>
      <c r="BT56" s="237"/>
      <c r="BU56" s="237"/>
      <c r="BV56" s="237"/>
      <c r="BW56" s="265"/>
      <c r="BX56" s="265"/>
      <c r="BY56" s="265"/>
      <c r="BZ56" s="265"/>
      <c r="CA56" s="265"/>
      <c r="CB56" s="268"/>
      <c r="CC56" s="268"/>
      <c r="CD56" s="268"/>
      <c r="CE56" s="268"/>
      <c r="CF56" s="45"/>
      <c r="CG56" s="242"/>
      <c r="CH56" s="242"/>
      <c r="CI56" s="242"/>
      <c r="CJ56" s="242"/>
      <c r="CK56" s="242"/>
      <c r="CL56" s="242"/>
      <c r="CM56" s="242"/>
      <c r="CN56" s="242"/>
      <c r="CO56" s="242"/>
      <c r="CP56" s="242"/>
      <c r="CQ56" s="242"/>
      <c r="CR56" s="242"/>
      <c r="CS56" s="242"/>
      <c r="CT56" s="242"/>
      <c r="CU56" s="242"/>
      <c r="CV56" s="242"/>
      <c r="CW56" s="242"/>
      <c r="CX56" s="242"/>
      <c r="CY56" s="242"/>
      <c r="CZ56" s="242"/>
      <c r="DA56" s="242"/>
      <c r="DB56" s="242"/>
      <c r="DC56" s="242"/>
      <c r="DD56" s="242"/>
      <c r="DE56" s="242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242"/>
      <c r="DR56" s="242"/>
      <c r="DS56" s="242"/>
      <c r="DT56" s="242"/>
      <c r="DU56" s="242"/>
      <c r="DV56" s="242"/>
      <c r="DW56" s="242"/>
      <c r="DX56" s="242"/>
      <c r="DY56" s="242"/>
      <c r="DZ56" s="474"/>
      <c r="EA56" s="474"/>
      <c r="EB56" s="474"/>
      <c r="EC56" s="25"/>
      <c r="ED56" s="138"/>
      <c r="EE56" s="138"/>
      <c r="EF56" s="138"/>
      <c r="EG56" s="211"/>
      <c r="EH56" s="211"/>
      <c r="EI56" s="211"/>
      <c r="EJ56" s="211"/>
      <c r="EK56" s="211"/>
      <c r="EL56" s="211"/>
      <c r="EM56" s="211"/>
      <c r="EN56" s="211"/>
      <c r="EO56" s="211"/>
      <c r="EP56" s="101"/>
      <c r="EQ56" s="182"/>
      <c r="ER56" s="26">
        <v>19</v>
      </c>
      <c r="ES56" s="474"/>
      <c r="ET56" s="26">
        <v>25</v>
      </c>
      <c r="EU56" s="185"/>
      <c r="EV56" s="186">
        <f t="shared" si="1"/>
        <v>25</v>
      </c>
      <c r="EW56" s="474"/>
      <c r="EX56" s="186">
        <f>IF(H6&gt;=3000,ET56,ER56)</f>
        <v>19</v>
      </c>
      <c r="EY56" s="183"/>
      <c r="EZ56" s="183"/>
      <c r="FA56" s="183"/>
      <c r="FB56" s="183"/>
      <c r="FC56" s="11">
        <v>0.42499999999999999</v>
      </c>
      <c r="FD56" s="11"/>
      <c r="FE56" s="474"/>
      <c r="FF56" s="474"/>
      <c r="FG56" s="474"/>
      <c r="FH56" s="474"/>
      <c r="FI56" s="474"/>
      <c r="FJ56" s="474"/>
      <c r="FK56" s="474"/>
      <c r="FL56" s="474"/>
      <c r="FM56" s="474"/>
      <c r="FN56" s="474"/>
      <c r="FO56" s="474"/>
      <c r="FP56" s="474"/>
      <c r="FQ56" s="474"/>
      <c r="FR56" s="474"/>
      <c r="FS56" s="474"/>
      <c r="FT56" s="474"/>
      <c r="FU56" s="474"/>
      <c r="FV56" s="474"/>
      <c r="FW56" s="474"/>
      <c r="FX56" s="474"/>
      <c r="FY56" s="474"/>
      <c r="FZ56" s="474"/>
      <c r="GA56" s="474"/>
      <c r="GB56" s="474"/>
      <c r="GC56" s="474"/>
      <c r="GD56" s="474"/>
      <c r="GE56" s="474"/>
      <c r="GF56" s="474"/>
      <c r="GG56" s="474"/>
      <c r="GH56" s="474"/>
      <c r="GI56" s="474"/>
      <c r="GJ56" s="474"/>
      <c r="GK56" s="474"/>
      <c r="GL56" s="474"/>
      <c r="GM56" s="474"/>
      <c r="GN56" s="474"/>
      <c r="GO56" s="474"/>
      <c r="GP56" s="474"/>
      <c r="GQ56" s="474"/>
      <c r="GR56" s="474"/>
      <c r="GS56" s="474"/>
      <c r="GT56" s="474"/>
      <c r="GU56" s="474"/>
      <c r="GV56" s="474"/>
      <c r="GW56" s="474"/>
      <c r="GX56" s="474"/>
      <c r="GY56" s="474"/>
      <c r="GZ56" s="474"/>
      <c r="HA56" s="474"/>
      <c r="HB56" s="474"/>
      <c r="HC56" s="474"/>
      <c r="HD56" s="474"/>
      <c r="HE56" s="474"/>
      <c r="HF56" s="474"/>
      <c r="HG56" s="474"/>
      <c r="HH56" s="474"/>
      <c r="HI56" s="474"/>
      <c r="HJ56" s="474"/>
      <c r="HK56" s="474"/>
      <c r="HL56" s="474"/>
      <c r="HM56" s="474"/>
      <c r="HN56" s="474"/>
      <c r="HO56" s="474"/>
      <c r="HP56" s="474"/>
      <c r="HQ56" s="474"/>
      <c r="HR56" s="474"/>
      <c r="HS56" s="474"/>
      <c r="HT56" s="474"/>
      <c r="HU56" s="474"/>
      <c r="HV56" s="474"/>
      <c r="HW56" s="474"/>
      <c r="HX56" s="474"/>
      <c r="HY56" s="474"/>
      <c r="HZ56" s="474"/>
      <c r="IA56" s="474"/>
      <c r="IB56" s="474"/>
      <c r="IC56" s="474"/>
      <c r="ID56" s="474"/>
      <c r="IE56" s="474"/>
      <c r="IF56" s="474"/>
      <c r="IG56" s="474"/>
      <c r="IH56" s="474"/>
      <c r="II56" s="474"/>
      <c r="IJ56" s="474"/>
      <c r="IK56" s="474"/>
      <c r="IL56" s="474"/>
      <c r="IM56" s="474"/>
      <c r="IN56" s="474"/>
      <c r="IO56" s="474"/>
      <c r="IP56" s="474"/>
      <c r="JG56" s="146" t="s">
        <v>141</v>
      </c>
    </row>
    <row r="57" spans="1:290" ht="14.1" customHeight="1" x14ac:dyDescent="0.2">
      <c r="A57" s="153"/>
      <c r="B57" s="237"/>
      <c r="C57" s="45"/>
      <c r="D57" s="45"/>
      <c r="E57" s="45"/>
      <c r="F57" s="45"/>
      <c r="G57" s="45"/>
      <c r="H57" s="45"/>
      <c r="I57" s="45"/>
      <c r="J57" s="45"/>
      <c r="K57" s="45"/>
      <c r="L57" s="220"/>
      <c r="M57" s="220"/>
      <c r="N57" s="220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153"/>
      <c r="AH57" s="153"/>
      <c r="AI57" s="153"/>
      <c r="AJ57" s="153"/>
      <c r="AK57" s="237"/>
      <c r="AL57" s="52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237"/>
      <c r="BS57" s="237"/>
      <c r="BT57" s="237"/>
      <c r="BU57" s="237"/>
      <c r="BV57" s="237"/>
      <c r="BW57" s="242"/>
      <c r="BX57" s="242"/>
      <c r="BY57" s="242"/>
      <c r="BZ57" s="242"/>
      <c r="CA57" s="242"/>
      <c r="CB57" s="242"/>
      <c r="CC57" s="242"/>
      <c r="CD57" s="242"/>
      <c r="CE57" s="242"/>
      <c r="CF57" s="242"/>
      <c r="CG57" s="242"/>
      <c r="CH57" s="242"/>
      <c r="CI57" s="242"/>
      <c r="CJ57" s="242"/>
      <c r="CK57" s="242"/>
      <c r="CL57" s="242"/>
      <c r="CM57" s="242"/>
      <c r="CN57" s="242"/>
      <c r="CO57" s="242"/>
      <c r="CP57" s="242"/>
      <c r="CQ57" s="242"/>
      <c r="CR57" s="242"/>
      <c r="CS57" s="242"/>
      <c r="CT57" s="242"/>
      <c r="CU57" s="242"/>
      <c r="CV57" s="242"/>
      <c r="CW57" s="242"/>
      <c r="CX57" s="242"/>
      <c r="CY57" s="242"/>
      <c r="CZ57" s="242"/>
      <c r="DA57" s="242"/>
      <c r="DB57" s="242"/>
      <c r="DC57" s="242"/>
      <c r="DD57" s="242"/>
      <c r="DE57" s="242"/>
      <c r="DF57" s="242"/>
      <c r="DG57" s="242"/>
      <c r="DH57" s="242"/>
      <c r="DI57" s="242"/>
      <c r="DJ57" s="242"/>
      <c r="DK57" s="242"/>
      <c r="DL57" s="242"/>
      <c r="DM57" s="242"/>
      <c r="DN57" s="242"/>
      <c r="DO57" s="242"/>
      <c r="DP57" s="242"/>
      <c r="DQ57" s="242"/>
      <c r="DR57" s="242"/>
      <c r="DS57" s="242"/>
      <c r="DT57" s="242"/>
      <c r="DU57" s="242"/>
      <c r="DV57" s="242"/>
      <c r="DW57" s="242"/>
      <c r="DX57" s="242"/>
      <c r="DY57" s="242"/>
      <c r="DZ57" s="474"/>
      <c r="EA57" s="474"/>
      <c r="EB57" s="474"/>
      <c r="EC57" s="25"/>
      <c r="ED57" s="138"/>
      <c r="EE57" s="138"/>
      <c r="EF57" s="138"/>
      <c r="EG57" s="211"/>
      <c r="EH57" s="211"/>
      <c r="EI57" s="211"/>
      <c r="EJ57" s="211"/>
      <c r="EK57" s="211"/>
      <c r="EL57" s="211"/>
      <c r="EM57" s="211"/>
      <c r="EN57" s="211"/>
      <c r="EO57" s="211"/>
      <c r="EP57" s="101"/>
      <c r="EQ57" s="182"/>
      <c r="ER57" s="26" t="s">
        <v>0</v>
      </c>
      <c r="ES57" s="474"/>
      <c r="ET57" s="26">
        <v>28</v>
      </c>
      <c r="EU57" s="185"/>
      <c r="EV57" s="186">
        <f t="shared" si="1"/>
        <v>28</v>
      </c>
      <c r="EW57" s="474"/>
      <c r="EX57" s="186" t="str">
        <f>IF(H6&gt;=3000,ET57,ER57)</f>
        <v>-</v>
      </c>
      <c r="EY57" s="183"/>
      <c r="EZ57" s="183"/>
      <c r="FA57" s="183"/>
      <c r="FB57" s="183"/>
      <c r="FC57" s="11">
        <v>0.45</v>
      </c>
      <c r="FD57" s="11"/>
      <c r="FE57" s="474"/>
      <c r="FF57" s="474"/>
      <c r="FG57" s="474"/>
      <c r="FH57" s="474"/>
      <c r="FI57" s="474"/>
      <c r="FJ57" s="474"/>
      <c r="FK57" s="474"/>
      <c r="FL57" s="474"/>
      <c r="FM57" s="474"/>
      <c r="FN57" s="474"/>
      <c r="FO57" s="474"/>
      <c r="FP57" s="474"/>
      <c r="FQ57" s="474"/>
      <c r="FR57" s="474"/>
      <c r="FS57" s="474"/>
      <c r="FT57" s="474"/>
      <c r="FU57" s="474"/>
      <c r="FV57" s="474"/>
      <c r="FW57" s="474"/>
      <c r="FX57" s="474"/>
      <c r="FY57" s="474"/>
      <c r="FZ57" s="474"/>
      <c r="GA57" s="474"/>
      <c r="GB57" s="474"/>
      <c r="GC57" s="474"/>
      <c r="GD57" s="474"/>
      <c r="GE57" s="474"/>
      <c r="GF57" s="474"/>
      <c r="GG57" s="474"/>
      <c r="GH57" s="474"/>
      <c r="GI57" s="474"/>
      <c r="GJ57" s="474"/>
      <c r="GK57" s="474"/>
      <c r="GL57" s="474"/>
      <c r="GM57" s="474"/>
      <c r="GN57" s="474"/>
      <c r="GO57" s="474"/>
      <c r="GP57" s="474"/>
      <c r="GQ57" s="474"/>
      <c r="GR57" s="474"/>
      <c r="GS57" s="474"/>
      <c r="GT57" s="474"/>
      <c r="GU57" s="474"/>
      <c r="GV57" s="474"/>
      <c r="GW57" s="474"/>
      <c r="GX57" s="474"/>
      <c r="GY57" s="474"/>
      <c r="GZ57" s="474"/>
      <c r="HA57" s="474"/>
      <c r="HB57" s="474"/>
      <c r="HC57" s="474"/>
      <c r="HD57" s="474"/>
      <c r="HE57" s="474"/>
      <c r="HF57" s="474"/>
      <c r="HG57" s="474"/>
      <c r="HH57" s="474"/>
      <c r="HI57" s="474"/>
      <c r="HJ57" s="474"/>
      <c r="HK57" s="474"/>
      <c r="HL57" s="474"/>
      <c r="HM57" s="474"/>
      <c r="HN57" s="474"/>
      <c r="HO57" s="474"/>
      <c r="HP57" s="474"/>
      <c r="HQ57" s="474"/>
      <c r="HR57" s="474"/>
      <c r="HS57" s="474"/>
      <c r="HT57" s="474"/>
      <c r="HU57" s="474"/>
      <c r="HV57" s="474"/>
      <c r="HW57" s="474"/>
      <c r="HX57" s="474"/>
      <c r="HY57" s="474"/>
      <c r="HZ57" s="474"/>
      <c r="IA57" s="474"/>
      <c r="IB57" s="474"/>
      <c r="IC57" s="474"/>
      <c r="ID57" s="474"/>
      <c r="IE57" s="474"/>
      <c r="IF57" s="474"/>
      <c r="IG57" s="474"/>
      <c r="IH57" s="474"/>
      <c r="II57" s="474"/>
      <c r="IJ57" s="474"/>
      <c r="IK57" s="474"/>
      <c r="IL57" s="474"/>
      <c r="IM57" s="474"/>
      <c r="IN57" s="474"/>
      <c r="IO57" s="474"/>
      <c r="IP57" s="474"/>
      <c r="JG57" s="146" t="s">
        <v>23</v>
      </c>
      <c r="JH57" s="146">
        <v>1.5</v>
      </c>
      <c r="JI57" s="146">
        <f>2+0.17</f>
        <v>2.17</v>
      </c>
      <c r="JK57" s="146">
        <f>1-(H28/100)</f>
        <v>0.97</v>
      </c>
      <c r="JL57" s="146">
        <f>JK57</f>
        <v>0.97</v>
      </c>
      <c r="JQ57" s="184">
        <v>1.5</v>
      </c>
      <c r="JR57" s="184">
        <f>2+0.17</f>
        <v>2.17</v>
      </c>
      <c r="JS57" s="184"/>
      <c r="JT57" s="184">
        <f>JR57</f>
        <v>2.17</v>
      </c>
      <c r="JU57" s="184">
        <f>JR57</f>
        <v>2.17</v>
      </c>
    </row>
    <row r="58" spans="1:290" ht="14.1" customHeight="1" x14ac:dyDescent="0.2">
      <c r="A58" s="153"/>
      <c r="B58" s="237"/>
      <c r="C58" s="45"/>
      <c r="D58" s="45"/>
      <c r="E58" s="45"/>
      <c r="F58" s="45"/>
      <c r="G58" s="45"/>
      <c r="H58" s="141"/>
      <c r="I58" s="141"/>
      <c r="J58" s="141"/>
      <c r="K58" s="45"/>
      <c r="L58" s="214"/>
      <c r="M58" s="214"/>
      <c r="N58" s="214"/>
      <c r="O58" s="45"/>
      <c r="P58" s="494"/>
      <c r="Q58" s="494"/>
      <c r="R58" s="494"/>
      <c r="S58" s="45"/>
      <c r="T58" s="494"/>
      <c r="U58" s="494"/>
      <c r="V58" s="494"/>
      <c r="W58" s="45"/>
      <c r="X58" s="494"/>
      <c r="Y58" s="494"/>
      <c r="Z58" s="494"/>
      <c r="AA58" s="45"/>
      <c r="AB58" s="45"/>
      <c r="AC58" s="45"/>
      <c r="AD58" s="45"/>
      <c r="AE58" s="45"/>
      <c r="AF58" s="45"/>
      <c r="AG58" s="153"/>
      <c r="AH58" s="153"/>
      <c r="AI58" s="153"/>
      <c r="AJ58" s="153"/>
      <c r="AK58" s="237"/>
      <c r="AL58" s="52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237"/>
      <c r="BS58" s="237"/>
      <c r="BT58" s="237"/>
      <c r="BU58" s="237"/>
      <c r="BV58" s="237"/>
      <c r="BW58" s="153"/>
      <c r="BX58" s="153"/>
      <c r="BY58" s="153"/>
      <c r="BZ58" s="153"/>
      <c r="CA58" s="153"/>
      <c r="CB58" s="153"/>
      <c r="CC58" s="153"/>
      <c r="CD58" s="153"/>
      <c r="CE58" s="153"/>
      <c r="CF58" s="286"/>
      <c r="CG58" s="286"/>
      <c r="CH58" s="286"/>
      <c r="CI58" s="153"/>
      <c r="CJ58" s="153"/>
      <c r="CK58" s="153"/>
      <c r="CL58" s="153"/>
      <c r="CM58" s="153"/>
      <c r="CN58" s="153"/>
      <c r="CO58" s="153"/>
      <c r="CP58" s="153"/>
      <c r="CQ58" s="153"/>
      <c r="CR58" s="153"/>
      <c r="CS58" s="153"/>
      <c r="CT58" s="153"/>
      <c r="CU58" s="153"/>
      <c r="CV58" s="153"/>
      <c r="CW58" s="153"/>
      <c r="CX58" s="153"/>
      <c r="CY58" s="153"/>
      <c r="CZ58" s="153"/>
      <c r="DA58" s="153"/>
      <c r="DB58" s="153"/>
      <c r="DC58" s="153"/>
      <c r="DD58" s="153"/>
      <c r="DE58" s="153"/>
      <c r="DF58" s="153"/>
      <c r="DG58" s="286"/>
      <c r="DH58" s="286"/>
      <c r="DI58" s="286"/>
      <c r="DJ58" s="153"/>
      <c r="DK58" s="153"/>
      <c r="DL58" s="153"/>
      <c r="DM58" s="286"/>
      <c r="DN58" s="286"/>
      <c r="DO58" s="286"/>
      <c r="DP58" s="242"/>
      <c r="DQ58" s="242"/>
      <c r="DR58" s="242"/>
      <c r="DS58" s="242"/>
      <c r="DT58" s="242"/>
      <c r="DU58" s="242"/>
      <c r="DV58" s="242"/>
      <c r="DW58" s="242"/>
      <c r="DX58" s="242"/>
      <c r="DY58" s="242"/>
      <c r="DZ58" s="474"/>
      <c r="EA58" s="474"/>
      <c r="EB58" s="474"/>
      <c r="EC58" s="25"/>
      <c r="ED58" s="138"/>
      <c r="EE58" s="138"/>
      <c r="EF58" s="138"/>
      <c r="EG58" s="211"/>
      <c r="EH58" s="211"/>
      <c r="EI58" s="211"/>
      <c r="EJ58" s="211"/>
      <c r="EK58" s="211"/>
      <c r="EL58" s="211"/>
      <c r="EM58" s="211"/>
      <c r="EN58" s="211"/>
      <c r="EO58" s="211"/>
      <c r="EP58" s="101"/>
      <c r="EQ58" s="182"/>
      <c r="ER58" s="26" t="s">
        <v>0</v>
      </c>
      <c r="ES58" s="474"/>
      <c r="ET58" s="26">
        <v>32</v>
      </c>
      <c r="EU58" s="187"/>
      <c r="EV58" s="186">
        <f t="shared" si="1"/>
        <v>32</v>
      </c>
      <c r="EW58" s="474"/>
      <c r="EX58" s="186" t="str">
        <f>IF(H6&gt;=3000,ET58,ER58)</f>
        <v>-</v>
      </c>
      <c r="EY58" s="183"/>
      <c r="EZ58" s="183"/>
      <c r="FA58" s="183"/>
      <c r="FB58" s="183"/>
      <c r="FC58" s="474"/>
      <c r="FD58" s="474"/>
      <c r="FE58" s="474"/>
      <c r="FF58" s="474"/>
      <c r="FG58" s="474"/>
      <c r="FH58" s="474"/>
      <c r="FI58" s="474"/>
      <c r="FJ58" s="474"/>
      <c r="FK58" s="474"/>
      <c r="FL58" s="474"/>
      <c r="FM58" s="474"/>
      <c r="FN58" s="474"/>
      <c r="FO58" s="474"/>
      <c r="FP58" s="474"/>
      <c r="FQ58" s="474"/>
      <c r="FR58" s="474"/>
      <c r="FS58" s="474"/>
      <c r="FT58" s="474"/>
      <c r="FU58" s="474"/>
      <c r="FV58" s="474"/>
      <c r="FW58" s="474"/>
      <c r="FX58" s="474"/>
      <c r="FY58" s="474"/>
      <c r="FZ58" s="474"/>
      <c r="GA58" s="474"/>
      <c r="GB58" s="474"/>
      <c r="GC58" s="474"/>
      <c r="GD58" s="474"/>
      <c r="GE58" s="474"/>
      <c r="GF58" s="474"/>
      <c r="GG58" s="474"/>
      <c r="GH58" s="474"/>
      <c r="GI58" s="474"/>
      <c r="GJ58" s="474"/>
      <c r="GK58" s="474"/>
      <c r="GL58" s="474"/>
      <c r="GM58" s="474"/>
      <c r="GN58" s="474"/>
      <c r="GO58" s="474"/>
      <c r="GP58" s="474"/>
      <c r="GQ58" s="474"/>
      <c r="GR58" s="474"/>
      <c r="GS58" s="474"/>
      <c r="GT58" s="474"/>
      <c r="GU58" s="474"/>
      <c r="GV58" s="474"/>
      <c r="GW58" s="474"/>
      <c r="GX58" s="474"/>
      <c r="GY58" s="474"/>
      <c r="GZ58" s="474"/>
      <c r="HA58" s="474"/>
      <c r="HB58" s="474"/>
      <c r="HC58" s="474"/>
      <c r="HD58" s="474"/>
      <c r="HE58" s="474"/>
      <c r="HF58" s="474"/>
      <c r="HG58" s="474"/>
      <c r="HH58" s="474"/>
      <c r="HI58" s="474"/>
      <c r="HJ58" s="474"/>
      <c r="HK58" s="474"/>
      <c r="HL58" s="474"/>
      <c r="HM58" s="474"/>
      <c r="HN58" s="474"/>
      <c r="HO58" s="474"/>
      <c r="HP58" s="474"/>
      <c r="HQ58" s="474"/>
      <c r="HR58" s="474"/>
      <c r="HS58" s="474"/>
      <c r="HT58" s="474"/>
      <c r="HU58" s="474"/>
      <c r="HV58" s="474"/>
      <c r="HW58" s="474"/>
      <c r="HX58" s="474"/>
      <c r="HY58" s="474"/>
      <c r="HZ58" s="474"/>
      <c r="IA58" s="474"/>
      <c r="IB58" s="474"/>
      <c r="IC58" s="474"/>
      <c r="ID58" s="474"/>
      <c r="IE58" s="474"/>
      <c r="IF58" s="474"/>
      <c r="IG58" s="474"/>
      <c r="IH58" s="474"/>
      <c r="II58" s="474"/>
      <c r="IJ58" s="474"/>
      <c r="IK58" s="474"/>
      <c r="IL58" s="474"/>
      <c r="IM58" s="474"/>
      <c r="IN58" s="474"/>
      <c r="IO58" s="474"/>
      <c r="IP58" s="474"/>
      <c r="JG58" s="146" t="s">
        <v>24</v>
      </c>
      <c r="JH58" s="146">
        <f>JH55</f>
        <v>-0.03</v>
      </c>
      <c r="JI58" s="146">
        <f>JH58</f>
        <v>-0.03</v>
      </c>
      <c r="JK58" s="146">
        <f>JH58</f>
        <v>-0.03</v>
      </c>
      <c r="JL58" s="146">
        <f>JK58-0.04</f>
        <v>-7.0000000000000007E-2</v>
      </c>
      <c r="JQ58" s="184">
        <f>JQ55</f>
        <v>-4.4999999999999998E-2</v>
      </c>
      <c r="JR58" s="184">
        <f>JQ58</f>
        <v>-4.4999999999999998E-2</v>
      </c>
      <c r="JS58" s="184"/>
      <c r="JT58" s="184">
        <f>JQ58</f>
        <v>-4.4999999999999998E-2</v>
      </c>
      <c r="JU58" s="184">
        <f>JT58-0.25</f>
        <v>-0.29499999999999998</v>
      </c>
    </row>
    <row r="59" spans="1:290" ht="14.1" customHeight="1" x14ac:dyDescent="0.2">
      <c r="A59" s="153"/>
      <c r="B59" s="237"/>
      <c r="C59" s="45"/>
      <c r="D59" s="45"/>
      <c r="E59" s="45"/>
      <c r="F59" s="45"/>
      <c r="G59" s="141"/>
      <c r="H59" s="141"/>
      <c r="I59" s="141"/>
      <c r="J59" s="141"/>
      <c r="K59" s="214"/>
      <c r="L59" s="214"/>
      <c r="M59" s="214"/>
      <c r="N59" s="214"/>
      <c r="O59" s="494"/>
      <c r="P59" s="494"/>
      <c r="Q59" s="494"/>
      <c r="R59" s="494"/>
      <c r="S59" s="494"/>
      <c r="T59" s="494"/>
      <c r="U59" s="494"/>
      <c r="V59" s="494"/>
      <c r="W59" s="494"/>
      <c r="X59" s="494"/>
      <c r="Y59" s="494"/>
      <c r="Z59" s="494"/>
      <c r="AA59" s="216"/>
      <c r="AB59" s="217"/>
      <c r="AC59" s="217"/>
      <c r="AD59" s="217"/>
      <c r="AE59" s="217"/>
      <c r="AF59" s="45"/>
      <c r="AG59" s="153"/>
      <c r="AH59" s="153"/>
      <c r="AI59" s="153"/>
      <c r="AJ59" s="153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  <c r="BI59" s="237"/>
      <c r="BJ59" s="237"/>
      <c r="BK59" s="237"/>
      <c r="BL59" s="237"/>
      <c r="BM59" s="237"/>
      <c r="BN59" s="237"/>
      <c r="BO59" s="237"/>
      <c r="BP59" s="237"/>
      <c r="BQ59" s="237"/>
      <c r="BR59" s="237"/>
      <c r="BS59" s="237"/>
      <c r="BT59" s="237"/>
      <c r="BU59" s="237"/>
      <c r="BV59" s="237"/>
      <c r="BW59" s="153"/>
      <c r="BX59" s="153"/>
      <c r="BY59" s="153"/>
      <c r="BZ59" s="153"/>
      <c r="CA59" s="153"/>
      <c r="CB59" s="153"/>
      <c r="CC59" s="153"/>
      <c r="CD59" s="278"/>
      <c r="CE59" s="278"/>
      <c r="CF59" s="462"/>
      <c r="CG59" s="462"/>
      <c r="CH59" s="287"/>
      <c r="CI59" s="153"/>
      <c r="CJ59" s="153"/>
      <c r="CK59" s="153"/>
      <c r="CL59" s="153"/>
      <c r="CM59" s="153"/>
      <c r="CN59" s="153"/>
      <c r="CO59" s="153"/>
      <c r="CP59" s="153"/>
      <c r="CQ59" s="153"/>
      <c r="CR59" s="153"/>
      <c r="CS59" s="153"/>
      <c r="CT59" s="153"/>
      <c r="CU59" s="153"/>
      <c r="CV59" s="153"/>
      <c r="CW59" s="153"/>
      <c r="CX59" s="153"/>
      <c r="CY59" s="153"/>
      <c r="CZ59" s="153"/>
      <c r="DA59" s="153"/>
      <c r="DB59" s="153"/>
      <c r="DC59" s="153"/>
      <c r="DD59" s="153"/>
      <c r="DE59" s="278"/>
      <c r="DF59" s="278"/>
      <c r="DG59" s="462"/>
      <c r="DH59" s="462"/>
      <c r="DI59" s="287"/>
      <c r="DJ59" s="153"/>
      <c r="DK59" s="278"/>
      <c r="DL59" s="278"/>
      <c r="DM59" s="462"/>
      <c r="DN59" s="462"/>
      <c r="DO59" s="287"/>
      <c r="DP59" s="242"/>
      <c r="DQ59" s="242"/>
      <c r="DR59" s="242"/>
      <c r="DS59" s="242"/>
      <c r="DT59" s="242"/>
      <c r="DU59" s="242"/>
      <c r="DV59" s="242"/>
      <c r="DW59" s="242"/>
      <c r="DX59" s="242"/>
      <c r="DY59" s="242"/>
      <c r="DZ59" s="474"/>
      <c r="EA59" s="474"/>
      <c r="EB59" s="474"/>
      <c r="EC59" s="25"/>
      <c r="ED59" s="138"/>
      <c r="EE59" s="138"/>
      <c r="EF59" s="138"/>
      <c r="EG59" s="211"/>
      <c r="EH59" s="211"/>
      <c r="EI59" s="211"/>
      <c r="EJ59" s="211"/>
      <c r="EK59" s="211"/>
      <c r="EL59" s="211"/>
      <c r="EM59" s="211"/>
      <c r="EN59" s="211"/>
      <c r="EO59" s="211"/>
      <c r="EP59" s="101"/>
      <c r="EQ59" s="182"/>
      <c r="ER59" s="26"/>
      <c r="ES59" s="182"/>
      <c r="ET59" s="183"/>
      <c r="EU59" s="183"/>
      <c r="EV59" s="186"/>
      <c r="EW59" s="183"/>
      <c r="EX59" s="186"/>
      <c r="EY59" s="183"/>
      <c r="EZ59" s="183"/>
      <c r="FA59" s="183"/>
      <c r="FB59" s="183"/>
      <c r="FC59" s="474"/>
      <c r="FD59" s="474"/>
      <c r="FE59" s="474"/>
      <c r="FF59" s="474"/>
      <c r="FG59" s="474"/>
      <c r="FH59" s="474"/>
      <c r="FI59" s="474"/>
      <c r="FJ59" s="474"/>
      <c r="FK59" s="474"/>
      <c r="FL59" s="474"/>
      <c r="FM59" s="474"/>
      <c r="FN59" s="474"/>
      <c r="FO59" s="474"/>
      <c r="FP59" s="474"/>
      <c r="FQ59" s="474"/>
      <c r="FR59" s="474"/>
      <c r="FS59" s="474"/>
      <c r="FT59" s="474"/>
      <c r="FU59" s="474"/>
      <c r="FV59" s="474"/>
      <c r="FW59" s="474"/>
      <c r="FX59" s="474"/>
      <c r="FY59" s="474"/>
      <c r="FZ59" s="474"/>
      <c r="GA59" s="474"/>
      <c r="GB59" s="474"/>
      <c r="GC59" s="474"/>
      <c r="GD59" s="474"/>
      <c r="GE59" s="474"/>
      <c r="GF59" s="474"/>
      <c r="GG59" s="474"/>
      <c r="GH59" s="474"/>
      <c r="GI59" s="474"/>
      <c r="GJ59" s="474"/>
      <c r="GK59" s="474"/>
      <c r="GL59" s="474"/>
      <c r="GM59" s="474"/>
      <c r="GN59" s="474"/>
      <c r="GO59" s="474"/>
      <c r="GP59" s="474"/>
      <c r="GQ59" s="474"/>
      <c r="GR59" s="474"/>
      <c r="GS59" s="474"/>
      <c r="GT59" s="474"/>
      <c r="GU59" s="474"/>
      <c r="GV59" s="474"/>
      <c r="GW59" s="474"/>
      <c r="GX59" s="474"/>
      <c r="GY59" s="474"/>
      <c r="GZ59" s="474"/>
      <c r="HA59" s="474"/>
      <c r="HB59" s="474"/>
      <c r="HC59" s="474"/>
      <c r="HD59" s="474"/>
      <c r="HE59" s="474"/>
      <c r="HF59" s="474"/>
      <c r="HG59" s="474"/>
      <c r="HH59" s="474"/>
      <c r="HI59" s="474"/>
      <c r="HJ59" s="474"/>
      <c r="HK59" s="474"/>
      <c r="HL59" s="474"/>
      <c r="HM59" s="474"/>
      <c r="HN59" s="474"/>
      <c r="HO59" s="474"/>
      <c r="HP59" s="474"/>
      <c r="HQ59" s="474"/>
      <c r="HR59" s="474"/>
      <c r="HS59" s="474"/>
      <c r="HT59" s="474"/>
      <c r="HU59" s="474"/>
      <c r="HV59" s="474"/>
      <c r="HW59" s="474"/>
      <c r="HX59" s="474"/>
      <c r="HY59" s="474"/>
      <c r="HZ59" s="474"/>
      <c r="IA59" s="474"/>
      <c r="IB59" s="474"/>
      <c r="IC59" s="474"/>
      <c r="ID59" s="474"/>
      <c r="IE59" s="474"/>
      <c r="IF59" s="474"/>
      <c r="IG59" s="474"/>
      <c r="IH59" s="474"/>
      <c r="II59" s="474"/>
      <c r="IJ59" s="474"/>
      <c r="IK59" s="474"/>
      <c r="IL59" s="474"/>
      <c r="IM59" s="474"/>
      <c r="IN59" s="474"/>
      <c r="IO59" s="474"/>
      <c r="IP59" s="474"/>
      <c r="JG59" s="146" t="s">
        <v>142</v>
      </c>
    </row>
    <row r="60" spans="1:290" ht="14.1" customHeight="1" x14ac:dyDescent="0.2">
      <c r="A60" s="153"/>
      <c r="B60" s="237"/>
      <c r="C60" s="463"/>
      <c r="D60" s="463"/>
      <c r="E60" s="463"/>
      <c r="F60" s="463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78"/>
      <c r="AH60" s="45"/>
      <c r="AI60" s="45"/>
      <c r="AJ60" s="45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  <c r="BI60" s="237"/>
      <c r="BJ60" s="237"/>
      <c r="BK60" s="237"/>
      <c r="BL60" s="237"/>
      <c r="BM60" s="237"/>
      <c r="BN60" s="237"/>
      <c r="BO60" s="78"/>
      <c r="BP60" s="78"/>
      <c r="BQ60" s="81"/>
      <c r="BR60" s="81"/>
      <c r="BS60" s="237"/>
      <c r="BT60" s="81"/>
      <c r="BU60" s="81"/>
      <c r="BV60" s="81"/>
      <c r="BW60" s="153"/>
      <c r="BX60" s="153"/>
      <c r="BY60" s="153"/>
      <c r="BZ60" s="153"/>
      <c r="CA60" s="153"/>
      <c r="CB60" s="153"/>
      <c r="CC60" s="153"/>
      <c r="CD60" s="278"/>
      <c r="CE60" s="278"/>
      <c r="CF60" s="462"/>
      <c r="CG60" s="462"/>
      <c r="CH60" s="287"/>
      <c r="CI60" s="153"/>
      <c r="CJ60" s="153"/>
      <c r="CK60" s="153"/>
      <c r="CL60" s="153"/>
      <c r="CM60" s="153"/>
      <c r="CN60" s="153"/>
      <c r="CO60" s="153"/>
      <c r="CP60" s="153"/>
      <c r="CQ60" s="153"/>
      <c r="CR60" s="153"/>
      <c r="CS60" s="153"/>
      <c r="CT60" s="153"/>
      <c r="CU60" s="153"/>
      <c r="CV60" s="153"/>
      <c r="CW60" s="153"/>
      <c r="CX60" s="153"/>
      <c r="CY60" s="153"/>
      <c r="CZ60" s="153"/>
      <c r="DA60" s="153"/>
      <c r="DB60" s="153"/>
      <c r="DC60" s="153"/>
      <c r="DD60" s="153"/>
      <c r="DE60" s="278"/>
      <c r="DF60" s="278"/>
      <c r="DG60" s="462"/>
      <c r="DH60" s="462"/>
      <c r="DI60" s="287"/>
      <c r="DJ60" s="153"/>
      <c r="DK60" s="278"/>
      <c r="DL60" s="278"/>
      <c r="DM60" s="462"/>
      <c r="DN60" s="462"/>
      <c r="DO60" s="287"/>
      <c r="DP60" s="242"/>
      <c r="DQ60" s="242"/>
      <c r="DR60" s="242"/>
      <c r="DS60" s="242"/>
      <c r="DT60" s="242"/>
      <c r="DU60" s="242"/>
      <c r="DV60" s="242"/>
      <c r="DW60" s="242"/>
      <c r="DX60" s="242"/>
      <c r="DY60" s="242"/>
      <c r="DZ60" s="474"/>
      <c r="EA60" s="474"/>
      <c r="EB60" s="474"/>
      <c r="EC60" s="209" t="s">
        <v>164</v>
      </c>
      <c r="ED60" s="474"/>
      <c r="EE60" s="474"/>
      <c r="EF60" s="474"/>
      <c r="EG60" s="585" t="str">
        <f>IF(H24=1,EY76,IF(H24=2,EY77,EY78))</f>
        <v>Both ends continuous.</v>
      </c>
      <c r="EH60" s="585"/>
      <c r="EI60" s="585"/>
      <c r="EJ60" s="585"/>
      <c r="EK60" s="585"/>
      <c r="EL60" s="585"/>
      <c r="EM60" s="585"/>
      <c r="EN60" s="474"/>
      <c r="EW60" s="183"/>
      <c r="EX60" s="183"/>
      <c r="EY60" s="170" t="s">
        <v>167</v>
      </c>
      <c r="EZ60" s="170"/>
      <c r="FA60" s="170"/>
      <c r="FB60" s="170"/>
      <c r="FC60" s="170"/>
      <c r="FD60" s="170"/>
      <c r="FE60" s="170"/>
      <c r="FF60" s="477" t="s">
        <v>1</v>
      </c>
      <c r="FG60" s="173" t="s">
        <v>168</v>
      </c>
      <c r="FH60" s="170"/>
      <c r="FI60" s="170"/>
      <c r="FJ60" s="477" t="s">
        <v>1</v>
      </c>
      <c r="FK60" s="577">
        <f>(EG64*100)/20</f>
        <v>6</v>
      </c>
      <c r="FL60" s="577"/>
      <c r="FM60" s="577"/>
      <c r="FN60" s="170"/>
      <c r="FO60" s="577">
        <f>FK60*FO64</f>
        <v>4.9714285714285715</v>
      </c>
      <c r="FP60" s="577"/>
      <c r="FQ60" s="577"/>
      <c r="FR60" s="583">
        <f>IF(FF75=0,FO60,IF(FF75=1,FO61,IF(FF75=2,FO62)))</f>
        <v>3.5510204081632648</v>
      </c>
      <c r="FS60" s="583"/>
      <c r="FT60" s="583"/>
      <c r="FU60" s="170"/>
      <c r="FV60" s="30"/>
      <c r="FW60" s="474"/>
      <c r="FX60" s="474"/>
      <c r="FY60" s="474"/>
      <c r="FZ60" s="474"/>
      <c r="GA60" s="474"/>
      <c r="GB60" s="474"/>
      <c r="GC60" s="474"/>
      <c r="GD60" s="474"/>
      <c r="GE60" s="474"/>
      <c r="GF60" s="474"/>
      <c r="GG60" s="474"/>
      <c r="GH60" s="474"/>
      <c r="GI60" s="474"/>
      <c r="GJ60" s="474"/>
      <c r="GK60" s="474"/>
      <c r="GL60" s="474"/>
      <c r="GM60" s="474"/>
      <c r="GN60" s="474"/>
      <c r="GO60" s="474"/>
      <c r="GP60" s="474"/>
      <c r="GQ60" s="474"/>
      <c r="GR60" s="474"/>
      <c r="GS60" s="474"/>
      <c r="GT60" s="474"/>
      <c r="GU60" s="474"/>
      <c r="GV60" s="474"/>
      <c r="GW60" s="474"/>
      <c r="GX60" s="474"/>
      <c r="GY60" s="474"/>
      <c r="GZ60" s="474"/>
      <c r="HA60" s="474"/>
      <c r="HB60" s="474"/>
      <c r="HC60" s="474"/>
      <c r="HD60" s="474"/>
      <c r="HE60" s="474"/>
      <c r="HF60" s="474"/>
      <c r="HG60" s="474"/>
      <c r="HH60" s="474"/>
      <c r="HI60" s="474"/>
      <c r="HJ60" s="474"/>
      <c r="HK60" s="474"/>
      <c r="HL60" s="474"/>
      <c r="HM60" s="474"/>
      <c r="HN60" s="474"/>
      <c r="HO60" s="474"/>
      <c r="HP60" s="474"/>
      <c r="HQ60" s="474"/>
      <c r="HR60" s="474"/>
      <c r="HS60" s="474"/>
      <c r="HT60" s="474"/>
      <c r="HU60" s="474"/>
      <c r="HV60" s="474"/>
      <c r="HW60" s="474"/>
      <c r="HX60" s="474"/>
      <c r="HY60" s="474"/>
      <c r="HZ60" s="474"/>
      <c r="IA60" s="474"/>
      <c r="IB60" s="474"/>
      <c r="IC60" s="474"/>
      <c r="ID60" s="474"/>
      <c r="IE60" s="474"/>
      <c r="IF60" s="474"/>
      <c r="IG60" s="474"/>
      <c r="IH60" s="474"/>
      <c r="II60" s="474"/>
      <c r="IJ60" s="474"/>
      <c r="IK60" s="474"/>
      <c r="IL60" s="474"/>
      <c r="IM60" s="474"/>
      <c r="IN60" s="474"/>
      <c r="IO60" s="474"/>
      <c r="IP60" s="474"/>
      <c r="JG60" s="146" t="s">
        <v>23</v>
      </c>
      <c r="JH60" s="103">
        <v>0</v>
      </c>
      <c r="JI60" s="103">
        <v>0.2</v>
      </c>
      <c r="JJ60" s="103">
        <v>0.4</v>
      </c>
      <c r="JK60" s="103">
        <v>0.6</v>
      </c>
      <c r="JL60" s="103">
        <v>0.8</v>
      </c>
      <c r="JM60" s="103">
        <v>1</v>
      </c>
      <c r="JN60" s="146">
        <v>1.2</v>
      </c>
      <c r="JO60" s="146">
        <v>1.4</v>
      </c>
      <c r="JP60" s="146">
        <v>1.6</v>
      </c>
      <c r="JQ60" s="146">
        <v>1.8</v>
      </c>
      <c r="JR60" s="146">
        <v>2</v>
      </c>
      <c r="JT60" s="455">
        <v>0</v>
      </c>
      <c r="JU60" s="455">
        <v>0.2</v>
      </c>
      <c r="JV60" s="455">
        <v>0.4</v>
      </c>
      <c r="JW60" s="455">
        <v>0.6</v>
      </c>
      <c r="JX60" s="455">
        <v>0.8</v>
      </c>
      <c r="JY60" s="455">
        <v>1</v>
      </c>
      <c r="JZ60" s="184">
        <v>1.2</v>
      </c>
      <c r="KA60" s="184">
        <v>1.4</v>
      </c>
      <c r="KB60" s="184">
        <v>1.6</v>
      </c>
      <c r="KC60" s="184">
        <v>1.8</v>
      </c>
      <c r="KD60" s="184">
        <v>2</v>
      </c>
    </row>
    <row r="61" spans="1:290" ht="14.1" customHeight="1" x14ac:dyDescent="0.2">
      <c r="A61" s="153"/>
      <c r="B61" s="237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  <c r="BI61" s="237"/>
      <c r="BJ61" s="237"/>
      <c r="BK61" s="237"/>
      <c r="BL61" s="237"/>
      <c r="BM61" s="237"/>
      <c r="BN61" s="237"/>
      <c r="BO61" s="237"/>
      <c r="BP61" s="237"/>
      <c r="BQ61" s="78"/>
      <c r="BR61" s="78"/>
      <c r="BS61" s="81"/>
      <c r="BT61" s="81"/>
      <c r="BU61" s="81"/>
      <c r="BV61" s="81"/>
      <c r="BW61" s="153"/>
      <c r="BX61" s="153"/>
      <c r="BY61" s="153"/>
      <c r="BZ61" s="153"/>
      <c r="CA61" s="153"/>
      <c r="CB61" s="153"/>
      <c r="CC61" s="153"/>
      <c r="CD61" s="278"/>
      <c r="CE61" s="278"/>
      <c r="CF61" s="462"/>
      <c r="CG61" s="462"/>
      <c r="CH61" s="287"/>
      <c r="CI61" s="153"/>
      <c r="CJ61" s="153"/>
      <c r="CK61" s="153"/>
      <c r="CL61" s="153"/>
      <c r="CM61" s="153"/>
      <c r="CN61" s="153"/>
      <c r="CO61" s="153"/>
      <c r="CP61" s="153"/>
      <c r="CQ61" s="153"/>
      <c r="CR61" s="153"/>
      <c r="CS61" s="153"/>
      <c r="CT61" s="153"/>
      <c r="CU61" s="153"/>
      <c r="CV61" s="153"/>
      <c r="CW61" s="153"/>
      <c r="CX61" s="153"/>
      <c r="CY61" s="153"/>
      <c r="CZ61" s="153"/>
      <c r="DA61" s="153"/>
      <c r="DB61" s="153"/>
      <c r="DC61" s="153"/>
      <c r="DD61" s="153"/>
      <c r="DE61" s="278"/>
      <c r="DF61" s="278"/>
      <c r="DG61" s="462"/>
      <c r="DH61" s="462"/>
      <c r="DI61" s="287"/>
      <c r="DJ61" s="153"/>
      <c r="DK61" s="278"/>
      <c r="DL61" s="278"/>
      <c r="DM61" s="462"/>
      <c r="DN61" s="462"/>
      <c r="DO61" s="287"/>
      <c r="DP61" s="242"/>
      <c r="DQ61" s="242"/>
      <c r="DR61" s="242"/>
      <c r="DS61" s="242"/>
      <c r="DT61" s="242"/>
      <c r="DU61" s="242"/>
      <c r="DV61" s="242"/>
      <c r="DW61" s="242"/>
      <c r="DX61" s="242"/>
      <c r="DY61" s="242"/>
      <c r="DZ61" s="474"/>
      <c r="EA61" s="474"/>
      <c r="EB61" s="474"/>
      <c r="EC61" s="474" t="s">
        <v>3</v>
      </c>
      <c r="ED61" s="474"/>
      <c r="EE61" s="474"/>
      <c r="EF61" s="474" t="s">
        <v>1</v>
      </c>
      <c r="EG61" s="561">
        <f>H8</f>
        <v>150</v>
      </c>
      <c r="EH61" s="561"/>
      <c r="EI61" s="561"/>
      <c r="EJ61" s="473" t="s">
        <v>2</v>
      </c>
      <c r="EK61" s="474"/>
      <c r="EL61" s="474"/>
      <c r="EM61" s="474"/>
      <c r="EN61" s="474"/>
      <c r="EO61" s="490" t="s">
        <v>11</v>
      </c>
      <c r="ER61" s="146" t="s">
        <v>1</v>
      </c>
      <c r="ES61" s="584">
        <f>2400*(W17/100)</f>
        <v>240</v>
      </c>
      <c r="ET61" s="584"/>
      <c r="EU61" s="584"/>
      <c r="EW61" s="12"/>
      <c r="EX61" s="12"/>
      <c r="EY61" s="170" t="s">
        <v>169</v>
      </c>
      <c r="EZ61" s="170"/>
      <c r="FA61" s="170"/>
      <c r="FB61" s="170"/>
      <c r="FC61" s="170"/>
      <c r="FD61" s="170"/>
      <c r="FE61" s="170"/>
      <c r="FF61" s="477" t="s">
        <v>1</v>
      </c>
      <c r="FG61" s="173" t="s">
        <v>170</v>
      </c>
      <c r="FH61" s="170"/>
      <c r="FI61" s="170"/>
      <c r="FJ61" s="477" t="s">
        <v>1</v>
      </c>
      <c r="FK61" s="577">
        <f>(EG64*100)/24</f>
        <v>5</v>
      </c>
      <c r="FL61" s="577"/>
      <c r="FM61" s="577"/>
      <c r="FN61" s="170"/>
      <c r="FO61" s="577">
        <f>FK61*FO64</f>
        <v>4.1428571428571423</v>
      </c>
      <c r="FP61" s="577"/>
      <c r="FQ61" s="577"/>
      <c r="FR61" s="170"/>
      <c r="FS61" s="170"/>
      <c r="FT61" s="170"/>
      <c r="FU61" s="170"/>
      <c r="FV61" s="30"/>
      <c r="FW61" s="474"/>
      <c r="FX61" s="474"/>
      <c r="FY61" s="474"/>
      <c r="FZ61" s="474"/>
      <c r="GA61" s="474"/>
      <c r="GB61" s="474"/>
      <c r="GC61" s="474"/>
      <c r="GD61" s="474"/>
      <c r="GE61" s="474"/>
      <c r="GF61" s="474"/>
      <c r="GG61" s="474"/>
      <c r="GH61" s="474"/>
      <c r="GI61" s="474"/>
      <c r="GJ61" s="474"/>
      <c r="GK61" s="474"/>
      <c r="GL61" s="474"/>
      <c r="GM61" s="474"/>
      <c r="GN61" s="474"/>
      <c r="GO61" s="474"/>
      <c r="GP61" s="474"/>
      <c r="GQ61" s="474"/>
      <c r="GR61" s="474"/>
      <c r="GS61" s="474"/>
      <c r="GT61" s="474"/>
      <c r="GU61" s="474"/>
      <c r="GV61" s="474"/>
      <c r="GW61" s="474"/>
      <c r="GX61" s="474"/>
      <c r="GY61" s="474"/>
      <c r="GZ61" s="474"/>
      <c r="HA61" s="474"/>
      <c r="HB61" s="474"/>
      <c r="HC61" s="474"/>
      <c r="HD61" s="474"/>
      <c r="HE61" s="474"/>
      <c r="HF61" s="474"/>
      <c r="HG61" s="474"/>
      <c r="HH61" s="474"/>
      <c r="HI61" s="474"/>
      <c r="HJ61" s="474"/>
      <c r="HK61" s="474"/>
      <c r="HL61" s="474"/>
      <c r="HM61" s="474"/>
      <c r="HN61" s="474"/>
      <c r="HO61" s="474"/>
      <c r="HP61" s="474"/>
      <c r="HQ61" s="474"/>
      <c r="HR61" s="474"/>
      <c r="HS61" s="474"/>
      <c r="HT61" s="474"/>
      <c r="HU61" s="474"/>
      <c r="HV61" s="474"/>
      <c r="HW61" s="474"/>
      <c r="HX61" s="474"/>
      <c r="HY61" s="474"/>
      <c r="HZ61" s="474"/>
      <c r="IA61" s="474"/>
      <c r="IB61" s="474"/>
      <c r="IC61" s="474"/>
      <c r="ID61" s="474"/>
      <c r="IE61" s="474"/>
      <c r="IF61" s="474"/>
      <c r="IG61" s="474"/>
      <c r="IH61" s="474"/>
      <c r="II61" s="474"/>
      <c r="IJ61" s="474"/>
      <c r="IK61" s="474"/>
      <c r="IL61" s="474"/>
      <c r="IM61" s="474"/>
      <c r="IN61" s="474"/>
      <c r="IO61" s="474"/>
      <c r="IP61" s="474"/>
      <c r="JG61" s="146" t="s">
        <v>24</v>
      </c>
      <c r="JH61" s="103">
        <f>(-H26+H28-2.5+1.5)/100</f>
        <v>-0.08</v>
      </c>
      <c r="JI61" s="103">
        <f>JH61</f>
        <v>-0.08</v>
      </c>
      <c r="JJ61" s="103">
        <f>JH61</f>
        <v>-0.08</v>
      </c>
      <c r="JK61" s="103">
        <f>JH61</f>
        <v>-0.08</v>
      </c>
      <c r="JL61" s="103">
        <f>JH61</f>
        <v>-0.08</v>
      </c>
      <c r="JM61" s="103">
        <f>JH61</f>
        <v>-0.08</v>
      </c>
      <c r="JN61" s="146">
        <f>JH61</f>
        <v>-0.08</v>
      </c>
      <c r="JO61" s="146">
        <f>JH61</f>
        <v>-0.08</v>
      </c>
      <c r="JP61" s="146">
        <f>JH61</f>
        <v>-0.08</v>
      </c>
      <c r="JQ61" s="146">
        <f>JH61</f>
        <v>-0.08</v>
      </c>
      <c r="JR61" s="146">
        <f>JH61</f>
        <v>-0.08</v>
      </c>
      <c r="JT61" s="455">
        <f>(-H26+H28-2.5)/100</f>
        <v>-9.5000000000000001E-2</v>
      </c>
      <c r="JU61" s="455">
        <f>JT61</f>
        <v>-9.5000000000000001E-2</v>
      </c>
      <c r="JV61" s="455">
        <f>JT61</f>
        <v>-9.5000000000000001E-2</v>
      </c>
      <c r="JW61" s="455">
        <f>JT61</f>
        <v>-9.5000000000000001E-2</v>
      </c>
      <c r="JX61" s="455">
        <f>JT61</f>
        <v>-9.5000000000000001E-2</v>
      </c>
      <c r="JY61" s="455">
        <f>JT61</f>
        <v>-9.5000000000000001E-2</v>
      </c>
      <c r="JZ61" s="184">
        <f>JT61</f>
        <v>-9.5000000000000001E-2</v>
      </c>
      <c r="KA61" s="184">
        <f>JT61</f>
        <v>-9.5000000000000001E-2</v>
      </c>
      <c r="KB61" s="184">
        <f>JT61</f>
        <v>-9.5000000000000001E-2</v>
      </c>
      <c r="KC61" s="184">
        <f>JT61</f>
        <v>-9.5000000000000001E-2</v>
      </c>
      <c r="KD61" s="184">
        <f>JT61</f>
        <v>-9.5000000000000001E-2</v>
      </c>
    </row>
    <row r="62" spans="1:290" ht="14.1" customHeight="1" x14ac:dyDescent="0.2">
      <c r="A62" s="153"/>
      <c r="B62" s="237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153"/>
      <c r="AH62" s="153"/>
      <c r="AI62" s="153"/>
      <c r="AJ62" s="153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  <c r="BI62" s="237"/>
      <c r="BJ62" s="237"/>
      <c r="BK62" s="237"/>
      <c r="BL62" s="237"/>
      <c r="BM62" s="237"/>
      <c r="BN62" s="237"/>
      <c r="BO62" s="237"/>
      <c r="BP62" s="237"/>
      <c r="BQ62" s="237"/>
      <c r="BR62" s="237"/>
      <c r="BS62" s="237"/>
      <c r="BT62" s="237"/>
      <c r="BU62" s="237"/>
      <c r="BV62" s="237"/>
      <c r="BW62" s="153"/>
      <c r="BX62" s="153"/>
      <c r="BY62" s="153"/>
      <c r="BZ62" s="153"/>
      <c r="CA62" s="153"/>
      <c r="CB62" s="153"/>
      <c r="CC62" s="153"/>
      <c r="CD62" s="278"/>
      <c r="CE62" s="278"/>
      <c r="CF62" s="462"/>
      <c r="CG62" s="462"/>
      <c r="CH62" s="287"/>
      <c r="CI62" s="153"/>
      <c r="CJ62" s="153"/>
      <c r="CK62" s="153"/>
      <c r="CL62" s="153"/>
      <c r="CM62" s="153"/>
      <c r="CN62" s="153"/>
      <c r="CO62" s="153"/>
      <c r="CP62" s="153"/>
      <c r="CQ62" s="153"/>
      <c r="CR62" s="153"/>
      <c r="CS62" s="153"/>
      <c r="CT62" s="153"/>
      <c r="CU62" s="153"/>
      <c r="CV62" s="153"/>
      <c r="CW62" s="153"/>
      <c r="CX62" s="153"/>
      <c r="CY62" s="153"/>
      <c r="CZ62" s="153"/>
      <c r="DA62" s="153"/>
      <c r="DB62" s="153"/>
      <c r="DC62" s="153"/>
      <c r="DD62" s="153"/>
      <c r="DE62" s="278"/>
      <c r="DF62" s="278"/>
      <c r="DG62" s="462"/>
      <c r="DH62" s="462"/>
      <c r="DI62" s="287"/>
      <c r="DJ62" s="153"/>
      <c r="DK62" s="278"/>
      <c r="DL62" s="278"/>
      <c r="DM62" s="462"/>
      <c r="DN62" s="462"/>
      <c r="DO62" s="287"/>
      <c r="DP62" s="242"/>
      <c r="DQ62" s="242"/>
      <c r="DR62" s="242"/>
      <c r="DS62" s="242"/>
      <c r="DT62" s="242"/>
      <c r="DU62" s="242"/>
      <c r="DV62" s="242"/>
      <c r="DW62" s="242"/>
      <c r="DX62" s="242"/>
      <c r="DY62" s="242"/>
      <c r="DZ62" s="474"/>
      <c r="EA62" s="474"/>
      <c r="EB62" s="474"/>
      <c r="EC62" s="31" t="s">
        <v>171</v>
      </c>
      <c r="ED62" s="474"/>
      <c r="EE62" s="474"/>
      <c r="EF62" s="474" t="s">
        <v>1</v>
      </c>
      <c r="EG62" s="561">
        <f>H4</f>
        <v>3000</v>
      </c>
      <c r="EH62" s="561"/>
      <c r="EI62" s="561"/>
      <c r="EJ62" s="473" t="s">
        <v>2</v>
      </c>
      <c r="EK62" s="474"/>
      <c r="EL62" s="474"/>
      <c r="EM62" s="474"/>
      <c r="EN62" s="474"/>
      <c r="EO62" s="474" t="s">
        <v>54</v>
      </c>
      <c r="ER62" s="146" t="s">
        <v>1</v>
      </c>
      <c r="ES62" s="582">
        <f>IF(H20="1.7DL + 2.0LL",1.7,IF(H20="1.4DL + 1.7LL",1.4,IF(H20="LL",0,1)))</f>
        <v>1.7</v>
      </c>
      <c r="ET62" s="582"/>
      <c r="EU62" s="582"/>
      <c r="EW62" s="12"/>
      <c r="EX62" s="12"/>
      <c r="EY62" s="170" t="s">
        <v>172</v>
      </c>
      <c r="EZ62" s="170"/>
      <c r="FA62" s="170"/>
      <c r="FB62" s="170"/>
      <c r="FC62" s="170"/>
      <c r="FD62" s="170"/>
      <c r="FE62" s="170"/>
      <c r="FF62" s="477" t="s">
        <v>1</v>
      </c>
      <c r="FG62" s="173" t="s">
        <v>173</v>
      </c>
      <c r="FH62" s="170"/>
      <c r="FI62" s="170"/>
      <c r="FJ62" s="477" t="s">
        <v>1</v>
      </c>
      <c r="FK62" s="577">
        <f>(EG64*100)/28</f>
        <v>4.2857142857142856</v>
      </c>
      <c r="FL62" s="577"/>
      <c r="FM62" s="577"/>
      <c r="FN62" s="170"/>
      <c r="FO62" s="577">
        <f>FK62*FO64</f>
        <v>3.5510204081632648</v>
      </c>
      <c r="FP62" s="577"/>
      <c r="FQ62" s="577"/>
      <c r="FR62" s="170"/>
      <c r="FS62" s="170"/>
      <c r="FT62" s="170"/>
      <c r="FU62" s="170"/>
      <c r="FV62" s="30"/>
      <c r="FW62" s="474"/>
      <c r="FX62" s="474"/>
      <c r="FY62" s="474"/>
      <c r="FZ62" s="474"/>
      <c r="GA62" s="474"/>
      <c r="GB62" s="474"/>
      <c r="GC62" s="474"/>
      <c r="GD62" s="474"/>
      <c r="GE62" s="474"/>
      <c r="GF62" s="474"/>
      <c r="GG62" s="474"/>
      <c r="GH62" s="474"/>
      <c r="GI62" s="474"/>
      <c r="GJ62" s="474"/>
      <c r="GK62" s="474"/>
      <c r="GL62" s="474"/>
      <c r="GM62" s="474"/>
      <c r="GN62" s="474"/>
      <c r="GO62" s="474"/>
      <c r="GP62" s="474"/>
      <c r="GQ62" s="474"/>
      <c r="GR62" s="474"/>
      <c r="GS62" s="474"/>
      <c r="GT62" s="474"/>
      <c r="GU62" s="474"/>
      <c r="GV62" s="474"/>
      <c r="GW62" s="474"/>
      <c r="GX62" s="474"/>
      <c r="GY62" s="474"/>
      <c r="GZ62" s="474"/>
      <c r="HA62" s="474"/>
      <c r="HB62" s="474"/>
      <c r="HC62" s="474"/>
      <c r="HD62" s="474"/>
      <c r="HE62" s="474"/>
      <c r="HF62" s="474"/>
      <c r="HG62" s="474"/>
      <c r="HH62" s="474"/>
      <c r="HI62" s="474"/>
      <c r="HJ62" s="474"/>
      <c r="HK62" s="474"/>
      <c r="HL62" s="474"/>
      <c r="HM62" s="474"/>
      <c r="HN62" s="474"/>
      <c r="HO62" s="474"/>
      <c r="HP62" s="474"/>
      <c r="HQ62" s="474"/>
      <c r="HR62" s="474"/>
      <c r="HS62" s="474"/>
      <c r="HT62" s="474"/>
      <c r="HU62" s="474"/>
      <c r="HV62" s="474"/>
      <c r="HW62" s="474"/>
      <c r="HX62" s="474"/>
      <c r="HY62" s="474"/>
      <c r="HZ62" s="474"/>
      <c r="IA62" s="474"/>
      <c r="IB62" s="474"/>
      <c r="IC62" s="474"/>
      <c r="ID62" s="474"/>
      <c r="IE62" s="474"/>
      <c r="IF62" s="474"/>
      <c r="IG62" s="474"/>
      <c r="IH62" s="474"/>
      <c r="II62" s="474"/>
      <c r="IJ62" s="474"/>
      <c r="IK62" s="474"/>
      <c r="IL62" s="474"/>
      <c r="IM62" s="474"/>
      <c r="IN62" s="474"/>
      <c r="IO62" s="474"/>
      <c r="IP62" s="474"/>
      <c r="JG62" s="146" t="s">
        <v>143</v>
      </c>
    </row>
    <row r="63" spans="1:290" ht="14.1" customHeight="1" x14ac:dyDescent="0.2">
      <c r="A63" s="153"/>
      <c r="B63" s="237"/>
      <c r="C63" s="45"/>
      <c r="D63" s="45"/>
      <c r="E63" s="45"/>
      <c r="F63" s="45"/>
      <c r="G63" s="45"/>
      <c r="H63" s="45"/>
      <c r="I63" s="45"/>
      <c r="J63" s="45"/>
      <c r="K63" s="45"/>
      <c r="L63" s="316"/>
      <c r="M63" s="316"/>
      <c r="N63" s="316"/>
      <c r="O63" s="218"/>
      <c r="P63" s="218"/>
      <c r="Q63" s="218"/>
      <c r="R63" s="218"/>
      <c r="S63" s="214"/>
      <c r="T63" s="214"/>
      <c r="U63" s="214"/>
      <c r="V63" s="214"/>
      <c r="W63" s="214"/>
      <c r="X63" s="45"/>
      <c r="Y63" s="45"/>
      <c r="Z63" s="45"/>
      <c r="AA63" s="45"/>
      <c r="AB63" s="45"/>
      <c r="AC63" s="45"/>
      <c r="AD63" s="45"/>
      <c r="AE63" s="45"/>
      <c r="AF63" s="45"/>
      <c r="AG63" s="153"/>
      <c r="AH63" s="153"/>
      <c r="AI63" s="153"/>
      <c r="AJ63" s="153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  <c r="BI63" s="237"/>
      <c r="BJ63" s="237"/>
      <c r="BK63" s="237"/>
      <c r="BL63" s="237"/>
      <c r="BM63" s="237"/>
      <c r="BN63" s="237"/>
      <c r="BO63" s="237"/>
      <c r="BP63" s="237"/>
      <c r="BQ63" s="237"/>
      <c r="BR63" s="237"/>
      <c r="BS63" s="237"/>
      <c r="BT63" s="237"/>
      <c r="BU63" s="237"/>
      <c r="BV63" s="237"/>
      <c r="BW63" s="153"/>
      <c r="BX63" s="153"/>
      <c r="BY63" s="153"/>
      <c r="BZ63" s="153"/>
      <c r="CA63" s="153"/>
      <c r="CB63" s="153"/>
      <c r="CC63" s="153"/>
      <c r="CD63" s="278"/>
      <c r="CE63" s="278"/>
      <c r="CF63" s="462"/>
      <c r="CG63" s="462"/>
      <c r="CH63" s="287"/>
      <c r="CI63" s="153"/>
      <c r="CJ63" s="153"/>
      <c r="CK63" s="153"/>
      <c r="CL63" s="153"/>
      <c r="CM63" s="153"/>
      <c r="CN63" s="153"/>
      <c r="CO63" s="153"/>
      <c r="CP63" s="153"/>
      <c r="CQ63" s="153"/>
      <c r="CR63" s="153"/>
      <c r="CS63" s="153"/>
      <c r="CT63" s="153"/>
      <c r="CU63" s="153"/>
      <c r="CV63" s="153"/>
      <c r="CW63" s="153"/>
      <c r="CX63" s="153"/>
      <c r="CY63" s="153"/>
      <c r="CZ63" s="153"/>
      <c r="DA63" s="153"/>
      <c r="DB63" s="153"/>
      <c r="DC63" s="153"/>
      <c r="DD63" s="153"/>
      <c r="DE63" s="278"/>
      <c r="DF63" s="278"/>
      <c r="DG63" s="462"/>
      <c r="DH63" s="462"/>
      <c r="DI63" s="287"/>
      <c r="DJ63" s="153"/>
      <c r="DK63" s="278"/>
      <c r="DL63" s="278"/>
      <c r="DM63" s="462"/>
      <c r="DN63" s="462"/>
      <c r="DO63" s="287"/>
      <c r="DP63" s="242"/>
      <c r="DQ63" s="242"/>
      <c r="DR63" s="242"/>
      <c r="DS63" s="242"/>
      <c r="DT63" s="242"/>
      <c r="DU63" s="242"/>
      <c r="DV63" s="242"/>
      <c r="DW63" s="242"/>
      <c r="DX63" s="242"/>
      <c r="DY63" s="242"/>
      <c r="DZ63" s="474"/>
      <c r="EA63" s="474"/>
      <c r="EB63" s="474"/>
      <c r="EC63" s="31" t="s">
        <v>53</v>
      </c>
      <c r="ED63" s="474"/>
      <c r="EE63" s="474"/>
      <c r="EF63" s="474" t="s">
        <v>1</v>
      </c>
      <c r="EG63" s="561">
        <f>H6</f>
        <v>2400</v>
      </c>
      <c r="EH63" s="561"/>
      <c r="EI63" s="561"/>
      <c r="EJ63" s="473" t="s">
        <v>2</v>
      </c>
      <c r="EK63" s="474"/>
      <c r="EL63" s="474"/>
      <c r="EM63" s="474"/>
      <c r="EN63" s="474"/>
      <c r="EO63" s="474" t="s">
        <v>56</v>
      </c>
      <c r="ER63" s="146" t="s">
        <v>1</v>
      </c>
      <c r="ES63" s="582">
        <f>IF(H20="1.7DL + 2.0LL",2,IF(H20="1.4DL + 1.7LL",1.7,IF(H20="DL",0,1)))</f>
        <v>2</v>
      </c>
      <c r="ET63" s="582"/>
      <c r="EU63" s="582"/>
      <c r="EW63" s="12"/>
      <c r="EX63" s="12"/>
      <c r="EY63" s="170" t="s">
        <v>174</v>
      </c>
      <c r="EZ63" s="170"/>
      <c r="FA63" s="170"/>
      <c r="FB63" s="170"/>
      <c r="FC63" s="170"/>
      <c r="FD63" s="170"/>
      <c r="FE63" s="170"/>
      <c r="FF63" s="477" t="s">
        <v>1</v>
      </c>
      <c r="FG63" s="173" t="s">
        <v>175</v>
      </c>
      <c r="FH63" s="170"/>
      <c r="FI63" s="170"/>
      <c r="FJ63" s="477" t="s">
        <v>1</v>
      </c>
      <c r="FK63" s="577">
        <f>(EG64*100)/10</f>
        <v>12</v>
      </c>
      <c r="FL63" s="577"/>
      <c r="FM63" s="577"/>
      <c r="FN63" s="170"/>
      <c r="FO63" s="577">
        <f>FK63*FO64</f>
        <v>9.9428571428571431</v>
      </c>
      <c r="FP63" s="577"/>
      <c r="FQ63" s="577"/>
      <c r="FR63" s="170"/>
      <c r="FS63" s="170"/>
      <c r="FT63" s="170"/>
      <c r="FU63" s="170"/>
      <c r="FV63" s="30"/>
      <c r="FW63" s="474"/>
      <c r="FX63" s="474"/>
      <c r="FY63" s="474"/>
      <c r="FZ63" s="474"/>
      <c r="GA63" s="474"/>
      <c r="GB63" s="474"/>
      <c r="GC63" s="474"/>
      <c r="GD63" s="474"/>
      <c r="GE63" s="474"/>
      <c r="GF63" s="474"/>
      <c r="GG63" s="474"/>
      <c r="GH63" s="474"/>
      <c r="GI63" s="474"/>
      <c r="GJ63" s="474"/>
      <c r="GK63" s="474"/>
      <c r="GL63" s="474"/>
      <c r="GM63" s="474"/>
      <c r="GN63" s="474"/>
      <c r="GO63" s="474"/>
      <c r="GP63" s="474"/>
      <c r="GQ63" s="474"/>
      <c r="GR63" s="474"/>
      <c r="GS63" s="474"/>
      <c r="GT63" s="474"/>
      <c r="GU63" s="474"/>
      <c r="GV63" s="474"/>
      <c r="GW63" s="474"/>
      <c r="GX63" s="474"/>
      <c r="GY63" s="474"/>
      <c r="GZ63" s="474"/>
      <c r="HA63" s="474"/>
      <c r="HB63" s="474"/>
      <c r="HC63" s="474"/>
      <c r="HD63" s="474"/>
      <c r="HE63" s="474"/>
      <c r="HF63" s="474"/>
      <c r="HG63" s="474"/>
      <c r="HH63" s="474"/>
      <c r="HI63" s="474"/>
      <c r="HJ63" s="474"/>
      <c r="HK63" s="474"/>
      <c r="HL63" s="474"/>
      <c r="HM63" s="474"/>
      <c r="HN63" s="474"/>
      <c r="HO63" s="474"/>
      <c r="HP63" s="474"/>
      <c r="HQ63" s="474"/>
      <c r="HR63" s="474"/>
      <c r="HS63" s="474"/>
      <c r="HT63" s="474"/>
      <c r="HU63" s="474"/>
      <c r="HV63" s="474"/>
      <c r="HW63" s="474"/>
      <c r="HX63" s="474"/>
      <c r="HY63" s="474"/>
      <c r="HZ63" s="474"/>
      <c r="IA63" s="474"/>
      <c r="IB63" s="474"/>
      <c r="IC63" s="474"/>
      <c r="ID63" s="474"/>
      <c r="IE63" s="474"/>
      <c r="IF63" s="474"/>
      <c r="IG63" s="474"/>
      <c r="IH63" s="474"/>
      <c r="II63" s="474"/>
      <c r="IJ63" s="474"/>
      <c r="IK63" s="474"/>
      <c r="IL63" s="474"/>
      <c r="IM63" s="474"/>
      <c r="IN63" s="474"/>
      <c r="IO63" s="474"/>
      <c r="IP63" s="474"/>
      <c r="JG63" s="146" t="s">
        <v>23</v>
      </c>
      <c r="JH63" s="146">
        <f t="shared" ref="JH63:JM63" si="2">JH60-0.045</f>
        <v>-4.4999999999999998E-2</v>
      </c>
      <c r="JI63" s="146">
        <f t="shared" si="2"/>
        <v>0.15500000000000003</v>
      </c>
      <c r="JJ63" s="146">
        <f t="shared" si="2"/>
        <v>0.35500000000000004</v>
      </c>
      <c r="JK63" s="146">
        <f t="shared" si="2"/>
        <v>0.55499999999999994</v>
      </c>
      <c r="JL63" s="146">
        <f t="shared" si="2"/>
        <v>0.755</v>
      </c>
      <c r="JM63" s="146">
        <f t="shared" si="2"/>
        <v>0.95499999999999996</v>
      </c>
      <c r="JQ63" s="184">
        <f>JT60</f>
        <v>0</v>
      </c>
      <c r="JR63" s="184">
        <f>JU60</f>
        <v>0.2</v>
      </c>
      <c r="JS63" s="184">
        <f>JV60</f>
        <v>0.4</v>
      </c>
      <c r="JT63" s="184">
        <f>KB60</f>
        <v>1.6</v>
      </c>
      <c r="JU63" s="184">
        <f>KC60</f>
        <v>1.8</v>
      </c>
      <c r="JV63" s="184">
        <f>KD60</f>
        <v>2</v>
      </c>
    </row>
    <row r="64" spans="1:290" ht="14.1" customHeight="1" x14ac:dyDescent="0.2">
      <c r="A64" s="153"/>
      <c r="B64" s="237"/>
      <c r="C64" s="45"/>
      <c r="D64" s="45"/>
      <c r="E64" s="45"/>
      <c r="F64" s="45"/>
      <c r="G64" s="45"/>
      <c r="H64" s="45"/>
      <c r="I64" s="45"/>
      <c r="J64" s="45"/>
      <c r="K64" s="316"/>
      <c r="L64" s="316"/>
      <c r="M64" s="316"/>
      <c r="N64" s="316"/>
      <c r="O64" s="218"/>
      <c r="P64" s="218"/>
      <c r="Q64" s="218"/>
      <c r="R64" s="218"/>
      <c r="S64" s="218"/>
      <c r="T64" s="45"/>
      <c r="U64" s="45"/>
      <c r="V64" s="45"/>
      <c r="W64" s="218"/>
      <c r="X64" s="45"/>
      <c r="Y64" s="214"/>
      <c r="Z64" s="214"/>
      <c r="AA64" s="214"/>
      <c r="AB64" s="214"/>
      <c r="AC64" s="214"/>
      <c r="AD64" s="214"/>
      <c r="AE64" s="214"/>
      <c r="AF64" s="214"/>
      <c r="AG64" s="153"/>
      <c r="AH64" s="153"/>
      <c r="AI64" s="153"/>
      <c r="AJ64" s="153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  <c r="BI64" s="237"/>
      <c r="BJ64" s="237"/>
      <c r="BK64" s="237"/>
      <c r="BL64" s="237"/>
      <c r="BM64" s="237"/>
      <c r="BN64" s="237"/>
      <c r="BO64" s="237"/>
      <c r="BP64" s="237"/>
      <c r="BQ64" s="237"/>
      <c r="BR64" s="237"/>
      <c r="BS64" s="237"/>
      <c r="BT64" s="237"/>
      <c r="BU64" s="237"/>
      <c r="BV64" s="237"/>
      <c r="BW64" s="153"/>
      <c r="BX64" s="153"/>
      <c r="BY64" s="153"/>
      <c r="BZ64" s="153"/>
      <c r="CA64" s="153"/>
      <c r="CB64" s="153"/>
      <c r="CC64" s="153"/>
      <c r="CD64" s="278"/>
      <c r="CE64" s="278"/>
      <c r="CF64" s="462"/>
      <c r="CG64" s="462"/>
      <c r="CH64" s="287"/>
      <c r="CI64" s="153"/>
      <c r="CJ64" s="153"/>
      <c r="CK64" s="153"/>
      <c r="CL64" s="153"/>
      <c r="CM64" s="153"/>
      <c r="CN64" s="153"/>
      <c r="CO64" s="153"/>
      <c r="CP64" s="153"/>
      <c r="CQ64" s="153"/>
      <c r="CR64" s="153"/>
      <c r="CS64" s="153"/>
      <c r="CT64" s="153"/>
      <c r="CU64" s="153"/>
      <c r="CV64" s="153"/>
      <c r="CW64" s="153"/>
      <c r="CX64" s="153"/>
      <c r="CY64" s="153"/>
      <c r="CZ64" s="153"/>
      <c r="DA64" s="153"/>
      <c r="DB64" s="153"/>
      <c r="DC64" s="153"/>
      <c r="DD64" s="153"/>
      <c r="DE64" s="278"/>
      <c r="DF64" s="278"/>
      <c r="DG64" s="462"/>
      <c r="DH64" s="462"/>
      <c r="DI64" s="287"/>
      <c r="DJ64" s="153"/>
      <c r="DK64" s="278"/>
      <c r="DL64" s="278"/>
      <c r="DM64" s="462"/>
      <c r="DN64" s="462"/>
      <c r="DO64" s="287"/>
      <c r="DP64" s="242"/>
      <c r="DQ64" s="242"/>
      <c r="DR64" s="242"/>
      <c r="DS64" s="242"/>
      <c r="DT64" s="242"/>
      <c r="DU64" s="242"/>
      <c r="DV64" s="242"/>
      <c r="DW64" s="242"/>
      <c r="DX64" s="242"/>
      <c r="DY64" s="242"/>
      <c r="DZ64" s="474"/>
      <c r="EA64" s="474"/>
      <c r="EB64" s="474"/>
      <c r="EC64" s="490" t="s">
        <v>127</v>
      </c>
      <c r="ED64" s="474"/>
      <c r="EE64" s="474" t="s">
        <v>176</v>
      </c>
      <c r="EF64" s="474" t="s">
        <v>1</v>
      </c>
      <c r="EG64" s="581">
        <f>H24</f>
        <v>1.2</v>
      </c>
      <c r="EH64" s="581"/>
      <c r="EI64" s="581"/>
      <c r="EJ64" s="473" t="s">
        <v>12</v>
      </c>
      <c r="EK64" s="474"/>
      <c r="EL64" s="474"/>
      <c r="EM64" s="474"/>
      <c r="EN64" s="474"/>
      <c r="EW64" s="189"/>
      <c r="EX64" s="189"/>
      <c r="EY64" s="170" t="s">
        <v>177</v>
      </c>
      <c r="EZ64" s="170"/>
      <c r="FA64" s="170"/>
      <c r="FB64" s="170"/>
      <c r="FC64" s="170"/>
      <c r="FD64" s="170"/>
      <c r="FE64" s="170"/>
      <c r="FF64" s="170"/>
      <c r="FG64" s="170"/>
      <c r="FH64" s="170"/>
      <c r="FI64" s="170"/>
      <c r="FJ64" s="170"/>
      <c r="FK64" s="170"/>
      <c r="FL64" s="170"/>
      <c r="FM64" s="170"/>
      <c r="FN64" s="477" t="s">
        <v>1</v>
      </c>
      <c r="FO64" s="577">
        <f>IF(EG62&gt;=4000,1,0.4+(EG62/7000))</f>
        <v>0.82857142857142851</v>
      </c>
      <c r="FP64" s="577"/>
      <c r="FQ64" s="577"/>
      <c r="FR64" s="170"/>
      <c r="FS64" s="170"/>
      <c r="FT64" s="170"/>
      <c r="FU64" s="170"/>
      <c r="FV64" s="30"/>
      <c r="FW64" s="474"/>
      <c r="FX64" s="474"/>
      <c r="FY64" s="474"/>
      <c r="FZ64" s="474"/>
      <c r="GA64" s="474"/>
      <c r="GB64" s="474"/>
      <c r="GC64" s="474"/>
      <c r="GD64" s="474"/>
      <c r="GE64" s="474"/>
      <c r="GF64" s="474"/>
      <c r="GG64" s="474"/>
      <c r="GH64" s="474"/>
      <c r="GI64" s="474"/>
      <c r="GJ64" s="474"/>
      <c r="GK64" s="474"/>
      <c r="GL64" s="474"/>
      <c r="GM64" s="474"/>
      <c r="GN64" s="474"/>
      <c r="GO64" s="474"/>
      <c r="GP64" s="474"/>
      <c r="GQ64" s="474"/>
      <c r="GR64" s="474"/>
      <c r="GS64" s="474"/>
      <c r="GT64" s="474"/>
      <c r="GU64" s="474"/>
      <c r="GV64" s="474"/>
      <c r="GW64" s="474"/>
      <c r="GX64" s="474"/>
      <c r="GY64" s="474"/>
      <c r="GZ64" s="474"/>
      <c r="HA64" s="474"/>
      <c r="HB64" s="474"/>
      <c r="HC64" s="474"/>
      <c r="HD64" s="474"/>
      <c r="HE64" s="474"/>
      <c r="HF64" s="474"/>
      <c r="HG64" s="474"/>
      <c r="HH64" s="474"/>
      <c r="HI64" s="474"/>
      <c r="HJ64" s="474"/>
      <c r="HK64" s="474"/>
      <c r="HL64" s="474"/>
      <c r="HM64" s="474"/>
      <c r="HN64" s="474"/>
      <c r="HO64" s="474"/>
      <c r="HP64" s="474"/>
      <c r="HQ64" s="474"/>
      <c r="HR64" s="474"/>
      <c r="HS64" s="474"/>
      <c r="HT64" s="474"/>
      <c r="HU64" s="474"/>
      <c r="HV64" s="474"/>
      <c r="HW64" s="474"/>
      <c r="HX64" s="474"/>
      <c r="HY64" s="474"/>
      <c r="HZ64" s="474"/>
      <c r="IA64" s="474"/>
      <c r="IB64" s="474"/>
      <c r="IC64" s="474"/>
      <c r="ID64" s="474"/>
      <c r="IE64" s="474"/>
      <c r="IF64" s="474"/>
      <c r="IG64" s="474"/>
      <c r="IH64" s="474"/>
      <c r="II64" s="474"/>
      <c r="IJ64" s="474"/>
      <c r="IK64" s="474"/>
      <c r="IL64" s="474"/>
      <c r="IM64" s="474"/>
      <c r="IN64" s="474"/>
      <c r="IO64" s="474"/>
      <c r="IP64" s="474"/>
      <c r="JG64" s="146" t="s">
        <v>24</v>
      </c>
      <c r="JH64" s="146">
        <f>(-H28-1.5)/100</f>
        <v>-4.4999999999999998E-2</v>
      </c>
      <c r="JI64" s="146">
        <f>JH64</f>
        <v>-4.4999999999999998E-2</v>
      </c>
      <c r="JJ64" s="146">
        <f>JH64</f>
        <v>-4.4999999999999998E-2</v>
      </c>
      <c r="JK64" s="146">
        <f>JH64</f>
        <v>-4.4999999999999998E-2</v>
      </c>
      <c r="JL64" s="146">
        <f>JH64</f>
        <v>-4.4999999999999998E-2</v>
      </c>
      <c r="JM64" s="146">
        <f>JH64</f>
        <v>-4.4999999999999998E-2</v>
      </c>
      <c r="JQ64" s="184">
        <f>(-H28)/100</f>
        <v>-0.03</v>
      </c>
      <c r="JR64" s="184">
        <f>JQ64</f>
        <v>-0.03</v>
      </c>
      <c r="JS64" s="184">
        <f>JQ64</f>
        <v>-0.03</v>
      </c>
      <c r="JT64" s="184">
        <f>JQ64</f>
        <v>-0.03</v>
      </c>
      <c r="JU64" s="184">
        <f>JQ64</f>
        <v>-0.03</v>
      </c>
      <c r="JV64" s="184">
        <f>JQ64</f>
        <v>-0.03</v>
      </c>
    </row>
    <row r="65" spans="1:282" ht="14.1" customHeight="1" x14ac:dyDescent="0.2">
      <c r="A65" s="153"/>
      <c r="B65" s="237"/>
      <c r="C65" s="463"/>
      <c r="D65" s="463"/>
      <c r="E65" s="463"/>
      <c r="F65" s="463"/>
      <c r="G65" s="478"/>
      <c r="H65" s="478"/>
      <c r="I65" s="478"/>
      <c r="J65" s="478"/>
      <c r="K65" s="478"/>
      <c r="L65" s="478"/>
      <c r="M65" s="478"/>
      <c r="N65" s="478"/>
      <c r="O65" s="478"/>
      <c r="P65" s="478"/>
      <c r="Q65" s="478"/>
      <c r="R65" s="478"/>
      <c r="S65" s="45"/>
      <c r="T65" s="45"/>
      <c r="U65" s="45"/>
      <c r="V65" s="45"/>
      <c r="W65" s="45"/>
      <c r="X65" s="45"/>
      <c r="Y65" s="45"/>
      <c r="Z65" s="45"/>
      <c r="AA65" s="45"/>
      <c r="AB65" s="218"/>
      <c r="AC65" s="45"/>
      <c r="AD65" s="45"/>
      <c r="AE65" s="45"/>
      <c r="AF65" s="218"/>
      <c r="AG65" s="153"/>
      <c r="AH65" s="153"/>
      <c r="AI65" s="153"/>
      <c r="AJ65" s="153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  <c r="BI65" s="237"/>
      <c r="BJ65" s="237"/>
      <c r="BK65" s="237"/>
      <c r="BL65" s="237"/>
      <c r="BM65" s="237"/>
      <c r="BN65" s="237"/>
      <c r="BO65" s="237"/>
      <c r="BP65" s="237"/>
      <c r="BQ65" s="237"/>
      <c r="BR65" s="237"/>
      <c r="BS65" s="237"/>
      <c r="BT65" s="237"/>
      <c r="BU65" s="237"/>
      <c r="BV65" s="237"/>
      <c r="BW65" s="153"/>
      <c r="BX65" s="153"/>
      <c r="BY65" s="153"/>
      <c r="BZ65" s="153"/>
      <c r="CA65" s="153"/>
      <c r="CB65" s="153"/>
      <c r="CC65" s="153"/>
      <c r="CD65" s="278"/>
      <c r="CE65" s="278"/>
      <c r="CF65" s="462"/>
      <c r="CG65" s="462"/>
      <c r="CH65" s="287"/>
      <c r="CI65" s="153"/>
      <c r="CJ65" s="153"/>
      <c r="CK65" s="153"/>
      <c r="CL65" s="153"/>
      <c r="CM65" s="153"/>
      <c r="CN65" s="153"/>
      <c r="CO65" s="153"/>
      <c r="CP65" s="153"/>
      <c r="CQ65" s="153"/>
      <c r="CR65" s="153"/>
      <c r="CS65" s="153"/>
      <c r="CT65" s="153"/>
      <c r="CU65" s="153"/>
      <c r="CV65" s="153"/>
      <c r="CW65" s="153"/>
      <c r="CX65" s="153"/>
      <c r="CY65" s="153"/>
      <c r="CZ65" s="153"/>
      <c r="DA65" s="153"/>
      <c r="DB65" s="153"/>
      <c r="DC65" s="153"/>
      <c r="DD65" s="153"/>
      <c r="DE65" s="278"/>
      <c r="DF65" s="278"/>
      <c r="DG65" s="462"/>
      <c r="DH65" s="462"/>
      <c r="DI65" s="287"/>
      <c r="DJ65" s="153"/>
      <c r="DK65" s="278"/>
      <c r="DL65" s="278"/>
      <c r="DM65" s="462"/>
      <c r="DN65" s="462"/>
      <c r="DO65" s="287"/>
      <c r="DP65" s="242"/>
      <c r="DQ65" s="242"/>
      <c r="DR65" s="242"/>
      <c r="DS65" s="242"/>
      <c r="DT65" s="242"/>
      <c r="DU65" s="242"/>
      <c r="DV65" s="242"/>
      <c r="DW65" s="242"/>
      <c r="DX65" s="242"/>
      <c r="DY65" s="242"/>
      <c r="DZ65" s="474"/>
      <c r="EA65" s="474"/>
      <c r="EB65" s="474"/>
      <c r="EC65" s="20" t="s">
        <v>42</v>
      </c>
      <c r="ED65" s="474"/>
      <c r="EE65" s="474"/>
      <c r="EF65" s="474" t="s">
        <v>1</v>
      </c>
      <c r="EG65" s="581">
        <f>H28</f>
        <v>3</v>
      </c>
      <c r="EH65" s="581"/>
      <c r="EI65" s="581"/>
      <c r="EJ65" s="473" t="s">
        <v>17</v>
      </c>
      <c r="EK65" s="474"/>
      <c r="EL65" s="474"/>
      <c r="EM65" s="474"/>
      <c r="EN65" s="474"/>
      <c r="EW65" s="191"/>
      <c r="EX65" s="189"/>
      <c r="EY65" s="170"/>
      <c r="EZ65" s="170"/>
      <c r="FA65" s="170"/>
      <c r="FB65" s="170"/>
      <c r="FC65" s="170"/>
      <c r="FD65" s="170"/>
      <c r="FE65" s="170"/>
      <c r="FF65" s="170"/>
      <c r="FG65" s="170"/>
      <c r="FH65" s="170" t="str">
        <f>IF(EG62&lt;4000,"(0.40+(fy/7000))","")</f>
        <v>(0.40+(fy/7000))</v>
      </c>
      <c r="FI65" s="170"/>
      <c r="FJ65" s="170"/>
      <c r="FK65" s="170"/>
      <c r="FL65" s="170"/>
      <c r="FM65" s="170"/>
      <c r="FN65" s="170"/>
      <c r="FO65" s="170"/>
      <c r="FP65" s="170"/>
      <c r="FQ65" s="170"/>
      <c r="FR65" s="170"/>
      <c r="FS65" s="170"/>
      <c r="FT65" s="170"/>
      <c r="FU65" s="170"/>
      <c r="FV65" s="30"/>
      <c r="FW65" s="474"/>
      <c r="FX65" s="474"/>
      <c r="FY65" s="474"/>
      <c r="FZ65" s="474"/>
      <c r="GA65" s="474"/>
      <c r="GB65" s="474"/>
      <c r="GC65" s="474"/>
      <c r="GD65" s="474"/>
      <c r="GE65" s="474"/>
      <c r="GF65" s="474"/>
      <c r="GG65" s="474"/>
      <c r="GH65" s="474"/>
      <c r="GI65" s="474"/>
      <c r="GJ65" s="474"/>
      <c r="GK65" s="474"/>
      <c r="GL65" s="474"/>
      <c r="GM65" s="474"/>
      <c r="GN65" s="474"/>
      <c r="GO65" s="474"/>
      <c r="GP65" s="474"/>
      <c r="GQ65" s="474"/>
      <c r="GR65" s="474"/>
      <c r="GS65" s="474"/>
      <c r="GT65" s="474"/>
      <c r="GU65" s="474"/>
      <c r="GV65" s="474"/>
      <c r="GW65" s="474"/>
      <c r="GX65" s="474"/>
      <c r="GY65" s="474"/>
      <c r="GZ65" s="474"/>
      <c r="HA65" s="474"/>
      <c r="HB65" s="474"/>
      <c r="HC65" s="474"/>
      <c r="HD65" s="474"/>
      <c r="HE65" s="474"/>
      <c r="HF65" s="474"/>
      <c r="HG65" s="474"/>
      <c r="HH65" s="474"/>
      <c r="HI65" s="474"/>
      <c r="HJ65" s="474"/>
      <c r="HK65" s="474"/>
      <c r="HL65" s="474"/>
      <c r="HM65" s="474"/>
      <c r="HN65" s="474"/>
      <c r="HO65" s="474"/>
      <c r="HP65" s="474"/>
      <c r="HQ65" s="474"/>
      <c r="HR65" s="474"/>
      <c r="HS65" s="474"/>
      <c r="HT65" s="474"/>
      <c r="HU65" s="474"/>
      <c r="HV65" s="474"/>
      <c r="HW65" s="474"/>
      <c r="HX65" s="474"/>
      <c r="HY65" s="474"/>
      <c r="HZ65" s="474"/>
      <c r="IA65" s="474"/>
      <c r="IB65" s="474"/>
      <c r="IC65" s="474"/>
      <c r="ID65" s="474"/>
      <c r="IE65" s="474"/>
      <c r="IF65" s="474"/>
      <c r="IG65" s="474"/>
      <c r="IH65" s="474"/>
      <c r="II65" s="474"/>
      <c r="IJ65" s="474"/>
      <c r="IK65" s="474"/>
      <c r="IL65" s="474"/>
      <c r="IM65" s="474"/>
      <c r="IN65" s="474"/>
      <c r="IO65" s="474"/>
      <c r="IP65" s="474"/>
      <c r="JG65" s="146" t="s">
        <v>144</v>
      </c>
      <c r="JK65" s="146" t="s">
        <v>145</v>
      </c>
    </row>
    <row r="66" spans="1:282" ht="14.1" customHeight="1" x14ac:dyDescent="0.2">
      <c r="A66" s="153"/>
      <c r="B66" s="237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153"/>
      <c r="AH66" s="153"/>
      <c r="AI66" s="153"/>
      <c r="AJ66" s="153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  <c r="BI66" s="237"/>
      <c r="BJ66" s="237"/>
      <c r="BK66" s="237"/>
      <c r="BL66" s="237"/>
      <c r="BM66" s="237"/>
      <c r="BN66" s="237"/>
      <c r="BO66" s="237"/>
      <c r="BP66" s="237"/>
      <c r="BQ66" s="237"/>
      <c r="BR66" s="237"/>
      <c r="BS66" s="237"/>
      <c r="BT66" s="237"/>
      <c r="BU66" s="237"/>
      <c r="BV66" s="237"/>
      <c r="BW66" s="153"/>
      <c r="BX66" s="153"/>
      <c r="BY66" s="153"/>
      <c r="BZ66" s="153"/>
      <c r="CA66" s="153"/>
      <c r="CB66" s="153"/>
      <c r="CC66" s="153"/>
      <c r="CD66" s="278"/>
      <c r="CE66" s="278"/>
      <c r="CF66" s="462"/>
      <c r="CG66" s="462"/>
      <c r="CH66" s="287"/>
      <c r="CI66" s="153"/>
      <c r="CJ66" s="153"/>
      <c r="CK66" s="153"/>
      <c r="CL66" s="153"/>
      <c r="CM66" s="153"/>
      <c r="CN66" s="153"/>
      <c r="CO66" s="153"/>
      <c r="CP66" s="153"/>
      <c r="CQ66" s="153"/>
      <c r="CR66" s="153"/>
      <c r="CS66" s="153"/>
      <c r="CT66" s="153"/>
      <c r="CU66" s="153"/>
      <c r="CV66" s="153"/>
      <c r="CW66" s="153"/>
      <c r="CX66" s="153"/>
      <c r="CY66" s="153"/>
      <c r="CZ66" s="153"/>
      <c r="DA66" s="153"/>
      <c r="DB66" s="153"/>
      <c r="DC66" s="153"/>
      <c r="DD66" s="153"/>
      <c r="DE66" s="278"/>
      <c r="DF66" s="278"/>
      <c r="DG66" s="462"/>
      <c r="DH66" s="462"/>
      <c r="DI66" s="287"/>
      <c r="DJ66" s="153"/>
      <c r="DK66" s="278"/>
      <c r="DL66" s="278"/>
      <c r="DM66" s="462"/>
      <c r="DN66" s="462"/>
      <c r="DO66" s="287"/>
      <c r="DP66" s="242"/>
      <c r="DQ66" s="242"/>
      <c r="DR66" s="242"/>
      <c r="DS66" s="242"/>
      <c r="DT66" s="242"/>
      <c r="DU66" s="242"/>
      <c r="DV66" s="242"/>
      <c r="DW66" s="242"/>
      <c r="DX66" s="242"/>
      <c r="DY66" s="242"/>
      <c r="DZ66" s="474"/>
      <c r="EA66" s="474"/>
      <c r="EB66" s="474"/>
      <c r="EC66" s="474" t="s">
        <v>178</v>
      </c>
      <c r="ED66" s="474"/>
      <c r="EE66" s="474"/>
      <c r="EF66" s="474" t="s">
        <v>1</v>
      </c>
      <c r="EG66" s="559">
        <f>FO63</f>
        <v>9.9428571428571431</v>
      </c>
      <c r="EH66" s="559"/>
      <c r="EI66" s="559"/>
      <c r="EJ66" s="473" t="s">
        <v>17</v>
      </c>
      <c r="EK66" s="474"/>
      <c r="EL66" s="474"/>
      <c r="EM66" s="474"/>
      <c r="EN66" s="474"/>
      <c r="EW66" s="190"/>
      <c r="EX66" s="189"/>
      <c r="EY66" s="172" t="s">
        <v>60</v>
      </c>
      <c r="EZ66" s="477" t="s">
        <v>1</v>
      </c>
      <c r="FA66" s="580">
        <v>0.85</v>
      </c>
      <c r="FB66" s="580"/>
      <c r="FC66" s="170"/>
      <c r="FD66" s="170"/>
      <c r="FE66" s="170"/>
      <c r="FF66" s="170"/>
      <c r="FG66" s="170"/>
      <c r="FH66" s="170"/>
      <c r="FI66" s="170"/>
      <c r="FJ66" s="173" t="s">
        <v>61</v>
      </c>
      <c r="FK66" s="170"/>
      <c r="FL66" s="170"/>
      <c r="FM66" s="170"/>
      <c r="FN66" s="170"/>
      <c r="FO66" s="170"/>
      <c r="FP66" s="170"/>
      <c r="FQ66" s="477" t="s">
        <v>3</v>
      </c>
      <c r="FR66" s="477" t="s">
        <v>62</v>
      </c>
      <c r="FS66" s="576">
        <v>280</v>
      </c>
      <c r="FT66" s="576"/>
      <c r="FU66" s="173" t="s">
        <v>2</v>
      </c>
      <c r="FV66" s="30"/>
      <c r="FW66" s="474"/>
      <c r="FX66" s="474"/>
      <c r="FY66" s="474"/>
      <c r="FZ66" s="474"/>
      <c r="GA66" s="474"/>
      <c r="GB66" s="474"/>
      <c r="GC66" s="474"/>
      <c r="GD66" s="474"/>
      <c r="GE66" s="474"/>
      <c r="GF66" s="474"/>
      <c r="GG66" s="474"/>
      <c r="GH66" s="474"/>
      <c r="GI66" s="474"/>
      <c r="GJ66" s="474"/>
      <c r="GK66" s="474"/>
      <c r="GL66" s="474"/>
      <c r="GM66" s="474"/>
      <c r="GN66" s="474"/>
      <c r="GO66" s="474"/>
      <c r="GP66" s="474"/>
      <c r="GQ66" s="474"/>
      <c r="GR66" s="474"/>
      <c r="GS66" s="474"/>
      <c r="GT66" s="474"/>
      <c r="GU66" s="474"/>
      <c r="GV66" s="474"/>
      <c r="GW66" s="474"/>
      <c r="GX66" s="474"/>
      <c r="GY66" s="474"/>
      <c r="GZ66" s="474"/>
      <c r="HA66" s="474"/>
      <c r="HB66" s="474"/>
      <c r="HC66" s="474"/>
      <c r="HD66" s="474"/>
      <c r="HE66" s="474"/>
      <c r="HF66" s="474"/>
      <c r="HG66" s="474"/>
      <c r="HH66" s="474"/>
      <c r="HI66" s="474"/>
      <c r="HJ66" s="474"/>
      <c r="HK66" s="474"/>
      <c r="HL66" s="474"/>
      <c r="HM66" s="474"/>
      <c r="HN66" s="474"/>
      <c r="HO66" s="474"/>
      <c r="HP66" s="474"/>
      <c r="HQ66" s="474"/>
      <c r="HR66" s="474"/>
      <c r="HS66" s="474"/>
      <c r="HT66" s="474"/>
      <c r="HU66" s="474"/>
      <c r="HV66" s="474"/>
      <c r="HW66" s="474"/>
      <c r="HX66" s="474"/>
      <c r="HY66" s="474"/>
      <c r="HZ66" s="474"/>
      <c r="IA66" s="474"/>
      <c r="IB66" s="474"/>
      <c r="IC66" s="474"/>
      <c r="ID66" s="474"/>
      <c r="IE66" s="474"/>
      <c r="IF66" s="474"/>
      <c r="IG66" s="474"/>
      <c r="IH66" s="474"/>
      <c r="II66" s="171"/>
      <c r="IJ66" s="474"/>
      <c r="IK66" s="474"/>
      <c r="IL66" s="474"/>
      <c r="IM66" s="474"/>
      <c r="IN66" s="474"/>
      <c r="IO66" s="474"/>
      <c r="IP66" s="474"/>
      <c r="JG66" s="146" t="s">
        <v>23</v>
      </c>
      <c r="JH66" s="146">
        <f>1-0.015</f>
        <v>0.98499999999999999</v>
      </c>
      <c r="JI66" s="146">
        <f>JH66</f>
        <v>0.98499999999999999</v>
      </c>
      <c r="JK66" s="146" t="s">
        <v>23</v>
      </c>
      <c r="JL66" s="146">
        <f>1+0.015</f>
        <v>1.0149999999999999</v>
      </c>
      <c r="JM66" s="146">
        <f>JL66</f>
        <v>1.0149999999999999</v>
      </c>
    </row>
    <row r="67" spans="1:282" ht="14.1" customHeight="1" x14ac:dyDescent="0.2">
      <c r="A67" s="153"/>
      <c r="B67" s="237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  <c r="BJ67" s="153"/>
      <c r="BK67" s="242"/>
      <c r="BL67" s="153"/>
      <c r="BM67" s="153"/>
      <c r="BN67" s="153"/>
      <c r="BO67" s="153"/>
      <c r="BP67" s="153"/>
      <c r="BQ67" s="153"/>
      <c r="BR67" s="153"/>
      <c r="BS67" s="153"/>
      <c r="BT67" s="153"/>
      <c r="BU67" s="153"/>
      <c r="BV67" s="153"/>
      <c r="BW67" s="153"/>
      <c r="BX67" s="153"/>
      <c r="BY67" s="153"/>
      <c r="BZ67" s="153"/>
      <c r="CA67" s="153"/>
      <c r="CB67" s="153"/>
      <c r="CC67" s="153"/>
      <c r="CD67" s="278"/>
      <c r="CE67" s="278"/>
      <c r="CF67" s="462"/>
      <c r="CG67" s="462"/>
      <c r="CH67" s="287"/>
      <c r="CI67" s="153"/>
      <c r="CJ67" s="153"/>
      <c r="CK67" s="153"/>
      <c r="CL67" s="153"/>
      <c r="CM67" s="153"/>
      <c r="CN67" s="153"/>
      <c r="CO67" s="153"/>
      <c r="CP67" s="153"/>
      <c r="CQ67" s="153"/>
      <c r="CR67" s="153"/>
      <c r="CS67" s="153"/>
      <c r="CT67" s="153"/>
      <c r="CU67" s="153"/>
      <c r="CV67" s="153"/>
      <c r="CW67" s="153"/>
      <c r="CX67" s="153"/>
      <c r="CY67" s="153"/>
      <c r="CZ67" s="153"/>
      <c r="DA67" s="153"/>
      <c r="DB67" s="153"/>
      <c r="DC67" s="153"/>
      <c r="DD67" s="153"/>
      <c r="DE67" s="278"/>
      <c r="DF67" s="278"/>
      <c r="DG67" s="462"/>
      <c r="DH67" s="462"/>
      <c r="DI67" s="287"/>
      <c r="DJ67" s="153"/>
      <c r="DK67" s="278"/>
      <c r="DL67" s="278"/>
      <c r="DM67" s="462"/>
      <c r="DN67" s="462"/>
      <c r="DO67" s="287"/>
      <c r="DP67" s="242"/>
      <c r="DQ67" s="242"/>
      <c r="DR67" s="242"/>
      <c r="DS67" s="242"/>
      <c r="DT67" s="242"/>
      <c r="DU67" s="242"/>
      <c r="DV67" s="242"/>
      <c r="DW67" s="242"/>
      <c r="DX67" s="242"/>
      <c r="DY67" s="242"/>
      <c r="DZ67" s="474"/>
      <c r="EA67" s="474"/>
      <c r="EB67" s="474"/>
      <c r="EC67" s="490" t="s">
        <v>65</v>
      </c>
      <c r="ED67" s="474"/>
      <c r="EE67" s="474" t="s">
        <v>66</v>
      </c>
      <c r="EF67" s="474" t="s">
        <v>1</v>
      </c>
      <c r="EG67" s="581">
        <f>W17</f>
        <v>10</v>
      </c>
      <c r="EH67" s="581"/>
      <c r="EI67" s="581"/>
      <c r="EJ67" s="473" t="s">
        <v>17</v>
      </c>
      <c r="EK67" s="32" t="s">
        <v>166</v>
      </c>
      <c r="EL67" s="474"/>
      <c r="EM67" s="204" t="str">
        <f>IF(EG67&gt;=EG66,"Ok","Not Ok")</f>
        <v>Ok</v>
      </c>
      <c r="EN67" s="474"/>
      <c r="EW67" s="192"/>
      <c r="EX67" s="192"/>
      <c r="EY67" s="172" t="s">
        <v>60</v>
      </c>
      <c r="EZ67" s="477" t="s">
        <v>1</v>
      </c>
      <c r="FA67" s="173" t="s">
        <v>68</v>
      </c>
      <c r="FB67" s="173"/>
      <c r="FC67" s="170"/>
      <c r="FD67" s="170"/>
      <c r="FE67" s="170"/>
      <c r="FF67" s="170"/>
      <c r="FG67" s="170"/>
      <c r="FH67" s="170"/>
      <c r="FI67" s="170"/>
      <c r="FJ67" s="173" t="s">
        <v>61</v>
      </c>
      <c r="FK67" s="170"/>
      <c r="FL67" s="576">
        <v>280</v>
      </c>
      <c r="FM67" s="576"/>
      <c r="FN67" s="173" t="s">
        <v>2</v>
      </c>
      <c r="FO67" s="170"/>
      <c r="FP67" s="173" t="s">
        <v>69</v>
      </c>
      <c r="FQ67" s="477" t="s">
        <v>3</v>
      </c>
      <c r="FR67" s="477" t="s">
        <v>62</v>
      </c>
      <c r="FS67" s="576">
        <v>560</v>
      </c>
      <c r="FT67" s="576"/>
      <c r="FU67" s="173" t="s">
        <v>2</v>
      </c>
      <c r="FV67" s="30"/>
      <c r="FW67" s="474"/>
      <c r="FX67" s="474"/>
      <c r="FY67" s="474"/>
      <c r="FZ67" s="474"/>
      <c r="GA67" s="474"/>
      <c r="GB67" s="474"/>
      <c r="GC67" s="474"/>
      <c r="GD67" s="474"/>
      <c r="GE67" s="474"/>
      <c r="GF67" s="474"/>
      <c r="GG67" s="474"/>
      <c r="GH67" s="474"/>
      <c r="GI67" s="474"/>
      <c r="GJ67" s="474"/>
      <c r="GK67" s="474"/>
      <c r="GL67" s="474"/>
      <c r="GM67" s="474"/>
      <c r="GN67" s="474"/>
      <c r="GO67" s="474"/>
      <c r="GP67" s="474"/>
      <c r="GQ67" s="474"/>
      <c r="GR67" s="474"/>
      <c r="GS67" s="474"/>
      <c r="GT67" s="474"/>
      <c r="GU67" s="474"/>
      <c r="GV67" s="474"/>
      <c r="GW67" s="474"/>
      <c r="GX67" s="474"/>
      <c r="GY67" s="474"/>
      <c r="GZ67" s="474"/>
      <c r="HA67" s="474"/>
      <c r="HB67" s="474"/>
      <c r="HC67" s="474"/>
      <c r="HD67" s="474"/>
      <c r="HE67" s="474"/>
      <c r="HF67" s="474"/>
      <c r="HG67" s="474"/>
      <c r="HH67" s="474"/>
      <c r="HI67" s="474"/>
      <c r="HJ67" s="474"/>
      <c r="HK67" s="474"/>
      <c r="HL67" s="474"/>
      <c r="HM67" s="474"/>
      <c r="HN67" s="474"/>
      <c r="HO67" s="474"/>
      <c r="HP67" s="474"/>
      <c r="HQ67" s="474"/>
      <c r="HR67" s="474"/>
      <c r="HS67" s="474"/>
      <c r="HT67" s="474"/>
      <c r="HU67" s="474"/>
      <c r="HV67" s="474"/>
      <c r="HW67" s="474"/>
      <c r="HX67" s="474"/>
      <c r="HY67" s="474"/>
      <c r="HZ67" s="474"/>
      <c r="IA67" s="474"/>
      <c r="IB67" s="474"/>
      <c r="IC67" s="474"/>
      <c r="ID67" s="474"/>
      <c r="IE67" s="474"/>
      <c r="IF67" s="474"/>
      <c r="IG67" s="474"/>
      <c r="IH67" s="474"/>
      <c r="II67" s="474"/>
      <c r="IJ67" s="474"/>
      <c r="IK67" s="474"/>
      <c r="IL67" s="474"/>
      <c r="IM67" s="474"/>
      <c r="IN67" s="474"/>
      <c r="IO67" s="474"/>
      <c r="IP67" s="474"/>
      <c r="JG67" s="146" t="s">
        <v>24</v>
      </c>
      <c r="JH67" s="146">
        <v>0.05</v>
      </c>
      <c r="JI67" s="146">
        <f>(-H26-2.5-5)/100</f>
        <v>-0.17499999999999999</v>
      </c>
      <c r="JK67" s="146" t="s">
        <v>24</v>
      </c>
      <c r="JL67" s="146">
        <f>JH67</f>
        <v>0.05</v>
      </c>
      <c r="JM67" s="146">
        <f>JI67</f>
        <v>-0.17499999999999999</v>
      </c>
    </row>
    <row r="68" spans="1:282" ht="14.1" customHeight="1" x14ac:dyDescent="0.2">
      <c r="A68" s="153"/>
      <c r="B68" s="237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219"/>
      <c r="P68" s="219"/>
      <c r="Q68" s="219"/>
      <c r="R68" s="219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3"/>
      <c r="BK68" s="153"/>
      <c r="BL68" s="153"/>
      <c r="BM68" s="153"/>
      <c r="BN68" s="153"/>
      <c r="BO68" s="153"/>
      <c r="BP68" s="153"/>
      <c r="BQ68" s="153"/>
      <c r="BR68" s="153"/>
      <c r="BS68" s="153"/>
      <c r="BT68" s="153"/>
      <c r="BU68" s="153"/>
      <c r="BV68" s="153"/>
      <c r="BW68" s="153"/>
      <c r="BX68" s="153"/>
      <c r="BY68" s="153"/>
      <c r="BZ68" s="153"/>
      <c r="CA68" s="153"/>
      <c r="CB68" s="153"/>
      <c r="CC68" s="153"/>
      <c r="CD68" s="278"/>
      <c r="CE68" s="278"/>
      <c r="CF68" s="462"/>
      <c r="CG68" s="462"/>
      <c r="CH68" s="287"/>
      <c r="CI68" s="153"/>
      <c r="CJ68" s="153"/>
      <c r="CK68" s="153"/>
      <c r="CL68" s="153"/>
      <c r="CM68" s="153"/>
      <c r="CN68" s="153"/>
      <c r="CO68" s="153"/>
      <c r="CP68" s="153"/>
      <c r="CQ68" s="153"/>
      <c r="CR68" s="153"/>
      <c r="CS68" s="153"/>
      <c r="CT68" s="153"/>
      <c r="CU68" s="153"/>
      <c r="CV68" s="153"/>
      <c r="CW68" s="153"/>
      <c r="CX68" s="153"/>
      <c r="CY68" s="153"/>
      <c r="CZ68" s="153"/>
      <c r="DA68" s="153"/>
      <c r="DB68" s="153"/>
      <c r="DC68" s="153"/>
      <c r="DD68" s="153"/>
      <c r="DE68" s="278"/>
      <c r="DF68" s="278"/>
      <c r="DG68" s="462"/>
      <c r="DH68" s="462"/>
      <c r="DI68" s="287"/>
      <c r="DJ68" s="153"/>
      <c r="DK68" s="278"/>
      <c r="DL68" s="278"/>
      <c r="DM68" s="462"/>
      <c r="DN68" s="462"/>
      <c r="DO68" s="287"/>
      <c r="DP68" s="242"/>
      <c r="DQ68" s="242"/>
      <c r="DR68" s="242"/>
      <c r="DS68" s="242"/>
      <c r="DT68" s="242"/>
      <c r="DU68" s="242"/>
      <c r="DV68" s="242"/>
      <c r="DW68" s="242"/>
      <c r="DX68" s="242"/>
      <c r="DY68" s="242"/>
      <c r="DZ68" s="474"/>
      <c r="EA68" s="474"/>
      <c r="EB68" s="474"/>
      <c r="EC68" s="490" t="s">
        <v>133</v>
      </c>
      <c r="ED68" s="474"/>
      <c r="EE68" s="474"/>
      <c r="EF68" s="474" t="s">
        <v>1</v>
      </c>
      <c r="EG68" s="559">
        <f>W23</f>
        <v>1012</v>
      </c>
      <c r="EH68" s="559"/>
      <c r="EI68" s="559"/>
      <c r="EJ68" s="474" t="s">
        <v>50</v>
      </c>
      <c r="EN68" s="474"/>
      <c r="EW68" s="192"/>
      <c r="EX68" s="192"/>
      <c r="EY68" s="172" t="s">
        <v>60</v>
      </c>
      <c r="EZ68" s="477" t="s">
        <v>1</v>
      </c>
      <c r="FA68" s="580">
        <v>0.65</v>
      </c>
      <c r="FB68" s="580"/>
      <c r="FC68" s="170"/>
      <c r="FD68" s="170"/>
      <c r="FE68" s="170"/>
      <c r="FF68" s="170"/>
      <c r="FG68" s="170"/>
      <c r="FH68" s="170"/>
      <c r="FI68" s="170"/>
      <c r="FJ68" s="173" t="s">
        <v>61</v>
      </c>
      <c r="FK68" s="170"/>
      <c r="FL68" s="170"/>
      <c r="FM68" s="170"/>
      <c r="FN68" s="170"/>
      <c r="FO68" s="170"/>
      <c r="FP68" s="170"/>
      <c r="FQ68" s="477" t="s">
        <v>3</v>
      </c>
      <c r="FR68" s="477" t="s">
        <v>72</v>
      </c>
      <c r="FS68" s="576">
        <v>560</v>
      </c>
      <c r="FT68" s="576"/>
      <c r="FU68" s="173" t="s">
        <v>2</v>
      </c>
      <c r="FV68" s="30"/>
      <c r="FW68" s="474"/>
      <c r="FX68" s="474"/>
      <c r="FY68" s="474"/>
      <c r="FZ68" s="474"/>
      <c r="GA68" s="474"/>
      <c r="GB68" s="474"/>
      <c r="GC68" s="474"/>
      <c r="GD68" s="474"/>
      <c r="GE68" s="474"/>
      <c r="GF68" s="474"/>
      <c r="GG68" s="474"/>
      <c r="GH68" s="474"/>
      <c r="GI68" s="474"/>
      <c r="GJ68" s="474"/>
      <c r="GK68" s="474"/>
      <c r="GL68" s="474"/>
      <c r="GM68" s="474"/>
      <c r="GN68" s="474"/>
      <c r="GO68" s="474"/>
      <c r="GP68" s="474"/>
      <c r="GQ68" s="474"/>
      <c r="GR68" s="474"/>
      <c r="GS68" s="474"/>
      <c r="GT68" s="474"/>
      <c r="GU68" s="474"/>
      <c r="GV68" s="474"/>
      <c r="GW68" s="474"/>
      <c r="GX68" s="474"/>
      <c r="GY68" s="474"/>
      <c r="GZ68" s="474"/>
      <c r="HA68" s="474"/>
      <c r="HB68" s="474"/>
      <c r="HC68" s="474"/>
      <c r="HD68" s="474"/>
      <c r="HE68" s="474"/>
      <c r="HF68" s="474"/>
      <c r="HG68" s="474"/>
      <c r="HH68" s="474"/>
      <c r="HI68" s="474"/>
      <c r="HJ68" s="474"/>
      <c r="HK68" s="474"/>
      <c r="HL68" s="474"/>
      <c r="HM68" s="474"/>
      <c r="HN68" s="474"/>
      <c r="HO68" s="474"/>
      <c r="HP68" s="474"/>
      <c r="HQ68" s="474"/>
      <c r="HR68" s="474"/>
      <c r="HS68" s="474"/>
      <c r="HT68" s="474"/>
      <c r="HU68" s="474"/>
      <c r="HV68" s="474"/>
      <c r="HW68" s="474"/>
      <c r="HX68" s="474"/>
      <c r="HY68" s="474"/>
      <c r="HZ68" s="474"/>
      <c r="IA68" s="474"/>
      <c r="IB68" s="474"/>
      <c r="IC68" s="474"/>
      <c r="ID68" s="474"/>
      <c r="IE68" s="474"/>
      <c r="IF68" s="474"/>
      <c r="IG68" s="474"/>
      <c r="IH68" s="474"/>
      <c r="II68" s="474"/>
      <c r="IJ68" s="474"/>
      <c r="IK68" s="474"/>
      <c r="IL68" s="474"/>
      <c r="IM68" s="474"/>
      <c r="IN68" s="474"/>
      <c r="IO68" s="474"/>
      <c r="IP68" s="474"/>
      <c r="JG68" s="146" t="s">
        <v>146</v>
      </c>
      <c r="JK68" s="146" t="s">
        <v>147</v>
      </c>
      <c r="JN68" s="146" t="s">
        <v>148</v>
      </c>
      <c r="JQ68" s="568">
        <f>W17/100</f>
        <v>0.1</v>
      </c>
      <c r="JR68" s="568"/>
    </row>
    <row r="69" spans="1:282" ht="14.1" customHeight="1" x14ac:dyDescent="0.2">
      <c r="A69" s="153"/>
      <c r="B69" s="237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219"/>
      <c r="P69" s="219"/>
      <c r="Q69" s="219"/>
      <c r="R69" s="219"/>
      <c r="S69" s="215"/>
      <c r="T69" s="215"/>
      <c r="U69" s="215"/>
      <c r="V69" s="215"/>
      <c r="W69" s="215"/>
      <c r="X69" s="45"/>
      <c r="Y69" s="45"/>
      <c r="Z69" s="45"/>
      <c r="AA69" s="45"/>
      <c r="AB69" s="45"/>
      <c r="AC69" s="45"/>
      <c r="AD69" s="45"/>
      <c r="AE69" s="45"/>
      <c r="AF69" s="45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  <c r="BJ69" s="153"/>
      <c r="BK69" s="153"/>
      <c r="BL69" s="153"/>
      <c r="BM69" s="153"/>
      <c r="BN69" s="153"/>
      <c r="BO69" s="153"/>
      <c r="BP69" s="153"/>
      <c r="BQ69" s="153"/>
      <c r="BR69" s="153"/>
      <c r="BS69" s="153"/>
      <c r="BT69" s="153"/>
      <c r="BU69" s="153"/>
      <c r="BV69" s="153"/>
      <c r="BW69" s="153"/>
      <c r="BX69" s="153"/>
      <c r="BY69" s="153"/>
      <c r="BZ69" s="153"/>
      <c r="CA69" s="153"/>
      <c r="CB69" s="153"/>
      <c r="CC69" s="153"/>
      <c r="CD69" s="278"/>
      <c r="CE69" s="278"/>
      <c r="CF69" s="462"/>
      <c r="CG69" s="462"/>
      <c r="CH69" s="287"/>
      <c r="CI69" s="153"/>
      <c r="CJ69" s="153"/>
      <c r="CK69" s="153"/>
      <c r="CL69" s="153"/>
      <c r="CM69" s="153"/>
      <c r="CN69" s="153"/>
      <c r="CO69" s="153"/>
      <c r="CP69" s="153"/>
      <c r="CQ69" s="153"/>
      <c r="CR69" s="153"/>
      <c r="CS69" s="153"/>
      <c r="CT69" s="153"/>
      <c r="CU69" s="153"/>
      <c r="CV69" s="153"/>
      <c r="CW69" s="153"/>
      <c r="CX69" s="153"/>
      <c r="CY69" s="153"/>
      <c r="CZ69" s="153"/>
      <c r="DA69" s="153"/>
      <c r="DB69" s="153"/>
      <c r="DC69" s="153"/>
      <c r="DD69" s="153"/>
      <c r="DE69" s="278"/>
      <c r="DF69" s="278"/>
      <c r="DG69" s="462"/>
      <c r="DH69" s="462"/>
      <c r="DI69" s="287"/>
      <c r="DJ69" s="153"/>
      <c r="DK69" s="278"/>
      <c r="DL69" s="278"/>
      <c r="DM69" s="462"/>
      <c r="DN69" s="462"/>
      <c r="DO69" s="287"/>
      <c r="DP69" s="242"/>
      <c r="DQ69" s="242"/>
      <c r="DR69" s="242"/>
      <c r="DS69" s="242"/>
      <c r="DT69" s="242"/>
      <c r="DU69" s="242"/>
      <c r="DV69" s="242"/>
      <c r="DW69" s="242"/>
      <c r="DX69" s="242"/>
      <c r="DY69" s="242"/>
      <c r="DZ69" s="474"/>
      <c r="EA69" s="474"/>
      <c r="EB69" s="474"/>
      <c r="EC69" s="1" t="s">
        <v>31</v>
      </c>
      <c r="ED69" s="474"/>
      <c r="EE69" s="474"/>
      <c r="EF69" s="474" t="s">
        <v>1</v>
      </c>
      <c r="EG69" s="579">
        <f>ROUND(0.85*EY69*(EG61/EG62)*(6120/(6120+EG62)),4)</f>
        <v>2.4199999999999999E-2</v>
      </c>
      <c r="EH69" s="579"/>
      <c r="EI69" s="579"/>
      <c r="EJ69" s="28" t="s">
        <v>0</v>
      </c>
      <c r="EN69" s="111"/>
      <c r="EO69" s="111"/>
      <c r="EP69" s="111"/>
      <c r="EQ69" s="111"/>
      <c r="ER69" s="111"/>
      <c r="ES69" s="111"/>
      <c r="ET69" s="111"/>
      <c r="EU69" s="111"/>
      <c r="EV69" s="111"/>
      <c r="EW69" s="183"/>
      <c r="EX69" s="183"/>
      <c r="EY69" s="580">
        <f>ROUND((IF(EG61&lt;=280,0.85,IF(EG61&gt;560,0.65,0.85-(0.05*((EG61-280)/70))))),2)</f>
        <v>0.85</v>
      </c>
      <c r="EZ69" s="580"/>
      <c r="FA69" s="169"/>
      <c r="FB69" s="170"/>
      <c r="FC69" s="170"/>
      <c r="FD69" s="170"/>
      <c r="FE69" s="170"/>
      <c r="FF69" s="170"/>
      <c r="FG69" s="170"/>
      <c r="FH69" s="170"/>
      <c r="FI69" s="170"/>
      <c r="FJ69" s="170"/>
      <c r="FK69" s="170"/>
      <c r="FL69" s="170"/>
      <c r="FM69" s="170"/>
      <c r="FN69" s="170"/>
      <c r="FO69" s="170"/>
      <c r="FP69" s="170"/>
      <c r="FQ69" s="170"/>
      <c r="FR69" s="170"/>
      <c r="FS69" s="170"/>
      <c r="FT69" s="170"/>
      <c r="FU69" s="170"/>
      <c r="FV69" s="30"/>
      <c r="FW69" s="474"/>
      <c r="FX69" s="474"/>
      <c r="FY69" s="474"/>
      <c r="FZ69" s="474"/>
      <c r="GA69" s="474"/>
      <c r="GB69" s="474"/>
      <c r="GC69" s="474"/>
      <c r="GD69" s="474"/>
      <c r="GE69" s="474"/>
      <c r="GF69" s="474"/>
      <c r="GG69" s="474"/>
      <c r="GH69" s="474"/>
      <c r="GI69" s="474"/>
      <c r="GJ69" s="474"/>
      <c r="GK69" s="474"/>
      <c r="GL69" s="474"/>
      <c r="GM69" s="474"/>
      <c r="GN69" s="474"/>
      <c r="GO69" s="474"/>
      <c r="GP69" s="474"/>
      <c r="GQ69" s="474"/>
      <c r="GR69" s="474"/>
      <c r="GS69" s="474"/>
      <c r="GT69" s="474"/>
      <c r="GU69" s="474"/>
      <c r="GV69" s="474"/>
      <c r="GW69" s="474"/>
      <c r="GX69" s="474"/>
      <c r="GY69" s="474"/>
      <c r="GZ69" s="474"/>
      <c r="HA69" s="474"/>
      <c r="HB69" s="474"/>
      <c r="HC69" s="474"/>
      <c r="HD69" s="474"/>
      <c r="HE69" s="474"/>
      <c r="HF69" s="474"/>
      <c r="HG69" s="474"/>
      <c r="HH69" s="474"/>
      <c r="HI69" s="474"/>
      <c r="HJ69" s="474"/>
      <c r="HK69" s="474"/>
      <c r="HL69" s="474"/>
      <c r="HM69" s="474"/>
      <c r="HN69" s="474"/>
      <c r="HO69" s="474"/>
      <c r="HP69" s="474"/>
      <c r="HQ69" s="474"/>
      <c r="HR69" s="474"/>
      <c r="HS69" s="474"/>
      <c r="HT69" s="474"/>
      <c r="HU69" s="474"/>
      <c r="HV69" s="474"/>
      <c r="HW69" s="474"/>
      <c r="HX69" s="474"/>
      <c r="HY69" s="474"/>
      <c r="HZ69" s="474"/>
      <c r="IA69" s="474"/>
      <c r="IB69" s="474"/>
      <c r="IC69" s="474"/>
      <c r="ID69" s="474"/>
      <c r="IE69" s="474"/>
      <c r="IF69" s="474"/>
      <c r="IG69" s="474"/>
      <c r="IH69" s="474"/>
      <c r="II69" s="474"/>
      <c r="IJ69" s="474"/>
      <c r="IK69" s="474"/>
      <c r="IL69" s="474"/>
      <c r="IM69" s="474"/>
      <c r="IN69" s="474"/>
      <c r="IO69" s="474"/>
      <c r="IP69" s="474"/>
      <c r="JG69" s="146" t="s">
        <v>23</v>
      </c>
      <c r="JH69" s="146">
        <v>1.1100000000000001</v>
      </c>
      <c r="JI69" s="146">
        <v>1.19</v>
      </c>
      <c r="JK69" s="146">
        <f>JH69</f>
        <v>1.1100000000000001</v>
      </c>
      <c r="JL69" s="146">
        <f>JI69</f>
        <v>1.19</v>
      </c>
      <c r="JN69" s="146">
        <v>1.1499999999999999</v>
      </c>
      <c r="JO69" s="146">
        <v>1.1499999999999999</v>
      </c>
      <c r="JQ69" s="184">
        <f>JN69</f>
        <v>1.1499999999999999</v>
      </c>
    </row>
    <row r="70" spans="1:282" ht="14.1" customHeight="1" x14ac:dyDescent="0.2">
      <c r="A70" s="153"/>
      <c r="B70" s="237"/>
      <c r="C70" s="463"/>
      <c r="D70" s="463"/>
      <c r="E70" s="463"/>
      <c r="F70" s="463"/>
      <c r="G70" s="478"/>
      <c r="H70" s="478"/>
      <c r="I70" s="478"/>
      <c r="J70" s="478"/>
      <c r="K70" s="478"/>
      <c r="L70" s="478"/>
      <c r="M70" s="478"/>
      <c r="N70" s="478"/>
      <c r="O70" s="478"/>
      <c r="P70" s="478"/>
      <c r="Q70" s="478"/>
      <c r="R70" s="478"/>
      <c r="S70" s="219"/>
      <c r="T70" s="45"/>
      <c r="U70" s="45"/>
      <c r="V70" s="45"/>
      <c r="W70" s="219"/>
      <c r="X70" s="45"/>
      <c r="Y70" s="215"/>
      <c r="Z70" s="215"/>
      <c r="AA70" s="215"/>
      <c r="AB70" s="45"/>
      <c r="AC70" s="45"/>
      <c r="AD70" s="45"/>
      <c r="AE70" s="45"/>
      <c r="AF70" s="45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  <c r="BJ70" s="153"/>
      <c r="BK70" s="153"/>
      <c r="BL70" s="153"/>
      <c r="BM70" s="153"/>
      <c r="BN70" s="153"/>
      <c r="BO70" s="153"/>
      <c r="BP70" s="153"/>
      <c r="BQ70" s="153"/>
      <c r="BR70" s="153"/>
      <c r="BS70" s="153"/>
      <c r="BT70" s="153"/>
      <c r="BU70" s="153"/>
      <c r="BV70" s="153"/>
      <c r="BW70" s="153"/>
      <c r="BX70" s="153"/>
      <c r="BY70" s="153"/>
      <c r="BZ70" s="153"/>
      <c r="CA70" s="153"/>
      <c r="CB70" s="153"/>
      <c r="CC70" s="153"/>
      <c r="CD70" s="278"/>
      <c r="CE70" s="278"/>
      <c r="CF70" s="462"/>
      <c r="CG70" s="462"/>
      <c r="CH70" s="287"/>
      <c r="CI70" s="153"/>
      <c r="CJ70" s="153"/>
      <c r="CK70" s="153"/>
      <c r="CL70" s="153"/>
      <c r="CM70" s="153"/>
      <c r="CN70" s="153"/>
      <c r="CO70" s="153"/>
      <c r="CP70" s="153"/>
      <c r="CQ70" s="153"/>
      <c r="CR70" s="153"/>
      <c r="CS70" s="153"/>
      <c r="CT70" s="153"/>
      <c r="CU70" s="153"/>
      <c r="CV70" s="153"/>
      <c r="CW70" s="153"/>
      <c r="CX70" s="153"/>
      <c r="CY70" s="153"/>
      <c r="CZ70" s="153"/>
      <c r="DA70" s="153"/>
      <c r="DB70" s="153"/>
      <c r="DC70" s="153"/>
      <c r="DD70" s="153"/>
      <c r="DE70" s="278"/>
      <c r="DF70" s="278"/>
      <c r="DG70" s="462"/>
      <c r="DH70" s="462"/>
      <c r="DI70" s="287"/>
      <c r="DJ70" s="153"/>
      <c r="DK70" s="278"/>
      <c r="DL70" s="278"/>
      <c r="DM70" s="462"/>
      <c r="DN70" s="462"/>
      <c r="DO70" s="287"/>
      <c r="DP70" s="242"/>
      <c r="DQ70" s="242"/>
      <c r="DR70" s="242"/>
      <c r="DS70" s="242"/>
      <c r="DT70" s="242"/>
      <c r="DU70" s="242"/>
      <c r="DV70" s="242"/>
      <c r="DW70" s="242"/>
      <c r="DX70" s="242"/>
      <c r="DY70" s="242"/>
      <c r="DZ70" s="474"/>
      <c r="EA70" s="474"/>
      <c r="EB70" s="474"/>
      <c r="EC70" s="1" t="s">
        <v>32</v>
      </c>
      <c r="ED70" s="474"/>
      <c r="EE70" s="474"/>
      <c r="EF70" s="474" t="s">
        <v>1</v>
      </c>
      <c r="EG70" s="572">
        <f>ROUND(0.75*EG69,4)</f>
        <v>1.8200000000000001E-2</v>
      </c>
      <c r="EH70" s="572"/>
      <c r="EI70" s="572"/>
      <c r="EJ70" s="474" t="s">
        <v>0</v>
      </c>
      <c r="EK70" s="474"/>
      <c r="EL70" s="474"/>
      <c r="EM70" s="474"/>
      <c r="EN70" s="474"/>
      <c r="EO70" s="474"/>
      <c r="EP70" s="139"/>
      <c r="EQ70" s="474"/>
      <c r="ER70" s="474"/>
      <c r="EW70" s="183"/>
      <c r="EX70" s="183"/>
      <c r="EY70" s="170" t="s">
        <v>179</v>
      </c>
      <c r="EZ70" s="170"/>
      <c r="FA70" s="170"/>
      <c r="FB70" s="170"/>
      <c r="FC70" s="170"/>
      <c r="FD70" s="170"/>
      <c r="FE70" s="170"/>
      <c r="FF70" s="477" t="s">
        <v>1</v>
      </c>
      <c r="FG70" s="576">
        <f>IF(FF75=0,1/24,IF(FF75=1,1/24,IF(FF75=2,1/11)))</f>
        <v>9.0909090909090912E-2</v>
      </c>
      <c r="FH70" s="576"/>
      <c r="FI70" s="576"/>
      <c r="FJ70" s="170"/>
      <c r="FK70" s="170" t="s">
        <v>180</v>
      </c>
      <c r="FL70" s="477" t="s">
        <v>1</v>
      </c>
      <c r="FM70" s="577">
        <f>EG67-EG65-(W18/20)</f>
        <v>6.4</v>
      </c>
      <c r="FN70" s="577"/>
      <c r="FO70" s="173" t="s">
        <v>17</v>
      </c>
      <c r="FP70" s="173"/>
      <c r="FQ70" s="578">
        <f>MIN(EG84:ER84)</f>
        <v>0.45</v>
      </c>
      <c r="FR70" s="578"/>
      <c r="FS70" s="176"/>
      <c r="FT70" s="176"/>
      <c r="FU70" s="170"/>
      <c r="FV70" s="30"/>
      <c r="FW70" s="474"/>
      <c r="FX70" s="474"/>
      <c r="FY70" s="474"/>
      <c r="FZ70" s="474"/>
      <c r="GA70" s="474"/>
      <c r="GB70" s="474"/>
      <c r="GC70" s="474"/>
      <c r="GD70" s="474"/>
      <c r="GE70" s="474"/>
      <c r="GF70" s="474"/>
      <c r="GG70" s="474"/>
      <c r="GH70" s="474"/>
      <c r="GI70" s="474"/>
      <c r="GJ70" s="474"/>
      <c r="GK70" s="474"/>
      <c r="GL70" s="474"/>
      <c r="GM70" s="474"/>
      <c r="GN70" s="474"/>
      <c r="GO70" s="474"/>
      <c r="GP70" s="474"/>
      <c r="GQ70" s="474"/>
      <c r="GR70" s="474"/>
      <c r="GS70" s="474"/>
      <c r="GT70" s="474"/>
      <c r="GU70" s="474"/>
      <c r="GV70" s="474"/>
      <c r="GW70" s="474"/>
      <c r="GX70" s="474"/>
      <c r="GY70" s="474"/>
      <c r="GZ70" s="474"/>
      <c r="HA70" s="474"/>
      <c r="HB70" s="474"/>
      <c r="HC70" s="474"/>
      <c r="HD70" s="474"/>
      <c r="HE70" s="474"/>
      <c r="HF70" s="474"/>
      <c r="HG70" s="474"/>
      <c r="HH70" s="474"/>
      <c r="HI70" s="474"/>
      <c r="HJ70" s="474"/>
      <c r="HK70" s="474"/>
      <c r="HL70" s="474"/>
      <c r="HM70" s="474"/>
      <c r="HN70" s="474"/>
      <c r="HO70" s="474"/>
      <c r="HP70" s="474"/>
      <c r="HQ70" s="474"/>
      <c r="HR70" s="474"/>
      <c r="HS70" s="474"/>
      <c r="HT70" s="474"/>
      <c r="HU70" s="474"/>
      <c r="HV70" s="474"/>
      <c r="HW70" s="474"/>
      <c r="HX70" s="474"/>
      <c r="HY70" s="474"/>
      <c r="HZ70" s="474"/>
      <c r="IA70" s="474"/>
      <c r="IB70" s="474"/>
      <c r="IC70" s="474"/>
      <c r="ID70" s="474"/>
      <c r="IE70" s="474"/>
      <c r="IF70" s="474"/>
      <c r="IG70" s="474"/>
      <c r="IH70" s="474"/>
      <c r="II70" s="474"/>
      <c r="IJ70" s="474"/>
      <c r="IK70" s="474"/>
      <c r="IL70" s="474"/>
      <c r="IM70" s="474"/>
      <c r="IN70" s="474"/>
      <c r="IO70" s="474"/>
      <c r="IP70" s="474"/>
      <c r="JG70" s="146" t="s">
        <v>24</v>
      </c>
      <c r="JH70" s="146">
        <v>0</v>
      </c>
      <c r="JI70" s="146">
        <v>0</v>
      </c>
      <c r="JK70" s="146">
        <f>JL49</f>
        <v>-0.125</v>
      </c>
      <c r="JL70" s="146">
        <f>JK70</f>
        <v>-0.125</v>
      </c>
      <c r="JN70" s="146">
        <f>JH70</f>
        <v>0</v>
      </c>
      <c r="JO70" s="146">
        <f>JK70</f>
        <v>-0.125</v>
      </c>
      <c r="JQ70" s="184">
        <f>JO70/2</f>
        <v>-6.25E-2</v>
      </c>
    </row>
    <row r="71" spans="1:282" ht="14.1" customHeight="1" x14ac:dyDescent="0.2">
      <c r="A71" s="153"/>
      <c r="B71" s="237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219"/>
      <c r="AC71" s="45"/>
      <c r="AD71" s="45"/>
      <c r="AE71" s="45"/>
      <c r="AF71" s="219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  <c r="BJ71" s="153"/>
      <c r="BK71" s="153"/>
      <c r="BL71" s="153"/>
      <c r="BM71" s="153"/>
      <c r="BN71" s="153"/>
      <c r="BO71" s="153"/>
      <c r="BP71" s="153"/>
      <c r="BQ71" s="153"/>
      <c r="BR71" s="153"/>
      <c r="BS71" s="153"/>
      <c r="BT71" s="153"/>
      <c r="BU71" s="153"/>
      <c r="BV71" s="153"/>
      <c r="BW71" s="153"/>
      <c r="BX71" s="153"/>
      <c r="BY71" s="153"/>
      <c r="BZ71" s="153"/>
      <c r="CA71" s="153"/>
      <c r="CB71" s="153"/>
      <c r="CC71" s="153"/>
      <c r="CD71" s="278"/>
      <c r="CE71" s="278"/>
      <c r="CF71" s="462"/>
      <c r="CG71" s="462"/>
      <c r="CH71" s="287"/>
      <c r="CI71" s="153"/>
      <c r="CJ71" s="153"/>
      <c r="CK71" s="153"/>
      <c r="CL71" s="153"/>
      <c r="CM71" s="153"/>
      <c r="CN71" s="153"/>
      <c r="CO71" s="153"/>
      <c r="CP71" s="153"/>
      <c r="CQ71" s="153"/>
      <c r="CR71" s="153"/>
      <c r="CS71" s="153"/>
      <c r="CT71" s="153"/>
      <c r="CU71" s="153"/>
      <c r="CV71" s="153"/>
      <c r="CW71" s="153"/>
      <c r="CX71" s="153"/>
      <c r="CY71" s="153"/>
      <c r="CZ71" s="153"/>
      <c r="DA71" s="153"/>
      <c r="DB71" s="153"/>
      <c r="DC71" s="153"/>
      <c r="DD71" s="153"/>
      <c r="DE71" s="278"/>
      <c r="DF71" s="278"/>
      <c r="DG71" s="462"/>
      <c r="DH71" s="462"/>
      <c r="DI71" s="287"/>
      <c r="DJ71" s="153"/>
      <c r="DK71" s="278"/>
      <c r="DL71" s="278"/>
      <c r="DM71" s="462"/>
      <c r="DN71" s="462"/>
      <c r="DO71" s="287"/>
      <c r="DP71" s="242"/>
      <c r="DQ71" s="242"/>
      <c r="DR71" s="242"/>
      <c r="DS71" s="242"/>
      <c r="DT71" s="242"/>
      <c r="DU71" s="242"/>
      <c r="DV71" s="242"/>
      <c r="DW71" s="242"/>
      <c r="DX71" s="242"/>
      <c r="DY71" s="242"/>
      <c r="DZ71" s="474"/>
      <c r="EA71" s="474"/>
      <c r="EB71" s="474"/>
      <c r="EC71" s="17" t="s">
        <v>33</v>
      </c>
      <c r="ED71" s="474"/>
      <c r="EE71" s="474"/>
      <c r="EF71" s="474" t="s">
        <v>1</v>
      </c>
      <c r="EG71" s="555">
        <f>ROUND(14/EG62,4)</f>
        <v>4.7000000000000002E-3</v>
      </c>
      <c r="EH71" s="555"/>
      <c r="EI71" s="555"/>
      <c r="EJ71" s="474" t="s">
        <v>0</v>
      </c>
      <c r="EK71" s="474"/>
      <c r="EL71" s="474"/>
      <c r="EM71" s="474"/>
      <c r="EN71" s="163"/>
      <c r="EO71" s="163"/>
      <c r="EP71" s="163"/>
      <c r="EQ71" s="163"/>
      <c r="ER71" s="163"/>
      <c r="EY71" s="170" t="s">
        <v>181</v>
      </c>
      <c r="EZ71" s="170"/>
      <c r="FA71" s="170"/>
      <c r="FB71" s="170"/>
      <c r="FC71" s="170"/>
      <c r="FD71" s="170"/>
      <c r="FE71" s="170"/>
      <c r="FF71" s="477" t="s">
        <v>1</v>
      </c>
      <c r="FG71" s="576">
        <f>IF(FF75=0,1/8,IF(FF75=1,1/14,IF(FF75=2,1/16)))</f>
        <v>6.25E-2</v>
      </c>
      <c r="FH71" s="576"/>
      <c r="FI71" s="576"/>
      <c r="FJ71" s="170"/>
      <c r="FK71" s="170" t="s">
        <v>182</v>
      </c>
      <c r="FL71" s="477" t="s">
        <v>1</v>
      </c>
      <c r="FM71" s="577">
        <f>EG67-EG65-(W18/20)</f>
        <v>6.4</v>
      </c>
      <c r="FN71" s="577"/>
      <c r="FO71" s="173" t="s">
        <v>17</v>
      </c>
      <c r="FP71" s="173"/>
      <c r="FQ71" s="578">
        <f>IF(EG84=FQ70,FM70,IF(EK84=FQ70,FM71,IF(EO84=FQ70,FM72)))</f>
        <v>6.4</v>
      </c>
      <c r="FR71" s="578"/>
      <c r="FS71" s="170"/>
      <c r="FT71" s="170"/>
      <c r="FU71" s="170"/>
      <c r="FV71" s="30"/>
      <c r="FW71" s="474"/>
      <c r="FX71" s="474"/>
      <c r="FY71" s="474"/>
      <c r="FZ71" s="474"/>
      <c r="GA71" s="474"/>
      <c r="GB71" s="474"/>
      <c r="GC71" s="474"/>
      <c r="GD71" s="474"/>
      <c r="GE71" s="474"/>
      <c r="GF71" s="474"/>
      <c r="GG71" s="474"/>
      <c r="GH71" s="474"/>
      <c r="GI71" s="474"/>
      <c r="GJ71" s="474"/>
      <c r="GK71" s="474"/>
      <c r="GL71" s="474"/>
      <c r="GM71" s="474"/>
      <c r="GN71" s="474"/>
      <c r="GO71" s="474"/>
      <c r="GP71" s="474"/>
      <c r="GQ71" s="474"/>
      <c r="GR71" s="474"/>
      <c r="GS71" s="474"/>
      <c r="GT71" s="474"/>
      <c r="GU71" s="474"/>
      <c r="GV71" s="474"/>
      <c r="GW71" s="474"/>
      <c r="GX71" s="474"/>
      <c r="GY71" s="474"/>
      <c r="GZ71" s="474"/>
      <c r="HA71" s="474"/>
      <c r="HB71" s="474"/>
      <c r="HC71" s="474"/>
      <c r="HD71" s="474"/>
      <c r="HE71" s="474"/>
      <c r="HF71" s="474"/>
      <c r="HG71" s="474"/>
      <c r="HH71" s="474"/>
      <c r="HI71" s="474"/>
      <c r="HJ71" s="474"/>
      <c r="HK71" s="474"/>
      <c r="HL71" s="474"/>
      <c r="HM71" s="474"/>
      <c r="HN71" s="474"/>
      <c r="HO71" s="474"/>
      <c r="HP71" s="474"/>
      <c r="HQ71" s="474"/>
      <c r="HR71" s="474"/>
      <c r="HS71" s="474"/>
      <c r="HT71" s="474"/>
      <c r="HU71" s="474"/>
      <c r="HV71" s="474"/>
      <c r="HW71" s="474"/>
      <c r="HX71" s="474"/>
      <c r="HY71" s="474"/>
      <c r="HZ71" s="474"/>
      <c r="IA71" s="474"/>
      <c r="IB71" s="474"/>
      <c r="IC71" s="474"/>
      <c r="ID71" s="474"/>
      <c r="IE71" s="474"/>
      <c r="IF71" s="474"/>
      <c r="IG71" s="474"/>
      <c r="IH71" s="474"/>
      <c r="II71" s="474"/>
      <c r="IJ71" s="474"/>
      <c r="IK71" s="474"/>
      <c r="IL71" s="474"/>
      <c r="IM71" s="474"/>
      <c r="IN71" s="474"/>
      <c r="IO71" s="474"/>
      <c r="IP71" s="474"/>
      <c r="JG71" s="146" t="s">
        <v>149</v>
      </c>
      <c r="JK71" s="146" t="s">
        <v>150</v>
      </c>
      <c r="JN71" s="146" t="s">
        <v>151</v>
      </c>
      <c r="JQ71" s="574">
        <f>H24</f>
        <v>1.2</v>
      </c>
      <c r="JR71" s="574"/>
      <c r="JS71" s="574">
        <v>1</v>
      </c>
      <c r="JT71" s="574"/>
    </row>
    <row r="72" spans="1:282" ht="14.1" customHeight="1" x14ac:dyDescent="0.2">
      <c r="A72" s="153"/>
      <c r="B72" s="237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  <c r="BJ72" s="153"/>
      <c r="BK72" s="153"/>
      <c r="BL72" s="153"/>
      <c r="BM72" s="153"/>
      <c r="BN72" s="153"/>
      <c r="BO72" s="153"/>
      <c r="BP72" s="153"/>
      <c r="BQ72" s="153"/>
      <c r="BR72" s="153"/>
      <c r="BS72" s="153"/>
      <c r="BT72" s="153"/>
      <c r="BU72" s="153"/>
      <c r="BV72" s="153"/>
      <c r="BW72" s="153"/>
      <c r="BX72" s="153"/>
      <c r="BY72" s="153"/>
      <c r="BZ72" s="153"/>
      <c r="CA72" s="153"/>
      <c r="CB72" s="153"/>
      <c r="CC72" s="153"/>
      <c r="CD72" s="278"/>
      <c r="CE72" s="278"/>
      <c r="CF72" s="462"/>
      <c r="CG72" s="462"/>
      <c r="CH72" s="287"/>
      <c r="CI72" s="153"/>
      <c r="CJ72" s="153"/>
      <c r="CK72" s="153"/>
      <c r="CL72" s="153"/>
      <c r="CM72" s="153"/>
      <c r="CN72" s="153"/>
      <c r="CO72" s="153"/>
      <c r="CP72" s="153"/>
      <c r="CQ72" s="153"/>
      <c r="CR72" s="153"/>
      <c r="CS72" s="153"/>
      <c r="CT72" s="153"/>
      <c r="CU72" s="153"/>
      <c r="CV72" s="153"/>
      <c r="CW72" s="153"/>
      <c r="CX72" s="153"/>
      <c r="CY72" s="153"/>
      <c r="CZ72" s="153"/>
      <c r="DA72" s="153"/>
      <c r="DB72" s="153"/>
      <c r="DC72" s="153"/>
      <c r="DD72" s="153"/>
      <c r="DE72" s="278"/>
      <c r="DF72" s="278"/>
      <c r="DG72" s="462"/>
      <c r="DH72" s="462"/>
      <c r="DI72" s="287"/>
      <c r="DJ72" s="153"/>
      <c r="DK72" s="278"/>
      <c r="DL72" s="278"/>
      <c r="DM72" s="462"/>
      <c r="DN72" s="462"/>
      <c r="DO72" s="287"/>
      <c r="DP72" s="242"/>
      <c r="DQ72" s="242"/>
      <c r="DR72" s="242"/>
      <c r="DS72" s="242"/>
      <c r="DT72" s="242"/>
      <c r="DU72" s="242"/>
      <c r="DV72" s="242"/>
      <c r="DW72" s="242"/>
      <c r="DX72" s="242"/>
      <c r="DY72" s="242"/>
      <c r="DZ72" s="474"/>
      <c r="EA72" s="474"/>
      <c r="EB72" s="474"/>
      <c r="EC72" s="1" t="s">
        <v>67</v>
      </c>
      <c r="ED72" s="474"/>
      <c r="EE72" s="474"/>
      <c r="EF72" s="474" t="s">
        <v>1</v>
      </c>
      <c r="EG72" s="572">
        <f>ROUND(0.5*EG69,4)</f>
        <v>1.21E-2</v>
      </c>
      <c r="EH72" s="572"/>
      <c r="EI72" s="572"/>
      <c r="EJ72" s="474" t="s">
        <v>0</v>
      </c>
      <c r="EK72" s="474"/>
      <c r="EL72" s="474"/>
      <c r="EM72" s="474"/>
      <c r="EN72" s="20"/>
      <c r="EO72" s="20"/>
      <c r="EP72" s="20"/>
      <c r="EQ72" s="474"/>
      <c r="ER72" s="20"/>
      <c r="EY72" s="170" t="s">
        <v>183</v>
      </c>
      <c r="EZ72" s="170"/>
      <c r="FA72" s="170"/>
      <c r="FB72" s="170"/>
      <c r="FC72" s="170"/>
      <c r="FD72" s="170"/>
      <c r="FE72" s="170"/>
      <c r="FF72" s="477" t="s">
        <v>1</v>
      </c>
      <c r="FG72" s="576">
        <f>IF(FF75=0,1/24,IF(FF75=1,1/9,IF(FF75=2,1/11)))</f>
        <v>9.0909090909090912E-2</v>
      </c>
      <c r="FH72" s="576"/>
      <c r="FI72" s="576"/>
      <c r="FJ72" s="170"/>
      <c r="FK72" s="170" t="s">
        <v>184</v>
      </c>
      <c r="FL72" s="477" t="s">
        <v>1</v>
      </c>
      <c r="FM72" s="577">
        <f>EG67-EG65-(W18/20)</f>
        <v>6.4</v>
      </c>
      <c r="FN72" s="577"/>
      <c r="FO72" s="173" t="s">
        <v>17</v>
      </c>
      <c r="FP72" s="173"/>
      <c r="FQ72" s="173"/>
      <c r="FR72" s="170"/>
      <c r="FS72" s="170"/>
      <c r="FT72" s="170"/>
      <c r="FU72" s="170"/>
      <c r="FV72" s="30"/>
      <c r="FW72" s="474"/>
      <c r="FX72" s="474"/>
      <c r="FY72" s="474"/>
      <c r="FZ72" s="474"/>
      <c r="GA72" s="474"/>
      <c r="GB72" s="474"/>
      <c r="GC72" s="474"/>
      <c r="GD72" s="474"/>
      <c r="GE72" s="474"/>
      <c r="GF72" s="474"/>
      <c r="GG72" s="474"/>
      <c r="GH72" s="474"/>
      <c r="GI72" s="474"/>
      <c r="GJ72" s="474"/>
      <c r="GK72" s="474"/>
      <c r="GL72" s="474"/>
      <c r="GM72" s="474"/>
      <c r="GN72" s="474"/>
      <c r="GO72" s="474"/>
      <c r="GP72" s="474"/>
      <c r="GQ72" s="474"/>
      <c r="GR72" s="474"/>
      <c r="GS72" s="474"/>
      <c r="GT72" s="474"/>
      <c r="GU72" s="474"/>
      <c r="GV72" s="474"/>
      <c r="GW72" s="474"/>
      <c r="GX72" s="474"/>
      <c r="GY72" s="474"/>
      <c r="GZ72" s="474"/>
      <c r="HA72" s="474"/>
      <c r="HB72" s="474"/>
      <c r="HC72" s="474"/>
      <c r="HD72" s="474"/>
      <c r="HE72" s="474"/>
      <c r="HF72" s="474"/>
      <c r="HG72" s="474"/>
      <c r="HH72" s="474"/>
      <c r="HI72" s="474"/>
      <c r="HJ72" s="474"/>
      <c r="HK72" s="474"/>
      <c r="HL72" s="474"/>
      <c r="HM72" s="474"/>
      <c r="HN72" s="474"/>
      <c r="HO72" s="474"/>
      <c r="HP72" s="474"/>
      <c r="HQ72" s="474"/>
      <c r="HR72" s="474"/>
      <c r="HS72" s="474"/>
      <c r="HT72" s="474"/>
      <c r="HU72" s="474"/>
      <c r="HV72" s="474"/>
      <c r="HW72" s="474"/>
      <c r="HX72" s="474"/>
      <c r="HY72" s="474"/>
      <c r="HZ72" s="474"/>
      <c r="IA72" s="474"/>
      <c r="IB72" s="474"/>
      <c r="IC72" s="474"/>
      <c r="ID72" s="474"/>
      <c r="IE72" s="474"/>
      <c r="IF72" s="474"/>
      <c r="IG72" s="474"/>
      <c r="IH72" s="474"/>
      <c r="II72" s="474"/>
      <c r="IJ72" s="474"/>
      <c r="IK72" s="474"/>
      <c r="IL72" s="474"/>
      <c r="IM72" s="474"/>
      <c r="IN72" s="474"/>
      <c r="IO72" s="474"/>
      <c r="IP72" s="474"/>
      <c r="JG72" s="146" t="s">
        <v>23</v>
      </c>
      <c r="JH72" s="146">
        <v>-0.1</v>
      </c>
      <c r="JI72" s="146">
        <f>JH72</f>
        <v>-0.1</v>
      </c>
      <c r="JK72" s="146">
        <f>JH72+2.2</f>
        <v>2.1</v>
      </c>
      <c r="JL72" s="146">
        <f>JK72</f>
        <v>2.1</v>
      </c>
      <c r="JN72" s="146">
        <f>JH72</f>
        <v>-0.1</v>
      </c>
      <c r="JO72" s="146">
        <f>JK72</f>
        <v>2.1</v>
      </c>
      <c r="JQ72" s="184">
        <v>1</v>
      </c>
    </row>
    <row r="73" spans="1:282" ht="14.1" customHeight="1" x14ac:dyDescent="0.2">
      <c r="A73" s="153"/>
      <c r="B73" s="237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3"/>
      <c r="BK73" s="153"/>
      <c r="BL73" s="153"/>
      <c r="BM73" s="153"/>
      <c r="BN73" s="153"/>
      <c r="BO73" s="153"/>
      <c r="BP73" s="153"/>
      <c r="BQ73" s="153"/>
      <c r="BR73" s="153"/>
      <c r="BS73" s="153"/>
      <c r="BT73" s="153"/>
      <c r="BU73" s="153"/>
      <c r="BV73" s="153"/>
      <c r="BW73" s="153"/>
      <c r="BX73" s="153"/>
      <c r="BY73" s="153"/>
      <c r="BZ73" s="153"/>
      <c r="CA73" s="153"/>
      <c r="CB73" s="153"/>
      <c r="CC73" s="153"/>
      <c r="CD73" s="278"/>
      <c r="CE73" s="278"/>
      <c r="CF73" s="462"/>
      <c r="CG73" s="462"/>
      <c r="CH73" s="287"/>
      <c r="CI73" s="153"/>
      <c r="CJ73" s="153"/>
      <c r="CK73" s="153"/>
      <c r="CL73" s="153"/>
      <c r="CM73" s="153"/>
      <c r="CN73" s="153"/>
      <c r="CO73" s="153"/>
      <c r="CP73" s="153"/>
      <c r="CQ73" s="153"/>
      <c r="CR73" s="153"/>
      <c r="CS73" s="153"/>
      <c r="CT73" s="153"/>
      <c r="CU73" s="153"/>
      <c r="CV73" s="153"/>
      <c r="CW73" s="153"/>
      <c r="CX73" s="153"/>
      <c r="CY73" s="153"/>
      <c r="CZ73" s="153"/>
      <c r="DA73" s="153"/>
      <c r="DB73" s="153"/>
      <c r="DC73" s="153"/>
      <c r="DD73" s="153"/>
      <c r="DE73" s="278"/>
      <c r="DF73" s="278"/>
      <c r="DG73" s="462"/>
      <c r="DH73" s="462"/>
      <c r="DI73" s="287"/>
      <c r="DJ73" s="153"/>
      <c r="DK73" s="278"/>
      <c r="DL73" s="278"/>
      <c r="DM73" s="462"/>
      <c r="DN73" s="462"/>
      <c r="DO73" s="287"/>
      <c r="DP73" s="242"/>
      <c r="DQ73" s="242"/>
      <c r="DR73" s="242"/>
      <c r="DS73" s="242"/>
      <c r="DT73" s="242"/>
      <c r="DU73" s="242"/>
      <c r="DV73" s="242"/>
      <c r="DW73" s="242"/>
      <c r="DX73" s="242"/>
      <c r="DY73" s="242"/>
      <c r="DZ73" s="474"/>
      <c r="EA73" s="474"/>
      <c r="EB73" s="474"/>
      <c r="EC73" s="25" t="s">
        <v>257</v>
      </c>
      <c r="ED73" s="474"/>
      <c r="EE73" s="474"/>
      <c r="EF73" s="474" t="s">
        <v>1</v>
      </c>
      <c r="EG73" s="563">
        <f>ROUND(EG72*EG62*(1-(0.59*EG72*(EG62/EG61))),2)</f>
        <v>31.12</v>
      </c>
      <c r="EH73" s="563"/>
      <c r="EI73" s="563"/>
      <c r="EJ73" s="473" t="s">
        <v>2</v>
      </c>
      <c r="EK73" s="474"/>
      <c r="EL73" s="474"/>
      <c r="EM73" s="474"/>
      <c r="EN73" s="31"/>
      <c r="EO73" s="139"/>
      <c r="EP73" s="139"/>
      <c r="EQ73" s="474"/>
      <c r="ER73" s="139"/>
      <c r="EY73" s="476" t="s">
        <v>69</v>
      </c>
      <c r="EZ73" s="476" t="s">
        <v>85</v>
      </c>
      <c r="FA73" s="26"/>
      <c r="FB73" s="26"/>
      <c r="FC73" s="26"/>
      <c r="FD73" s="26"/>
      <c r="FE73" s="26"/>
      <c r="FF73" s="26"/>
      <c r="FG73" s="26"/>
      <c r="FH73" s="26"/>
      <c r="FI73" s="26"/>
      <c r="FJ73" s="26"/>
      <c r="FK73" s="26"/>
      <c r="FL73" s="26"/>
      <c r="FM73" s="26"/>
      <c r="FN73" s="26"/>
      <c r="FO73" s="26"/>
      <c r="FP73" s="26"/>
      <c r="FQ73" s="26"/>
      <c r="FR73" s="26"/>
      <c r="FS73" s="26"/>
      <c r="FT73" s="26"/>
      <c r="FU73" s="26"/>
      <c r="FV73" s="474"/>
      <c r="FW73" s="474"/>
      <c r="FX73" s="474"/>
      <c r="FY73" s="474"/>
      <c r="FZ73" s="474"/>
      <c r="GA73" s="474"/>
      <c r="GB73" s="474"/>
      <c r="GC73" s="474"/>
      <c r="GD73" s="474"/>
      <c r="GE73" s="474"/>
      <c r="GF73" s="474"/>
      <c r="GG73" s="474"/>
      <c r="GH73" s="474"/>
      <c r="GI73" s="474"/>
      <c r="GJ73" s="474"/>
      <c r="GK73" s="474"/>
      <c r="GL73" s="474"/>
      <c r="GM73" s="474"/>
      <c r="GN73" s="474"/>
      <c r="GO73" s="474"/>
      <c r="GP73" s="474"/>
      <c r="GQ73" s="474"/>
      <c r="GR73" s="474"/>
      <c r="GS73" s="474"/>
      <c r="GT73" s="474"/>
      <c r="GU73" s="474"/>
      <c r="GV73" s="474"/>
      <c r="GW73" s="474"/>
      <c r="GX73" s="474"/>
      <c r="GY73" s="474"/>
      <c r="GZ73" s="474"/>
      <c r="HA73" s="474"/>
      <c r="HB73" s="474"/>
      <c r="HC73" s="474"/>
      <c r="HD73" s="474"/>
      <c r="HE73" s="474"/>
      <c r="HF73" s="474"/>
      <c r="HG73" s="474"/>
      <c r="HH73" s="474"/>
      <c r="HI73" s="474"/>
      <c r="HJ73" s="474"/>
      <c r="HK73" s="474"/>
      <c r="HL73" s="474"/>
      <c r="HM73" s="474"/>
      <c r="HN73" s="474"/>
      <c r="HO73" s="474"/>
      <c r="HP73" s="474"/>
      <c r="HQ73" s="474"/>
      <c r="HR73" s="474"/>
      <c r="HS73" s="474"/>
      <c r="HT73" s="474"/>
      <c r="HU73" s="474"/>
      <c r="HV73" s="474"/>
      <c r="HW73" s="474"/>
      <c r="HX73" s="474"/>
      <c r="HY73" s="474"/>
      <c r="HZ73" s="474"/>
      <c r="IA73" s="474"/>
      <c r="IB73" s="474"/>
      <c r="IC73" s="474"/>
      <c r="ID73" s="474"/>
      <c r="IE73" s="474"/>
      <c r="IF73" s="474"/>
      <c r="IG73" s="474"/>
      <c r="IH73" s="474"/>
      <c r="II73" s="474"/>
      <c r="IJ73" s="474"/>
      <c r="IK73" s="474"/>
      <c r="IL73" s="474"/>
      <c r="IM73" s="474"/>
      <c r="IN73" s="474"/>
      <c r="IO73" s="474"/>
      <c r="IP73" s="474"/>
      <c r="JG73" s="146" t="s">
        <v>24</v>
      </c>
      <c r="JH73" s="146">
        <f>-0.55</f>
        <v>-0.55000000000000004</v>
      </c>
      <c r="JI73" s="146">
        <f>JH73-0.13</f>
        <v>-0.68</v>
      </c>
      <c r="JK73" s="146">
        <f>JH73</f>
        <v>-0.55000000000000004</v>
      </c>
      <c r="JL73" s="146">
        <f>JI73</f>
        <v>-0.68</v>
      </c>
      <c r="JN73" s="146">
        <f>JI73+0.05</f>
        <v>-0.63</v>
      </c>
      <c r="JO73" s="146">
        <f>JN73</f>
        <v>-0.63</v>
      </c>
      <c r="JQ73" s="184">
        <f>JN73+0.05</f>
        <v>-0.57999999999999996</v>
      </c>
    </row>
    <row r="74" spans="1:282" ht="14.1" customHeight="1" x14ac:dyDescent="0.2">
      <c r="A74" s="153"/>
      <c r="B74" s="237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  <c r="BJ74" s="153"/>
      <c r="BK74" s="153"/>
      <c r="BL74" s="153"/>
      <c r="BM74" s="153"/>
      <c r="BN74" s="153"/>
      <c r="BO74" s="153"/>
      <c r="BP74" s="153"/>
      <c r="BQ74" s="153"/>
      <c r="BR74" s="153"/>
      <c r="BS74" s="153"/>
      <c r="BT74" s="153"/>
      <c r="BU74" s="153"/>
      <c r="BV74" s="242"/>
      <c r="BW74" s="242"/>
      <c r="BX74" s="242"/>
      <c r="BY74" s="242"/>
      <c r="BZ74" s="242"/>
      <c r="CA74" s="242"/>
      <c r="CB74" s="242"/>
      <c r="CC74" s="288"/>
      <c r="CD74" s="242"/>
      <c r="CE74" s="242"/>
      <c r="CF74" s="242"/>
      <c r="CG74" s="242"/>
      <c r="CH74" s="242"/>
      <c r="CI74" s="242"/>
      <c r="CJ74" s="242"/>
      <c r="CK74" s="242"/>
      <c r="CL74" s="242"/>
      <c r="CM74" s="242"/>
      <c r="CN74" s="242"/>
      <c r="CO74" s="242"/>
      <c r="CP74" s="242"/>
      <c r="CQ74" s="242"/>
      <c r="CR74" s="242"/>
      <c r="CS74" s="242"/>
      <c r="CT74" s="242"/>
      <c r="CU74" s="242"/>
      <c r="CV74" s="242"/>
      <c r="CW74" s="242"/>
      <c r="CX74" s="242"/>
      <c r="CY74" s="242"/>
      <c r="CZ74" s="242"/>
      <c r="DA74" s="242"/>
      <c r="DB74" s="242"/>
      <c r="DC74" s="242"/>
      <c r="DD74" s="242"/>
      <c r="DE74" s="289"/>
      <c r="DF74" s="242"/>
      <c r="DG74" s="242"/>
      <c r="DH74" s="290"/>
      <c r="DI74" s="214"/>
      <c r="DJ74" s="214"/>
      <c r="DK74" s="214"/>
      <c r="DL74" s="214"/>
      <c r="DM74" s="214"/>
      <c r="DN74" s="214"/>
      <c r="DO74" s="214"/>
      <c r="DP74" s="214"/>
      <c r="DQ74" s="242"/>
      <c r="DR74" s="242"/>
      <c r="DS74" s="242"/>
      <c r="DT74" s="242"/>
      <c r="DU74" s="242"/>
      <c r="DV74" s="242"/>
      <c r="DW74" s="242"/>
      <c r="DX74" s="242"/>
      <c r="DY74" s="242"/>
      <c r="DZ74" s="474"/>
      <c r="EA74" s="474"/>
      <c r="EB74" s="474"/>
      <c r="EC74" s="31" t="s">
        <v>83</v>
      </c>
      <c r="ED74" s="31"/>
      <c r="EE74" s="31"/>
      <c r="EF74" s="474" t="s">
        <v>1</v>
      </c>
      <c r="EG74" s="582">
        <f>W27</f>
        <v>728.64</v>
      </c>
      <c r="EH74" s="582"/>
      <c r="EI74" s="582"/>
      <c r="EJ74" s="146" t="s">
        <v>18</v>
      </c>
      <c r="EK74" s="474"/>
      <c r="EN74" s="206"/>
      <c r="EO74" s="206"/>
      <c r="EP74" s="206"/>
      <c r="EQ74" s="474"/>
      <c r="ER74" s="206"/>
      <c r="EY74" s="114" t="s">
        <v>86</v>
      </c>
      <c r="EZ74" s="170"/>
      <c r="FA74" s="173" t="s">
        <v>1</v>
      </c>
      <c r="FB74" s="573">
        <f>IF(EG62=2400,0.0025,IF(EG62=3000,0.002,IF(EG62=4000,0.0018,IF(EG62&gt;4000,0.0018*(4000/EG62)))))</f>
        <v>2E-3</v>
      </c>
      <c r="FC74" s="573"/>
      <c r="FD74" s="573"/>
      <c r="FE74" s="114"/>
      <c r="FF74" s="170" t="s">
        <v>87</v>
      </c>
      <c r="FG74" s="114" t="s">
        <v>88</v>
      </c>
      <c r="FH74" s="170"/>
      <c r="FI74" s="477" t="s">
        <v>1</v>
      </c>
      <c r="FJ74" s="573">
        <f>IF(EG63=2400,0.0025,IF(EG63=3000,0.002,IF(EG63=4000,0.0018,IF(EG63&gt;4000,0.0018*(4000/EG63)))))</f>
        <v>2.5000000000000001E-3</v>
      </c>
      <c r="FK74" s="573"/>
      <c r="FL74" s="573"/>
      <c r="FM74" s="26"/>
      <c r="FN74" s="26"/>
      <c r="FO74" s="26"/>
      <c r="FP74" s="26"/>
      <c r="FQ74" s="26"/>
      <c r="FR74" s="503">
        <v>0.05</v>
      </c>
      <c r="FS74" s="26"/>
      <c r="FT74" s="26"/>
      <c r="FU74" s="26"/>
      <c r="FV74" s="474"/>
      <c r="FW74" s="474"/>
      <c r="FX74" s="474"/>
      <c r="FY74" s="474"/>
      <c r="FZ74" s="474"/>
      <c r="GA74" s="474"/>
      <c r="GB74" s="474"/>
      <c r="GC74" s="474"/>
      <c r="GD74" s="474"/>
      <c r="GE74" s="474"/>
      <c r="GF74" s="474"/>
      <c r="GG74" s="474"/>
      <c r="GH74" s="474"/>
      <c r="GI74" s="474"/>
      <c r="GJ74" s="474"/>
      <c r="GK74" s="474"/>
      <c r="GL74" s="474"/>
      <c r="GM74" s="474"/>
      <c r="GN74" s="474"/>
      <c r="GO74" s="474"/>
      <c r="GP74" s="474"/>
      <c r="GQ74" s="474"/>
      <c r="GR74" s="474"/>
      <c r="GS74" s="474"/>
      <c r="GT74" s="474"/>
      <c r="GU74" s="474"/>
      <c r="GV74" s="474"/>
      <c r="GW74" s="474"/>
      <c r="GX74" s="474"/>
      <c r="GY74" s="474"/>
      <c r="GZ74" s="474"/>
      <c r="HA74" s="474"/>
      <c r="HB74" s="474"/>
      <c r="HC74" s="474"/>
      <c r="HD74" s="474"/>
      <c r="HE74" s="474"/>
      <c r="HF74" s="474"/>
      <c r="HG74" s="474"/>
      <c r="HH74" s="474"/>
      <c r="HI74" s="474"/>
      <c r="HJ74" s="474"/>
      <c r="HK74" s="474"/>
      <c r="HL74" s="474"/>
      <c r="HM74" s="474"/>
      <c r="HN74" s="474"/>
      <c r="HO74" s="474"/>
      <c r="HP74" s="474"/>
      <c r="HQ74" s="474"/>
      <c r="HR74" s="474"/>
      <c r="HS74" s="474"/>
      <c r="HT74" s="474"/>
      <c r="HU74" s="474"/>
      <c r="HV74" s="474"/>
      <c r="HW74" s="474"/>
      <c r="HX74" s="474"/>
      <c r="HY74" s="474"/>
      <c r="HZ74" s="474"/>
      <c r="IA74" s="474"/>
      <c r="IB74" s="474"/>
      <c r="IC74" s="474"/>
      <c r="ID74" s="474"/>
      <c r="IE74" s="474"/>
      <c r="IF74" s="474"/>
      <c r="IG74" s="474"/>
      <c r="IH74" s="474"/>
      <c r="II74" s="474"/>
      <c r="IJ74" s="474"/>
      <c r="IK74" s="474"/>
      <c r="IL74" s="474"/>
      <c r="IM74" s="474"/>
      <c r="IN74" s="474"/>
      <c r="IO74" s="474"/>
      <c r="IP74" s="474"/>
      <c r="JG74" s="146" t="s">
        <v>152</v>
      </c>
      <c r="JK74" s="146" t="s">
        <v>153</v>
      </c>
      <c r="JN74" s="146" t="s">
        <v>154</v>
      </c>
      <c r="JQ74" s="574" t="e">
        <f>CONCATENATE(ROUND(IF(#REF!="Con.-",JQ71/3,JQ71/4),2),IF(#REF!="Con.-"," (L/3)"," (L/4)"))</f>
        <v>#REF!</v>
      </c>
      <c r="JR74" s="574"/>
      <c r="JS74" s="574"/>
      <c r="JT74" s="569" t="str">
        <f>CONCATENATE(ROUND(IF(AB64="Con.-",JS71/3,JS71/4),2),IF(AB64="Con.-"," (L/3)"," (L/4)"))</f>
        <v>0.25 (L/4)</v>
      </c>
      <c r="JU74" s="569"/>
      <c r="JV74" s="569"/>
    </row>
    <row r="75" spans="1:282" ht="14.1" customHeight="1" x14ac:dyDescent="0.2">
      <c r="A75" s="153"/>
      <c r="B75" s="237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  <c r="BJ75" s="153"/>
      <c r="BK75" s="153"/>
      <c r="BL75" s="153"/>
      <c r="BM75" s="153"/>
      <c r="BN75" s="153"/>
      <c r="BO75" s="153"/>
      <c r="BP75" s="153"/>
      <c r="BQ75" s="153"/>
      <c r="BR75" s="153"/>
      <c r="BS75" s="153"/>
      <c r="BT75" s="153"/>
      <c r="BU75" s="153"/>
      <c r="BV75" s="242"/>
      <c r="BW75" s="242"/>
      <c r="BX75" s="242"/>
      <c r="BY75" s="242"/>
      <c r="BZ75" s="242"/>
      <c r="CA75" s="242"/>
      <c r="CB75" s="242"/>
      <c r="CC75" s="242"/>
      <c r="CD75" s="242"/>
      <c r="CE75" s="242"/>
      <c r="CF75" s="242"/>
      <c r="CG75" s="242"/>
      <c r="CH75" s="242"/>
      <c r="CI75" s="242"/>
      <c r="CJ75" s="242"/>
      <c r="CK75" s="242"/>
      <c r="CL75" s="242"/>
      <c r="CM75" s="242"/>
      <c r="CN75" s="242"/>
      <c r="CO75" s="242"/>
      <c r="CP75" s="242"/>
      <c r="CQ75" s="242"/>
      <c r="CR75" s="242"/>
      <c r="CS75" s="242"/>
      <c r="CT75" s="242"/>
      <c r="CU75" s="242"/>
      <c r="CV75" s="242"/>
      <c r="CW75" s="242"/>
      <c r="CX75" s="242"/>
      <c r="CY75" s="242"/>
      <c r="CZ75" s="242"/>
      <c r="DA75" s="242"/>
      <c r="DB75" s="242"/>
      <c r="DC75" s="242"/>
      <c r="DD75" s="242"/>
      <c r="DE75" s="289"/>
      <c r="DF75" s="242"/>
      <c r="DG75" s="242"/>
      <c r="DH75" s="290"/>
      <c r="DI75" s="214"/>
      <c r="DJ75" s="214"/>
      <c r="DK75" s="214"/>
      <c r="DL75" s="214"/>
      <c r="DM75" s="214"/>
      <c r="DN75" s="214"/>
      <c r="DO75" s="214"/>
      <c r="DP75" s="214"/>
      <c r="DQ75" s="242"/>
      <c r="DR75" s="242"/>
      <c r="DS75" s="242"/>
      <c r="DT75" s="242"/>
      <c r="DU75" s="242"/>
      <c r="DV75" s="242"/>
      <c r="DW75" s="242"/>
      <c r="DX75" s="242"/>
      <c r="DY75" s="242"/>
      <c r="DZ75" s="474"/>
      <c r="EA75" s="474"/>
      <c r="EB75" s="474"/>
      <c r="EC75" s="473" t="s">
        <v>51</v>
      </c>
      <c r="ED75" s="474"/>
      <c r="EE75" s="474"/>
      <c r="EF75" s="474" t="s">
        <v>1</v>
      </c>
      <c r="EG75" s="570">
        <f>ROUND(SQRT(W27/(H12*EG73)),2)</f>
        <v>5.0999999999999996</v>
      </c>
      <c r="EH75" s="570"/>
      <c r="EI75" s="570"/>
      <c r="EJ75" s="473" t="s">
        <v>17</v>
      </c>
      <c r="EK75" s="32" t="s">
        <v>166</v>
      </c>
      <c r="EL75" s="474"/>
      <c r="EM75" s="26" t="str">
        <f>IF(EG75&lt;=FQ71,"Ok","Not Ok")</f>
        <v>Ok</v>
      </c>
      <c r="EN75" s="31"/>
      <c r="EO75" s="31"/>
      <c r="EP75" s="31"/>
      <c r="EQ75" s="474"/>
      <c r="ER75" s="31"/>
      <c r="EY75" s="495" t="s">
        <v>185</v>
      </c>
      <c r="EZ75" s="474"/>
      <c r="FA75" s="474"/>
      <c r="FB75" s="474"/>
      <c r="FC75" s="474"/>
      <c r="FD75" s="474"/>
      <c r="FE75" s="474"/>
      <c r="FF75" s="575">
        <f>IF(EG60=EY76,0,IF(EG60=EY77,1,IF(EG60=EY78,2)))</f>
        <v>2</v>
      </c>
      <c r="FG75" s="575"/>
      <c r="FH75" s="474"/>
      <c r="FI75" s="474"/>
      <c r="FJ75" s="474"/>
      <c r="FK75" s="474"/>
      <c r="FL75" s="474"/>
      <c r="FM75" s="474"/>
      <c r="FN75" s="474"/>
      <c r="FO75" s="474"/>
      <c r="FP75" s="474"/>
      <c r="FQ75" s="474"/>
      <c r="FR75" s="504">
        <v>7.4999999999999997E-2</v>
      </c>
      <c r="FS75" s="474"/>
      <c r="FT75" s="474"/>
      <c r="FU75" s="474"/>
      <c r="FV75" s="474"/>
      <c r="FW75" s="474"/>
      <c r="FX75" s="474"/>
      <c r="FY75" s="474"/>
      <c r="FZ75" s="474"/>
      <c r="GA75" s="474"/>
      <c r="GB75" s="474"/>
      <c r="GC75" s="474"/>
      <c r="GD75" s="474"/>
      <c r="GE75" s="474"/>
      <c r="GF75" s="474"/>
      <c r="GG75" s="474"/>
      <c r="GH75" s="474"/>
      <c r="GI75" s="474"/>
      <c r="GJ75" s="474"/>
      <c r="GK75" s="474"/>
      <c r="GL75" s="474"/>
      <c r="GM75" s="474"/>
      <c r="GN75" s="474"/>
      <c r="GO75" s="474"/>
      <c r="GP75" s="474"/>
      <c r="GQ75" s="474"/>
      <c r="GR75" s="474"/>
      <c r="GS75" s="474"/>
      <c r="GT75" s="474"/>
      <c r="GU75" s="474"/>
      <c r="GV75" s="474"/>
      <c r="GW75" s="474"/>
      <c r="GX75" s="474"/>
      <c r="GY75" s="474"/>
      <c r="GZ75" s="474"/>
      <c r="HA75" s="474"/>
      <c r="HB75" s="474"/>
      <c r="HC75" s="474"/>
      <c r="HD75" s="474"/>
      <c r="HE75" s="474"/>
      <c r="HF75" s="474"/>
      <c r="HG75" s="474"/>
      <c r="HH75" s="474"/>
      <c r="HI75" s="474"/>
      <c r="HJ75" s="474"/>
      <c r="HK75" s="474"/>
      <c r="HL75" s="474"/>
      <c r="HM75" s="474"/>
      <c r="HN75" s="474"/>
      <c r="HO75" s="474"/>
      <c r="HP75" s="474"/>
      <c r="HQ75" s="474"/>
      <c r="HR75" s="474"/>
      <c r="HS75" s="474"/>
      <c r="HT75" s="474"/>
      <c r="HU75" s="474"/>
      <c r="HV75" s="474"/>
      <c r="HW75" s="474"/>
      <c r="HX75" s="474"/>
      <c r="HY75" s="474"/>
      <c r="HZ75" s="474"/>
      <c r="IA75" s="474"/>
      <c r="IB75" s="474"/>
      <c r="IC75" s="474"/>
      <c r="ID75" s="474"/>
      <c r="IE75" s="474"/>
      <c r="IF75" s="474"/>
      <c r="IG75" s="474"/>
      <c r="IH75" s="474"/>
      <c r="II75" s="474"/>
      <c r="IJ75" s="474"/>
      <c r="IK75" s="474"/>
      <c r="IL75" s="474"/>
      <c r="IM75" s="474"/>
      <c r="IN75" s="474"/>
      <c r="IO75" s="474"/>
      <c r="IP75" s="474"/>
      <c r="JG75" s="146" t="s">
        <v>23</v>
      </c>
      <c r="JH75" s="146">
        <v>-0.1</v>
      </c>
      <c r="JI75" s="146">
        <v>-0.1</v>
      </c>
      <c r="JK75" s="146">
        <v>1</v>
      </c>
      <c r="JL75" s="146">
        <f>JK75</f>
        <v>1</v>
      </c>
      <c r="JN75" s="146">
        <v>-0.1</v>
      </c>
      <c r="JO75" s="146">
        <v>1</v>
      </c>
      <c r="JQ75" s="184">
        <f>0.45</f>
        <v>0.45</v>
      </c>
    </row>
    <row r="76" spans="1:282" ht="14.1" customHeight="1" x14ac:dyDescent="0.2">
      <c r="A76" s="153"/>
      <c r="B76" s="237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215"/>
      <c r="Q76" s="215"/>
      <c r="R76" s="215"/>
      <c r="S76" s="215"/>
      <c r="T76" s="45"/>
      <c r="U76" s="45"/>
      <c r="V76" s="45"/>
      <c r="W76" s="45"/>
      <c r="X76" s="215"/>
      <c r="Y76" s="215"/>
      <c r="Z76" s="215"/>
      <c r="AA76" s="215"/>
      <c r="AB76" s="45"/>
      <c r="AC76" s="45"/>
      <c r="AD76" s="45"/>
      <c r="AE76" s="45"/>
      <c r="AF76" s="45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  <c r="BJ76" s="153"/>
      <c r="BK76" s="153"/>
      <c r="BL76" s="153"/>
      <c r="BM76" s="153"/>
      <c r="BN76" s="153"/>
      <c r="BO76" s="153"/>
      <c r="BP76" s="153"/>
      <c r="BQ76" s="153"/>
      <c r="BR76" s="153"/>
      <c r="BS76" s="153"/>
      <c r="BT76" s="153"/>
      <c r="BU76" s="153"/>
      <c r="BV76" s="291"/>
      <c r="BW76" s="291"/>
      <c r="BX76" s="291"/>
      <c r="BY76" s="291"/>
      <c r="BZ76" s="291"/>
      <c r="CA76" s="291"/>
      <c r="CB76" s="291"/>
      <c r="CC76" s="291"/>
      <c r="CD76" s="291"/>
      <c r="CE76" s="291"/>
      <c r="CF76" s="291"/>
      <c r="CG76" s="291"/>
      <c r="CH76" s="291"/>
      <c r="CI76" s="291"/>
      <c r="CJ76" s="291"/>
      <c r="CK76" s="291"/>
      <c r="CL76" s="291"/>
      <c r="CM76" s="291"/>
      <c r="CN76" s="291"/>
      <c r="CO76" s="291"/>
      <c r="CP76" s="291"/>
      <c r="CQ76" s="291"/>
      <c r="CR76" s="291"/>
      <c r="CS76" s="291"/>
      <c r="CT76" s="291"/>
      <c r="CU76" s="291"/>
      <c r="CV76" s="291"/>
      <c r="CW76" s="291"/>
      <c r="CX76" s="291"/>
      <c r="CY76" s="291"/>
      <c r="CZ76" s="291"/>
      <c r="DA76" s="291"/>
      <c r="DB76" s="291"/>
      <c r="DC76" s="291"/>
      <c r="DD76" s="291"/>
      <c r="DE76" s="291"/>
      <c r="DF76" s="291"/>
      <c r="DG76" s="291"/>
      <c r="DH76" s="291"/>
      <c r="DI76" s="291"/>
      <c r="DJ76" s="291"/>
      <c r="DK76" s="291"/>
      <c r="DL76" s="291"/>
      <c r="DM76" s="291"/>
      <c r="DN76" s="291"/>
      <c r="DO76" s="291"/>
      <c r="DP76" s="291"/>
      <c r="DQ76" s="242"/>
      <c r="DR76" s="242"/>
      <c r="DS76" s="242"/>
      <c r="DT76" s="242"/>
      <c r="DU76" s="242"/>
      <c r="DV76" s="242"/>
      <c r="DW76" s="242"/>
      <c r="DX76" s="242"/>
      <c r="DY76" s="242"/>
      <c r="DZ76" s="474"/>
      <c r="EA76" s="474"/>
      <c r="EB76" s="474"/>
      <c r="EC76" s="146" t="s">
        <v>21</v>
      </c>
      <c r="EF76" s="474" t="s">
        <v>1</v>
      </c>
      <c r="EG76" s="648">
        <f>FM70</f>
        <v>6.4</v>
      </c>
      <c r="EH76" s="648"/>
      <c r="EI76" s="648"/>
      <c r="EJ76" s="146" t="s">
        <v>17</v>
      </c>
      <c r="EN76" s="163"/>
      <c r="EO76" s="163"/>
      <c r="EP76" s="163"/>
      <c r="EQ76" s="474"/>
      <c r="ER76" s="163"/>
      <c r="EY76" s="170" t="s">
        <v>165</v>
      </c>
      <c r="EZ76" s="26"/>
      <c r="FA76" s="26"/>
      <c r="FB76" s="26"/>
      <c r="FC76" s="26"/>
      <c r="FD76" s="26"/>
      <c r="FE76" s="474"/>
      <c r="FF76" s="474"/>
      <c r="FG76" s="571">
        <v>1.4</v>
      </c>
      <c r="FH76" s="571"/>
      <c r="FI76" s="555">
        <v>1.7</v>
      </c>
      <c r="FJ76" s="555"/>
      <c r="FK76" s="474"/>
      <c r="FL76" s="555">
        <v>2400</v>
      </c>
      <c r="FM76" s="555"/>
      <c r="FN76" s="475">
        <v>2</v>
      </c>
      <c r="FO76" s="471"/>
      <c r="FP76" s="137">
        <v>8</v>
      </c>
      <c r="FQ76" s="31"/>
      <c r="FR76" s="11">
        <v>0.1</v>
      </c>
      <c r="FS76" s="11"/>
      <c r="FT76" s="474"/>
      <c r="FU76" s="474">
        <v>30</v>
      </c>
      <c r="FV76" s="474"/>
      <c r="FW76" s="474"/>
      <c r="FX76" s="474"/>
      <c r="FY76" s="474"/>
      <c r="FZ76" s="474"/>
      <c r="GA76" s="474"/>
      <c r="GB76" s="474"/>
      <c r="GC76" s="474"/>
      <c r="GD76" s="474"/>
      <c r="GE76" s="474"/>
      <c r="GF76" s="474"/>
      <c r="GG76" s="474"/>
      <c r="GH76" s="474"/>
      <c r="GI76" s="474"/>
      <c r="GJ76" s="474"/>
      <c r="GK76" s="474"/>
      <c r="GL76" s="474"/>
      <c r="GM76" s="474"/>
      <c r="GN76" s="474"/>
      <c r="GO76" s="474"/>
      <c r="GP76" s="474"/>
      <c r="GQ76" s="474"/>
      <c r="GR76" s="474"/>
      <c r="GS76" s="474"/>
      <c r="GT76" s="474"/>
      <c r="GU76" s="474"/>
      <c r="GV76" s="474"/>
      <c r="GW76" s="474"/>
      <c r="GX76" s="474"/>
      <c r="GY76" s="474"/>
      <c r="GZ76" s="474"/>
      <c r="HA76" s="474"/>
      <c r="HB76" s="474"/>
      <c r="HC76" s="474"/>
      <c r="HD76" s="474"/>
      <c r="HE76" s="474"/>
      <c r="HF76" s="474"/>
      <c r="HG76" s="474"/>
      <c r="HH76" s="474"/>
      <c r="HI76" s="474"/>
      <c r="HJ76" s="474"/>
      <c r="HK76" s="474"/>
      <c r="HL76" s="474"/>
      <c r="HM76" s="474"/>
      <c r="HN76" s="474"/>
      <c r="HO76" s="474"/>
      <c r="HP76" s="474"/>
      <c r="HQ76" s="474"/>
      <c r="HR76" s="474"/>
      <c r="HS76" s="474"/>
      <c r="HT76" s="474"/>
      <c r="HU76" s="474"/>
      <c r="HV76" s="474"/>
      <c r="HW76" s="474"/>
      <c r="HX76" s="474"/>
      <c r="HY76" s="474"/>
      <c r="HZ76" s="474"/>
      <c r="IA76" s="474"/>
      <c r="IB76" s="474"/>
      <c r="IC76" s="474"/>
      <c r="ID76" s="474"/>
      <c r="IE76" s="474"/>
      <c r="IF76" s="474"/>
      <c r="IG76" s="474"/>
      <c r="IH76" s="474"/>
      <c r="II76" s="474"/>
      <c r="IJ76" s="474"/>
      <c r="IK76" s="474"/>
      <c r="IL76" s="474"/>
      <c r="IM76" s="474"/>
      <c r="IN76" s="474"/>
      <c r="IO76" s="474"/>
      <c r="IP76" s="474"/>
      <c r="JG76" s="146" t="s">
        <v>24</v>
      </c>
      <c r="JH76" s="103">
        <v>-0.51</v>
      </c>
      <c r="JI76" s="146">
        <v>-0.59</v>
      </c>
      <c r="JK76" s="146">
        <f>JH76</f>
        <v>-0.51</v>
      </c>
      <c r="JL76" s="146">
        <f>JI76</f>
        <v>-0.59</v>
      </c>
      <c r="JN76" s="146">
        <v>-0.55000000000000004</v>
      </c>
      <c r="JO76" s="146">
        <v>-0.55000000000000004</v>
      </c>
      <c r="JQ76" s="184">
        <f>-0.55</f>
        <v>-0.55000000000000004</v>
      </c>
    </row>
    <row r="77" spans="1:282" ht="14.1" customHeight="1" x14ac:dyDescent="0.2">
      <c r="A77" s="153"/>
      <c r="B77" s="237"/>
      <c r="C77" s="237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  <c r="BJ77" s="153"/>
      <c r="BK77" s="153"/>
      <c r="BL77" s="153"/>
      <c r="BM77" s="153"/>
      <c r="BN77" s="153"/>
      <c r="BO77" s="153"/>
      <c r="BP77" s="153"/>
      <c r="BQ77" s="153"/>
      <c r="BR77" s="153"/>
      <c r="BS77" s="153"/>
      <c r="BT77" s="153"/>
      <c r="BU77" s="153"/>
      <c r="BV77" s="291"/>
      <c r="BW77" s="291"/>
      <c r="BX77" s="291"/>
      <c r="BY77" s="291"/>
      <c r="BZ77" s="291"/>
      <c r="CA77" s="291"/>
      <c r="CB77" s="291"/>
      <c r="CC77" s="291"/>
      <c r="CD77" s="291"/>
      <c r="CE77" s="291"/>
      <c r="CF77" s="291"/>
      <c r="CG77" s="291"/>
      <c r="CH77" s="291"/>
      <c r="CI77" s="291"/>
      <c r="CJ77" s="291"/>
      <c r="CK77" s="291"/>
      <c r="CL77" s="291"/>
      <c r="CM77" s="291"/>
      <c r="CN77" s="291"/>
      <c r="CO77" s="291"/>
      <c r="CP77" s="291"/>
      <c r="CQ77" s="291"/>
      <c r="CR77" s="291"/>
      <c r="CS77" s="291"/>
      <c r="CT77" s="291"/>
      <c r="CU77" s="291"/>
      <c r="CV77" s="291"/>
      <c r="CW77" s="291"/>
      <c r="CX77" s="291"/>
      <c r="CY77" s="291"/>
      <c r="CZ77" s="291"/>
      <c r="DA77" s="291"/>
      <c r="DB77" s="291"/>
      <c r="DC77" s="291"/>
      <c r="DD77" s="291"/>
      <c r="DE77" s="291"/>
      <c r="DF77" s="291"/>
      <c r="DG77" s="291"/>
      <c r="DH77" s="291"/>
      <c r="DI77" s="291"/>
      <c r="DJ77" s="291"/>
      <c r="DK77" s="291"/>
      <c r="DL77" s="291"/>
      <c r="DM77" s="291"/>
      <c r="DN77" s="291"/>
      <c r="DO77" s="291"/>
      <c r="DP77" s="291"/>
      <c r="DQ77" s="242"/>
      <c r="DR77" s="242"/>
      <c r="DS77" s="242"/>
      <c r="DT77" s="242"/>
      <c r="DU77" s="242"/>
      <c r="DV77" s="242"/>
      <c r="DW77" s="242"/>
      <c r="DX77" s="242"/>
      <c r="DY77" s="242"/>
      <c r="DZ77" s="474"/>
      <c r="EA77" s="474"/>
      <c r="EB77" s="474"/>
      <c r="EC77" s="146" t="s">
        <v>258</v>
      </c>
      <c r="EF77" s="474" t="s">
        <v>1</v>
      </c>
      <c r="EG77" s="648">
        <f>(EG74*100)/(H12*100*FM70^2)</f>
        <v>19.765624999999996</v>
      </c>
      <c r="EH77" s="648"/>
      <c r="EI77" s="648"/>
      <c r="EJ77" s="473" t="s">
        <v>2</v>
      </c>
      <c r="EN77" s="31"/>
      <c r="EO77" s="31"/>
      <c r="EP77" s="31"/>
      <c r="EQ77" s="474"/>
      <c r="ER77" s="31"/>
      <c r="EY77" s="170" t="s">
        <v>19</v>
      </c>
      <c r="EZ77" s="26"/>
      <c r="FA77" s="26"/>
      <c r="FB77" s="26"/>
      <c r="FC77" s="26"/>
      <c r="FD77" s="26"/>
      <c r="FE77" s="474"/>
      <c r="FF77" s="474"/>
      <c r="FG77" s="555">
        <v>1.7</v>
      </c>
      <c r="FH77" s="555"/>
      <c r="FI77" s="571">
        <v>2</v>
      </c>
      <c r="FJ77" s="571"/>
      <c r="FK77" s="474"/>
      <c r="FL77" s="555">
        <v>3000</v>
      </c>
      <c r="FM77" s="555"/>
      <c r="FN77" s="475">
        <v>2.5</v>
      </c>
      <c r="FO77" s="471"/>
      <c r="FP77" s="137">
        <v>10</v>
      </c>
      <c r="FQ77" s="31"/>
      <c r="FR77" s="11">
        <v>0.125</v>
      </c>
      <c r="FS77" s="11"/>
      <c r="FT77" s="474"/>
      <c r="FU77" s="474">
        <v>100</v>
      </c>
      <c r="FV77" s="474"/>
      <c r="FW77" s="474"/>
      <c r="FX77" s="474"/>
      <c r="FY77" s="474"/>
      <c r="FZ77" s="474"/>
      <c r="GA77" s="474"/>
      <c r="GB77" s="474"/>
      <c r="GC77" s="474"/>
      <c r="GD77" s="474"/>
      <c r="GE77" s="474"/>
      <c r="GF77" s="474"/>
      <c r="GG77" s="474"/>
      <c r="GH77" s="474"/>
      <c r="GI77" s="474"/>
      <c r="GJ77" s="474"/>
      <c r="GK77" s="474"/>
      <c r="GL77" s="474"/>
      <c r="GM77" s="474"/>
      <c r="GN77" s="474"/>
      <c r="GO77" s="474"/>
      <c r="GP77" s="474"/>
      <c r="GQ77" s="474"/>
      <c r="GR77" s="474"/>
      <c r="GS77" s="474"/>
      <c r="GT77" s="474"/>
      <c r="GU77" s="474"/>
      <c r="GV77" s="474"/>
      <c r="GW77" s="474"/>
      <c r="GX77" s="474"/>
      <c r="GY77" s="474"/>
      <c r="GZ77" s="474"/>
      <c r="HA77" s="474"/>
      <c r="HB77" s="474"/>
      <c r="HC77" s="474"/>
      <c r="HD77" s="474"/>
      <c r="HE77" s="474"/>
      <c r="HF77" s="474"/>
      <c r="HG77" s="474"/>
      <c r="HH77" s="474"/>
      <c r="HI77" s="474"/>
      <c r="HJ77" s="474"/>
      <c r="HK77" s="474"/>
      <c r="HL77" s="474"/>
      <c r="HM77" s="474"/>
      <c r="HN77" s="474"/>
      <c r="HO77" s="474"/>
      <c r="HP77" s="474"/>
      <c r="HQ77" s="474"/>
      <c r="HR77" s="474"/>
      <c r="HS77" s="474"/>
      <c r="HT77" s="474"/>
      <c r="HU77" s="474"/>
      <c r="HV77" s="474"/>
      <c r="HW77" s="474"/>
      <c r="HX77" s="474"/>
      <c r="HY77" s="474"/>
      <c r="HZ77" s="474"/>
      <c r="IA77" s="474"/>
      <c r="IB77" s="474"/>
      <c r="IC77" s="474"/>
      <c r="ID77" s="474"/>
      <c r="IE77" s="474"/>
      <c r="IF77" s="474"/>
      <c r="IG77" s="474"/>
      <c r="IH77" s="474"/>
      <c r="II77" s="474"/>
      <c r="IJ77" s="474"/>
      <c r="IK77" s="474"/>
      <c r="IL77" s="474"/>
      <c r="IM77" s="474"/>
      <c r="IN77" s="474"/>
      <c r="IO77" s="474"/>
      <c r="IP77" s="474"/>
      <c r="JG77" s="146" t="s">
        <v>155</v>
      </c>
      <c r="JK77" s="146" t="s">
        <v>156</v>
      </c>
      <c r="JN77" s="146" t="s">
        <v>157</v>
      </c>
      <c r="JQ77" s="568" t="str">
        <f>CONCATENATE(ROUND(IF(W63="Con.-",JQ71/3,JQ71/4),2),IF(W63="Con.-"," (L/3)"," (L/4)"))</f>
        <v>0.3 (L/4)</v>
      </c>
      <c r="JR77" s="568"/>
      <c r="JS77" s="568"/>
      <c r="JT77" s="569" t="e">
        <f>CONCATENATE(ROUND(IF(#REF!="Con.-",JS71/3,JS71/4),2),IF(#REF!="Con.-"," (L/3)"," (L/4)"))</f>
        <v>#REF!</v>
      </c>
      <c r="JU77" s="569"/>
      <c r="JV77" s="569"/>
    </row>
    <row r="78" spans="1:282" ht="14.1" customHeight="1" x14ac:dyDescent="0.2">
      <c r="A78" s="153"/>
      <c r="B78" s="237"/>
      <c r="C78" s="237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  <c r="BJ78" s="153"/>
      <c r="BK78" s="153"/>
      <c r="BL78" s="153"/>
      <c r="BM78" s="153"/>
      <c r="BN78" s="153"/>
      <c r="BO78" s="153"/>
      <c r="BP78" s="153"/>
      <c r="BQ78" s="153"/>
      <c r="BR78" s="153"/>
      <c r="BS78" s="153"/>
      <c r="BT78" s="153"/>
      <c r="BU78" s="153"/>
      <c r="BV78" s="242"/>
      <c r="BW78" s="242"/>
      <c r="BX78" s="242"/>
      <c r="BY78" s="242"/>
      <c r="BZ78" s="242"/>
      <c r="CA78" s="242"/>
      <c r="CB78" s="242"/>
      <c r="CC78" s="242"/>
      <c r="CD78" s="242"/>
      <c r="CE78" s="242"/>
      <c r="CF78" s="242"/>
      <c r="CG78" s="242"/>
      <c r="CH78" s="242"/>
      <c r="CI78" s="242"/>
      <c r="CJ78" s="242"/>
      <c r="CK78" s="242"/>
      <c r="CL78" s="242"/>
      <c r="CM78" s="242"/>
      <c r="CN78" s="242"/>
      <c r="CO78" s="242"/>
      <c r="CP78" s="242"/>
      <c r="CQ78" s="242"/>
      <c r="CR78" s="242"/>
      <c r="CS78" s="242"/>
      <c r="CT78" s="242"/>
      <c r="CU78" s="242"/>
      <c r="CV78" s="242"/>
      <c r="CW78" s="242"/>
      <c r="CX78" s="242"/>
      <c r="CY78" s="242"/>
      <c r="CZ78" s="242"/>
      <c r="DA78" s="242"/>
      <c r="DB78" s="242"/>
      <c r="DC78" s="242"/>
      <c r="DD78" s="242"/>
      <c r="DE78" s="242"/>
      <c r="DF78" s="242"/>
      <c r="DG78" s="242"/>
      <c r="DH78" s="242"/>
      <c r="DI78" s="242"/>
      <c r="DJ78" s="242"/>
      <c r="DK78" s="242"/>
      <c r="DL78" s="242"/>
      <c r="DM78" s="242"/>
      <c r="DN78" s="242"/>
      <c r="DO78" s="242"/>
      <c r="DP78" s="242"/>
      <c r="DQ78" s="242"/>
      <c r="DR78" s="242"/>
      <c r="DS78" s="242"/>
      <c r="DT78" s="242"/>
      <c r="DU78" s="242"/>
      <c r="DV78" s="242"/>
      <c r="DW78" s="242"/>
      <c r="DX78" s="242"/>
      <c r="DY78" s="242"/>
      <c r="DZ78" s="474"/>
      <c r="EA78" s="474"/>
      <c r="EB78" s="474"/>
      <c r="EC78" s="17" t="s">
        <v>34</v>
      </c>
      <c r="ED78" s="17"/>
      <c r="EE78" s="17"/>
      <c r="EF78" s="474" t="s">
        <v>1</v>
      </c>
      <c r="EG78" s="582">
        <f>ROUND(0.85*(EG61/EG62)*(1-SQRT(1-((2*EG77)/(0.85*EG61)))),4)</f>
        <v>7.1999999999999998E-3</v>
      </c>
      <c r="EH78" s="582"/>
      <c r="EI78" s="582"/>
      <c r="EN78" s="160"/>
      <c r="EO78" s="160"/>
      <c r="EP78" s="160"/>
      <c r="EQ78" s="474"/>
      <c r="ER78" s="160"/>
      <c r="EY78" s="170" t="s">
        <v>20</v>
      </c>
      <c r="EZ78" s="26"/>
      <c r="FA78" s="26"/>
      <c r="FB78" s="26"/>
      <c r="FC78" s="26"/>
      <c r="FD78" s="26"/>
      <c r="FE78" s="474"/>
      <c r="FF78" s="474"/>
      <c r="FG78" s="474">
        <v>150</v>
      </c>
      <c r="FH78" s="31"/>
      <c r="FI78" s="31"/>
      <c r="FJ78" s="31"/>
      <c r="FK78" s="474"/>
      <c r="FL78" s="555">
        <v>4000</v>
      </c>
      <c r="FM78" s="555"/>
      <c r="FN78" s="475">
        <v>3</v>
      </c>
      <c r="FO78" s="471"/>
      <c r="FP78" s="137">
        <v>12.5</v>
      </c>
      <c r="FQ78" s="31"/>
      <c r="FR78" s="11">
        <v>0.15</v>
      </c>
      <c r="FS78" s="11"/>
      <c r="FT78" s="474"/>
      <c r="FU78" s="474">
        <v>150</v>
      </c>
      <c r="FV78" s="474"/>
      <c r="FW78" s="474"/>
      <c r="FX78" s="474"/>
      <c r="FY78" s="474"/>
      <c r="FZ78" s="474"/>
      <c r="GA78" s="474"/>
      <c r="GB78" s="474"/>
      <c r="GC78" s="474"/>
      <c r="GD78" s="474"/>
      <c r="GE78" s="474"/>
      <c r="GF78" s="474"/>
      <c r="GG78" s="474"/>
      <c r="GH78" s="474"/>
      <c r="GI78" s="474"/>
      <c r="GJ78" s="474"/>
      <c r="GK78" s="474"/>
      <c r="GL78" s="474"/>
      <c r="GM78" s="474"/>
      <c r="GN78" s="474"/>
      <c r="GO78" s="474"/>
      <c r="GP78" s="474"/>
      <c r="GQ78" s="474"/>
      <c r="GR78" s="474"/>
      <c r="GS78" s="474"/>
      <c r="GT78" s="474"/>
      <c r="GU78" s="474"/>
      <c r="GV78" s="474"/>
      <c r="GW78" s="474"/>
      <c r="GX78" s="474"/>
      <c r="GY78" s="474"/>
      <c r="GZ78" s="474"/>
      <c r="HA78" s="474"/>
      <c r="HB78" s="474"/>
      <c r="HC78" s="474"/>
      <c r="HD78" s="474"/>
      <c r="HE78" s="474"/>
      <c r="HF78" s="474"/>
      <c r="HG78" s="474"/>
      <c r="HH78" s="474"/>
      <c r="HI78" s="474"/>
      <c r="HJ78" s="474"/>
      <c r="HK78" s="474"/>
      <c r="HL78" s="474"/>
      <c r="HM78" s="474"/>
      <c r="HN78" s="474"/>
      <c r="HO78" s="474"/>
      <c r="HP78" s="474"/>
      <c r="HQ78" s="474"/>
      <c r="HR78" s="474"/>
      <c r="HS78" s="474"/>
      <c r="HT78" s="474"/>
      <c r="HU78" s="474"/>
      <c r="HV78" s="474"/>
      <c r="HW78" s="474"/>
      <c r="HX78" s="474"/>
      <c r="HY78" s="474"/>
      <c r="HZ78" s="474"/>
      <c r="IA78" s="474"/>
      <c r="IB78" s="474"/>
      <c r="IC78" s="474"/>
      <c r="ID78" s="474"/>
      <c r="IE78" s="474"/>
      <c r="IF78" s="474"/>
      <c r="IG78" s="474"/>
      <c r="IH78" s="474"/>
      <c r="II78" s="474"/>
      <c r="IJ78" s="474"/>
      <c r="IK78" s="474"/>
      <c r="IL78" s="474"/>
      <c r="IM78" s="474"/>
      <c r="IN78" s="474"/>
      <c r="IO78" s="474"/>
      <c r="IP78" s="474"/>
      <c r="JG78" s="146" t="s">
        <v>23</v>
      </c>
      <c r="JH78" s="146">
        <f>JH57</f>
        <v>1.5</v>
      </c>
      <c r="JI78" s="146">
        <f>JH78</f>
        <v>1.5</v>
      </c>
      <c r="JK78" s="146">
        <v>2.1</v>
      </c>
      <c r="JL78" s="146">
        <f>JK78</f>
        <v>2.1</v>
      </c>
      <c r="JN78" s="146">
        <f>JH78</f>
        <v>1.5</v>
      </c>
      <c r="JO78" s="146">
        <f>JK78</f>
        <v>2.1</v>
      </c>
      <c r="JQ78" s="184">
        <f>1.8</f>
        <v>1.8</v>
      </c>
    </row>
    <row r="79" spans="1:282" ht="14.1" customHeight="1" x14ac:dyDescent="0.2">
      <c r="A79" s="153"/>
      <c r="B79" s="237"/>
      <c r="C79" s="237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  <c r="BJ79" s="153"/>
      <c r="BK79" s="153"/>
      <c r="BL79" s="153"/>
      <c r="BM79" s="153"/>
      <c r="BN79" s="153"/>
      <c r="BO79" s="153"/>
      <c r="BP79" s="153"/>
      <c r="BQ79" s="153"/>
      <c r="BR79" s="153"/>
      <c r="BS79" s="153"/>
      <c r="BT79" s="153"/>
      <c r="BU79" s="153"/>
      <c r="BV79" s="242"/>
      <c r="BW79" s="242"/>
      <c r="BX79" s="258"/>
      <c r="BY79" s="214"/>
      <c r="BZ79" s="242"/>
      <c r="CA79" s="242"/>
      <c r="CB79" s="242"/>
      <c r="CC79" s="242"/>
      <c r="CD79" s="242"/>
      <c r="CE79" s="242"/>
      <c r="CF79" s="242"/>
      <c r="CG79" s="242"/>
      <c r="CH79" s="242"/>
      <c r="CI79" s="242"/>
      <c r="CJ79" s="242"/>
      <c r="CK79" s="242"/>
      <c r="CL79" s="242"/>
      <c r="CM79" s="242"/>
      <c r="CN79" s="242"/>
      <c r="CO79" s="242"/>
      <c r="CP79" s="242"/>
      <c r="CQ79" s="242"/>
      <c r="CR79" s="242"/>
      <c r="CS79" s="242"/>
      <c r="CT79" s="242"/>
      <c r="CU79" s="242"/>
      <c r="CV79" s="242"/>
      <c r="CW79" s="242"/>
      <c r="CX79" s="242"/>
      <c r="CY79" s="242"/>
      <c r="CZ79" s="242"/>
      <c r="DA79" s="242"/>
      <c r="DB79" s="242"/>
      <c r="DC79" s="242"/>
      <c r="DD79" s="242"/>
      <c r="DE79" s="242"/>
      <c r="DF79" s="242"/>
      <c r="DG79" s="242"/>
      <c r="DH79" s="242"/>
      <c r="DI79" s="242"/>
      <c r="DJ79" s="242"/>
      <c r="DK79" s="242"/>
      <c r="DL79" s="242"/>
      <c r="DM79" s="242"/>
      <c r="DN79" s="242"/>
      <c r="DO79" s="242"/>
      <c r="DP79" s="242"/>
      <c r="DQ79" s="242"/>
      <c r="DR79" s="242"/>
      <c r="DS79" s="242"/>
      <c r="DT79" s="242"/>
      <c r="DU79" s="242"/>
      <c r="DV79" s="242"/>
      <c r="DW79" s="242"/>
      <c r="DX79" s="242"/>
      <c r="DY79" s="242"/>
      <c r="DZ79" s="474"/>
      <c r="EA79" s="474"/>
      <c r="EB79" s="474"/>
      <c r="EC79" s="474" t="s">
        <v>115</v>
      </c>
      <c r="ED79" s="474"/>
      <c r="EE79" s="474"/>
      <c r="EF79" s="474" t="s">
        <v>1</v>
      </c>
      <c r="EG79" s="559">
        <f>EG78*100*EG76</f>
        <v>4.6079999999999997</v>
      </c>
      <c r="EH79" s="559"/>
      <c r="EI79" s="559"/>
      <c r="EJ79" s="473" t="s">
        <v>16</v>
      </c>
      <c r="EK79" s="474"/>
      <c r="EL79" s="474"/>
      <c r="EM79" s="474"/>
      <c r="EN79" s="11"/>
      <c r="EO79" s="11"/>
      <c r="EP79" s="11"/>
      <c r="EQ79" s="474"/>
      <c r="ER79" s="11"/>
      <c r="EY79" s="474" t="s">
        <v>89</v>
      </c>
      <c r="EZ79" s="474"/>
      <c r="FA79" s="474" t="s">
        <v>90</v>
      </c>
      <c r="FB79" s="474"/>
      <c r="FC79" s="474"/>
      <c r="FD79" s="474"/>
      <c r="FE79" s="474"/>
      <c r="FF79" s="474"/>
      <c r="FG79" s="9">
        <v>173</v>
      </c>
      <c r="FH79" s="9"/>
      <c r="FI79" s="474">
        <v>50</v>
      </c>
      <c r="FJ79" s="474"/>
      <c r="FK79" s="474"/>
      <c r="FL79" s="555">
        <v>5000</v>
      </c>
      <c r="FM79" s="555"/>
      <c r="FN79" s="475">
        <v>4</v>
      </c>
      <c r="FO79" s="471"/>
      <c r="FP79" s="137">
        <v>15</v>
      </c>
      <c r="FQ79" s="31"/>
      <c r="FR79" s="11">
        <v>0.17499999999999999</v>
      </c>
      <c r="FS79" s="11"/>
      <c r="FT79" s="474"/>
      <c r="FU79" s="474">
        <v>200</v>
      </c>
      <c r="FV79" s="474"/>
      <c r="FW79" s="474"/>
      <c r="FX79" s="474"/>
      <c r="FY79" s="474"/>
      <c r="FZ79" s="474"/>
      <c r="GA79" s="474"/>
      <c r="GB79" s="474"/>
      <c r="GC79" s="474"/>
      <c r="GD79" s="474"/>
      <c r="GE79" s="474"/>
      <c r="GF79" s="474"/>
      <c r="GG79" s="474"/>
      <c r="GH79" s="474"/>
      <c r="GI79" s="474"/>
      <c r="GJ79" s="474"/>
      <c r="GK79" s="474"/>
      <c r="GL79" s="474"/>
      <c r="GM79" s="474"/>
      <c r="GN79" s="474"/>
      <c r="GO79" s="474"/>
      <c r="GP79" s="474"/>
      <c r="GQ79" s="474"/>
      <c r="GR79" s="474"/>
      <c r="GS79" s="474"/>
      <c r="GT79" s="474"/>
      <c r="GU79" s="474"/>
      <c r="GV79" s="474"/>
      <c r="GW79" s="474"/>
      <c r="GX79" s="474"/>
      <c r="GY79" s="474"/>
      <c r="GZ79" s="474"/>
      <c r="HA79" s="474"/>
      <c r="HB79" s="474"/>
      <c r="HC79" s="474"/>
      <c r="HD79" s="474"/>
      <c r="HE79" s="474"/>
      <c r="HF79" s="474"/>
      <c r="HG79" s="474"/>
      <c r="HH79" s="474"/>
      <c r="HI79" s="474"/>
      <c r="HJ79" s="474"/>
      <c r="HK79" s="474"/>
      <c r="HL79" s="474"/>
      <c r="HM79" s="474"/>
      <c r="HN79" s="474"/>
      <c r="HO79" s="474"/>
      <c r="HP79" s="474"/>
      <c r="HQ79" s="474"/>
      <c r="HR79" s="474"/>
      <c r="HS79" s="474"/>
      <c r="HT79" s="474"/>
      <c r="HU79" s="474"/>
      <c r="HV79" s="474"/>
      <c r="HW79" s="474"/>
      <c r="HX79" s="474"/>
      <c r="HY79" s="474"/>
      <c r="HZ79" s="474"/>
      <c r="IA79" s="474"/>
      <c r="IB79" s="474"/>
      <c r="IC79" s="474"/>
      <c r="ID79" s="474"/>
      <c r="IE79" s="474"/>
      <c r="IF79" s="474"/>
      <c r="IG79" s="474"/>
      <c r="IH79" s="474"/>
      <c r="II79" s="474"/>
      <c r="IJ79" s="474"/>
      <c r="IK79" s="474"/>
      <c r="IL79" s="474"/>
      <c r="IM79" s="474"/>
      <c r="IN79" s="474"/>
      <c r="IO79" s="474"/>
      <c r="IP79" s="474"/>
      <c r="JG79" s="146" t="s">
        <v>24</v>
      </c>
      <c r="JH79" s="146">
        <f>JH76</f>
        <v>-0.51</v>
      </c>
      <c r="JI79" s="146">
        <f>JI76</f>
        <v>-0.59</v>
      </c>
      <c r="JK79" s="146">
        <f>JH79</f>
        <v>-0.51</v>
      </c>
      <c r="JL79" s="146">
        <f>JI79</f>
        <v>-0.59</v>
      </c>
      <c r="JN79" s="146">
        <f>JI79+0.05</f>
        <v>-0.53999999999999992</v>
      </c>
      <c r="JO79" s="146">
        <f>JN79</f>
        <v>-0.53999999999999992</v>
      </c>
      <c r="JQ79" s="184">
        <f>JN79+0.05</f>
        <v>-0.48999999999999994</v>
      </c>
    </row>
    <row r="80" spans="1:282" ht="14.1" customHeight="1" x14ac:dyDescent="0.2">
      <c r="A80" s="153"/>
      <c r="B80" s="237"/>
      <c r="C80" s="237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  <c r="BJ80" s="153"/>
      <c r="BK80" s="153"/>
      <c r="BL80" s="153"/>
      <c r="BM80" s="153"/>
      <c r="BN80" s="153"/>
      <c r="BO80" s="153"/>
      <c r="BP80" s="153"/>
      <c r="BQ80" s="153"/>
      <c r="BR80" s="153"/>
      <c r="BS80" s="153"/>
      <c r="BT80" s="153"/>
      <c r="BU80" s="153"/>
      <c r="BV80" s="242"/>
      <c r="BW80" s="242"/>
      <c r="BX80" s="258"/>
      <c r="BY80" s="214"/>
      <c r="BZ80" s="242"/>
      <c r="CA80" s="242"/>
      <c r="CB80" s="242"/>
      <c r="CC80" s="242"/>
      <c r="CD80" s="242"/>
      <c r="CE80" s="242"/>
      <c r="CF80" s="242"/>
      <c r="CG80" s="242"/>
      <c r="CH80" s="242"/>
      <c r="CI80" s="242"/>
      <c r="CJ80" s="242"/>
      <c r="CK80" s="242"/>
      <c r="CL80" s="242"/>
      <c r="CM80" s="242"/>
      <c r="CN80" s="242"/>
      <c r="CO80" s="242"/>
      <c r="CP80" s="242"/>
      <c r="CQ80" s="242"/>
      <c r="CR80" s="242"/>
      <c r="CS80" s="242"/>
      <c r="CT80" s="242"/>
      <c r="CU80" s="242"/>
      <c r="CV80" s="242"/>
      <c r="CW80" s="242"/>
      <c r="CX80" s="242"/>
      <c r="CY80" s="242"/>
      <c r="CZ80" s="242"/>
      <c r="DA80" s="242"/>
      <c r="DB80" s="242"/>
      <c r="DC80" s="242"/>
      <c r="DD80" s="242"/>
      <c r="DE80" s="242"/>
      <c r="DF80" s="242"/>
      <c r="DG80" s="242"/>
      <c r="DH80" s="242"/>
      <c r="DI80" s="242"/>
      <c r="DJ80" s="242"/>
      <c r="DK80" s="242"/>
      <c r="DL80" s="242"/>
      <c r="DM80" s="242"/>
      <c r="DN80" s="242"/>
      <c r="DO80" s="242"/>
      <c r="DP80" s="242"/>
      <c r="DQ80" s="242"/>
      <c r="DR80" s="242"/>
      <c r="DS80" s="242"/>
      <c r="DT80" s="242"/>
      <c r="DU80" s="242"/>
      <c r="DV80" s="242"/>
      <c r="DW80" s="242"/>
      <c r="DX80" s="242"/>
      <c r="DY80" s="242"/>
      <c r="DZ80" s="474"/>
      <c r="EA80" s="474"/>
      <c r="EB80" s="474"/>
      <c r="EC80" s="474" t="s">
        <v>259</v>
      </c>
      <c r="ED80" s="490"/>
      <c r="EE80" s="490"/>
      <c r="EF80" s="474" t="s">
        <v>1</v>
      </c>
      <c r="EG80" s="554">
        <f>FB74*100*W17</f>
        <v>2</v>
      </c>
      <c r="EH80" s="554"/>
      <c r="EI80" s="554"/>
      <c r="EJ80" s="473" t="s">
        <v>16</v>
      </c>
      <c r="EK80" s="474"/>
      <c r="EL80" s="474"/>
      <c r="EM80" s="205"/>
      <c r="EN80" s="496"/>
      <c r="EO80" s="496"/>
      <c r="EP80" s="496"/>
      <c r="EQ80" s="474"/>
      <c r="ER80" s="496"/>
      <c r="EY80" s="26"/>
      <c r="EZ80" s="474"/>
      <c r="FA80" s="26"/>
      <c r="FB80" s="185"/>
      <c r="FC80" s="186"/>
      <c r="FD80" s="474"/>
      <c r="FE80" s="186"/>
      <c r="FF80" s="139"/>
      <c r="FG80" s="9">
        <v>180</v>
      </c>
      <c r="FH80" s="9"/>
      <c r="FI80" s="474">
        <v>100</v>
      </c>
      <c r="FJ80" s="26"/>
      <c r="FK80" s="181"/>
      <c r="FL80" s="181"/>
      <c r="FM80" s="474"/>
      <c r="FN80" s="475">
        <v>5</v>
      </c>
      <c r="FO80" s="471"/>
      <c r="FP80" s="137">
        <v>17.5</v>
      </c>
      <c r="FQ80" s="31"/>
      <c r="FR80" s="11">
        <v>0.2</v>
      </c>
      <c r="FS80" s="11"/>
      <c r="FT80" s="474"/>
      <c r="FU80" s="474">
        <v>250</v>
      </c>
      <c r="FV80" s="474"/>
      <c r="FW80" s="474"/>
      <c r="FX80" s="474"/>
      <c r="FY80" s="474"/>
      <c r="FZ80" s="474"/>
      <c r="GA80" s="474"/>
      <c r="GB80" s="474"/>
      <c r="GC80" s="474"/>
      <c r="GD80" s="474"/>
      <c r="GE80" s="474"/>
      <c r="GF80" s="474"/>
      <c r="GG80" s="474"/>
      <c r="GH80" s="474"/>
      <c r="GI80" s="474"/>
      <c r="GJ80" s="474"/>
      <c r="GK80" s="474"/>
      <c r="GL80" s="474"/>
      <c r="GM80" s="474"/>
      <c r="GN80" s="474"/>
      <c r="GO80" s="474"/>
      <c r="GP80" s="474"/>
      <c r="GQ80" s="474"/>
      <c r="GR80" s="474"/>
      <c r="GS80" s="474"/>
      <c r="GT80" s="474"/>
      <c r="GU80" s="474"/>
      <c r="GV80" s="474"/>
      <c r="GW80" s="474"/>
      <c r="GX80" s="474"/>
      <c r="GY80" s="474"/>
      <c r="GZ80" s="474"/>
      <c r="HA80" s="474"/>
      <c r="HB80" s="474"/>
      <c r="HC80" s="474"/>
      <c r="HD80" s="474"/>
      <c r="HE80" s="474"/>
      <c r="HF80" s="474"/>
      <c r="HG80" s="474"/>
      <c r="HH80" s="474"/>
      <c r="HI80" s="474"/>
      <c r="HJ80" s="474"/>
      <c r="HK80" s="474"/>
      <c r="HL80" s="474"/>
      <c r="HM80" s="474"/>
      <c r="HN80" s="474"/>
      <c r="HO80" s="474"/>
      <c r="HP80" s="474"/>
      <c r="HQ80" s="474"/>
      <c r="HR80" s="474"/>
      <c r="HS80" s="474"/>
      <c r="HT80" s="474"/>
      <c r="HU80" s="474"/>
      <c r="HV80" s="474"/>
      <c r="HW80" s="474"/>
      <c r="HX80" s="474"/>
      <c r="HY80" s="474"/>
      <c r="HZ80" s="474"/>
      <c r="IA80" s="474"/>
      <c r="IB80" s="474"/>
      <c r="IC80" s="474"/>
      <c r="ID80" s="474"/>
      <c r="IE80" s="474"/>
      <c r="IF80" s="474"/>
      <c r="IG80" s="474"/>
      <c r="IH80" s="474"/>
      <c r="II80" s="474"/>
      <c r="IJ80" s="474"/>
      <c r="IK80" s="474"/>
      <c r="IL80" s="474"/>
      <c r="IM80" s="474"/>
      <c r="IN80" s="474"/>
      <c r="IO80" s="474"/>
      <c r="IP80" s="474"/>
      <c r="JG80" s="146" t="s">
        <v>158</v>
      </c>
    </row>
    <row r="81" spans="1:278" ht="14.1" customHeight="1" x14ac:dyDescent="0.2">
      <c r="A81" s="153"/>
      <c r="B81" s="237"/>
      <c r="C81" s="237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  <c r="BJ81" s="153"/>
      <c r="BK81" s="153"/>
      <c r="BL81" s="153"/>
      <c r="BM81" s="153"/>
      <c r="BN81" s="153"/>
      <c r="BO81" s="153"/>
      <c r="BP81" s="153"/>
      <c r="BQ81" s="153"/>
      <c r="BR81" s="153"/>
      <c r="BS81" s="153"/>
      <c r="BT81" s="153"/>
      <c r="BU81" s="153"/>
      <c r="BV81" s="242"/>
      <c r="BW81" s="242"/>
      <c r="BX81" s="242"/>
      <c r="BY81" s="242"/>
      <c r="BZ81" s="242"/>
      <c r="CA81" s="242"/>
      <c r="CB81" s="242"/>
      <c r="CC81" s="242"/>
      <c r="CD81" s="242"/>
      <c r="CE81" s="242"/>
      <c r="CF81" s="242"/>
      <c r="CG81" s="242"/>
      <c r="CH81" s="242"/>
      <c r="CI81" s="242"/>
      <c r="CJ81" s="242"/>
      <c r="CK81" s="242"/>
      <c r="CL81" s="242"/>
      <c r="CM81" s="242"/>
      <c r="CN81" s="242"/>
      <c r="CO81" s="242"/>
      <c r="CP81" s="242"/>
      <c r="CQ81" s="242"/>
      <c r="CR81" s="242"/>
      <c r="CS81" s="242"/>
      <c r="CT81" s="242"/>
      <c r="CU81" s="242"/>
      <c r="CV81" s="242"/>
      <c r="CW81" s="242"/>
      <c r="CX81" s="242"/>
      <c r="CY81" s="242"/>
      <c r="CZ81" s="242"/>
      <c r="DA81" s="242"/>
      <c r="DB81" s="242"/>
      <c r="DC81" s="242"/>
      <c r="DD81" s="242"/>
      <c r="DE81" s="242"/>
      <c r="DF81" s="242"/>
      <c r="DG81" s="242"/>
      <c r="DH81" s="242"/>
      <c r="DI81" s="242"/>
      <c r="DJ81" s="242"/>
      <c r="DK81" s="242"/>
      <c r="DL81" s="242"/>
      <c r="DM81" s="242"/>
      <c r="DN81" s="242"/>
      <c r="DO81" s="242"/>
      <c r="DP81" s="242"/>
      <c r="DQ81" s="242"/>
      <c r="DR81" s="242"/>
      <c r="DS81" s="242"/>
      <c r="DT81" s="242"/>
      <c r="DU81" s="242"/>
      <c r="DV81" s="242"/>
      <c r="DW81" s="242"/>
      <c r="DX81" s="242"/>
      <c r="DY81" s="242"/>
      <c r="DZ81" s="474"/>
      <c r="EA81" s="474"/>
      <c r="EB81" s="474"/>
      <c r="EC81" s="474" t="s">
        <v>93</v>
      </c>
      <c r="ED81" s="474"/>
      <c r="EE81" s="474"/>
      <c r="EF81" s="474" t="s">
        <v>1</v>
      </c>
      <c r="EG81" s="561">
        <f>W18</f>
        <v>12</v>
      </c>
      <c r="EH81" s="561"/>
      <c r="EI81" s="561"/>
      <c r="EJ81" s="31" t="s">
        <v>91</v>
      </c>
      <c r="EK81" s="474"/>
      <c r="EL81" s="207"/>
      <c r="EM81" s="210"/>
      <c r="EN81" s="207"/>
      <c r="EO81" s="207"/>
      <c r="EP81" s="207"/>
      <c r="EQ81" s="474"/>
      <c r="ER81" s="207"/>
      <c r="EY81" s="26"/>
      <c r="EZ81" s="474"/>
      <c r="FA81" s="26"/>
      <c r="FB81" s="185"/>
      <c r="FC81" s="186"/>
      <c r="FD81" s="474"/>
      <c r="FE81" s="186"/>
      <c r="FF81" s="474"/>
      <c r="FG81" s="10">
        <v>210</v>
      </c>
      <c r="FH81" s="10"/>
      <c r="FI81" s="474">
        <v>150</v>
      </c>
      <c r="FJ81" s="26"/>
      <c r="FK81" s="181"/>
      <c r="FL81" s="181"/>
      <c r="FM81" s="474"/>
      <c r="FN81" s="475">
        <v>7.5</v>
      </c>
      <c r="FO81" s="471"/>
      <c r="FP81" s="137">
        <v>20</v>
      </c>
      <c r="FQ81" s="31"/>
      <c r="FR81" s="11">
        <v>0.22500000000000001</v>
      </c>
      <c r="FS81" s="11"/>
      <c r="FT81" s="474"/>
      <c r="FU81" s="474">
        <v>300</v>
      </c>
      <c r="FV81" s="474"/>
      <c r="FW81" s="474"/>
      <c r="FX81" s="474"/>
      <c r="FY81" s="474"/>
      <c r="FZ81" s="474"/>
      <c r="GA81" s="474"/>
      <c r="GB81" s="474"/>
      <c r="GC81" s="474"/>
      <c r="GD81" s="474"/>
      <c r="GE81" s="474"/>
      <c r="GF81" s="474"/>
      <c r="GG81" s="474"/>
      <c r="GH81" s="474"/>
      <c r="GI81" s="474"/>
      <c r="GJ81" s="474"/>
      <c r="GK81" s="474"/>
      <c r="GL81" s="474"/>
      <c r="GM81" s="474"/>
      <c r="GN81" s="474"/>
      <c r="GO81" s="474"/>
      <c r="GP81" s="474"/>
      <c r="GQ81" s="474"/>
      <c r="GR81" s="474"/>
      <c r="GS81" s="474"/>
      <c r="GT81" s="474"/>
      <c r="GU81" s="474"/>
      <c r="GV81" s="474"/>
      <c r="GW81" s="474"/>
      <c r="GX81" s="474"/>
      <c r="GY81" s="474"/>
      <c r="GZ81" s="474"/>
      <c r="HA81" s="474"/>
      <c r="HB81" s="474"/>
      <c r="HC81" s="474"/>
      <c r="HD81" s="474"/>
      <c r="HE81" s="474"/>
      <c r="HF81" s="474"/>
      <c r="HG81" s="474"/>
      <c r="HH81" s="474"/>
      <c r="HI81" s="474"/>
      <c r="HJ81" s="474"/>
      <c r="HK81" s="474"/>
      <c r="HL81" s="474"/>
      <c r="HM81" s="474"/>
      <c r="HN81" s="474"/>
      <c r="HO81" s="474"/>
      <c r="HP81" s="474"/>
      <c r="HQ81" s="474"/>
      <c r="HR81" s="474"/>
      <c r="HS81" s="474"/>
      <c r="HT81" s="474"/>
      <c r="HU81" s="474"/>
      <c r="HV81" s="474"/>
      <c r="HW81" s="474"/>
      <c r="HX81" s="474"/>
      <c r="HY81" s="474"/>
      <c r="HZ81" s="474"/>
      <c r="IA81" s="474"/>
      <c r="IB81" s="474"/>
      <c r="IC81" s="474"/>
      <c r="ID81" s="474"/>
      <c r="IE81" s="474"/>
      <c r="IF81" s="474"/>
      <c r="IG81" s="474"/>
      <c r="IH81" s="474"/>
      <c r="II81" s="474"/>
      <c r="IJ81" s="474"/>
      <c r="IK81" s="474"/>
      <c r="IL81" s="474"/>
      <c r="IM81" s="474"/>
      <c r="IN81" s="474"/>
      <c r="IO81" s="474"/>
      <c r="IP81" s="474"/>
      <c r="JG81" s="146" t="s">
        <v>23</v>
      </c>
      <c r="JH81" s="146">
        <f>JJ63</f>
        <v>0.35500000000000004</v>
      </c>
      <c r="JI81" s="146">
        <f>JH81</f>
        <v>0.35500000000000004</v>
      </c>
      <c r="JK81" s="146">
        <f>JH81</f>
        <v>0.35500000000000004</v>
      </c>
      <c r="JL81" s="146">
        <f>JK81+0.1</f>
        <v>0.45500000000000007</v>
      </c>
      <c r="JN81" s="184">
        <f>JL81</f>
        <v>0.45500000000000007</v>
      </c>
      <c r="JQ81" s="184">
        <f>JS63</f>
        <v>0.4</v>
      </c>
      <c r="JR81" s="184">
        <f>JQ81</f>
        <v>0.4</v>
      </c>
    </row>
    <row r="82" spans="1:278" ht="14.1" customHeight="1" x14ac:dyDescent="0.2">
      <c r="A82" s="153"/>
      <c r="B82" s="237"/>
      <c r="C82" s="237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  <c r="BJ82" s="153"/>
      <c r="BK82" s="153"/>
      <c r="BL82" s="153"/>
      <c r="BM82" s="153"/>
      <c r="BN82" s="153"/>
      <c r="BO82" s="153"/>
      <c r="BP82" s="153"/>
      <c r="BQ82" s="153"/>
      <c r="BR82" s="153"/>
      <c r="BS82" s="153"/>
      <c r="BT82" s="153"/>
      <c r="BU82" s="153"/>
      <c r="BV82" s="267"/>
      <c r="BW82" s="293"/>
      <c r="BX82" s="242"/>
      <c r="BY82" s="263"/>
      <c r="BZ82" s="242"/>
      <c r="CA82" s="242"/>
      <c r="CB82" s="242"/>
      <c r="CC82" s="242"/>
      <c r="CD82" s="242"/>
      <c r="CE82" s="242"/>
      <c r="CF82" s="242"/>
      <c r="CG82" s="242"/>
      <c r="CH82" s="242"/>
      <c r="CI82" s="242"/>
      <c r="CJ82" s="242"/>
      <c r="CK82" s="242"/>
      <c r="CL82" s="242"/>
      <c r="CM82" s="242"/>
      <c r="CN82" s="242"/>
      <c r="CO82" s="242"/>
      <c r="CP82" s="242"/>
      <c r="CQ82" s="242"/>
      <c r="CR82" s="242"/>
      <c r="CS82" s="242"/>
      <c r="CT82" s="242"/>
      <c r="CU82" s="242"/>
      <c r="CV82" s="242"/>
      <c r="CW82" s="242"/>
      <c r="CX82" s="242"/>
      <c r="CY82" s="242"/>
      <c r="CZ82" s="242"/>
      <c r="DA82" s="242"/>
      <c r="DB82" s="242"/>
      <c r="DC82" s="242"/>
      <c r="DD82" s="242"/>
      <c r="DE82" s="242"/>
      <c r="DF82" s="242"/>
      <c r="DG82" s="242"/>
      <c r="DH82" s="242"/>
      <c r="DI82" s="242"/>
      <c r="DJ82" s="242"/>
      <c r="DK82" s="242"/>
      <c r="DL82" s="242"/>
      <c r="DM82" s="242"/>
      <c r="DN82" s="242"/>
      <c r="DO82" s="242"/>
      <c r="DP82" s="242"/>
      <c r="DQ82" s="242"/>
      <c r="DR82" s="242"/>
      <c r="DS82" s="242"/>
      <c r="DT82" s="242"/>
      <c r="DU82" s="242"/>
      <c r="DV82" s="242"/>
      <c r="DW82" s="242"/>
      <c r="DX82" s="242"/>
      <c r="DY82" s="242"/>
      <c r="DZ82" s="474"/>
      <c r="EA82" s="474"/>
      <c r="EB82" s="474"/>
      <c r="EC82" s="31" t="s">
        <v>94</v>
      </c>
      <c r="ED82" s="474"/>
      <c r="EE82" s="474"/>
      <c r="EF82" s="474" t="s">
        <v>1</v>
      </c>
      <c r="EG82" s="555">
        <f>ROUNDDOWN((ROUND(PI()*EG81^2/400,2))/MAX(EG79:EI80),2)</f>
        <v>0.24</v>
      </c>
      <c r="EH82" s="555"/>
      <c r="EI82" s="555"/>
      <c r="EJ82" s="25" t="s">
        <v>12</v>
      </c>
      <c r="EK82" s="25"/>
      <c r="EL82" s="25"/>
      <c r="EM82" s="25"/>
      <c r="EN82" s="25"/>
      <c r="EO82" s="25"/>
      <c r="EP82" s="25"/>
      <c r="EQ82" s="25"/>
      <c r="ER82" s="25"/>
      <c r="ES82" s="25"/>
      <c r="ET82" s="25"/>
      <c r="EU82" s="25"/>
      <c r="EV82" s="25"/>
      <c r="EY82" s="26"/>
      <c r="EZ82" s="474"/>
      <c r="FA82" s="26"/>
      <c r="FB82" s="185"/>
      <c r="FC82" s="186"/>
      <c r="FD82" s="474"/>
      <c r="FE82" s="186"/>
      <c r="FF82" s="474"/>
      <c r="FG82" s="10">
        <v>240</v>
      </c>
      <c r="FH82" s="10"/>
      <c r="FI82" s="474"/>
      <c r="FJ82" s="26"/>
      <c r="FK82" s="181"/>
      <c r="FL82" s="181"/>
      <c r="FM82" s="474"/>
      <c r="FN82" s="474"/>
      <c r="FO82" s="474"/>
      <c r="FP82" s="137">
        <v>22.5</v>
      </c>
      <c r="FQ82" s="31"/>
      <c r="FR82" s="11">
        <v>0.25</v>
      </c>
      <c r="FS82" s="11"/>
      <c r="FT82" s="474"/>
      <c r="FU82" s="474">
        <v>400</v>
      </c>
      <c r="FV82" s="474"/>
      <c r="FW82" s="474"/>
      <c r="FX82" s="474"/>
      <c r="FY82" s="474"/>
      <c r="FZ82" s="474"/>
      <c r="GA82" s="474"/>
      <c r="GB82" s="474"/>
      <c r="GC82" s="474"/>
      <c r="GD82" s="474"/>
      <c r="GE82" s="474"/>
      <c r="GF82" s="474"/>
      <c r="GG82" s="474"/>
      <c r="GH82" s="474"/>
      <c r="GI82" s="474"/>
      <c r="GJ82" s="474"/>
      <c r="GK82" s="474"/>
      <c r="GL82" s="474"/>
      <c r="GM82" s="474"/>
      <c r="GN82" s="474"/>
      <c r="GO82" s="474"/>
      <c r="GP82" s="474"/>
      <c r="GQ82" s="474"/>
      <c r="GR82" s="474"/>
      <c r="GS82" s="474"/>
      <c r="GT82" s="474"/>
      <c r="GU82" s="474"/>
      <c r="GV82" s="474"/>
      <c r="GW82" s="474"/>
      <c r="GX82" s="474"/>
      <c r="GY82" s="474"/>
      <c r="GZ82" s="474"/>
      <c r="HA82" s="474"/>
      <c r="HB82" s="474"/>
      <c r="HC82" s="474"/>
      <c r="HD82" s="474"/>
      <c r="HE82" s="474"/>
      <c r="HF82" s="474"/>
      <c r="HG82" s="474"/>
      <c r="HH82" s="474"/>
      <c r="HI82" s="474"/>
      <c r="HJ82" s="474"/>
      <c r="HK82" s="474"/>
      <c r="HL82" s="474"/>
      <c r="HM82" s="474"/>
      <c r="HN82" s="474"/>
      <c r="HO82" s="474"/>
      <c r="HP82" s="474"/>
      <c r="HQ82" s="474"/>
      <c r="HR82" s="474"/>
      <c r="HS82" s="474"/>
      <c r="HT82" s="474"/>
      <c r="HU82" s="474"/>
      <c r="HV82" s="474"/>
      <c r="HW82" s="474"/>
      <c r="HX82" s="474"/>
      <c r="HY82" s="474"/>
      <c r="HZ82" s="474"/>
      <c r="IA82" s="474"/>
      <c r="IB82" s="474"/>
      <c r="IC82" s="474"/>
      <c r="ID82" s="474"/>
      <c r="IE82" s="474"/>
      <c r="IF82" s="474"/>
      <c r="IG82" s="474"/>
      <c r="IH82" s="474"/>
      <c r="II82" s="474"/>
      <c r="IJ82" s="474"/>
      <c r="IK82" s="474"/>
      <c r="IL82" s="474"/>
      <c r="IM82" s="474"/>
      <c r="IN82" s="474"/>
      <c r="IO82" s="474"/>
      <c r="IP82" s="474"/>
      <c r="JG82" s="146" t="s">
        <v>24</v>
      </c>
      <c r="JH82" s="146">
        <f>JJ64</f>
        <v>-4.4999999999999998E-2</v>
      </c>
      <c r="JI82" s="146">
        <f>JH82+0.15</f>
        <v>0.105</v>
      </c>
      <c r="JK82" s="146">
        <f>JI82</f>
        <v>0.105</v>
      </c>
      <c r="JL82" s="146">
        <f>JK82</f>
        <v>0.105</v>
      </c>
      <c r="JN82" s="184">
        <f>JL82</f>
        <v>0.105</v>
      </c>
      <c r="JQ82" s="184">
        <f>JS64</f>
        <v>-0.03</v>
      </c>
      <c r="JR82" s="184">
        <f>JQ82+0.135</f>
        <v>0.10500000000000001</v>
      </c>
    </row>
    <row r="83" spans="1:278" ht="14.1" customHeight="1" x14ac:dyDescent="0.2">
      <c r="A83" s="153"/>
      <c r="B83" s="237"/>
      <c r="C83" s="237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  <c r="BJ83" s="153"/>
      <c r="BK83" s="153"/>
      <c r="BL83" s="153"/>
      <c r="BM83" s="153"/>
      <c r="BN83" s="153"/>
      <c r="BO83" s="153"/>
      <c r="BP83" s="153"/>
      <c r="BQ83" s="153"/>
      <c r="BR83" s="153"/>
      <c r="BS83" s="153"/>
      <c r="BT83" s="153"/>
      <c r="BU83" s="153"/>
      <c r="BV83" s="267"/>
      <c r="BW83" s="293"/>
      <c r="BX83" s="242"/>
      <c r="BY83" s="263"/>
      <c r="BZ83" s="242"/>
      <c r="CA83" s="242"/>
      <c r="CB83" s="242"/>
      <c r="CC83" s="242"/>
      <c r="CD83" s="242"/>
      <c r="CE83" s="242"/>
      <c r="CF83" s="242"/>
      <c r="CG83" s="242"/>
      <c r="CH83" s="242"/>
      <c r="CI83" s="242"/>
      <c r="CJ83" s="242"/>
      <c r="CK83" s="242"/>
      <c r="CL83" s="242"/>
      <c r="CM83" s="242"/>
      <c r="CN83" s="242"/>
      <c r="CO83" s="242"/>
      <c r="CP83" s="242"/>
      <c r="CQ83" s="242"/>
      <c r="CR83" s="242"/>
      <c r="CS83" s="242"/>
      <c r="CT83" s="242"/>
      <c r="CU83" s="242"/>
      <c r="CV83" s="242"/>
      <c r="CW83" s="242"/>
      <c r="CX83" s="242"/>
      <c r="CY83" s="242"/>
      <c r="CZ83" s="242"/>
      <c r="DA83" s="242"/>
      <c r="DB83" s="242"/>
      <c r="DC83" s="242"/>
      <c r="DD83" s="242"/>
      <c r="DE83" s="242"/>
      <c r="DF83" s="242"/>
      <c r="DG83" s="242"/>
      <c r="DH83" s="242"/>
      <c r="DI83" s="242"/>
      <c r="DJ83" s="242"/>
      <c r="DK83" s="242"/>
      <c r="DL83" s="242"/>
      <c r="DM83" s="242"/>
      <c r="DN83" s="242"/>
      <c r="DO83" s="242"/>
      <c r="DP83" s="242"/>
      <c r="DQ83" s="242"/>
      <c r="DR83" s="242"/>
      <c r="DS83" s="242"/>
      <c r="DT83" s="242"/>
      <c r="DU83" s="242"/>
      <c r="DV83" s="242"/>
      <c r="DW83" s="242"/>
      <c r="DX83" s="242"/>
      <c r="DY83" s="242"/>
      <c r="DZ83" s="474"/>
      <c r="EA83" s="474"/>
      <c r="EB83" s="474"/>
      <c r="EC83" s="474" t="s">
        <v>95</v>
      </c>
      <c r="ED83" s="474"/>
      <c r="EE83" s="474"/>
      <c r="EF83" s="474" t="s">
        <v>1</v>
      </c>
      <c r="EG83" s="559">
        <f>3*EG67/100</f>
        <v>0.3</v>
      </c>
      <c r="EH83" s="559"/>
      <c r="EI83" s="559"/>
      <c r="EJ83" s="20" t="s">
        <v>12</v>
      </c>
      <c r="EK83" s="31"/>
      <c r="EL83" s="31"/>
      <c r="EM83" s="31"/>
      <c r="EN83" s="31"/>
      <c r="EO83" s="31"/>
      <c r="EP83" s="31"/>
      <c r="EQ83" s="31"/>
      <c r="ER83" s="31"/>
      <c r="ES83" s="20"/>
      <c r="ET83" s="20"/>
      <c r="EU83" s="20"/>
      <c r="EV83" s="20"/>
      <c r="EY83" s="26"/>
      <c r="EZ83" s="474"/>
      <c r="FA83" s="26"/>
      <c r="FB83" s="185"/>
      <c r="FC83" s="186"/>
      <c r="FD83" s="474"/>
      <c r="FE83" s="186"/>
      <c r="FF83" s="474"/>
      <c r="FG83" s="7">
        <v>280</v>
      </c>
      <c r="FH83" s="7"/>
      <c r="FI83" s="474"/>
      <c r="FJ83" s="26"/>
      <c r="FK83" s="181"/>
      <c r="FL83" s="181"/>
      <c r="FM83" s="474"/>
      <c r="FN83" s="474"/>
      <c r="FO83" s="474"/>
      <c r="FP83" s="137">
        <v>25</v>
      </c>
      <c r="FQ83" s="31"/>
      <c r="FR83" s="11">
        <v>0.27500000000000002</v>
      </c>
      <c r="FS83" s="11"/>
      <c r="FT83" s="474"/>
      <c r="FU83" s="474">
        <v>500</v>
      </c>
      <c r="FV83" s="474"/>
      <c r="FW83" s="474"/>
      <c r="FX83" s="474"/>
      <c r="FY83" s="474"/>
      <c r="FZ83" s="474"/>
      <c r="GA83" s="474"/>
      <c r="GB83" s="474"/>
      <c r="GC83" s="474"/>
      <c r="GD83" s="474"/>
      <c r="GE83" s="474"/>
      <c r="GF83" s="474"/>
      <c r="GG83" s="474"/>
      <c r="GH83" s="474"/>
      <c r="GI83" s="474"/>
      <c r="GJ83" s="474"/>
      <c r="GK83" s="474"/>
      <c r="GL83" s="474"/>
      <c r="GM83" s="474"/>
      <c r="GN83" s="474"/>
      <c r="GO83" s="474"/>
      <c r="GP83" s="474"/>
      <c r="GQ83" s="474"/>
      <c r="GR83" s="474"/>
      <c r="GS83" s="474"/>
      <c r="GT83" s="474"/>
      <c r="GU83" s="474"/>
      <c r="GV83" s="474"/>
      <c r="GW83" s="474"/>
      <c r="GX83" s="474"/>
      <c r="GY83" s="474"/>
      <c r="GZ83" s="474"/>
      <c r="HA83" s="474"/>
      <c r="HB83" s="474"/>
      <c r="HC83" s="474"/>
      <c r="HD83" s="474"/>
      <c r="HE83" s="474"/>
      <c r="HF83" s="474"/>
      <c r="HG83" s="474"/>
      <c r="HH83" s="474"/>
      <c r="HI83" s="474"/>
      <c r="HJ83" s="474"/>
      <c r="HK83" s="474"/>
      <c r="HL83" s="474"/>
      <c r="HM83" s="474"/>
      <c r="HN83" s="474"/>
      <c r="HO83" s="474"/>
      <c r="HP83" s="474"/>
      <c r="HQ83" s="474"/>
      <c r="HR83" s="474"/>
      <c r="HS83" s="474"/>
      <c r="HT83" s="474"/>
      <c r="HU83" s="474"/>
      <c r="HV83" s="474"/>
      <c r="HW83" s="474"/>
      <c r="HX83" s="474"/>
      <c r="HY83" s="474"/>
      <c r="HZ83" s="474"/>
      <c r="IA83" s="474"/>
      <c r="IB83" s="474"/>
      <c r="IC83" s="474"/>
      <c r="ID83" s="474"/>
      <c r="IE83" s="474"/>
      <c r="IF83" s="474"/>
      <c r="IG83" s="474"/>
      <c r="IH83" s="474"/>
      <c r="II83" s="474"/>
      <c r="IJ83" s="474"/>
      <c r="IK83" s="474"/>
      <c r="IL83" s="474"/>
      <c r="IM83" s="474"/>
      <c r="IN83" s="474"/>
      <c r="IO83" s="474"/>
      <c r="IP83" s="474"/>
      <c r="JG83" s="146" t="s">
        <v>159</v>
      </c>
    </row>
    <row r="84" spans="1:278" ht="14.1" customHeight="1" x14ac:dyDescent="0.2">
      <c r="A84" s="153"/>
      <c r="B84" s="237"/>
      <c r="C84" s="237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  <c r="BJ84" s="153"/>
      <c r="BK84" s="153"/>
      <c r="BL84" s="153"/>
      <c r="BM84" s="153"/>
      <c r="BN84" s="153"/>
      <c r="BO84" s="153"/>
      <c r="BP84" s="153"/>
      <c r="BQ84" s="153"/>
      <c r="BR84" s="153"/>
      <c r="BS84" s="153"/>
      <c r="BT84" s="153"/>
      <c r="BU84" s="153"/>
      <c r="BV84" s="242"/>
      <c r="BW84" s="242"/>
      <c r="BX84" s="242"/>
      <c r="BY84" s="242"/>
      <c r="BZ84" s="242"/>
      <c r="CA84" s="242"/>
      <c r="CB84" s="242"/>
      <c r="CC84" s="242"/>
      <c r="CD84" s="242"/>
      <c r="CE84" s="242"/>
      <c r="CF84" s="242"/>
      <c r="CG84" s="242"/>
      <c r="CH84" s="242"/>
      <c r="CI84" s="242"/>
      <c r="CJ84" s="242"/>
      <c r="CK84" s="242"/>
      <c r="CL84" s="242"/>
      <c r="CM84" s="242"/>
      <c r="CN84" s="242"/>
      <c r="CO84" s="242"/>
      <c r="CP84" s="242"/>
      <c r="CQ84" s="242"/>
      <c r="CR84" s="242"/>
      <c r="CS84" s="242"/>
      <c r="CT84" s="242"/>
      <c r="CU84" s="242"/>
      <c r="CV84" s="242"/>
      <c r="CW84" s="242"/>
      <c r="CX84" s="242"/>
      <c r="CY84" s="242"/>
      <c r="CZ84" s="242"/>
      <c r="DA84" s="242"/>
      <c r="DB84" s="242"/>
      <c r="DC84" s="242"/>
      <c r="DD84" s="242"/>
      <c r="DE84" s="242"/>
      <c r="DF84" s="242"/>
      <c r="DG84" s="242"/>
      <c r="DH84" s="242"/>
      <c r="DI84" s="242"/>
      <c r="DJ84" s="242"/>
      <c r="DK84" s="242"/>
      <c r="DL84" s="242"/>
      <c r="DM84" s="242"/>
      <c r="DN84" s="242"/>
      <c r="DO84" s="242"/>
      <c r="DP84" s="242"/>
      <c r="DQ84" s="242"/>
      <c r="DR84" s="242"/>
      <c r="DS84" s="242"/>
      <c r="DT84" s="242"/>
      <c r="DU84" s="242"/>
      <c r="DV84" s="242"/>
      <c r="DW84" s="242"/>
      <c r="DX84" s="242"/>
      <c r="DY84" s="242"/>
      <c r="DZ84" s="474"/>
      <c r="EA84" s="474"/>
      <c r="EB84" s="474"/>
      <c r="EC84" s="555" t="s">
        <v>96</v>
      </c>
      <c r="ED84" s="555"/>
      <c r="EE84" s="474"/>
      <c r="EF84" s="474" t="s">
        <v>1</v>
      </c>
      <c r="EG84" s="555">
        <v>0.45</v>
      </c>
      <c r="EH84" s="555"/>
      <c r="EI84" s="555"/>
      <c r="EJ84" s="139" t="s">
        <v>12</v>
      </c>
      <c r="EK84" s="139"/>
      <c r="EL84" s="139"/>
      <c r="EM84" s="139"/>
      <c r="EN84" s="139"/>
      <c r="EO84" s="139"/>
      <c r="EP84" s="139"/>
      <c r="EQ84" s="139"/>
      <c r="ER84" s="139"/>
      <c r="ES84" s="25"/>
      <c r="ET84" s="25"/>
      <c r="EU84" s="25"/>
      <c r="EV84" s="25"/>
      <c r="EY84" s="26"/>
      <c r="EZ84" s="474"/>
      <c r="FA84" s="26"/>
      <c r="FB84" s="185"/>
      <c r="FC84" s="186"/>
      <c r="FD84" s="474"/>
      <c r="FE84" s="186"/>
      <c r="FF84" s="474"/>
      <c r="FG84" s="7">
        <v>300</v>
      </c>
      <c r="FH84" s="7"/>
      <c r="FI84" s="474"/>
      <c r="FJ84" s="26"/>
      <c r="FK84" s="181"/>
      <c r="FL84" s="181"/>
      <c r="FM84" s="474"/>
      <c r="FN84" s="474"/>
      <c r="FO84" s="474"/>
      <c r="FP84" s="475">
        <v>27.5</v>
      </c>
      <c r="FQ84" s="474"/>
      <c r="FR84" s="11">
        <v>0.3</v>
      </c>
      <c r="FS84" s="11"/>
      <c r="FT84" s="474"/>
      <c r="FU84" s="474">
        <v>600</v>
      </c>
      <c r="FV84" s="474"/>
      <c r="FW84" s="474"/>
      <c r="FX84" s="474"/>
      <c r="FY84" s="474"/>
      <c r="FZ84" s="474"/>
      <c r="GA84" s="474"/>
      <c r="GB84" s="474"/>
      <c r="GC84" s="474"/>
      <c r="GD84" s="474"/>
      <c r="GE84" s="474"/>
      <c r="GF84" s="474"/>
      <c r="GG84" s="474"/>
      <c r="GH84" s="474"/>
      <c r="GI84" s="474"/>
      <c r="GJ84" s="474"/>
      <c r="GK84" s="474"/>
      <c r="GL84" s="474"/>
      <c r="GM84" s="474"/>
      <c r="GN84" s="474"/>
      <c r="GO84" s="474"/>
      <c r="GP84" s="474"/>
      <c r="GQ84" s="474"/>
      <c r="GR84" s="474"/>
      <c r="GS84" s="474"/>
      <c r="GT84" s="474"/>
      <c r="GU84" s="474"/>
      <c r="GV84" s="474"/>
      <c r="GW84" s="474"/>
      <c r="GX84" s="474"/>
      <c r="GY84" s="474"/>
      <c r="GZ84" s="474"/>
      <c r="HA84" s="474"/>
      <c r="HB84" s="474"/>
      <c r="HC84" s="474"/>
      <c r="HD84" s="474"/>
      <c r="HE84" s="474"/>
      <c r="HF84" s="474"/>
      <c r="HG84" s="474"/>
      <c r="HH84" s="474"/>
      <c r="HI84" s="474"/>
      <c r="HJ84" s="474"/>
      <c r="HK84" s="474"/>
      <c r="HL84" s="474"/>
      <c r="HM84" s="474"/>
      <c r="HN84" s="474"/>
      <c r="HO84" s="474"/>
      <c r="HP84" s="474"/>
      <c r="HQ84" s="474"/>
      <c r="HR84" s="474"/>
      <c r="HS84" s="474"/>
      <c r="HT84" s="474"/>
      <c r="HU84" s="474"/>
      <c r="HV84" s="474"/>
      <c r="HW84" s="474"/>
      <c r="HX84" s="474"/>
      <c r="HY84" s="474"/>
      <c r="HZ84" s="474"/>
      <c r="IA84" s="474"/>
      <c r="IB84" s="474"/>
      <c r="IC84" s="474"/>
      <c r="ID84" s="474"/>
      <c r="IE84" s="474"/>
      <c r="IF84" s="474"/>
      <c r="IG84" s="474"/>
      <c r="IH84" s="474"/>
      <c r="II84" s="474"/>
      <c r="IJ84" s="474"/>
      <c r="IK84" s="474"/>
      <c r="IL84" s="474"/>
      <c r="IM84" s="474"/>
      <c r="IN84" s="474"/>
      <c r="IO84" s="474"/>
      <c r="IP84" s="474"/>
      <c r="JG84" s="146" t="s">
        <v>23</v>
      </c>
      <c r="JH84" s="146">
        <v>0.3</v>
      </c>
      <c r="JI84" s="146">
        <f>JH84</f>
        <v>0.3</v>
      </c>
      <c r="JK84" s="146">
        <f>JH84</f>
        <v>0.3</v>
      </c>
      <c r="JL84" s="146">
        <f>JL81</f>
        <v>0.45500000000000007</v>
      </c>
      <c r="JN84" s="184">
        <f>JL84</f>
        <v>0.45500000000000007</v>
      </c>
      <c r="JQ84" s="184">
        <v>0.3</v>
      </c>
      <c r="JR84" s="184">
        <f>JQ84</f>
        <v>0.3</v>
      </c>
    </row>
    <row r="85" spans="1:278" ht="14.1" customHeight="1" x14ac:dyDescent="0.2">
      <c r="A85" s="153"/>
      <c r="B85" s="237"/>
      <c r="C85" s="237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  <c r="BJ85" s="153"/>
      <c r="BK85" s="153"/>
      <c r="BL85" s="153"/>
      <c r="BM85" s="153"/>
      <c r="BN85" s="153"/>
      <c r="BO85" s="153"/>
      <c r="BP85" s="153"/>
      <c r="BQ85" s="153"/>
      <c r="BR85" s="153"/>
      <c r="BS85" s="153"/>
      <c r="BT85" s="153"/>
      <c r="BU85" s="153"/>
      <c r="BV85" s="242"/>
      <c r="BW85" s="242"/>
      <c r="BX85" s="242"/>
      <c r="BY85" s="242"/>
      <c r="BZ85" s="242"/>
      <c r="CA85" s="242"/>
      <c r="CB85" s="242"/>
      <c r="CC85" s="242"/>
      <c r="CD85" s="242"/>
      <c r="CE85" s="242"/>
      <c r="CF85" s="242"/>
      <c r="CG85" s="242"/>
      <c r="CH85" s="242"/>
      <c r="CI85" s="242"/>
      <c r="CJ85" s="242"/>
      <c r="CK85" s="242"/>
      <c r="CL85" s="242"/>
      <c r="CM85" s="242"/>
      <c r="CN85" s="242"/>
      <c r="CO85" s="242"/>
      <c r="CP85" s="242"/>
      <c r="CQ85" s="242"/>
      <c r="CR85" s="242"/>
      <c r="CS85" s="242"/>
      <c r="CT85" s="242"/>
      <c r="CU85" s="242"/>
      <c r="CV85" s="242"/>
      <c r="CW85" s="242"/>
      <c r="CX85" s="242"/>
      <c r="CY85" s="242"/>
      <c r="CZ85" s="242"/>
      <c r="DA85" s="242"/>
      <c r="DB85" s="242"/>
      <c r="DC85" s="242"/>
      <c r="DD85" s="242"/>
      <c r="DE85" s="242"/>
      <c r="DF85" s="242"/>
      <c r="DG85" s="242"/>
      <c r="DH85" s="242"/>
      <c r="DI85" s="242"/>
      <c r="DJ85" s="242"/>
      <c r="DK85" s="242"/>
      <c r="DL85" s="242"/>
      <c r="DM85" s="242"/>
      <c r="DN85" s="242"/>
      <c r="DO85" s="242"/>
      <c r="DP85" s="242"/>
      <c r="DQ85" s="242"/>
      <c r="DR85" s="242"/>
      <c r="DS85" s="242"/>
      <c r="DT85" s="242"/>
      <c r="DU85" s="242"/>
      <c r="DV85" s="242"/>
      <c r="DW85" s="242"/>
      <c r="DX85" s="242"/>
      <c r="DY85" s="242"/>
      <c r="DZ85" s="474"/>
      <c r="EA85" s="474"/>
      <c r="EB85" s="474"/>
      <c r="EJ85" s="500"/>
      <c r="EK85" s="206"/>
      <c r="EL85" s="206"/>
      <c r="EM85" s="206"/>
      <c r="EN85" s="206"/>
      <c r="EO85" s="206"/>
      <c r="EP85" s="206"/>
      <c r="EQ85" s="206"/>
      <c r="ER85" s="206"/>
      <c r="ES85" s="25"/>
      <c r="ET85" s="25"/>
      <c r="EU85" s="25"/>
      <c r="EV85" s="25"/>
      <c r="EY85" s="26"/>
      <c r="EZ85" s="474"/>
      <c r="FA85" s="26"/>
      <c r="FB85" s="185"/>
      <c r="FC85" s="186"/>
      <c r="FD85" s="474"/>
      <c r="FE85" s="186"/>
      <c r="FF85" s="474"/>
      <c r="FG85" s="7">
        <v>320</v>
      </c>
      <c r="FH85" s="7"/>
      <c r="FI85" s="474"/>
      <c r="FJ85" s="26"/>
      <c r="FK85" s="181"/>
      <c r="FL85" s="181"/>
      <c r="FM85" s="474"/>
      <c r="FN85" s="474"/>
      <c r="FO85" s="474"/>
      <c r="FP85" s="475">
        <v>30</v>
      </c>
      <c r="FQ85" s="474"/>
      <c r="FR85" s="11">
        <v>0.32500000000000001</v>
      </c>
      <c r="FS85" s="11"/>
      <c r="FT85" s="474"/>
      <c r="FU85" s="474">
        <v>800</v>
      </c>
      <c r="FV85" s="474"/>
      <c r="FW85" s="474"/>
      <c r="FX85" s="474"/>
      <c r="FY85" s="474"/>
      <c r="FZ85" s="474"/>
      <c r="GA85" s="474"/>
      <c r="GB85" s="474"/>
      <c r="GC85" s="474"/>
      <c r="GD85" s="474"/>
      <c r="GE85" s="474"/>
      <c r="GF85" s="474"/>
      <c r="GG85" s="474"/>
      <c r="GH85" s="474"/>
      <c r="GI85" s="474"/>
      <c r="GJ85" s="474"/>
      <c r="GK85" s="474"/>
      <c r="GL85" s="474"/>
      <c r="GM85" s="474"/>
      <c r="GN85" s="474"/>
      <c r="GO85" s="474"/>
      <c r="GP85" s="474"/>
      <c r="GQ85" s="474"/>
      <c r="GR85" s="474"/>
      <c r="GS85" s="474"/>
      <c r="GT85" s="474"/>
      <c r="GU85" s="474"/>
      <c r="GV85" s="474"/>
      <c r="GW85" s="474"/>
      <c r="GX85" s="474"/>
      <c r="GY85" s="474"/>
      <c r="GZ85" s="474"/>
      <c r="HA85" s="474"/>
      <c r="HB85" s="474"/>
      <c r="HC85" s="474"/>
      <c r="HD85" s="474"/>
      <c r="HE85" s="474"/>
      <c r="HF85" s="474"/>
      <c r="HG85" s="474"/>
      <c r="HH85" s="474"/>
      <c r="HI85" s="474"/>
      <c r="HJ85" s="474"/>
      <c r="HK85" s="474"/>
      <c r="HL85" s="474"/>
      <c r="HM85" s="474"/>
      <c r="HN85" s="474"/>
      <c r="HO85" s="474"/>
      <c r="HP85" s="474"/>
      <c r="HQ85" s="474"/>
      <c r="HR85" s="474"/>
      <c r="HS85" s="474"/>
      <c r="HT85" s="474"/>
      <c r="HU85" s="474"/>
      <c r="HV85" s="474"/>
      <c r="HW85" s="474"/>
      <c r="HX85" s="474"/>
      <c r="HY85" s="474"/>
      <c r="HZ85" s="474"/>
      <c r="IA85" s="474"/>
      <c r="IB85" s="474"/>
      <c r="IC85" s="474"/>
      <c r="ID85" s="474"/>
      <c r="IE85" s="474"/>
      <c r="IF85" s="474"/>
      <c r="IG85" s="474"/>
      <c r="IH85" s="474"/>
      <c r="II85" s="474"/>
      <c r="IJ85" s="474"/>
      <c r="IK85" s="474"/>
      <c r="IL85" s="474"/>
      <c r="IM85" s="474"/>
      <c r="IN85" s="474"/>
      <c r="IO85" s="474"/>
      <c r="IP85" s="474"/>
      <c r="JG85" s="146" t="s">
        <v>24</v>
      </c>
      <c r="JH85" s="146">
        <f>JH55</f>
        <v>-0.03</v>
      </c>
      <c r="JI85" s="146">
        <f>JH85+0.23</f>
        <v>0.2</v>
      </c>
      <c r="JK85" s="146">
        <f>JI85</f>
        <v>0.2</v>
      </c>
      <c r="JL85" s="146">
        <f>JI85</f>
        <v>0.2</v>
      </c>
      <c r="JN85" s="184">
        <f>JL85</f>
        <v>0.2</v>
      </c>
      <c r="JQ85" s="184">
        <f>JQ55</f>
        <v>-4.4999999999999998E-2</v>
      </c>
      <c r="JR85" s="184">
        <f>JQ85+0.245</f>
        <v>0.2</v>
      </c>
    </row>
    <row r="86" spans="1:278" ht="14.1" customHeight="1" x14ac:dyDescent="0.2">
      <c r="A86" s="153"/>
      <c r="B86" s="237"/>
      <c r="C86" s="237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  <c r="BJ86" s="153"/>
      <c r="BK86" s="153"/>
      <c r="BL86" s="153"/>
      <c r="BM86" s="153"/>
      <c r="BN86" s="153"/>
      <c r="BO86" s="153"/>
      <c r="BP86" s="153"/>
      <c r="BQ86" s="153"/>
      <c r="BR86" s="153"/>
      <c r="BS86" s="153"/>
      <c r="BT86" s="153"/>
      <c r="BU86" s="153"/>
      <c r="BV86" s="242"/>
      <c r="BW86" s="242"/>
      <c r="BX86" s="242"/>
      <c r="BY86" s="242"/>
      <c r="BZ86" s="242"/>
      <c r="CA86" s="242"/>
      <c r="CB86" s="242"/>
      <c r="CC86" s="242"/>
      <c r="CD86" s="242"/>
      <c r="CE86" s="242"/>
      <c r="CF86" s="242"/>
      <c r="CG86" s="242"/>
      <c r="CH86" s="242"/>
      <c r="CI86" s="242"/>
      <c r="CJ86" s="242"/>
      <c r="CK86" s="242"/>
      <c r="CL86" s="242"/>
      <c r="CM86" s="242"/>
      <c r="CN86" s="242"/>
      <c r="CO86" s="242"/>
      <c r="CP86" s="242"/>
      <c r="CQ86" s="242"/>
      <c r="CR86" s="242"/>
      <c r="CS86" s="242"/>
      <c r="CT86" s="242"/>
      <c r="CU86" s="242"/>
      <c r="CV86" s="242"/>
      <c r="CW86" s="242"/>
      <c r="CX86" s="242"/>
      <c r="CY86" s="242"/>
      <c r="CZ86" s="242"/>
      <c r="DA86" s="242"/>
      <c r="DB86" s="242"/>
      <c r="DC86" s="242"/>
      <c r="DD86" s="242"/>
      <c r="DE86" s="242"/>
      <c r="DF86" s="242"/>
      <c r="DG86" s="242"/>
      <c r="DH86" s="242"/>
      <c r="DI86" s="242"/>
      <c r="DJ86" s="242"/>
      <c r="DK86" s="242"/>
      <c r="DL86" s="242"/>
      <c r="DM86" s="242"/>
      <c r="DN86" s="242"/>
      <c r="DO86" s="242"/>
      <c r="DP86" s="242"/>
      <c r="DQ86" s="242"/>
      <c r="DR86" s="242"/>
      <c r="DS86" s="242"/>
      <c r="DT86" s="242"/>
      <c r="DU86" s="242"/>
      <c r="DV86" s="242"/>
      <c r="DW86" s="242"/>
      <c r="DX86" s="242"/>
      <c r="DY86" s="242"/>
      <c r="DZ86" s="474"/>
      <c r="EA86" s="474"/>
      <c r="EB86" s="474"/>
      <c r="EC86" s="29" t="s">
        <v>186</v>
      </c>
      <c r="ED86" s="474"/>
      <c r="EE86" s="474"/>
      <c r="EF86" s="474"/>
      <c r="EG86" s="174"/>
      <c r="EH86" s="174"/>
      <c r="EI86" s="558">
        <f>W19</f>
        <v>9</v>
      </c>
      <c r="EJ86" s="558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Y86" s="26"/>
      <c r="EZ86" s="474"/>
      <c r="FA86" s="26"/>
      <c r="FB86" s="187"/>
      <c r="FC86" s="186"/>
      <c r="FD86" s="474"/>
      <c r="FE86" s="186"/>
      <c r="FF86" s="474"/>
      <c r="FG86" s="9">
        <v>350</v>
      </c>
      <c r="FH86" s="9"/>
      <c r="FI86" s="474"/>
      <c r="FJ86" s="26"/>
      <c r="FK86" s="181"/>
      <c r="FL86" s="181"/>
      <c r="FM86" s="474"/>
      <c r="FN86" s="474"/>
      <c r="FO86" s="474"/>
      <c r="FP86" s="474"/>
      <c r="FQ86" s="474"/>
      <c r="FR86" s="11">
        <v>0.35</v>
      </c>
      <c r="FS86" s="11"/>
      <c r="FT86" s="474"/>
      <c r="FU86" s="474"/>
      <c r="FV86" s="474"/>
      <c r="FW86" s="474"/>
      <c r="FX86" s="474"/>
      <c r="FY86" s="474"/>
      <c r="FZ86" s="474"/>
      <c r="GA86" s="474"/>
      <c r="GB86" s="474"/>
      <c r="GC86" s="474"/>
      <c r="GD86" s="474"/>
      <c r="GE86" s="474"/>
      <c r="GF86" s="474"/>
      <c r="GG86" s="474"/>
      <c r="GH86" s="474"/>
      <c r="GI86" s="474"/>
      <c r="GJ86" s="474"/>
      <c r="GK86" s="474"/>
      <c r="GL86" s="474"/>
      <c r="GM86" s="474"/>
      <c r="GN86" s="474"/>
      <c r="GO86" s="474"/>
      <c r="GP86" s="474"/>
      <c r="GQ86" s="474"/>
      <c r="GR86" s="474"/>
      <c r="GS86" s="474"/>
      <c r="GT86" s="474"/>
      <c r="GU86" s="474"/>
      <c r="GV86" s="474"/>
      <c r="GW86" s="474"/>
      <c r="GX86" s="474"/>
      <c r="GY86" s="474"/>
      <c r="GZ86" s="474"/>
      <c r="HA86" s="474"/>
      <c r="HB86" s="474"/>
      <c r="HC86" s="474"/>
      <c r="HD86" s="474"/>
      <c r="HE86" s="474"/>
      <c r="HF86" s="474"/>
      <c r="HG86" s="474"/>
      <c r="HH86" s="474"/>
      <c r="HI86" s="474"/>
      <c r="HJ86" s="474"/>
      <c r="HK86" s="474"/>
      <c r="HL86" s="474"/>
      <c r="HM86" s="474"/>
      <c r="HN86" s="474"/>
      <c r="HO86" s="474"/>
      <c r="HP86" s="474"/>
      <c r="HQ86" s="474"/>
      <c r="HR86" s="474"/>
      <c r="HS86" s="474"/>
      <c r="HT86" s="474"/>
      <c r="HU86" s="474"/>
      <c r="HV86" s="474"/>
      <c r="HW86" s="474"/>
      <c r="HX86" s="474"/>
      <c r="HY86" s="474"/>
      <c r="HZ86" s="474"/>
      <c r="IA86" s="474"/>
      <c r="IB86" s="474"/>
      <c r="IC86" s="474"/>
      <c r="ID86" s="474"/>
      <c r="IE86" s="474"/>
      <c r="IF86" s="474"/>
      <c r="IG86" s="474"/>
      <c r="IH86" s="474"/>
      <c r="II86" s="474"/>
      <c r="IJ86" s="474"/>
      <c r="IK86" s="474"/>
      <c r="IL86" s="474"/>
      <c r="IM86" s="474"/>
      <c r="IN86" s="474"/>
      <c r="IO86" s="474"/>
      <c r="IP86" s="474"/>
      <c r="JG86" s="146" t="s">
        <v>160</v>
      </c>
    </row>
    <row r="87" spans="1:278" ht="14.1" customHeight="1" x14ac:dyDescent="0.2">
      <c r="A87" s="153"/>
      <c r="B87" s="237"/>
      <c r="C87" s="237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  <c r="BI87" s="153"/>
      <c r="BJ87" s="153"/>
      <c r="BK87" s="153"/>
      <c r="BL87" s="153"/>
      <c r="BM87" s="153"/>
      <c r="BN87" s="153"/>
      <c r="BO87" s="153"/>
      <c r="BP87" s="153"/>
      <c r="BQ87" s="153"/>
      <c r="BR87" s="153"/>
      <c r="BS87" s="153"/>
      <c r="BT87" s="153"/>
      <c r="BU87" s="153"/>
      <c r="BV87" s="242"/>
      <c r="BW87" s="242"/>
      <c r="BX87" s="242"/>
      <c r="BY87" s="242"/>
      <c r="BZ87" s="242"/>
      <c r="CA87" s="242"/>
      <c r="CB87" s="242"/>
      <c r="CC87" s="242"/>
      <c r="CD87" s="242"/>
      <c r="CE87" s="242"/>
      <c r="CF87" s="242"/>
      <c r="CG87" s="242"/>
      <c r="CH87" s="242"/>
      <c r="CI87" s="242"/>
      <c r="CJ87" s="242"/>
      <c r="CK87" s="242"/>
      <c r="CL87" s="242"/>
      <c r="CM87" s="242"/>
      <c r="CN87" s="242"/>
      <c r="CO87" s="242"/>
      <c r="CP87" s="242"/>
      <c r="CQ87" s="242"/>
      <c r="CR87" s="242"/>
      <c r="CS87" s="242"/>
      <c r="CT87" s="242"/>
      <c r="CU87" s="242"/>
      <c r="CV87" s="242"/>
      <c r="CW87" s="242"/>
      <c r="CX87" s="242"/>
      <c r="CY87" s="242"/>
      <c r="CZ87" s="242"/>
      <c r="DA87" s="242"/>
      <c r="DB87" s="242"/>
      <c r="DC87" s="242"/>
      <c r="DD87" s="242"/>
      <c r="DE87" s="242"/>
      <c r="DF87" s="242"/>
      <c r="DG87" s="242"/>
      <c r="DH87" s="242"/>
      <c r="DI87" s="242"/>
      <c r="DJ87" s="242"/>
      <c r="DK87" s="242"/>
      <c r="DL87" s="242"/>
      <c r="DM87" s="242"/>
      <c r="DN87" s="242"/>
      <c r="DO87" s="242"/>
      <c r="DP87" s="242"/>
      <c r="DQ87" s="242"/>
      <c r="DR87" s="242"/>
      <c r="DS87" s="242"/>
      <c r="DT87" s="242"/>
      <c r="DU87" s="242"/>
      <c r="DV87" s="242"/>
      <c r="DW87" s="242"/>
      <c r="DX87" s="242"/>
      <c r="DY87" s="242"/>
      <c r="DZ87" s="474"/>
      <c r="EA87" s="474"/>
      <c r="EB87" s="474"/>
      <c r="EC87" s="474" t="s">
        <v>260</v>
      </c>
      <c r="ED87" s="474"/>
      <c r="EE87" s="474"/>
      <c r="EF87" s="474" t="s">
        <v>1</v>
      </c>
      <c r="EG87" s="647">
        <f>FJ74*100*EG67</f>
        <v>2.5</v>
      </c>
      <c r="EH87" s="647"/>
      <c r="EI87" s="647"/>
      <c r="EJ87" s="496"/>
      <c r="EK87" s="25"/>
      <c r="EL87" s="25"/>
      <c r="EM87" s="25"/>
      <c r="EN87" s="25"/>
      <c r="EO87" s="25"/>
      <c r="EP87" s="25"/>
      <c r="EQ87" s="25"/>
      <c r="ER87" s="25"/>
      <c r="ES87" s="25"/>
      <c r="ET87" s="25"/>
      <c r="EU87" s="25"/>
      <c r="EV87" s="25"/>
      <c r="EY87" s="474"/>
      <c r="EZ87" s="474"/>
      <c r="FA87" s="474"/>
      <c r="FB87" s="474"/>
      <c r="FC87" s="474"/>
      <c r="FD87" s="474"/>
      <c r="FE87" s="474"/>
      <c r="FF87" s="474"/>
      <c r="FG87" s="9">
        <v>380</v>
      </c>
      <c r="FH87" s="9"/>
      <c r="FI87" s="474"/>
      <c r="FJ87" s="26"/>
      <c r="FK87" s="181"/>
      <c r="FL87" s="181"/>
      <c r="FM87" s="474"/>
      <c r="FN87" s="474"/>
      <c r="FO87" s="474"/>
      <c r="FP87" s="474"/>
      <c r="FQ87" s="474"/>
      <c r="FR87" s="11">
        <v>0.375</v>
      </c>
      <c r="FS87" s="11"/>
      <c r="FT87" s="474"/>
      <c r="FU87" s="474"/>
      <c r="FV87" s="474"/>
      <c r="FW87" s="474"/>
      <c r="FX87" s="474"/>
      <c r="FY87" s="474"/>
      <c r="FZ87" s="474"/>
      <c r="GA87" s="474"/>
      <c r="GB87" s="474"/>
      <c r="GC87" s="474"/>
      <c r="GD87" s="474"/>
      <c r="GE87" s="474"/>
      <c r="GF87" s="474"/>
      <c r="GG87" s="474"/>
      <c r="GH87" s="474"/>
      <c r="GI87" s="474"/>
      <c r="GJ87" s="474"/>
      <c r="GK87" s="474"/>
      <c r="GL87" s="474"/>
      <c r="GM87" s="474"/>
      <c r="GN87" s="474"/>
      <c r="GO87" s="474"/>
      <c r="GP87" s="474"/>
      <c r="GQ87" s="474"/>
      <c r="GR87" s="474"/>
      <c r="GS87" s="474"/>
      <c r="GT87" s="474"/>
      <c r="GU87" s="474"/>
      <c r="GV87" s="474"/>
      <c r="GW87" s="474"/>
      <c r="GX87" s="474"/>
      <c r="GY87" s="474"/>
      <c r="GZ87" s="474"/>
      <c r="HA87" s="474"/>
      <c r="HB87" s="474"/>
      <c r="HC87" s="474"/>
      <c r="HD87" s="474"/>
      <c r="HE87" s="474"/>
      <c r="HF87" s="474"/>
      <c r="HG87" s="474"/>
      <c r="HH87" s="474"/>
      <c r="HI87" s="474"/>
      <c r="HJ87" s="474"/>
      <c r="HK87" s="474"/>
      <c r="HL87" s="474"/>
      <c r="HM87" s="474"/>
      <c r="HN87" s="474"/>
      <c r="HO87" s="474"/>
      <c r="HP87" s="474"/>
      <c r="HQ87" s="474"/>
      <c r="HR87" s="474"/>
      <c r="HS87" s="474"/>
      <c r="HT87" s="474"/>
      <c r="HU87" s="474"/>
      <c r="HV87" s="474"/>
      <c r="HW87" s="474"/>
      <c r="HX87" s="474"/>
      <c r="HY87" s="474"/>
      <c r="HZ87" s="474"/>
      <c r="IA87" s="474"/>
      <c r="IB87" s="474"/>
      <c r="IC87" s="474"/>
      <c r="ID87" s="474"/>
      <c r="IE87" s="474"/>
      <c r="IF87" s="474"/>
      <c r="IG87" s="474"/>
      <c r="IH87" s="474"/>
      <c r="II87" s="474"/>
      <c r="IJ87" s="474"/>
      <c r="IK87" s="474"/>
      <c r="IL87" s="474"/>
      <c r="IM87" s="474"/>
      <c r="IN87" s="474"/>
      <c r="IO87" s="474"/>
      <c r="IP87" s="474"/>
      <c r="JG87" s="146" t="s">
        <v>23</v>
      </c>
      <c r="JH87" s="146">
        <f>JL63</f>
        <v>0.755</v>
      </c>
      <c r="JI87" s="146">
        <f>JH87</f>
        <v>0.755</v>
      </c>
      <c r="JK87" s="146">
        <f>JH87</f>
        <v>0.755</v>
      </c>
      <c r="JL87" s="146">
        <f>JK87+0.1</f>
        <v>0.85499999999999998</v>
      </c>
      <c r="JN87" s="184">
        <f>JL87</f>
        <v>0.85499999999999998</v>
      </c>
      <c r="JQ87" s="184">
        <f>JU63</f>
        <v>1.8</v>
      </c>
      <c r="JR87" s="184">
        <f>JQ87</f>
        <v>1.8</v>
      </c>
    </row>
    <row r="88" spans="1:278" ht="14.1" customHeight="1" x14ac:dyDescent="0.2">
      <c r="A88" s="153"/>
      <c r="B88" s="237"/>
      <c r="C88" s="237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  <c r="BI88" s="153"/>
      <c r="BJ88" s="153"/>
      <c r="BK88" s="153"/>
      <c r="BL88" s="153"/>
      <c r="BM88" s="153"/>
      <c r="BN88" s="153"/>
      <c r="BO88" s="153"/>
      <c r="BP88" s="153"/>
      <c r="BQ88" s="153"/>
      <c r="BR88" s="153"/>
      <c r="BS88" s="153"/>
      <c r="BT88" s="153"/>
      <c r="BU88" s="153"/>
      <c r="BV88" s="153"/>
      <c r="BW88" s="153"/>
      <c r="BX88" s="153"/>
      <c r="BY88" s="153"/>
      <c r="BZ88" s="153"/>
      <c r="CA88" s="153"/>
      <c r="CB88" s="153"/>
      <c r="CC88" s="153"/>
      <c r="CD88" s="153"/>
      <c r="CE88" s="153"/>
      <c r="CF88" s="242"/>
      <c r="CG88" s="242"/>
      <c r="CH88" s="242"/>
      <c r="CI88" s="242"/>
      <c r="CJ88" s="242"/>
      <c r="CK88" s="242"/>
      <c r="CL88" s="242"/>
      <c r="CM88" s="242"/>
      <c r="CN88" s="242"/>
      <c r="CO88" s="242"/>
      <c r="CP88" s="242"/>
      <c r="CQ88" s="242"/>
      <c r="CR88" s="242"/>
      <c r="CS88" s="242"/>
      <c r="CT88" s="242"/>
      <c r="CU88" s="242"/>
      <c r="CV88" s="242"/>
      <c r="CW88" s="242"/>
      <c r="CX88" s="242"/>
      <c r="CY88" s="242"/>
      <c r="CZ88" s="242"/>
      <c r="DA88" s="242"/>
      <c r="DB88" s="242"/>
      <c r="DC88" s="242"/>
      <c r="DD88" s="242"/>
      <c r="DE88" s="242"/>
      <c r="DF88" s="242"/>
      <c r="DG88" s="242"/>
      <c r="DH88" s="242"/>
      <c r="DI88" s="242"/>
      <c r="DJ88" s="242"/>
      <c r="DK88" s="242"/>
      <c r="DL88" s="242"/>
      <c r="DM88" s="242"/>
      <c r="DN88" s="242"/>
      <c r="DO88" s="242"/>
      <c r="DP88" s="242"/>
      <c r="DQ88" s="242"/>
      <c r="DR88" s="242"/>
      <c r="DS88" s="242"/>
      <c r="DT88" s="242"/>
      <c r="DU88" s="242"/>
      <c r="DV88" s="242"/>
      <c r="DW88" s="242"/>
      <c r="DX88" s="242"/>
      <c r="DY88" s="242"/>
      <c r="DZ88" s="474"/>
      <c r="EA88" s="474"/>
      <c r="EB88" s="474"/>
      <c r="EC88" s="474" t="s">
        <v>97</v>
      </c>
      <c r="ED88" s="474"/>
      <c r="EE88" s="474"/>
      <c r="EF88" s="474" t="s">
        <v>1</v>
      </c>
      <c r="EG88" s="555">
        <f>ROUNDDOWN((ROUND(PI()*EI86^2/400,2))/EG87,2)</f>
        <v>0.25</v>
      </c>
      <c r="EH88" s="555"/>
      <c r="EI88" s="555"/>
      <c r="EJ88" s="490" t="s">
        <v>12</v>
      </c>
      <c r="EK88" s="31"/>
      <c r="EL88" s="31"/>
      <c r="EM88" s="31"/>
      <c r="EN88" s="31"/>
      <c r="EO88" s="31"/>
      <c r="EP88" s="31"/>
      <c r="EQ88" s="31"/>
      <c r="ER88" s="31"/>
      <c r="ES88" s="25"/>
      <c r="ET88" s="25"/>
      <c r="EU88" s="25"/>
      <c r="EV88" s="25"/>
      <c r="EY88" s="473"/>
      <c r="EZ88" s="473"/>
      <c r="FA88" s="473"/>
      <c r="FB88" s="473"/>
      <c r="FC88" s="473"/>
      <c r="FD88" s="473"/>
      <c r="FE88" s="473"/>
      <c r="FF88" s="473"/>
      <c r="FG88" s="10">
        <v>400</v>
      </c>
      <c r="FH88" s="10"/>
      <c r="FI88" s="473"/>
      <c r="FJ88" s="26"/>
      <c r="FK88" s="181"/>
      <c r="FL88" s="181"/>
      <c r="FM88" s="474"/>
      <c r="FN88" s="474"/>
      <c r="FO88" s="474"/>
      <c r="FP88" s="474"/>
      <c r="FQ88" s="474"/>
      <c r="FR88" s="11">
        <v>0.4</v>
      </c>
      <c r="FS88" s="11"/>
      <c r="FT88" s="474"/>
      <c r="FU88" s="474"/>
      <c r="FV88" s="474"/>
      <c r="FW88" s="474"/>
      <c r="FX88" s="474"/>
      <c r="FY88" s="474"/>
      <c r="FZ88" s="474"/>
      <c r="GA88" s="474"/>
      <c r="GB88" s="474"/>
      <c r="GC88" s="474"/>
      <c r="GD88" s="474"/>
      <c r="GE88" s="474"/>
      <c r="GF88" s="474"/>
      <c r="GG88" s="474"/>
      <c r="GH88" s="474"/>
      <c r="GI88" s="474"/>
      <c r="GJ88" s="474"/>
      <c r="GK88" s="474"/>
      <c r="GL88" s="474"/>
      <c r="GM88" s="474"/>
      <c r="GN88" s="474"/>
      <c r="GO88" s="474"/>
      <c r="GP88" s="474"/>
      <c r="GQ88" s="474"/>
      <c r="GR88" s="474"/>
      <c r="GS88" s="474"/>
      <c r="GT88" s="474"/>
      <c r="GU88" s="474"/>
      <c r="GV88" s="474"/>
      <c r="GW88" s="474"/>
      <c r="GX88" s="474"/>
      <c r="GY88" s="474"/>
      <c r="GZ88" s="474"/>
      <c r="HA88" s="474"/>
      <c r="HB88" s="474"/>
      <c r="HC88" s="474"/>
      <c r="HD88" s="474"/>
      <c r="HE88" s="474"/>
      <c r="HF88" s="474"/>
      <c r="HG88" s="474"/>
      <c r="HH88" s="474"/>
      <c r="HI88" s="474"/>
      <c r="HJ88" s="474"/>
      <c r="HK88" s="474"/>
      <c r="HL88" s="474"/>
      <c r="HM88" s="474"/>
      <c r="HN88" s="474"/>
      <c r="HO88" s="474"/>
      <c r="HP88" s="474"/>
      <c r="HQ88" s="474"/>
      <c r="HR88" s="474"/>
      <c r="HS88" s="474"/>
      <c r="HT88" s="474"/>
      <c r="HU88" s="474"/>
      <c r="HV88" s="474"/>
      <c r="HW88" s="474"/>
      <c r="HX88" s="474"/>
      <c r="HY88" s="474"/>
      <c r="HZ88" s="474"/>
      <c r="IA88" s="474"/>
      <c r="IB88" s="474"/>
      <c r="IC88" s="474"/>
      <c r="ID88" s="474"/>
      <c r="IE88" s="474"/>
      <c r="IF88" s="474"/>
      <c r="IG88" s="474"/>
      <c r="IH88" s="474"/>
      <c r="II88" s="474"/>
      <c r="IJ88" s="474"/>
      <c r="IK88" s="474"/>
      <c r="IL88" s="474"/>
      <c r="IM88" s="474"/>
      <c r="IN88" s="474"/>
      <c r="IO88" s="474"/>
      <c r="IP88" s="474"/>
      <c r="JG88" s="146" t="s">
        <v>24</v>
      </c>
      <c r="JH88" s="146">
        <f>JH82</f>
        <v>-4.4999999999999998E-2</v>
      </c>
      <c r="JI88" s="146">
        <f>JI82</f>
        <v>0.105</v>
      </c>
      <c r="JK88" s="146">
        <f>JI88</f>
        <v>0.105</v>
      </c>
      <c r="JL88" s="146">
        <f>JI88</f>
        <v>0.105</v>
      </c>
      <c r="JN88" s="184">
        <f>JL88</f>
        <v>0.105</v>
      </c>
      <c r="JQ88" s="184">
        <f>JQ82</f>
        <v>-0.03</v>
      </c>
      <c r="JR88" s="184">
        <f>JR82</f>
        <v>0.10500000000000001</v>
      </c>
    </row>
    <row r="89" spans="1:278" ht="14.1" customHeight="1" x14ac:dyDescent="0.2">
      <c r="A89" s="153"/>
      <c r="B89" s="237"/>
      <c r="C89" s="237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  <c r="BI89" s="153"/>
      <c r="BJ89" s="153"/>
      <c r="BK89" s="153"/>
      <c r="BL89" s="153"/>
      <c r="BM89" s="153"/>
      <c r="BN89" s="153"/>
      <c r="BO89" s="153"/>
      <c r="BP89" s="153"/>
      <c r="BQ89" s="153"/>
      <c r="BR89" s="153"/>
      <c r="BS89" s="153"/>
      <c r="BT89" s="153"/>
      <c r="BU89" s="153"/>
      <c r="BV89" s="153"/>
      <c r="BW89" s="153"/>
      <c r="BX89" s="153"/>
      <c r="BY89" s="153"/>
      <c r="BZ89" s="153"/>
      <c r="CA89" s="153"/>
      <c r="CB89" s="153"/>
      <c r="CC89" s="153"/>
      <c r="CD89" s="153"/>
      <c r="CE89" s="153"/>
      <c r="CF89" s="242"/>
      <c r="CG89" s="242"/>
      <c r="CH89" s="242"/>
      <c r="CI89" s="242"/>
      <c r="CJ89" s="242"/>
      <c r="CK89" s="242"/>
      <c r="CL89" s="242"/>
      <c r="CM89" s="242"/>
      <c r="CN89" s="242"/>
      <c r="CO89" s="242"/>
      <c r="CP89" s="242"/>
      <c r="CQ89" s="242"/>
      <c r="CR89" s="242"/>
      <c r="CS89" s="242"/>
      <c r="CT89" s="242"/>
      <c r="CU89" s="242"/>
      <c r="CV89" s="242"/>
      <c r="CW89" s="242"/>
      <c r="CX89" s="242"/>
      <c r="CY89" s="242"/>
      <c r="CZ89" s="242"/>
      <c r="DA89" s="242"/>
      <c r="DB89" s="242"/>
      <c r="DC89" s="242"/>
      <c r="DD89" s="242"/>
      <c r="DE89" s="242"/>
      <c r="DF89" s="242"/>
      <c r="DG89" s="242"/>
      <c r="DH89" s="242"/>
      <c r="DI89" s="242"/>
      <c r="DJ89" s="242"/>
      <c r="DK89" s="242"/>
      <c r="DL89" s="242"/>
      <c r="DM89" s="242"/>
      <c r="DN89" s="242"/>
      <c r="DO89" s="242"/>
      <c r="DP89" s="242"/>
      <c r="DQ89" s="242"/>
      <c r="DR89" s="242"/>
      <c r="DS89" s="242"/>
      <c r="DT89" s="242"/>
      <c r="DU89" s="242"/>
      <c r="DV89" s="242"/>
      <c r="DW89" s="242"/>
      <c r="DX89" s="242"/>
      <c r="DY89" s="242"/>
      <c r="DZ89" s="474"/>
      <c r="EA89" s="474"/>
      <c r="EB89" s="474"/>
      <c r="EC89" s="474" t="s">
        <v>191</v>
      </c>
      <c r="ED89" s="474"/>
      <c r="EE89" s="490"/>
      <c r="EF89" s="474" t="s">
        <v>1</v>
      </c>
      <c r="EG89" s="554">
        <f>5*EG67/100</f>
        <v>0.5</v>
      </c>
      <c r="EH89" s="554"/>
      <c r="EI89" s="554"/>
      <c r="EJ89" s="490" t="s">
        <v>12</v>
      </c>
      <c r="EK89" s="11"/>
      <c r="EL89" s="11"/>
      <c r="EM89" s="11"/>
      <c r="EN89" s="11"/>
      <c r="EO89" s="11"/>
      <c r="EP89" s="11"/>
      <c r="EQ89" s="11"/>
      <c r="ER89" s="11"/>
      <c r="ES89" s="31"/>
      <c r="ET89" s="31"/>
      <c r="EU89" s="31"/>
      <c r="EV89" s="31"/>
      <c r="EY89" s="473" t="str">
        <f>IF(EG62&gt;2400,"DB","RB")</f>
        <v>DB</v>
      </c>
      <c r="EZ89" s="473"/>
      <c r="FA89" s="473" t="e">
        <f>CONCATENATE(#REF!,EY92,#REF!,EY93)</f>
        <v>#REF!</v>
      </c>
      <c r="FB89" s="473"/>
      <c r="FC89" s="473"/>
      <c r="FD89" s="473"/>
      <c r="FE89" s="473"/>
      <c r="FF89" s="473"/>
      <c r="FG89" s="10">
        <v>420</v>
      </c>
      <c r="FH89" s="10"/>
      <c r="FI89" s="473"/>
      <c r="FJ89" s="26"/>
      <c r="FK89" s="181"/>
      <c r="FL89" s="181"/>
      <c r="FM89" s="474"/>
      <c r="FN89" s="474"/>
      <c r="FO89" s="474"/>
      <c r="FP89" s="474"/>
      <c r="FQ89" s="474"/>
      <c r="FR89" s="11">
        <v>0.42499999999999999</v>
      </c>
      <c r="FS89" s="11"/>
      <c r="FT89" s="474"/>
      <c r="FU89" s="474"/>
      <c r="FV89" s="474"/>
      <c r="FW89" s="474"/>
      <c r="FX89" s="474"/>
      <c r="FY89" s="474"/>
      <c r="FZ89" s="474"/>
      <c r="GA89" s="474"/>
      <c r="GB89" s="474"/>
      <c r="GC89" s="474"/>
      <c r="GD89" s="474"/>
      <c r="GE89" s="474"/>
      <c r="GF89" s="474"/>
      <c r="GG89" s="474"/>
      <c r="GH89" s="474"/>
      <c r="GI89" s="474"/>
      <c r="GJ89" s="474"/>
      <c r="GK89" s="474"/>
      <c r="GL89" s="474"/>
      <c r="GM89" s="474"/>
      <c r="GN89" s="474"/>
      <c r="GO89" s="474"/>
      <c r="GP89" s="474"/>
      <c r="GQ89" s="474"/>
      <c r="GR89" s="474"/>
      <c r="GS89" s="474"/>
      <c r="GT89" s="474"/>
      <c r="GU89" s="474"/>
      <c r="GV89" s="474"/>
      <c r="GW89" s="474"/>
      <c r="GX89" s="474"/>
      <c r="GY89" s="474"/>
      <c r="GZ89" s="474"/>
      <c r="HA89" s="474"/>
      <c r="HB89" s="474"/>
      <c r="HC89" s="474"/>
      <c r="HD89" s="474"/>
      <c r="HE89" s="474"/>
      <c r="HF89" s="474"/>
      <c r="HG89" s="474"/>
      <c r="HH89" s="474"/>
      <c r="HI89" s="474"/>
      <c r="HJ89" s="474"/>
      <c r="HK89" s="474"/>
      <c r="HL89" s="474"/>
      <c r="HM89" s="474"/>
      <c r="HN89" s="474"/>
      <c r="HO89" s="474"/>
      <c r="HP89" s="474"/>
      <c r="HQ89" s="474"/>
      <c r="HR89" s="474"/>
      <c r="HS89" s="474"/>
      <c r="HT89" s="474"/>
      <c r="HU89" s="474"/>
      <c r="HV89" s="474"/>
      <c r="HW89" s="474"/>
      <c r="HX89" s="474"/>
      <c r="HY89" s="474"/>
      <c r="HZ89" s="474"/>
      <c r="IA89" s="474"/>
      <c r="IB89" s="474"/>
      <c r="IC89" s="474"/>
      <c r="ID89" s="474"/>
      <c r="IE89" s="474"/>
      <c r="IF89" s="474"/>
      <c r="IG89" s="474"/>
      <c r="IH89" s="474"/>
      <c r="II89" s="474"/>
      <c r="IJ89" s="474"/>
      <c r="IK89" s="474"/>
      <c r="IL89" s="474"/>
      <c r="IM89" s="474"/>
      <c r="IN89" s="474"/>
      <c r="IO89" s="474"/>
      <c r="IP89" s="474"/>
      <c r="JG89" s="146" t="s">
        <v>161</v>
      </c>
    </row>
    <row r="90" spans="1:278" ht="14.1" customHeight="1" x14ac:dyDescent="0.2">
      <c r="A90" s="153"/>
      <c r="B90" s="237"/>
      <c r="C90" s="237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  <c r="BJ90" s="153"/>
      <c r="BK90" s="242"/>
      <c r="BL90" s="153"/>
      <c r="BM90" s="153"/>
      <c r="BN90" s="153"/>
      <c r="BO90" s="153"/>
      <c r="BP90" s="153"/>
      <c r="BQ90" s="153"/>
      <c r="BR90" s="153"/>
      <c r="BS90" s="153"/>
      <c r="BT90" s="153"/>
      <c r="BU90" s="153"/>
      <c r="BV90" s="153"/>
      <c r="BW90" s="153"/>
      <c r="BX90" s="153"/>
      <c r="BY90" s="153"/>
      <c r="BZ90" s="153"/>
      <c r="CA90" s="153"/>
      <c r="CB90" s="153"/>
      <c r="CC90" s="153"/>
      <c r="CD90" s="153"/>
      <c r="CE90" s="153"/>
      <c r="CF90" s="242"/>
      <c r="CG90" s="242"/>
      <c r="CH90" s="242"/>
      <c r="CI90" s="242"/>
      <c r="CJ90" s="242"/>
      <c r="CK90" s="242"/>
      <c r="CL90" s="242"/>
      <c r="CM90" s="242"/>
      <c r="CN90" s="242"/>
      <c r="CO90" s="242"/>
      <c r="CP90" s="242"/>
      <c r="CQ90" s="242"/>
      <c r="CR90" s="242"/>
      <c r="CS90" s="242"/>
      <c r="CT90" s="242"/>
      <c r="CU90" s="242"/>
      <c r="CV90" s="242"/>
      <c r="CW90" s="242"/>
      <c r="CX90" s="242"/>
      <c r="CY90" s="242"/>
      <c r="CZ90" s="242"/>
      <c r="DA90" s="242"/>
      <c r="DB90" s="242"/>
      <c r="DC90" s="242"/>
      <c r="DD90" s="242"/>
      <c r="DE90" s="242"/>
      <c r="DF90" s="242"/>
      <c r="DG90" s="242"/>
      <c r="DH90" s="242"/>
      <c r="DI90" s="242"/>
      <c r="DJ90" s="242"/>
      <c r="DK90" s="242"/>
      <c r="DL90" s="242"/>
      <c r="DM90" s="242"/>
      <c r="DN90" s="242"/>
      <c r="DO90" s="242"/>
      <c r="DP90" s="242"/>
      <c r="DQ90" s="242"/>
      <c r="DR90" s="242"/>
      <c r="DS90" s="242"/>
      <c r="DT90" s="242"/>
      <c r="DU90" s="242"/>
      <c r="DV90" s="242"/>
      <c r="DW90" s="242"/>
      <c r="DX90" s="242"/>
      <c r="DY90" s="242"/>
      <c r="DZ90" s="474"/>
      <c r="EA90" s="474"/>
      <c r="EB90" s="474"/>
      <c r="EC90" s="555">
        <v>0.45</v>
      </c>
      <c r="ED90" s="555"/>
      <c r="EE90" s="490"/>
      <c r="EF90" s="474" t="s">
        <v>1</v>
      </c>
      <c r="EG90" s="556">
        <v>0.45</v>
      </c>
      <c r="EH90" s="556"/>
      <c r="EI90" s="556"/>
      <c r="EJ90" s="490" t="s">
        <v>12</v>
      </c>
      <c r="EK90" s="25"/>
      <c r="EL90" s="25"/>
      <c r="EM90" s="25"/>
      <c r="EN90" s="25"/>
      <c r="EO90" s="25"/>
      <c r="EP90" s="25"/>
      <c r="EQ90" s="25"/>
      <c r="ER90" s="25"/>
      <c r="ES90" s="25"/>
      <c r="ET90" s="25"/>
      <c r="EU90" s="25"/>
      <c r="EV90" s="25"/>
      <c r="EY90" s="473" t="str">
        <f>IF(EG63&gt;2400,"DB","RB")</f>
        <v>RB</v>
      </c>
      <c r="EZ90" s="473"/>
      <c r="FA90" s="473" t="e">
        <f>CONCATENATE(#REF!,EY92,#REF!,EY93)</f>
        <v>#REF!</v>
      </c>
      <c r="FB90" s="473"/>
      <c r="FC90" s="473"/>
      <c r="FD90" s="473"/>
      <c r="FE90" s="473"/>
      <c r="FF90" s="473"/>
      <c r="FG90" s="10">
        <v>450</v>
      </c>
      <c r="FH90" s="10"/>
      <c r="FI90" s="473"/>
      <c r="FJ90" s="26"/>
      <c r="FK90" s="181"/>
      <c r="FL90" s="181"/>
      <c r="FM90" s="474"/>
      <c r="FN90" s="474"/>
      <c r="FO90" s="474"/>
      <c r="FP90" s="474"/>
      <c r="FQ90" s="474"/>
      <c r="FR90" s="11">
        <v>0.45</v>
      </c>
      <c r="FS90" s="11"/>
      <c r="FT90" s="474"/>
      <c r="FU90" s="474"/>
      <c r="FV90" s="474"/>
      <c r="FW90" s="474"/>
      <c r="FX90" s="474"/>
      <c r="FY90" s="474"/>
      <c r="FZ90" s="474"/>
      <c r="GA90" s="474"/>
      <c r="GB90" s="474"/>
      <c r="GC90" s="474"/>
      <c r="GD90" s="474"/>
      <c r="GE90" s="474"/>
      <c r="GF90" s="474"/>
      <c r="GG90" s="474"/>
      <c r="GH90" s="474"/>
      <c r="GI90" s="474"/>
      <c r="GJ90" s="474"/>
      <c r="GK90" s="474"/>
      <c r="GL90" s="474"/>
      <c r="GM90" s="474"/>
      <c r="GN90" s="474"/>
      <c r="GO90" s="474"/>
      <c r="GP90" s="474"/>
      <c r="GQ90" s="474"/>
      <c r="GR90" s="474"/>
      <c r="GS90" s="474"/>
      <c r="GT90" s="474"/>
      <c r="GU90" s="474"/>
      <c r="GV90" s="474"/>
      <c r="GW90" s="474"/>
      <c r="GX90" s="474"/>
      <c r="GY90" s="474"/>
      <c r="GZ90" s="474"/>
      <c r="HA90" s="474"/>
      <c r="HB90" s="474"/>
      <c r="HC90" s="474"/>
      <c r="HD90" s="474"/>
      <c r="HE90" s="474"/>
      <c r="HF90" s="474"/>
      <c r="HG90" s="474"/>
      <c r="HH90" s="474"/>
      <c r="HI90" s="474"/>
      <c r="HJ90" s="474"/>
      <c r="HK90" s="474"/>
      <c r="HL90" s="474"/>
      <c r="HM90" s="474"/>
      <c r="HN90" s="474"/>
      <c r="HO90" s="474"/>
      <c r="HP90" s="474"/>
      <c r="HQ90" s="474"/>
      <c r="HR90" s="474"/>
      <c r="HS90" s="474"/>
      <c r="HT90" s="474"/>
      <c r="HU90" s="474"/>
      <c r="HV90" s="474"/>
      <c r="HW90" s="474"/>
      <c r="HX90" s="474"/>
      <c r="HY90" s="474"/>
      <c r="HZ90" s="474"/>
      <c r="IA90" s="474"/>
      <c r="IB90" s="474"/>
      <c r="IC90" s="474"/>
      <c r="ID90" s="474"/>
      <c r="IE90" s="474"/>
      <c r="IF90" s="474"/>
      <c r="IG90" s="474"/>
      <c r="IH90" s="474"/>
      <c r="II90" s="474"/>
      <c r="IJ90" s="474"/>
      <c r="IK90" s="474"/>
      <c r="IL90" s="474"/>
      <c r="IM90" s="474"/>
      <c r="IN90" s="474"/>
      <c r="IO90" s="474"/>
      <c r="IP90" s="474"/>
      <c r="JG90" s="146" t="s">
        <v>23</v>
      </c>
      <c r="JH90" s="146">
        <f>JK63+0.1</f>
        <v>0.65499999999999992</v>
      </c>
      <c r="JI90" s="146">
        <f>JH90</f>
        <v>0.65499999999999992</v>
      </c>
      <c r="JK90" s="146">
        <f>JH90</f>
        <v>0.65499999999999992</v>
      </c>
      <c r="JL90" s="146">
        <f>JL87</f>
        <v>0.85499999999999998</v>
      </c>
      <c r="JN90" s="184">
        <f>JL90</f>
        <v>0.85499999999999998</v>
      </c>
      <c r="JQ90" s="184">
        <f>JT63+0.1</f>
        <v>1.7000000000000002</v>
      </c>
      <c r="JR90" s="184">
        <f>JQ90</f>
        <v>1.7000000000000002</v>
      </c>
    </row>
    <row r="91" spans="1:278" ht="14.1" customHeight="1" x14ac:dyDescent="0.2">
      <c r="A91" s="153"/>
      <c r="B91" s="237"/>
      <c r="C91" s="237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  <c r="BJ91" s="153"/>
      <c r="BK91" s="242"/>
      <c r="BL91" s="153"/>
      <c r="BM91" s="153"/>
      <c r="BN91" s="153"/>
      <c r="BO91" s="153"/>
      <c r="BP91" s="153"/>
      <c r="BQ91" s="153"/>
      <c r="BR91" s="153"/>
      <c r="BS91" s="153"/>
      <c r="BT91" s="153"/>
      <c r="BU91" s="153"/>
      <c r="BV91" s="153"/>
      <c r="BW91" s="153"/>
      <c r="BX91" s="153"/>
      <c r="BY91" s="153"/>
      <c r="BZ91" s="153"/>
      <c r="CA91" s="153"/>
      <c r="CB91" s="153"/>
      <c r="CC91" s="153"/>
      <c r="CD91" s="153"/>
      <c r="CE91" s="153"/>
      <c r="CF91" s="242"/>
      <c r="CG91" s="242"/>
      <c r="CH91" s="242"/>
      <c r="CI91" s="242"/>
      <c r="CJ91" s="242"/>
      <c r="CK91" s="242"/>
      <c r="CL91" s="242"/>
      <c r="CM91" s="242"/>
      <c r="CN91" s="242"/>
      <c r="CO91" s="242"/>
      <c r="CP91" s="242"/>
      <c r="CQ91" s="242"/>
      <c r="CR91" s="242"/>
      <c r="CS91" s="242"/>
      <c r="CT91" s="242"/>
      <c r="CU91" s="242"/>
      <c r="CV91" s="242"/>
      <c r="CW91" s="242"/>
      <c r="CX91" s="242"/>
      <c r="CY91" s="242"/>
      <c r="CZ91" s="242"/>
      <c r="DA91" s="242"/>
      <c r="DB91" s="242"/>
      <c r="DC91" s="242"/>
      <c r="DD91" s="242"/>
      <c r="DE91" s="242"/>
      <c r="DF91" s="242"/>
      <c r="DG91" s="242"/>
      <c r="DH91" s="242"/>
      <c r="DI91" s="242"/>
      <c r="DJ91" s="242"/>
      <c r="DK91" s="242"/>
      <c r="DL91" s="242"/>
      <c r="DM91" s="242"/>
      <c r="DN91" s="242"/>
      <c r="DO91" s="242"/>
      <c r="DP91" s="242"/>
      <c r="DQ91" s="242"/>
      <c r="DR91" s="242"/>
      <c r="DS91" s="242"/>
      <c r="DT91" s="242"/>
      <c r="DU91" s="242"/>
      <c r="DV91" s="242"/>
      <c r="DW91" s="242"/>
      <c r="DX91" s="242"/>
      <c r="DY91" s="242"/>
      <c r="DZ91" s="474"/>
      <c r="EA91" s="474"/>
      <c r="EB91" s="474"/>
      <c r="EC91" s="473" t="s">
        <v>52</v>
      </c>
      <c r="ED91" s="474"/>
      <c r="EE91" s="27"/>
      <c r="EF91" s="490" t="s">
        <v>1</v>
      </c>
      <c r="EG91" s="570">
        <f>1.15*((W23*H24)+W24)</f>
        <v>1396.5599999999997</v>
      </c>
      <c r="EH91" s="570"/>
      <c r="EI91" s="570"/>
      <c r="EJ91" s="473" t="s">
        <v>13</v>
      </c>
      <c r="EL91" s="474"/>
      <c r="EM91" s="474"/>
      <c r="EN91" s="139"/>
      <c r="EO91" s="139"/>
      <c r="EP91" s="139"/>
      <c r="EQ91" s="139"/>
      <c r="ER91" s="139"/>
      <c r="ES91" s="25"/>
      <c r="ET91" s="25"/>
      <c r="EU91" s="25"/>
      <c r="EV91" s="25"/>
      <c r="EY91" s="473" t="s">
        <v>188</v>
      </c>
      <c r="EZ91" s="473"/>
      <c r="FA91" s="473" t="e">
        <f>CONCATENATE(#REF!,EY92,#REF!,EY93)</f>
        <v>#REF!</v>
      </c>
      <c r="FB91" s="473"/>
      <c r="FC91" s="473"/>
      <c r="FD91" s="473"/>
      <c r="FE91" s="473"/>
      <c r="FF91" s="473"/>
      <c r="FG91" s="473"/>
      <c r="FH91" s="473"/>
      <c r="FI91" s="473"/>
      <c r="FJ91" s="26"/>
      <c r="FK91" s="181"/>
      <c r="FL91" s="181"/>
      <c r="FM91" s="474"/>
      <c r="FN91" s="474"/>
      <c r="FO91" s="474"/>
      <c r="FP91" s="474"/>
      <c r="FQ91" s="474"/>
      <c r="FR91" s="474"/>
      <c r="FS91" s="474"/>
      <c r="FT91" s="474"/>
      <c r="FU91" s="474"/>
      <c r="FV91" s="474"/>
      <c r="FW91" s="474"/>
      <c r="FX91" s="474"/>
      <c r="FY91" s="474"/>
      <c r="FZ91" s="474"/>
      <c r="GA91" s="474"/>
      <c r="GB91" s="474"/>
      <c r="GC91" s="474"/>
      <c r="GD91" s="474"/>
      <c r="GE91" s="474"/>
      <c r="GF91" s="474"/>
      <c r="GG91" s="474"/>
      <c r="GH91" s="474"/>
      <c r="GI91" s="474"/>
      <c r="GJ91" s="474"/>
      <c r="GK91" s="474"/>
      <c r="GL91" s="474"/>
      <c r="GM91" s="474"/>
      <c r="GN91" s="474"/>
      <c r="GO91" s="474"/>
      <c r="GP91" s="474"/>
      <c r="GQ91" s="474"/>
      <c r="GR91" s="474"/>
      <c r="GS91" s="474"/>
      <c r="GT91" s="474"/>
      <c r="GU91" s="474"/>
      <c r="GV91" s="474"/>
      <c r="GW91" s="474"/>
      <c r="GX91" s="474"/>
      <c r="GY91" s="474"/>
      <c r="GZ91" s="474"/>
      <c r="HA91" s="474"/>
      <c r="HB91" s="474"/>
      <c r="HC91" s="474"/>
      <c r="HD91" s="474"/>
      <c r="HE91" s="474"/>
      <c r="HF91" s="474"/>
      <c r="HG91" s="474"/>
      <c r="HH91" s="474"/>
      <c r="HI91" s="474"/>
      <c r="HJ91" s="474"/>
      <c r="HK91" s="474"/>
      <c r="HL91" s="474"/>
      <c r="HM91" s="474"/>
      <c r="HN91" s="474"/>
      <c r="HO91" s="474"/>
      <c r="HP91" s="474"/>
      <c r="HQ91" s="474"/>
      <c r="HR91" s="474"/>
      <c r="HS91" s="474"/>
      <c r="HT91" s="474"/>
      <c r="HU91" s="474"/>
      <c r="HV91" s="474"/>
      <c r="HW91" s="474"/>
      <c r="HX91" s="474"/>
      <c r="HY91" s="474"/>
      <c r="HZ91" s="474"/>
      <c r="IA91" s="474"/>
      <c r="IB91" s="474"/>
      <c r="IC91" s="474"/>
      <c r="ID91" s="474"/>
      <c r="IE91" s="474"/>
      <c r="IF91" s="474"/>
      <c r="IG91" s="474"/>
      <c r="IH91" s="474"/>
      <c r="II91" s="474"/>
      <c r="IJ91" s="474"/>
      <c r="IK91" s="474"/>
      <c r="IL91" s="474"/>
      <c r="IM91" s="474"/>
      <c r="IN91" s="474"/>
      <c r="IO91" s="474"/>
      <c r="IP91" s="474"/>
      <c r="JG91" s="146" t="s">
        <v>24</v>
      </c>
      <c r="JH91" s="146">
        <f>JH85</f>
        <v>-0.03</v>
      </c>
      <c r="JI91" s="146">
        <f>JI85</f>
        <v>0.2</v>
      </c>
      <c r="JK91" s="146">
        <f>JI91</f>
        <v>0.2</v>
      </c>
      <c r="JL91" s="146">
        <f>JI91</f>
        <v>0.2</v>
      </c>
      <c r="JN91" s="184">
        <f>JL91</f>
        <v>0.2</v>
      </c>
      <c r="JQ91" s="184">
        <f>JQ85</f>
        <v>-4.4999999999999998E-2</v>
      </c>
      <c r="JR91" s="184">
        <f>JR85</f>
        <v>0.2</v>
      </c>
    </row>
    <row r="92" spans="1:278" ht="14.1" customHeight="1" x14ac:dyDescent="0.2">
      <c r="A92" s="153"/>
      <c r="B92" s="237"/>
      <c r="C92" s="237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  <c r="BJ92" s="153"/>
      <c r="BK92" s="242"/>
      <c r="BL92" s="153"/>
      <c r="BM92" s="153"/>
      <c r="BN92" s="153"/>
      <c r="BO92" s="153"/>
      <c r="BP92" s="153"/>
      <c r="BQ92" s="153"/>
      <c r="BR92" s="153"/>
      <c r="BS92" s="153"/>
      <c r="BT92" s="153"/>
      <c r="BU92" s="153"/>
      <c r="BV92" s="153"/>
      <c r="BW92" s="153"/>
      <c r="BX92" s="153"/>
      <c r="BY92" s="153"/>
      <c r="BZ92" s="153"/>
      <c r="CA92" s="153"/>
      <c r="CB92" s="153"/>
      <c r="CC92" s="153"/>
      <c r="CD92" s="153"/>
      <c r="CE92" s="153"/>
      <c r="CF92" s="242"/>
      <c r="CG92" s="242"/>
      <c r="CH92" s="242"/>
      <c r="CI92" s="242"/>
      <c r="CJ92" s="242"/>
      <c r="CK92" s="242"/>
      <c r="CL92" s="242"/>
      <c r="CM92" s="242"/>
      <c r="CN92" s="242"/>
      <c r="CO92" s="242"/>
      <c r="CP92" s="242"/>
      <c r="CQ92" s="242"/>
      <c r="CR92" s="242"/>
      <c r="CS92" s="242"/>
      <c r="CT92" s="242"/>
      <c r="CU92" s="242"/>
      <c r="CV92" s="242"/>
      <c r="CW92" s="242"/>
      <c r="CX92" s="242"/>
      <c r="CY92" s="242"/>
      <c r="CZ92" s="242"/>
      <c r="DA92" s="242"/>
      <c r="DB92" s="242"/>
      <c r="DC92" s="242"/>
      <c r="DD92" s="242"/>
      <c r="DE92" s="242"/>
      <c r="DF92" s="242"/>
      <c r="DG92" s="242"/>
      <c r="DH92" s="242"/>
      <c r="DI92" s="242"/>
      <c r="DJ92" s="242"/>
      <c r="DK92" s="242"/>
      <c r="DL92" s="242"/>
      <c r="DM92" s="242"/>
      <c r="DN92" s="242"/>
      <c r="DO92" s="242"/>
      <c r="DP92" s="242"/>
      <c r="DQ92" s="242"/>
      <c r="DR92" s="242"/>
      <c r="DS92" s="242"/>
      <c r="DT92" s="242"/>
      <c r="DU92" s="242"/>
      <c r="DV92" s="242"/>
      <c r="DW92" s="242"/>
      <c r="DX92" s="242"/>
      <c r="DY92" s="242"/>
      <c r="DZ92" s="474"/>
      <c r="EA92" s="474"/>
      <c r="EB92" s="474"/>
      <c r="EC92" s="1" t="s">
        <v>55</v>
      </c>
      <c r="ED92" s="474"/>
      <c r="EE92" s="474"/>
      <c r="EF92" s="474" t="s">
        <v>1</v>
      </c>
      <c r="EG92" s="559">
        <f>ROUND((H14*0.53*EG61^0.5)*100*EG76,2)</f>
        <v>3531.18</v>
      </c>
      <c r="EH92" s="559"/>
      <c r="EI92" s="559"/>
      <c r="EJ92" s="473" t="s">
        <v>13</v>
      </c>
      <c r="EK92" s="32" t="s">
        <v>166</v>
      </c>
      <c r="EL92" s="474"/>
      <c r="EM92" s="26" t="str">
        <f>IF(EG92&gt;=EG91,"Ok","Not Ok")</f>
        <v>Ok</v>
      </c>
      <c r="EN92" s="11"/>
      <c r="EO92" s="11"/>
      <c r="EP92" s="11"/>
      <c r="EQ92" s="11"/>
      <c r="ER92" s="11"/>
      <c r="ES92" s="31"/>
      <c r="ET92" s="31"/>
      <c r="EU92" s="31"/>
      <c r="EV92" s="31"/>
      <c r="EY92" s="473" t="s">
        <v>189</v>
      </c>
      <c r="EZ92" s="473"/>
      <c r="FA92" s="473" t="e">
        <f>CONCATENATE(#REF!,EY92,#REF!,EY93)</f>
        <v>#REF!</v>
      </c>
      <c r="FB92" s="473"/>
      <c r="FC92" s="473"/>
      <c r="FD92" s="473"/>
      <c r="FE92" s="473"/>
      <c r="FF92" s="473"/>
      <c r="FG92" s="473"/>
      <c r="FH92" s="473"/>
      <c r="FI92" s="473"/>
      <c r="FJ92" s="474"/>
      <c r="FK92" s="474"/>
      <c r="FL92" s="474"/>
      <c r="FM92" s="474"/>
      <c r="FN92" s="474"/>
      <c r="FO92" s="474"/>
      <c r="FP92" s="474"/>
      <c r="FQ92" s="474"/>
      <c r="FR92" s="474"/>
      <c r="FS92" s="474"/>
      <c r="FT92" s="474"/>
      <c r="FU92" s="474"/>
      <c r="FV92" s="474"/>
      <c r="FW92" s="474"/>
      <c r="FX92" s="474"/>
      <c r="FY92" s="474"/>
      <c r="FZ92" s="474"/>
      <c r="GA92" s="474"/>
      <c r="GB92" s="474"/>
      <c r="GC92" s="474"/>
      <c r="GD92" s="474"/>
      <c r="GE92" s="474"/>
      <c r="GF92" s="474"/>
      <c r="GG92" s="474"/>
      <c r="GH92" s="474"/>
      <c r="GI92" s="474"/>
      <c r="GJ92" s="474"/>
      <c r="GK92" s="474"/>
      <c r="GL92" s="474"/>
      <c r="GM92" s="474"/>
      <c r="GN92" s="474"/>
      <c r="GO92" s="474"/>
      <c r="GP92" s="474"/>
      <c r="GQ92" s="474"/>
      <c r="GR92" s="474"/>
      <c r="GS92" s="474"/>
      <c r="GT92" s="474"/>
      <c r="GU92" s="474"/>
      <c r="GV92" s="474"/>
      <c r="GW92" s="474"/>
      <c r="GX92" s="474"/>
      <c r="GY92" s="474"/>
      <c r="GZ92" s="474"/>
      <c r="HA92" s="474"/>
      <c r="HB92" s="474"/>
      <c r="HC92" s="474"/>
      <c r="HD92" s="474"/>
      <c r="HE92" s="474"/>
      <c r="HF92" s="474"/>
      <c r="HG92" s="474"/>
      <c r="HH92" s="474"/>
      <c r="HI92" s="474"/>
      <c r="HJ92" s="474"/>
      <c r="HK92" s="474"/>
      <c r="HL92" s="474"/>
      <c r="HM92" s="474"/>
      <c r="HN92" s="474"/>
      <c r="HO92" s="474"/>
      <c r="HP92" s="474"/>
      <c r="HQ92" s="474"/>
      <c r="HR92" s="474"/>
      <c r="HS92" s="474"/>
      <c r="HT92" s="474"/>
      <c r="HU92" s="474"/>
      <c r="HV92" s="474"/>
      <c r="HW92" s="474"/>
      <c r="HX92" s="474"/>
      <c r="HY92" s="474"/>
      <c r="HZ92" s="474"/>
      <c r="IA92" s="474"/>
      <c r="IB92" s="474"/>
      <c r="IC92" s="474"/>
      <c r="ID92" s="474"/>
      <c r="IE92" s="474"/>
      <c r="IF92" s="474"/>
      <c r="IG92" s="474"/>
      <c r="IH92" s="474"/>
      <c r="II92" s="474"/>
      <c r="IJ92" s="474"/>
      <c r="IK92" s="474"/>
      <c r="IL92" s="474"/>
      <c r="IM92" s="474"/>
      <c r="IN92" s="474"/>
      <c r="IO92" s="474"/>
      <c r="IP92" s="474"/>
      <c r="JG92" s="146" t="s">
        <v>162</v>
      </c>
    </row>
    <row r="93" spans="1:278" ht="14.1" customHeight="1" x14ac:dyDescent="0.2">
      <c r="A93" s="153"/>
      <c r="B93" s="237"/>
      <c r="C93" s="237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  <c r="BJ93" s="153"/>
      <c r="BK93" s="242"/>
      <c r="BL93" s="153"/>
      <c r="BM93" s="153"/>
      <c r="BN93" s="153"/>
      <c r="BO93" s="153"/>
      <c r="BP93" s="153"/>
      <c r="BQ93" s="153"/>
      <c r="BR93" s="153"/>
      <c r="BS93" s="153"/>
      <c r="BT93" s="153"/>
      <c r="BU93" s="153"/>
      <c r="BV93" s="153"/>
      <c r="BW93" s="153"/>
      <c r="BX93" s="153"/>
      <c r="BY93" s="153"/>
      <c r="BZ93" s="153"/>
      <c r="CA93" s="153"/>
      <c r="CB93" s="153"/>
      <c r="CC93" s="153"/>
      <c r="CD93" s="153"/>
      <c r="CE93" s="153"/>
      <c r="CF93" s="242"/>
      <c r="CG93" s="242"/>
      <c r="CH93" s="242"/>
      <c r="CI93" s="242"/>
      <c r="CJ93" s="242"/>
      <c r="CK93" s="242"/>
      <c r="CL93" s="242"/>
      <c r="CM93" s="242"/>
      <c r="CN93" s="242"/>
      <c r="CO93" s="242"/>
      <c r="CP93" s="242"/>
      <c r="CQ93" s="242"/>
      <c r="CR93" s="242"/>
      <c r="CS93" s="242"/>
      <c r="CT93" s="242"/>
      <c r="CU93" s="242"/>
      <c r="CV93" s="242"/>
      <c r="CW93" s="242"/>
      <c r="CX93" s="242"/>
      <c r="CY93" s="242"/>
      <c r="CZ93" s="242"/>
      <c r="DA93" s="242"/>
      <c r="DB93" s="242"/>
      <c r="DC93" s="242"/>
      <c r="DD93" s="242"/>
      <c r="DE93" s="242"/>
      <c r="DF93" s="242"/>
      <c r="DG93" s="242"/>
      <c r="DH93" s="242"/>
      <c r="DI93" s="242"/>
      <c r="DJ93" s="242"/>
      <c r="DK93" s="242"/>
      <c r="DL93" s="242"/>
      <c r="DM93" s="242"/>
      <c r="DN93" s="242"/>
      <c r="DO93" s="242"/>
      <c r="DP93" s="242"/>
      <c r="DQ93" s="242"/>
      <c r="DR93" s="242"/>
      <c r="DS93" s="242"/>
      <c r="DT93" s="242"/>
      <c r="DU93" s="242"/>
      <c r="DV93" s="242"/>
      <c r="DW93" s="242"/>
      <c r="DX93" s="242"/>
      <c r="DY93" s="242"/>
      <c r="DZ93" s="474"/>
      <c r="EA93" s="474"/>
      <c r="EB93" s="474"/>
      <c r="EY93" s="473" t="s">
        <v>190</v>
      </c>
      <c r="EZ93" s="473"/>
      <c r="FA93" s="473"/>
      <c r="FB93" s="473"/>
      <c r="FC93" s="473"/>
      <c r="FD93" s="473" t="str">
        <f>CONCATENATE(EG64,EY93)</f>
        <v>1.2 m.</v>
      </c>
      <c r="FE93" s="473"/>
      <c r="FF93" s="473"/>
      <c r="FG93" s="473"/>
      <c r="FH93" s="473"/>
      <c r="FI93" s="473"/>
      <c r="FJ93" s="474"/>
      <c r="FK93" s="474"/>
      <c r="FL93" s="474"/>
      <c r="FM93" s="474"/>
      <c r="FN93" s="474"/>
      <c r="FO93" s="474"/>
      <c r="FP93" s="474"/>
      <c r="FQ93" s="474"/>
      <c r="FR93" s="474"/>
      <c r="FS93" s="474"/>
      <c r="FT93" s="474"/>
      <c r="FU93" s="474"/>
      <c r="FV93" s="474"/>
      <c r="FW93" s="474"/>
      <c r="FX93" s="474"/>
      <c r="FY93" s="474"/>
      <c r="FZ93" s="474"/>
      <c r="GA93" s="474"/>
      <c r="GB93" s="474"/>
      <c r="GC93" s="474"/>
      <c r="GD93" s="474"/>
      <c r="GE93" s="474"/>
      <c r="GF93" s="474"/>
      <c r="GG93" s="474"/>
      <c r="GH93" s="474"/>
      <c r="GI93" s="474"/>
      <c r="GJ93" s="474"/>
      <c r="GK93" s="474"/>
      <c r="GL93" s="474"/>
      <c r="GM93" s="474"/>
      <c r="GN93" s="474"/>
      <c r="GO93" s="474"/>
      <c r="GP93" s="474"/>
      <c r="GQ93" s="474"/>
      <c r="GR93" s="474"/>
      <c r="GS93" s="474"/>
      <c r="GT93" s="474"/>
      <c r="GU93" s="474"/>
      <c r="GV93" s="474"/>
      <c r="GW93" s="474"/>
      <c r="GX93" s="474"/>
      <c r="GY93" s="474"/>
      <c r="GZ93" s="474"/>
      <c r="HA93" s="474"/>
      <c r="HB93" s="474"/>
      <c r="HC93" s="474"/>
      <c r="HD93" s="474"/>
      <c r="HE93" s="474"/>
      <c r="HF93" s="474"/>
      <c r="HG93" s="474"/>
      <c r="HH93" s="474"/>
      <c r="HI93" s="474"/>
      <c r="HJ93" s="474"/>
      <c r="HK93" s="474"/>
      <c r="HL93" s="474"/>
      <c r="HM93" s="474"/>
      <c r="HN93" s="474"/>
      <c r="HO93" s="474"/>
      <c r="HP93" s="474"/>
      <c r="HQ93" s="474"/>
      <c r="HR93" s="474"/>
      <c r="HS93" s="474"/>
      <c r="HT93" s="474"/>
      <c r="HU93" s="474"/>
      <c r="HV93" s="474"/>
      <c r="HW93" s="474"/>
      <c r="HX93" s="474"/>
      <c r="HY93" s="474"/>
      <c r="HZ93" s="474"/>
      <c r="IA93" s="474"/>
      <c r="IB93" s="474"/>
      <c r="IC93" s="474"/>
      <c r="ID93" s="474"/>
      <c r="IE93" s="474"/>
      <c r="IF93" s="474"/>
      <c r="IG93" s="474"/>
      <c r="IH93" s="474"/>
      <c r="II93" s="474"/>
      <c r="IJ93" s="474"/>
      <c r="IK93" s="474"/>
      <c r="IL93" s="474"/>
      <c r="IM93" s="474"/>
      <c r="IN93" s="474"/>
      <c r="IO93" s="474"/>
      <c r="IP93" s="474"/>
      <c r="JG93" s="146" t="s">
        <v>23</v>
      </c>
      <c r="JH93" s="146">
        <f>JL60</f>
        <v>0.8</v>
      </c>
      <c r="JI93" s="146">
        <f>JH93</f>
        <v>0.8</v>
      </c>
      <c r="JK93" s="146">
        <f>JH93</f>
        <v>0.8</v>
      </c>
      <c r="JL93" s="146">
        <f>JK93+0.1</f>
        <v>0.9</v>
      </c>
      <c r="JN93" s="184">
        <f>JL93</f>
        <v>0.9</v>
      </c>
      <c r="JQ93" s="184">
        <f>JX60</f>
        <v>0.8</v>
      </c>
      <c r="JR93" s="184">
        <f>JQ93</f>
        <v>0.8</v>
      </c>
    </row>
    <row r="94" spans="1:278" ht="14.1" customHeight="1" x14ac:dyDescent="0.2">
      <c r="A94" s="153"/>
      <c r="B94" s="237"/>
      <c r="C94" s="237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  <c r="BJ94" s="153"/>
      <c r="BK94" s="242"/>
      <c r="BL94" s="153"/>
      <c r="BM94" s="153"/>
      <c r="BN94" s="153"/>
      <c r="BO94" s="153"/>
      <c r="BP94" s="153"/>
      <c r="BQ94" s="153"/>
      <c r="BR94" s="153"/>
      <c r="BS94" s="153"/>
      <c r="BT94" s="153"/>
      <c r="BU94" s="153"/>
      <c r="BV94" s="153"/>
      <c r="BW94" s="153"/>
      <c r="BX94" s="153"/>
      <c r="BY94" s="153"/>
      <c r="BZ94" s="153"/>
      <c r="CA94" s="153"/>
      <c r="CB94" s="153"/>
      <c r="CC94" s="153"/>
      <c r="CD94" s="153"/>
      <c r="CE94" s="153"/>
      <c r="CF94" s="242"/>
      <c r="CG94" s="242"/>
      <c r="CH94" s="242"/>
      <c r="CI94" s="242"/>
      <c r="CJ94" s="242"/>
      <c r="CK94" s="242"/>
      <c r="CL94" s="242"/>
      <c r="CM94" s="242"/>
      <c r="CN94" s="242"/>
      <c r="CO94" s="242"/>
      <c r="CP94" s="242"/>
      <c r="CQ94" s="242"/>
      <c r="CR94" s="242"/>
      <c r="CS94" s="242"/>
      <c r="CT94" s="242"/>
      <c r="CU94" s="242"/>
      <c r="CV94" s="242"/>
      <c r="CW94" s="242"/>
      <c r="CX94" s="242"/>
      <c r="CY94" s="242"/>
      <c r="CZ94" s="242"/>
      <c r="DA94" s="242"/>
      <c r="DB94" s="242"/>
      <c r="DC94" s="242"/>
      <c r="DD94" s="242"/>
      <c r="DE94" s="242"/>
      <c r="DF94" s="242"/>
      <c r="DG94" s="242"/>
      <c r="DH94" s="242"/>
      <c r="DI94" s="242"/>
      <c r="DJ94" s="242"/>
      <c r="DK94" s="242"/>
      <c r="DL94" s="242"/>
      <c r="DM94" s="242"/>
      <c r="DN94" s="242"/>
      <c r="DO94" s="242"/>
      <c r="DP94" s="242"/>
      <c r="DQ94" s="242"/>
      <c r="DR94" s="242"/>
      <c r="DS94" s="242"/>
      <c r="DT94" s="242"/>
      <c r="DU94" s="242"/>
      <c r="DV94" s="242"/>
      <c r="DW94" s="242"/>
      <c r="DX94" s="242"/>
      <c r="DY94" s="242"/>
      <c r="DZ94" s="474"/>
      <c r="EA94" s="474"/>
      <c r="EB94" s="474"/>
      <c r="EK94" s="496"/>
      <c r="EL94" s="496"/>
      <c r="EM94" s="496"/>
      <c r="EN94" s="496"/>
      <c r="EO94" s="496"/>
      <c r="EP94" s="496"/>
      <c r="EQ94" s="496"/>
      <c r="ER94" s="496"/>
      <c r="ES94" s="31"/>
      <c r="ET94" s="31"/>
      <c r="EU94" s="31"/>
      <c r="EV94" s="31"/>
      <c r="EW94" s="178"/>
      <c r="EX94" s="178"/>
      <c r="EY94" s="565">
        <f>ROUND(EG67/100,3)</f>
        <v>0.1</v>
      </c>
      <c r="EZ94" s="565"/>
      <c r="FA94" s="473" t="str">
        <f>CONCATENATE(EY94,EY93)</f>
        <v>0.1 m.</v>
      </c>
      <c r="FB94" s="473"/>
      <c r="FC94" s="473"/>
      <c r="FD94" s="472"/>
      <c r="FE94" s="473"/>
      <c r="FF94" s="473"/>
      <c r="FG94" s="473"/>
      <c r="FH94" s="473"/>
      <c r="FI94" s="473"/>
      <c r="FJ94" s="474"/>
      <c r="FK94" s="474"/>
      <c r="FL94" s="474"/>
      <c r="FM94" s="474"/>
      <c r="FN94" s="474"/>
      <c r="FO94" s="474"/>
      <c r="FP94" s="474"/>
      <c r="FQ94" s="474"/>
      <c r="FR94" s="474"/>
      <c r="FS94" s="474"/>
      <c r="FT94" s="474"/>
      <c r="FU94" s="474"/>
      <c r="FV94" s="474"/>
      <c r="FW94" s="474"/>
      <c r="FX94" s="474"/>
      <c r="FY94" s="474"/>
      <c r="FZ94" s="474"/>
      <c r="GA94" s="474"/>
      <c r="GB94" s="474"/>
      <c r="GC94" s="474"/>
      <c r="GD94" s="474"/>
      <c r="GE94" s="474"/>
      <c r="GF94" s="474"/>
      <c r="GG94" s="474"/>
      <c r="GH94" s="474"/>
      <c r="GI94" s="474"/>
      <c r="GJ94" s="474"/>
      <c r="GK94" s="474"/>
      <c r="GL94" s="474"/>
      <c r="GM94" s="474"/>
      <c r="GN94" s="474"/>
      <c r="GO94" s="474"/>
      <c r="GP94" s="474"/>
      <c r="GQ94" s="474"/>
      <c r="GR94" s="474"/>
      <c r="GS94" s="474"/>
      <c r="GT94" s="474"/>
      <c r="GU94" s="474"/>
      <c r="GV94" s="474"/>
      <c r="GW94" s="474"/>
      <c r="GX94" s="474"/>
      <c r="GY94" s="474"/>
      <c r="GZ94" s="474"/>
      <c r="HA94" s="474"/>
      <c r="HB94" s="474"/>
      <c r="HC94" s="474"/>
      <c r="HD94" s="474"/>
      <c r="HE94" s="474"/>
      <c r="HF94" s="474"/>
      <c r="HG94" s="474"/>
      <c r="HH94" s="474"/>
      <c r="HI94" s="474"/>
      <c r="HJ94" s="474"/>
      <c r="HK94" s="474"/>
      <c r="HL94" s="474"/>
      <c r="HM94" s="474"/>
      <c r="HN94" s="474"/>
      <c r="HO94" s="474"/>
      <c r="HP94" s="474"/>
      <c r="HQ94" s="474"/>
      <c r="HR94" s="474"/>
      <c r="HS94" s="474"/>
      <c r="HT94" s="474"/>
      <c r="HU94" s="474"/>
      <c r="HV94" s="474"/>
      <c r="HW94" s="474"/>
      <c r="HX94" s="474"/>
      <c r="HY94" s="474"/>
      <c r="HZ94" s="474"/>
      <c r="IA94" s="474"/>
      <c r="IB94" s="474"/>
      <c r="IC94" s="474"/>
      <c r="ID94" s="474"/>
      <c r="IE94" s="474"/>
      <c r="IF94" s="474"/>
      <c r="IG94" s="474"/>
      <c r="IH94" s="474"/>
      <c r="II94" s="474"/>
      <c r="IJ94" s="474"/>
      <c r="IK94" s="474"/>
      <c r="IL94" s="474"/>
      <c r="IM94" s="474"/>
      <c r="IN94" s="474"/>
      <c r="IO94" s="474"/>
      <c r="IP94" s="474"/>
      <c r="JG94" s="146" t="s">
        <v>24</v>
      </c>
      <c r="JH94" s="146">
        <f>JL61</f>
        <v>-0.08</v>
      </c>
      <c r="JI94" s="146">
        <f>JH94-0.15</f>
        <v>-0.22999999999999998</v>
      </c>
      <c r="JK94" s="146">
        <f>JI94</f>
        <v>-0.22999999999999998</v>
      </c>
      <c r="JL94" s="146">
        <f>JI94</f>
        <v>-0.22999999999999998</v>
      </c>
      <c r="JN94" s="184">
        <f>JL94</f>
        <v>-0.22999999999999998</v>
      </c>
      <c r="JQ94" s="184">
        <f>JX61</f>
        <v>-9.5000000000000001E-2</v>
      </c>
      <c r="JR94" s="184">
        <f>JQ94-0.15+0.015</f>
        <v>-0.22999999999999998</v>
      </c>
    </row>
    <row r="95" spans="1:278" ht="14.1" customHeight="1" x14ac:dyDescent="0.2">
      <c r="A95" s="153"/>
      <c r="B95" s="237"/>
      <c r="C95" s="237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  <c r="BI95" s="153"/>
      <c r="BJ95" s="153"/>
      <c r="BK95" s="242"/>
      <c r="BL95" s="153"/>
      <c r="BM95" s="153"/>
      <c r="BN95" s="153"/>
      <c r="BO95" s="153"/>
      <c r="BP95" s="153"/>
      <c r="BQ95" s="153"/>
      <c r="BR95" s="153"/>
      <c r="BS95" s="153"/>
      <c r="BT95" s="153"/>
      <c r="BU95" s="153"/>
      <c r="BV95" s="153"/>
      <c r="BW95" s="153"/>
      <c r="BX95" s="153"/>
      <c r="BY95" s="153"/>
      <c r="BZ95" s="153"/>
      <c r="CA95" s="153"/>
      <c r="CB95" s="153"/>
      <c r="CC95" s="153"/>
      <c r="CD95" s="153"/>
      <c r="CE95" s="153"/>
      <c r="CF95" s="242"/>
      <c r="CG95" s="242"/>
      <c r="CH95" s="242"/>
      <c r="CI95" s="242"/>
      <c r="CJ95" s="242"/>
      <c r="CK95" s="242"/>
      <c r="CL95" s="242"/>
      <c r="CM95" s="242"/>
      <c r="CN95" s="242"/>
      <c r="CO95" s="242"/>
      <c r="CP95" s="242"/>
      <c r="CQ95" s="242"/>
      <c r="CR95" s="242"/>
      <c r="CS95" s="242"/>
      <c r="CT95" s="242"/>
      <c r="CU95" s="242"/>
      <c r="CV95" s="242"/>
      <c r="CW95" s="242"/>
      <c r="CX95" s="242"/>
      <c r="CY95" s="242"/>
      <c r="CZ95" s="242"/>
      <c r="DA95" s="242"/>
      <c r="DB95" s="242"/>
      <c r="DC95" s="242"/>
      <c r="DD95" s="242"/>
      <c r="DE95" s="242"/>
      <c r="DF95" s="242"/>
      <c r="DG95" s="242"/>
      <c r="DH95" s="242"/>
      <c r="DI95" s="242"/>
      <c r="DJ95" s="242"/>
      <c r="DK95" s="242"/>
      <c r="DL95" s="242"/>
      <c r="DM95" s="242"/>
      <c r="DN95" s="242"/>
      <c r="DO95" s="242"/>
      <c r="DP95" s="242"/>
      <c r="DQ95" s="242"/>
      <c r="DR95" s="242"/>
      <c r="DS95" s="242"/>
      <c r="DT95" s="242"/>
      <c r="DU95" s="242"/>
      <c r="DV95" s="242"/>
      <c r="DW95" s="242"/>
      <c r="DX95" s="242"/>
      <c r="DY95" s="242"/>
      <c r="DZ95" s="474"/>
      <c r="EA95" s="474"/>
      <c r="EB95" s="474"/>
      <c r="EW95" s="183"/>
      <c r="EX95" s="183"/>
      <c r="EY95" s="473"/>
      <c r="EZ95" s="473"/>
      <c r="FA95" s="566" t="str">
        <f>IF(FF75=0,"Cancel","L/3")</f>
        <v>L/3</v>
      </c>
      <c r="FB95" s="566"/>
      <c r="FC95" s="472" t="str">
        <f>IF(FF75=0,"L/4","L/3")</f>
        <v>L/3</v>
      </c>
      <c r="FD95" s="473"/>
      <c r="FE95" s="566" t="str">
        <f>IF(FF75=2,"L/3","L/4")</f>
        <v>L/3</v>
      </c>
      <c r="FF95" s="566"/>
      <c r="FG95" s="566" t="str">
        <f>IF(FF75=2,"L/3","Cancel")</f>
        <v>L/3</v>
      </c>
      <c r="FH95" s="566"/>
      <c r="FI95" s="473"/>
      <c r="FJ95" s="474"/>
      <c r="FK95" s="474"/>
      <c r="FL95" s="474"/>
      <c r="FM95" s="474"/>
      <c r="FN95" s="474"/>
      <c r="FO95" s="474"/>
      <c r="FP95" s="474"/>
      <c r="FQ95" s="474"/>
      <c r="FR95" s="474"/>
      <c r="FS95" s="474"/>
      <c r="FT95" s="474"/>
      <c r="FU95" s="474"/>
      <c r="FV95" s="474"/>
      <c r="FW95" s="474"/>
      <c r="FX95" s="474"/>
      <c r="FY95" s="474"/>
      <c r="FZ95" s="474"/>
      <c r="GA95" s="474"/>
      <c r="GB95" s="474"/>
      <c r="GC95" s="474"/>
      <c r="GD95" s="474"/>
      <c r="GE95" s="474"/>
      <c r="GF95" s="474"/>
      <c r="GG95" s="474"/>
      <c r="GH95" s="474"/>
      <c r="GI95" s="474"/>
      <c r="GJ95" s="474"/>
      <c r="GK95" s="474"/>
      <c r="GL95" s="474"/>
      <c r="GM95" s="474"/>
      <c r="GN95" s="474"/>
      <c r="GO95" s="474"/>
      <c r="GP95" s="474"/>
      <c r="GQ95" s="474"/>
      <c r="GR95" s="474"/>
      <c r="GS95" s="474"/>
      <c r="GT95" s="474"/>
      <c r="GU95" s="474"/>
      <c r="GV95" s="474"/>
      <c r="GW95" s="474"/>
      <c r="GX95" s="474"/>
      <c r="GY95" s="474"/>
      <c r="GZ95" s="474"/>
      <c r="HA95" s="474"/>
      <c r="HB95" s="474"/>
      <c r="HC95" s="474"/>
      <c r="HD95" s="474"/>
      <c r="HE95" s="474"/>
      <c r="HF95" s="474"/>
      <c r="HG95" s="474"/>
      <c r="HH95" s="474"/>
      <c r="HI95" s="474"/>
      <c r="HJ95" s="474"/>
      <c r="HK95" s="474"/>
      <c r="HL95" s="474"/>
      <c r="HM95" s="474"/>
      <c r="HN95" s="474"/>
      <c r="HO95" s="474"/>
      <c r="HP95" s="474"/>
      <c r="HQ95" s="474"/>
      <c r="HR95" s="474"/>
      <c r="HS95" s="474"/>
      <c r="HT95" s="474"/>
      <c r="HU95" s="474"/>
      <c r="HV95" s="474"/>
      <c r="HW95" s="474"/>
      <c r="HX95" s="474"/>
      <c r="HY95" s="474"/>
      <c r="HZ95" s="474"/>
      <c r="IA95" s="474"/>
      <c r="IB95" s="474"/>
      <c r="IC95" s="474"/>
      <c r="ID95" s="474"/>
      <c r="IE95" s="474"/>
      <c r="IF95" s="474"/>
      <c r="IG95" s="474"/>
      <c r="IH95" s="474"/>
      <c r="II95" s="474"/>
      <c r="IJ95" s="474"/>
      <c r="IK95" s="474"/>
      <c r="IL95" s="474"/>
      <c r="IM95" s="474"/>
      <c r="IN95" s="474"/>
      <c r="IO95" s="474"/>
      <c r="IP95" s="474"/>
      <c r="JG95" s="146" t="s">
        <v>163</v>
      </c>
    </row>
    <row r="96" spans="1:278" ht="14.1" customHeight="1" x14ac:dyDescent="0.2">
      <c r="A96" s="153"/>
      <c r="B96" s="237"/>
      <c r="C96" s="237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  <c r="BI96" s="153"/>
      <c r="BJ96" s="153"/>
      <c r="BK96" s="242"/>
      <c r="BL96" s="153"/>
      <c r="BM96" s="153"/>
      <c r="BN96" s="153"/>
      <c r="BO96" s="153"/>
      <c r="BP96" s="153"/>
      <c r="BQ96" s="153"/>
      <c r="BR96" s="153"/>
      <c r="BS96" s="153"/>
      <c r="BT96" s="153"/>
      <c r="BU96" s="153"/>
      <c r="BV96" s="153"/>
      <c r="BW96" s="153"/>
      <c r="BX96" s="153"/>
      <c r="BY96" s="153"/>
      <c r="BZ96" s="153"/>
      <c r="CA96" s="153"/>
      <c r="CB96" s="153"/>
      <c r="CC96" s="153"/>
      <c r="CD96" s="153"/>
      <c r="CE96" s="153"/>
      <c r="CF96" s="242"/>
      <c r="CG96" s="242"/>
      <c r="CH96" s="242"/>
      <c r="CI96" s="242"/>
      <c r="CJ96" s="242"/>
      <c r="CK96" s="242"/>
      <c r="CL96" s="242"/>
      <c r="CM96" s="242"/>
      <c r="CN96" s="242"/>
      <c r="CO96" s="242"/>
      <c r="CP96" s="242"/>
      <c r="CQ96" s="242"/>
      <c r="CR96" s="242"/>
      <c r="CS96" s="242"/>
      <c r="CT96" s="242"/>
      <c r="CU96" s="242"/>
      <c r="CV96" s="242"/>
      <c r="CW96" s="242"/>
      <c r="CX96" s="242"/>
      <c r="CY96" s="242"/>
      <c r="CZ96" s="242"/>
      <c r="DA96" s="242"/>
      <c r="DB96" s="242"/>
      <c r="DC96" s="242"/>
      <c r="DD96" s="242"/>
      <c r="DE96" s="242"/>
      <c r="DF96" s="242"/>
      <c r="DG96" s="242"/>
      <c r="DH96" s="242"/>
      <c r="DI96" s="242"/>
      <c r="DJ96" s="242"/>
      <c r="DK96" s="242"/>
      <c r="DL96" s="242"/>
      <c r="DM96" s="242"/>
      <c r="DN96" s="242"/>
      <c r="DO96" s="242"/>
      <c r="DP96" s="242"/>
      <c r="DQ96" s="242"/>
      <c r="DR96" s="242"/>
      <c r="DS96" s="242"/>
      <c r="DT96" s="242"/>
      <c r="DU96" s="242"/>
      <c r="DV96" s="242"/>
      <c r="DW96" s="242"/>
      <c r="DX96" s="242"/>
      <c r="DY96" s="242"/>
      <c r="DZ96" s="474"/>
      <c r="EA96" s="474"/>
      <c r="EB96" s="474"/>
      <c r="EW96" s="474"/>
      <c r="EX96" s="474"/>
      <c r="EY96" s="473"/>
      <c r="EZ96" s="473"/>
      <c r="FA96" s="563" t="str">
        <f>IF(FF75=0,"CANCEL","")</f>
        <v/>
      </c>
      <c r="FB96" s="563"/>
      <c r="FC96" s="563"/>
      <c r="FD96" s="473"/>
      <c r="FE96" s="473"/>
      <c r="FF96" s="567" t="str">
        <f>IF(FF75=2,"","CANCEL")</f>
        <v/>
      </c>
      <c r="FG96" s="567"/>
      <c r="FH96" s="567"/>
      <c r="FI96" s="473"/>
      <c r="FJ96" s="474"/>
      <c r="FK96" s="474"/>
      <c r="FL96" s="474"/>
      <c r="FM96" s="474"/>
      <c r="FN96" s="474"/>
      <c r="FO96" s="474"/>
      <c r="FP96" s="474"/>
      <c r="FQ96" s="474"/>
      <c r="FR96" s="474"/>
      <c r="FS96" s="474"/>
      <c r="FT96" s="474"/>
      <c r="FU96" s="474"/>
      <c r="FV96" s="474"/>
      <c r="FW96" s="474"/>
      <c r="FX96" s="474"/>
      <c r="FY96" s="474"/>
      <c r="FZ96" s="474"/>
      <c r="GA96" s="474"/>
      <c r="GB96" s="474"/>
      <c r="GC96" s="474"/>
      <c r="GD96" s="474"/>
      <c r="GE96" s="474"/>
      <c r="GF96" s="474"/>
      <c r="GG96" s="474"/>
      <c r="GH96" s="474"/>
      <c r="GI96" s="474"/>
      <c r="GJ96" s="474"/>
      <c r="GK96" s="474"/>
      <c r="GL96" s="474"/>
      <c r="GM96" s="474"/>
      <c r="GN96" s="474"/>
      <c r="GO96" s="474"/>
      <c r="GP96" s="474"/>
      <c r="GQ96" s="474"/>
      <c r="GR96" s="474"/>
      <c r="GS96" s="474"/>
      <c r="GT96" s="474"/>
      <c r="GU96" s="474"/>
      <c r="GV96" s="474"/>
      <c r="GW96" s="474"/>
      <c r="GX96" s="474"/>
      <c r="GY96" s="474"/>
      <c r="GZ96" s="474"/>
      <c r="HA96" s="474"/>
      <c r="HB96" s="474"/>
      <c r="HC96" s="474"/>
      <c r="HD96" s="474"/>
      <c r="HE96" s="474"/>
      <c r="HF96" s="474"/>
      <c r="HG96" s="474"/>
      <c r="HH96" s="474"/>
      <c r="HI96" s="474"/>
      <c r="HJ96" s="474"/>
      <c r="HK96" s="474"/>
      <c r="HL96" s="474"/>
      <c r="HM96" s="474"/>
      <c r="HN96" s="474"/>
      <c r="HO96" s="474"/>
      <c r="HP96" s="474"/>
      <c r="HQ96" s="474"/>
      <c r="HR96" s="474"/>
      <c r="HS96" s="474"/>
      <c r="HT96" s="474"/>
      <c r="HU96" s="474"/>
      <c r="HV96" s="474"/>
      <c r="HW96" s="474"/>
      <c r="HX96" s="474"/>
      <c r="HY96" s="474"/>
      <c r="HZ96" s="474"/>
      <c r="IA96" s="474"/>
      <c r="IB96" s="474"/>
      <c r="IC96" s="474"/>
      <c r="ID96" s="474"/>
      <c r="IE96" s="474"/>
      <c r="IF96" s="474"/>
      <c r="IG96" s="474"/>
      <c r="IH96" s="474"/>
      <c r="II96" s="474"/>
      <c r="IJ96" s="474"/>
      <c r="IK96" s="474"/>
      <c r="IL96" s="474"/>
      <c r="IM96" s="474"/>
      <c r="IN96" s="474"/>
      <c r="IO96" s="474"/>
      <c r="IP96" s="474"/>
      <c r="JG96" s="146" t="s">
        <v>23</v>
      </c>
      <c r="JH96" s="146">
        <f>JK60+0.1</f>
        <v>0.7</v>
      </c>
      <c r="JI96" s="146">
        <f>JH96</f>
        <v>0.7</v>
      </c>
      <c r="JK96" s="146">
        <f>JH96</f>
        <v>0.7</v>
      </c>
      <c r="JL96" s="146">
        <f>JL93</f>
        <v>0.9</v>
      </c>
      <c r="JN96" s="184">
        <f>JL96</f>
        <v>0.9</v>
      </c>
      <c r="JQ96" s="184">
        <f>JW60+0.1</f>
        <v>0.7</v>
      </c>
      <c r="JR96" s="184">
        <f>JQ96</f>
        <v>0.7</v>
      </c>
    </row>
    <row r="97" spans="1:278" ht="14.1" customHeight="1" x14ac:dyDescent="0.2">
      <c r="A97" s="153"/>
      <c r="B97" s="237"/>
      <c r="C97" s="237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  <c r="BI97" s="153"/>
      <c r="BJ97" s="153"/>
      <c r="BK97" s="242"/>
      <c r="BL97" s="153"/>
      <c r="BM97" s="153"/>
      <c r="BN97" s="153"/>
      <c r="BO97" s="153"/>
      <c r="BP97" s="153"/>
      <c r="BQ97" s="153"/>
      <c r="BR97" s="153"/>
      <c r="BS97" s="153"/>
      <c r="BT97" s="153"/>
      <c r="BU97" s="153"/>
      <c r="BV97" s="153"/>
      <c r="BW97" s="153"/>
      <c r="BX97" s="153"/>
      <c r="BY97" s="153"/>
      <c r="BZ97" s="153"/>
      <c r="CA97" s="153"/>
      <c r="CB97" s="153"/>
      <c r="CC97" s="153"/>
      <c r="CD97" s="153"/>
      <c r="CE97" s="153"/>
      <c r="CF97" s="242"/>
      <c r="CG97" s="242"/>
      <c r="CH97" s="242"/>
      <c r="CI97" s="242"/>
      <c r="CJ97" s="242"/>
      <c r="CK97" s="242"/>
      <c r="CL97" s="242"/>
      <c r="CM97" s="242"/>
      <c r="CN97" s="242"/>
      <c r="CO97" s="242"/>
      <c r="CP97" s="242"/>
      <c r="CQ97" s="242"/>
      <c r="CR97" s="242"/>
      <c r="CS97" s="242"/>
      <c r="CT97" s="242"/>
      <c r="CU97" s="242"/>
      <c r="CV97" s="242"/>
      <c r="CW97" s="242"/>
      <c r="CX97" s="242"/>
      <c r="CY97" s="242"/>
      <c r="CZ97" s="242"/>
      <c r="DA97" s="242"/>
      <c r="DB97" s="242"/>
      <c r="DC97" s="242"/>
      <c r="DD97" s="242"/>
      <c r="DE97" s="242"/>
      <c r="DF97" s="242"/>
      <c r="DG97" s="242"/>
      <c r="DH97" s="242"/>
      <c r="DI97" s="242"/>
      <c r="DJ97" s="242"/>
      <c r="DK97" s="242"/>
      <c r="DL97" s="242"/>
      <c r="DM97" s="242"/>
      <c r="DN97" s="242"/>
      <c r="DO97" s="242"/>
      <c r="DP97" s="242"/>
      <c r="DQ97" s="242"/>
      <c r="DR97" s="242"/>
      <c r="DS97" s="242"/>
      <c r="DT97" s="242"/>
      <c r="DU97" s="242"/>
      <c r="DV97" s="242"/>
      <c r="DW97" s="242"/>
      <c r="DX97" s="242"/>
      <c r="DY97" s="242"/>
      <c r="DZ97" s="474"/>
      <c r="EA97" s="474"/>
      <c r="EB97" s="474"/>
      <c r="EW97" s="474"/>
      <c r="EX97" s="474"/>
      <c r="EY97" s="474"/>
      <c r="EZ97" s="474"/>
      <c r="FA97" s="474"/>
      <c r="FB97" s="474"/>
      <c r="FC97" s="474"/>
      <c r="FD97" s="474"/>
      <c r="FE97" s="474"/>
      <c r="FF97" s="474"/>
      <c r="FG97" s="474"/>
      <c r="FH97" s="474"/>
      <c r="FI97" s="474"/>
      <c r="FJ97" s="474"/>
      <c r="FK97" s="474"/>
      <c r="FL97" s="474"/>
      <c r="FM97" s="474"/>
      <c r="FN97" s="474"/>
      <c r="FO97" s="474"/>
      <c r="FP97" s="474"/>
      <c r="FQ97" s="474"/>
      <c r="FR97" s="474"/>
      <c r="FS97" s="474"/>
      <c r="FT97" s="474"/>
      <c r="FU97" s="474"/>
      <c r="FV97" s="474"/>
      <c r="FW97" s="474"/>
      <c r="FX97" s="474"/>
      <c r="FY97" s="474"/>
      <c r="FZ97" s="474"/>
      <c r="GA97" s="474"/>
      <c r="GB97" s="474"/>
      <c r="GC97" s="474"/>
      <c r="GD97" s="474"/>
      <c r="GE97" s="474"/>
      <c r="GF97" s="474"/>
      <c r="GG97" s="474"/>
      <c r="GH97" s="474"/>
      <c r="GI97" s="474"/>
      <c r="GJ97" s="474"/>
      <c r="GK97" s="474"/>
      <c r="GL97" s="474"/>
      <c r="GM97" s="474"/>
      <c r="GN97" s="474"/>
      <c r="GO97" s="474"/>
      <c r="GP97" s="474"/>
      <c r="GQ97" s="474"/>
      <c r="GR97" s="474"/>
      <c r="GS97" s="474"/>
      <c r="GT97" s="474"/>
      <c r="GU97" s="474"/>
      <c r="GV97" s="474"/>
      <c r="GW97" s="474"/>
      <c r="GX97" s="474"/>
      <c r="GY97" s="474"/>
      <c r="GZ97" s="474"/>
      <c r="HA97" s="474"/>
      <c r="HB97" s="474"/>
      <c r="HC97" s="474"/>
      <c r="HD97" s="474"/>
      <c r="HE97" s="474"/>
      <c r="HF97" s="474"/>
      <c r="HG97" s="474"/>
      <c r="HH97" s="474"/>
      <c r="HI97" s="474"/>
      <c r="HJ97" s="474"/>
      <c r="HK97" s="474"/>
      <c r="HL97" s="474"/>
      <c r="HM97" s="474"/>
      <c r="HN97" s="474"/>
      <c r="HO97" s="474"/>
      <c r="HP97" s="474"/>
      <c r="HQ97" s="474"/>
      <c r="HR97" s="474"/>
      <c r="HS97" s="474"/>
      <c r="HT97" s="474"/>
      <c r="HU97" s="474"/>
      <c r="HV97" s="474"/>
      <c r="HW97" s="474"/>
      <c r="HX97" s="474"/>
      <c r="HY97" s="474"/>
      <c r="HZ97" s="474"/>
      <c r="IA97" s="474"/>
      <c r="IB97" s="474"/>
      <c r="IC97" s="474"/>
      <c r="ID97" s="474"/>
      <c r="IE97" s="474"/>
      <c r="IF97" s="474"/>
      <c r="IG97" s="474"/>
      <c r="IH97" s="474"/>
      <c r="II97" s="474"/>
      <c r="IJ97" s="474"/>
      <c r="IK97" s="474"/>
      <c r="IL97" s="474"/>
      <c r="IM97" s="474"/>
      <c r="IN97" s="474"/>
      <c r="IO97" s="474"/>
      <c r="IP97" s="474"/>
      <c r="JG97" s="146" t="s">
        <v>24</v>
      </c>
      <c r="JH97" s="146">
        <f>JH52</f>
        <v>-9.5000000000000001E-2</v>
      </c>
      <c r="JI97" s="146">
        <f>JH97-0.23</f>
        <v>-0.32500000000000001</v>
      </c>
      <c r="JK97" s="146">
        <f>JI97</f>
        <v>-0.32500000000000001</v>
      </c>
      <c r="JL97" s="146">
        <f>JI97</f>
        <v>-0.32500000000000001</v>
      </c>
      <c r="JN97" s="184">
        <f>JL97</f>
        <v>-0.32500000000000001</v>
      </c>
      <c r="JQ97" s="184">
        <f>JQ52</f>
        <v>-0.08</v>
      </c>
      <c r="JR97" s="184">
        <f>JQ97-0.245</f>
        <v>-0.32500000000000001</v>
      </c>
    </row>
    <row r="98" spans="1:278" ht="14.1" customHeight="1" x14ac:dyDescent="0.2">
      <c r="A98" s="153"/>
      <c r="B98" s="237"/>
      <c r="C98" s="237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  <c r="BJ98" s="153"/>
      <c r="BK98" s="242"/>
      <c r="BL98" s="153"/>
      <c r="BM98" s="153"/>
      <c r="BN98" s="153"/>
      <c r="BO98" s="153"/>
      <c r="BP98" s="153"/>
      <c r="BQ98" s="153"/>
      <c r="BR98" s="153"/>
      <c r="BS98" s="153"/>
      <c r="BT98" s="153"/>
      <c r="BU98" s="153"/>
      <c r="BV98" s="153"/>
      <c r="BW98" s="153"/>
      <c r="BX98" s="153"/>
      <c r="BY98" s="153"/>
      <c r="BZ98" s="153"/>
      <c r="CA98" s="153"/>
      <c r="CB98" s="153"/>
      <c r="CC98" s="153"/>
      <c r="CD98" s="153"/>
      <c r="CE98" s="153"/>
      <c r="CF98" s="242"/>
      <c r="CG98" s="242"/>
      <c r="CH98" s="242"/>
      <c r="CI98" s="242"/>
      <c r="CJ98" s="242"/>
      <c r="CK98" s="242"/>
      <c r="CL98" s="242"/>
      <c r="CM98" s="242"/>
      <c r="CN98" s="242"/>
      <c r="CO98" s="242"/>
      <c r="CP98" s="242"/>
      <c r="CQ98" s="242"/>
      <c r="CR98" s="242"/>
      <c r="CS98" s="242"/>
      <c r="CT98" s="242"/>
      <c r="CU98" s="242"/>
      <c r="CV98" s="242"/>
      <c r="CW98" s="242"/>
      <c r="CX98" s="242"/>
      <c r="CY98" s="242"/>
      <c r="CZ98" s="242"/>
      <c r="DA98" s="242"/>
      <c r="DB98" s="242"/>
      <c r="DC98" s="242"/>
      <c r="DD98" s="242"/>
      <c r="DE98" s="242"/>
      <c r="DF98" s="242"/>
      <c r="DG98" s="242"/>
      <c r="DH98" s="242"/>
      <c r="DI98" s="242"/>
      <c r="DJ98" s="242"/>
      <c r="DK98" s="242"/>
      <c r="DL98" s="242"/>
      <c r="DM98" s="242"/>
      <c r="DN98" s="242"/>
      <c r="DO98" s="242"/>
      <c r="DP98" s="242"/>
      <c r="DQ98" s="242"/>
      <c r="DR98" s="242"/>
      <c r="DS98" s="242"/>
      <c r="DT98" s="242"/>
      <c r="DU98" s="242"/>
      <c r="DV98" s="242"/>
      <c r="DW98" s="242"/>
      <c r="DX98" s="242"/>
      <c r="DY98" s="242"/>
      <c r="DZ98" s="474"/>
      <c r="EA98" s="474"/>
      <c r="EB98" s="474"/>
      <c r="EC98" s="31"/>
      <c r="ED98" s="31"/>
      <c r="EE98" s="31"/>
      <c r="EF98" s="31"/>
      <c r="EG98" s="207"/>
      <c r="EH98" s="207"/>
      <c r="EI98" s="207"/>
      <c r="EJ98" s="207"/>
      <c r="EK98" s="207"/>
      <c r="EL98" s="207"/>
      <c r="EM98" s="207"/>
      <c r="EN98" s="207"/>
      <c r="EO98" s="207"/>
      <c r="EP98" s="207"/>
      <c r="EQ98" s="207"/>
      <c r="ER98" s="207"/>
      <c r="ES98" s="31"/>
      <c r="ET98" s="31"/>
      <c r="EU98" s="31"/>
      <c r="EV98" s="31"/>
      <c r="EW98" s="474"/>
      <c r="EX98" s="474"/>
      <c r="EY98" s="471" t="s">
        <v>58</v>
      </c>
      <c r="EZ98" s="474"/>
      <c r="FA98" s="471" t="s">
        <v>59</v>
      </c>
      <c r="FB98" s="474"/>
      <c r="FC98" s="171" t="str">
        <f t="shared" ref="FC98:FC103" si="3">IF($F$26&gt;2400,EY98,FA98)</f>
        <v>DB12</v>
      </c>
      <c r="FD98" s="474"/>
      <c r="FE98" s="171" t="str">
        <f t="shared" ref="FE98:FE103" si="4">IF($F$29&gt;2400,EY98,FA98)</f>
        <v>RB6</v>
      </c>
      <c r="FF98" s="474"/>
      <c r="FG98" s="474"/>
      <c r="FH98" s="474"/>
      <c r="FI98" s="497"/>
      <c r="FJ98" s="497"/>
      <c r="FK98" s="497"/>
      <c r="FL98" s="474"/>
      <c r="FM98" s="474"/>
      <c r="FN98" s="474"/>
      <c r="FO98" s="474"/>
      <c r="FP98" s="474"/>
      <c r="FQ98" s="474"/>
      <c r="FR98" s="474"/>
      <c r="FS98" s="474"/>
      <c r="FT98" s="474"/>
      <c r="FU98" s="474"/>
      <c r="FV98" s="474"/>
      <c r="FW98" s="474"/>
      <c r="FX98" s="474"/>
      <c r="FY98" s="474"/>
      <c r="FZ98" s="474"/>
      <c r="GA98" s="474"/>
      <c r="GB98" s="474"/>
      <c r="GC98" s="474"/>
      <c r="GD98" s="474"/>
      <c r="GE98" s="474"/>
      <c r="GF98" s="474"/>
      <c r="GG98" s="474"/>
      <c r="GH98" s="474"/>
      <c r="GI98" s="474"/>
      <c r="GJ98" s="474"/>
      <c r="GK98" s="474"/>
      <c r="GL98" s="474"/>
      <c r="GM98" s="474"/>
      <c r="GN98" s="474"/>
      <c r="GO98" s="474"/>
      <c r="GP98" s="474"/>
      <c r="GQ98" s="474"/>
      <c r="GR98" s="474"/>
      <c r="GS98" s="474"/>
      <c r="GT98" s="474"/>
      <c r="GU98" s="474"/>
      <c r="GV98" s="474"/>
      <c r="GW98" s="474"/>
      <c r="GX98" s="474"/>
      <c r="GY98" s="474"/>
      <c r="GZ98" s="474"/>
      <c r="HA98" s="474"/>
      <c r="HB98" s="474"/>
      <c r="HC98" s="474"/>
      <c r="HD98" s="474"/>
      <c r="HE98" s="474"/>
      <c r="HF98" s="474"/>
      <c r="HG98" s="474"/>
      <c r="HH98" s="474"/>
      <c r="HI98" s="474"/>
      <c r="HJ98" s="474"/>
      <c r="HK98" s="474"/>
      <c r="HL98" s="474"/>
      <c r="HM98" s="474"/>
      <c r="HN98" s="474"/>
      <c r="HO98" s="474"/>
      <c r="HP98" s="474"/>
      <c r="HQ98" s="474"/>
      <c r="HR98" s="474"/>
      <c r="HS98" s="474"/>
      <c r="HT98" s="474"/>
      <c r="HU98" s="474"/>
      <c r="HV98" s="474"/>
      <c r="HW98" s="474"/>
      <c r="HX98" s="474"/>
      <c r="HY98" s="474"/>
      <c r="HZ98" s="474"/>
      <c r="IA98" s="474"/>
      <c r="IB98" s="474"/>
      <c r="IC98" s="474"/>
      <c r="ID98" s="474"/>
      <c r="IE98" s="474"/>
      <c r="IF98" s="474"/>
      <c r="IG98" s="474"/>
      <c r="IH98" s="474"/>
      <c r="II98" s="474"/>
      <c r="IJ98" s="474"/>
      <c r="IK98" s="474"/>
      <c r="IL98" s="474"/>
      <c r="IM98" s="474"/>
      <c r="IN98" s="474"/>
      <c r="IO98" s="474"/>
      <c r="IP98" s="474"/>
    </row>
    <row r="99" spans="1:278" ht="14.1" customHeight="1" x14ac:dyDescent="0.2">
      <c r="A99" s="153"/>
      <c r="B99" s="237"/>
      <c r="C99" s="237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  <c r="BJ99" s="153"/>
      <c r="BK99" s="242"/>
      <c r="BL99" s="153"/>
      <c r="BM99" s="153"/>
      <c r="BN99" s="153"/>
      <c r="BO99" s="153"/>
      <c r="BP99" s="153"/>
      <c r="BQ99" s="153"/>
      <c r="BR99" s="153"/>
      <c r="BS99" s="153"/>
      <c r="BT99" s="153"/>
      <c r="BU99" s="153"/>
      <c r="BV99" s="153"/>
      <c r="BW99" s="153"/>
      <c r="BX99" s="153"/>
      <c r="BY99" s="153"/>
      <c r="BZ99" s="153"/>
      <c r="CA99" s="153"/>
      <c r="CB99" s="153"/>
      <c r="CC99" s="153"/>
      <c r="CD99" s="153"/>
      <c r="CE99" s="153"/>
      <c r="CF99" s="242"/>
      <c r="CG99" s="242"/>
      <c r="CH99" s="242"/>
      <c r="CI99" s="242"/>
      <c r="CJ99" s="242"/>
      <c r="CK99" s="242"/>
      <c r="CL99" s="242"/>
      <c r="CM99" s="242"/>
      <c r="CN99" s="242"/>
      <c r="CO99" s="242"/>
      <c r="CP99" s="242"/>
      <c r="CQ99" s="242"/>
      <c r="CR99" s="242"/>
      <c r="CS99" s="242"/>
      <c r="CT99" s="242"/>
      <c r="CU99" s="242"/>
      <c r="CV99" s="242"/>
      <c r="CW99" s="242"/>
      <c r="CX99" s="242"/>
      <c r="CY99" s="242"/>
      <c r="CZ99" s="242"/>
      <c r="DA99" s="242"/>
      <c r="DB99" s="242"/>
      <c r="DC99" s="242"/>
      <c r="DD99" s="242"/>
      <c r="DE99" s="242"/>
      <c r="DF99" s="242"/>
      <c r="DG99" s="242"/>
      <c r="DH99" s="242"/>
      <c r="DI99" s="242"/>
      <c r="DJ99" s="242"/>
      <c r="DK99" s="242"/>
      <c r="DL99" s="242"/>
      <c r="DM99" s="242"/>
      <c r="DN99" s="242"/>
      <c r="DO99" s="242"/>
      <c r="DP99" s="242"/>
      <c r="DQ99" s="242"/>
      <c r="DR99" s="242"/>
      <c r="DS99" s="242"/>
      <c r="DT99" s="242"/>
      <c r="DU99" s="242"/>
      <c r="DV99" s="242"/>
      <c r="DW99" s="242"/>
      <c r="DX99" s="242"/>
      <c r="DY99" s="242"/>
      <c r="DZ99" s="474"/>
      <c r="EA99" s="474"/>
      <c r="EB99" s="474"/>
      <c r="EC99" s="207"/>
      <c r="ED99" s="207"/>
      <c r="EE99" s="207"/>
      <c r="EF99" s="207"/>
      <c r="EG99" s="207"/>
      <c r="EH99" s="207"/>
      <c r="EI99" s="207"/>
      <c r="EJ99" s="207"/>
      <c r="EK99" s="207"/>
      <c r="EL99" s="207"/>
      <c r="EM99" s="207"/>
      <c r="EN99" s="207"/>
      <c r="EO99" s="207"/>
      <c r="EP99" s="207"/>
      <c r="EQ99" s="474"/>
      <c r="ER99" s="31"/>
      <c r="ES99" s="31"/>
      <c r="ET99" s="31"/>
      <c r="EU99" s="31"/>
      <c r="EV99" s="31"/>
      <c r="EW99" s="474"/>
      <c r="EX99" s="474"/>
      <c r="EY99" s="471" t="s">
        <v>63</v>
      </c>
      <c r="EZ99" s="474"/>
      <c r="FA99" s="471" t="s">
        <v>64</v>
      </c>
      <c r="FB99" s="474"/>
      <c r="FC99" s="171" t="str">
        <f t="shared" si="3"/>
        <v>DB16</v>
      </c>
      <c r="FD99" s="474"/>
      <c r="FE99" s="171" t="str">
        <f t="shared" si="4"/>
        <v>RB9</v>
      </c>
      <c r="FF99" s="474"/>
      <c r="FG99" s="474"/>
      <c r="FH99" s="474"/>
      <c r="FI99" s="474"/>
      <c r="FJ99" s="474"/>
      <c r="FK99" s="474"/>
      <c r="FL99" s="474"/>
      <c r="FM99" s="474"/>
      <c r="FN99" s="474"/>
      <c r="FO99" s="474"/>
      <c r="FP99" s="474"/>
      <c r="FQ99" s="474"/>
      <c r="FR99" s="474"/>
      <c r="FS99" s="474"/>
      <c r="FT99" s="474"/>
      <c r="FU99" s="474"/>
      <c r="FV99" s="474"/>
      <c r="FW99" s="474"/>
      <c r="FX99" s="474"/>
      <c r="FY99" s="474"/>
      <c r="FZ99" s="474"/>
      <c r="GA99" s="474"/>
      <c r="GB99" s="474"/>
      <c r="GC99" s="474"/>
      <c r="GD99" s="474"/>
      <c r="GE99" s="474"/>
      <c r="GF99" s="474"/>
      <c r="GG99" s="474"/>
      <c r="GH99" s="474"/>
      <c r="GI99" s="474"/>
      <c r="GJ99" s="474"/>
      <c r="GK99" s="474"/>
      <c r="GL99" s="474"/>
      <c r="GM99" s="474"/>
      <c r="GN99" s="474"/>
      <c r="GO99" s="474"/>
      <c r="GP99" s="474"/>
      <c r="GQ99" s="474"/>
      <c r="GR99" s="474"/>
      <c r="GS99" s="474"/>
      <c r="GT99" s="474"/>
      <c r="GU99" s="474"/>
      <c r="GV99" s="474"/>
      <c r="GW99" s="474"/>
      <c r="GX99" s="474"/>
      <c r="GY99" s="474"/>
      <c r="GZ99" s="474"/>
      <c r="HA99" s="474"/>
      <c r="HB99" s="474"/>
      <c r="HC99" s="474"/>
      <c r="HD99" s="474"/>
      <c r="HE99" s="474"/>
      <c r="HF99" s="474"/>
      <c r="HG99" s="474"/>
      <c r="HH99" s="474"/>
      <c r="HI99" s="474"/>
      <c r="HJ99" s="474"/>
      <c r="HK99" s="474"/>
      <c r="HL99" s="474"/>
      <c r="HM99" s="474"/>
      <c r="HN99" s="474"/>
      <c r="HO99" s="474"/>
      <c r="HP99" s="474"/>
      <c r="HQ99" s="474"/>
      <c r="HR99" s="474"/>
      <c r="HS99" s="474"/>
      <c r="HT99" s="474"/>
      <c r="HU99" s="474"/>
      <c r="HV99" s="474"/>
      <c r="HW99" s="474"/>
      <c r="HX99" s="474"/>
      <c r="HY99" s="474"/>
      <c r="HZ99" s="474"/>
      <c r="IA99" s="474"/>
      <c r="IB99" s="474"/>
      <c r="IC99" s="474"/>
      <c r="ID99" s="474"/>
      <c r="IE99" s="474"/>
      <c r="IF99" s="474"/>
      <c r="IG99" s="474"/>
      <c r="IH99" s="474"/>
      <c r="II99" s="474"/>
      <c r="IJ99" s="474"/>
      <c r="IK99" s="474"/>
      <c r="IL99" s="474"/>
      <c r="IM99" s="474"/>
      <c r="IN99" s="474"/>
      <c r="IO99" s="474"/>
      <c r="IP99" s="474"/>
      <c r="JG99" s="146" t="s">
        <v>118</v>
      </c>
    </row>
    <row r="100" spans="1:278" ht="14.1" customHeight="1" x14ac:dyDescent="0.2">
      <c r="A100" s="153"/>
      <c r="B100" s="237"/>
      <c r="C100" s="237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  <c r="BJ100" s="153"/>
      <c r="BK100" s="153"/>
      <c r="BL100" s="153"/>
      <c r="BM100" s="153"/>
      <c r="BN100" s="153"/>
      <c r="BO100" s="153"/>
      <c r="BP100" s="153"/>
      <c r="BQ100" s="153"/>
      <c r="BR100" s="153"/>
      <c r="BS100" s="153"/>
      <c r="BT100" s="153"/>
      <c r="BU100" s="153"/>
      <c r="BV100" s="153"/>
      <c r="BW100" s="153"/>
      <c r="BX100" s="153"/>
      <c r="BY100" s="153"/>
      <c r="BZ100" s="153"/>
      <c r="CA100" s="153"/>
      <c r="CB100" s="153"/>
      <c r="CC100" s="153"/>
      <c r="CD100" s="153"/>
      <c r="CE100" s="153"/>
      <c r="CF100" s="153"/>
      <c r="CG100" s="153"/>
      <c r="CH100" s="153"/>
      <c r="CI100" s="153"/>
      <c r="CJ100" s="153"/>
      <c r="CK100" s="153"/>
      <c r="CL100" s="153"/>
      <c r="CM100" s="153"/>
      <c r="CN100" s="153"/>
      <c r="CO100" s="153"/>
      <c r="CP100" s="153"/>
      <c r="CQ100" s="153"/>
      <c r="CR100" s="153"/>
      <c r="CS100" s="153"/>
      <c r="CT100" s="153"/>
      <c r="CU100" s="153"/>
      <c r="CV100" s="153"/>
      <c r="CW100" s="153"/>
      <c r="CX100" s="153"/>
      <c r="CY100" s="153"/>
      <c r="CZ100" s="153"/>
      <c r="DA100" s="153"/>
      <c r="DB100" s="153"/>
      <c r="DC100" s="153"/>
      <c r="DD100" s="153"/>
      <c r="DE100" s="153"/>
      <c r="DF100" s="153"/>
      <c r="DG100" s="153"/>
      <c r="DH100" s="153"/>
      <c r="DI100" s="153"/>
      <c r="DJ100" s="153"/>
      <c r="DK100" s="153"/>
      <c r="DL100" s="153"/>
      <c r="DM100" s="153"/>
      <c r="DN100" s="153"/>
      <c r="DO100" s="153"/>
      <c r="DP100" s="153"/>
      <c r="DQ100" s="153"/>
      <c r="DR100" s="153"/>
      <c r="DS100" s="153"/>
      <c r="DT100" s="153"/>
      <c r="DU100" s="153"/>
      <c r="DV100" s="153"/>
      <c r="DW100" s="153"/>
      <c r="DX100" s="153"/>
      <c r="DY100" s="153"/>
      <c r="EC100" s="146">
        <f>AP23</f>
        <v>0</v>
      </c>
      <c r="EE100" s="564" t="b">
        <f>IF(EG101=2,EC101,IF(EG102=2,EC102,IF(EG103=2,EC103,IF(EG104=2,EC104,IF(EG105=2,EC105,IF(EG106=2,EC106,IF(EG107=2,EC107,IF(EG108=2,EC108,IF(EG109=2,EC109,IF(EG110=2,EC110,IF(EG111=2,EC111,IF(EG112=2,EC112,IF(EG113=2,EC113,IF(EG114=2,EC114,IF(EG115=2,EC115)))))))))))))))</f>
        <v>0</v>
      </c>
      <c r="EF100" s="564"/>
      <c r="EG100" s="564"/>
      <c r="EI100" s="146">
        <f>AU23</f>
        <v>0</v>
      </c>
      <c r="EK100" s="564" t="b">
        <f>IF(EM101=2,EI101,IF(EM102=2,EI102,IF(EM103=2,EI103,IF(EM104=2,EI104,IF(EM105=2,EI105,IF(EM106=2,EI106,IF(EM107=2,EI107,IF(EM108=2,EI108,IF(EM109=2,EI109,IF(EM110=2,EI110,IF(EM111=2,EI111,IF(EM112=2,EI112,IF(EM113=2,EI113,IF(EM114=2,EI114,IF(EM115=2,EI115)))))))))))))))</f>
        <v>0</v>
      </c>
      <c r="EL100" s="564"/>
      <c r="EM100" s="564"/>
      <c r="EO100" s="146">
        <f>AZ23</f>
        <v>0</v>
      </c>
      <c r="EQ100" s="564" t="b">
        <f>IF(ES101=2,EO101,IF(ES102=2,EO102,IF(ES103=2,EO103,IF(ES104=2,EO104,IF(ES105=2,EO105,IF(ES106=2,EO106,IF(ES107=2,EO107,IF(ES108=2,EO108,IF(ES109=2,EO109,IF(ES110=2,EO110,IF(ES111=2,EO111,IF(ES112=2,EO112,IF(ES113=2,EO113,IF(ES114=2,EO114,IF(ES115=2,EO115)))))))))))))))</f>
        <v>0</v>
      </c>
      <c r="ER100" s="564"/>
      <c r="ES100" s="564"/>
      <c r="ET100" s="474"/>
      <c r="EU100" s="474"/>
      <c r="EV100" s="474"/>
      <c r="EY100" s="471" t="s">
        <v>70</v>
      </c>
      <c r="EZ100" s="474"/>
      <c r="FA100" s="471" t="s">
        <v>71</v>
      </c>
      <c r="FB100" s="474"/>
      <c r="FC100" s="171" t="str">
        <f t="shared" si="3"/>
        <v>DB20</v>
      </c>
      <c r="FD100" s="474"/>
      <c r="FE100" s="171" t="str">
        <f t="shared" si="4"/>
        <v>RB12</v>
      </c>
      <c r="FF100" s="474"/>
      <c r="FG100" s="474"/>
      <c r="FH100" s="474"/>
      <c r="FI100" s="474"/>
      <c r="FJ100" s="474"/>
      <c r="FK100" s="474"/>
      <c r="FL100" s="474"/>
      <c r="FM100" s="474"/>
      <c r="FN100" s="474"/>
      <c r="FO100" s="474"/>
      <c r="FP100" s="474"/>
      <c r="FQ100" s="474"/>
      <c r="FR100" s="474"/>
      <c r="FS100" s="474"/>
      <c r="FT100" s="474"/>
      <c r="FU100" s="474"/>
      <c r="FV100" s="474"/>
      <c r="FW100" s="474"/>
      <c r="FX100" s="474"/>
      <c r="FY100" s="474"/>
      <c r="FZ100" s="474"/>
      <c r="GA100" s="474"/>
      <c r="GB100" s="474"/>
      <c r="GC100" s="474"/>
      <c r="GD100" s="474"/>
      <c r="GE100" s="474"/>
      <c r="GF100" s="474"/>
      <c r="GG100" s="474"/>
      <c r="GH100" s="474"/>
      <c r="GI100" s="474"/>
      <c r="GJ100" s="474"/>
      <c r="GK100" s="474"/>
      <c r="GL100" s="474"/>
      <c r="GM100" s="474"/>
      <c r="GN100" s="474"/>
      <c r="GO100" s="474"/>
      <c r="GP100" s="474"/>
      <c r="GQ100" s="474"/>
      <c r="GR100" s="474"/>
      <c r="GS100" s="474"/>
      <c r="GT100" s="474"/>
      <c r="GU100" s="474"/>
      <c r="GV100" s="474"/>
      <c r="GW100" s="474"/>
      <c r="GX100" s="474"/>
      <c r="GY100" s="474"/>
      <c r="GZ100" s="474"/>
      <c r="HA100" s="474"/>
      <c r="HB100" s="474"/>
      <c r="HC100" s="474"/>
      <c r="HD100" s="474"/>
      <c r="HE100" s="474"/>
      <c r="HF100" s="474"/>
      <c r="HG100" s="474"/>
      <c r="HH100" s="474"/>
      <c r="HI100" s="474"/>
      <c r="HJ100" s="474"/>
      <c r="HK100" s="474"/>
      <c r="HL100" s="474"/>
      <c r="HM100" s="474"/>
      <c r="HN100" s="474"/>
      <c r="HO100" s="474"/>
      <c r="HP100" s="474"/>
      <c r="HQ100" s="474"/>
      <c r="HR100" s="474"/>
      <c r="HS100" s="474"/>
      <c r="HT100" s="474"/>
      <c r="HU100" s="474"/>
      <c r="HV100" s="474"/>
      <c r="HW100" s="474"/>
      <c r="HX100" s="474"/>
      <c r="HY100" s="474"/>
      <c r="HZ100" s="474"/>
      <c r="IA100" s="474"/>
      <c r="IB100" s="474"/>
      <c r="IC100" s="474"/>
      <c r="ID100" s="474"/>
      <c r="IE100" s="474"/>
      <c r="IF100" s="474"/>
      <c r="IG100" s="474"/>
      <c r="IH100" s="474"/>
      <c r="JG100" s="193" t="s">
        <v>23</v>
      </c>
      <c r="JH100" s="194" t="e">
        <f>-#REF!/2</f>
        <v>#REF!</v>
      </c>
      <c r="JI100" s="194" t="e">
        <f>#REF!/2</f>
        <v>#REF!</v>
      </c>
      <c r="JJ100" s="194" t="e">
        <f>JI100</f>
        <v>#REF!</v>
      </c>
      <c r="JK100" s="194" t="e">
        <f>JH100</f>
        <v>#REF!</v>
      </c>
      <c r="JL100" s="195" t="e">
        <f>JH100</f>
        <v>#REF!</v>
      </c>
    </row>
    <row r="101" spans="1:278" ht="14.1" customHeight="1" x14ac:dyDescent="0.2">
      <c r="A101" s="153"/>
      <c r="B101" s="237"/>
      <c r="C101" s="237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  <c r="BI101" s="153"/>
      <c r="BJ101" s="153"/>
      <c r="BK101" s="153"/>
      <c r="BL101" s="153"/>
      <c r="BM101" s="153"/>
      <c r="BN101" s="153"/>
      <c r="BO101" s="153"/>
      <c r="BP101" s="153"/>
      <c r="BQ101" s="153"/>
      <c r="BR101" s="153"/>
      <c r="BS101" s="153"/>
      <c r="BT101" s="153"/>
      <c r="BU101" s="153"/>
      <c r="BV101" s="153"/>
      <c r="BW101" s="153"/>
      <c r="BX101" s="153"/>
      <c r="BY101" s="153"/>
      <c r="BZ101" s="153"/>
      <c r="CA101" s="153"/>
      <c r="CB101" s="153"/>
      <c r="CC101" s="153"/>
      <c r="CD101" s="153"/>
      <c r="CE101" s="153"/>
      <c r="CF101" s="153"/>
      <c r="CG101" s="153"/>
      <c r="CH101" s="153"/>
      <c r="CI101" s="153"/>
      <c r="CJ101" s="153"/>
      <c r="CK101" s="153"/>
      <c r="CL101" s="153"/>
      <c r="CM101" s="153"/>
      <c r="CN101" s="153"/>
      <c r="CO101" s="153"/>
      <c r="CP101" s="153"/>
      <c r="CQ101" s="153"/>
      <c r="CR101" s="153"/>
      <c r="CS101" s="153"/>
      <c r="CT101" s="153"/>
      <c r="CU101" s="153"/>
      <c r="CV101" s="153"/>
      <c r="CW101" s="153"/>
      <c r="CX101" s="153"/>
      <c r="CY101" s="153"/>
      <c r="CZ101" s="153"/>
      <c r="DA101" s="153"/>
      <c r="DB101" s="153"/>
      <c r="DC101" s="153"/>
      <c r="DD101" s="153"/>
      <c r="DE101" s="153"/>
      <c r="DF101" s="153"/>
      <c r="DG101" s="153"/>
      <c r="DH101" s="153"/>
      <c r="DI101" s="153"/>
      <c r="DJ101" s="153"/>
      <c r="DK101" s="153"/>
      <c r="DL101" s="153"/>
      <c r="DM101" s="153"/>
      <c r="DN101" s="153"/>
      <c r="DO101" s="153"/>
      <c r="DP101" s="153"/>
      <c r="DQ101" s="153"/>
      <c r="DR101" s="153"/>
      <c r="DS101" s="153"/>
      <c r="DT101" s="153"/>
      <c r="DU101" s="153"/>
      <c r="DV101" s="153"/>
      <c r="DW101" s="153"/>
      <c r="DX101" s="153"/>
      <c r="DY101" s="153"/>
      <c r="EC101" s="557">
        <v>0.1</v>
      </c>
      <c r="ED101" s="557"/>
      <c r="EE101" s="460">
        <f>IF(EG90&gt;=0.1,1,0)</f>
        <v>1</v>
      </c>
      <c r="EF101" s="460">
        <f>IF(EG90&lt;0.125,1,0)</f>
        <v>0</v>
      </c>
      <c r="EG101" s="188">
        <f>SUM(EE101:EF101)</f>
        <v>1</v>
      </c>
      <c r="EI101" s="557">
        <v>0.1</v>
      </c>
      <c r="EJ101" s="557"/>
      <c r="EK101" s="460">
        <f>IF(EK89&gt;=0.1,1,0)</f>
        <v>0</v>
      </c>
      <c r="EL101" s="460">
        <f>IF(EK89&lt;0.125,1,0)</f>
        <v>1</v>
      </c>
      <c r="EM101" s="188">
        <f>SUM(EK101:EL101)</f>
        <v>1</v>
      </c>
      <c r="EO101" s="557">
        <v>0.1</v>
      </c>
      <c r="EP101" s="557"/>
      <c r="EQ101" s="460">
        <f>IF(EO89&gt;=0.1,1,0)</f>
        <v>0</v>
      </c>
      <c r="ER101" s="460">
        <f>IF(EO89&lt;0.125,1,0)</f>
        <v>1</v>
      </c>
      <c r="ES101" s="188">
        <f>SUM(EQ101:ER101)</f>
        <v>1</v>
      </c>
      <c r="ET101" s="474"/>
      <c r="EU101" s="474"/>
      <c r="EV101" s="474"/>
      <c r="EY101" s="471" t="s">
        <v>73</v>
      </c>
      <c r="EZ101" s="474"/>
      <c r="FA101" s="471" t="s">
        <v>74</v>
      </c>
      <c r="FB101" s="474"/>
      <c r="FC101" s="171" t="str">
        <f t="shared" si="3"/>
        <v>DB25</v>
      </c>
      <c r="FD101" s="474"/>
      <c r="FE101" s="171" t="str">
        <f t="shared" si="4"/>
        <v>RB15</v>
      </c>
      <c r="FF101" s="474"/>
      <c r="FG101" s="474"/>
      <c r="FH101" s="474"/>
      <c r="FI101" s="474"/>
      <c r="FJ101" s="474"/>
      <c r="FK101" s="474"/>
      <c r="FL101" s="474"/>
      <c r="FM101" s="474"/>
      <c r="FN101" s="474"/>
      <c r="FO101" s="474"/>
      <c r="FP101" s="474"/>
      <c r="FQ101" s="474"/>
      <c r="FR101" s="474"/>
      <c r="FS101" s="474"/>
      <c r="FT101" s="474"/>
      <c r="FU101" s="474"/>
      <c r="FV101" s="474"/>
      <c r="FW101" s="474"/>
      <c r="FX101" s="474"/>
      <c r="FY101" s="474"/>
      <c r="FZ101" s="474"/>
      <c r="GA101" s="474"/>
      <c r="GB101" s="474"/>
      <c r="GC101" s="474"/>
      <c r="GD101" s="474"/>
      <c r="GE101" s="474"/>
      <c r="GF101" s="474"/>
      <c r="GG101" s="474"/>
      <c r="GH101" s="474"/>
      <c r="GI101" s="474"/>
      <c r="GJ101" s="474"/>
      <c r="GK101" s="474"/>
      <c r="GL101" s="474"/>
      <c r="GM101" s="474"/>
      <c r="GN101" s="474"/>
      <c r="GO101" s="474"/>
      <c r="GP101" s="474"/>
      <c r="GQ101" s="474"/>
      <c r="GR101" s="474"/>
      <c r="GS101" s="474"/>
      <c r="GT101" s="474"/>
      <c r="GU101" s="474"/>
      <c r="GV101" s="474"/>
      <c r="GW101" s="474"/>
      <c r="GX101" s="474"/>
      <c r="GY101" s="474"/>
      <c r="GZ101" s="474"/>
      <c r="HA101" s="474"/>
      <c r="HB101" s="474"/>
      <c r="HC101" s="474"/>
      <c r="HD101" s="474"/>
      <c r="HE101" s="474"/>
      <c r="HF101" s="474"/>
      <c r="HG101" s="474"/>
      <c r="HH101" s="474"/>
      <c r="HI101" s="474"/>
      <c r="HJ101" s="474"/>
      <c r="HK101" s="474"/>
      <c r="HL101" s="474"/>
      <c r="HM101" s="474"/>
      <c r="HN101" s="474"/>
      <c r="HO101" s="474"/>
      <c r="HP101" s="474"/>
      <c r="HQ101" s="474"/>
      <c r="HR101" s="474"/>
      <c r="HS101" s="474"/>
      <c r="HT101" s="474"/>
      <c r="HU101" s="474"/>
      <c r="HV101" s="474"/>
      <c r="HW101" s="474"/>
      <c r="HX101" s="474"/>
      <c r="HY101" s="474"/>
      <c r="HZ101" s="474"/>
      <c r="IA101" s="474"/>
      <c r="IB101" s="474"/>
      <c r="IC101" s="474"/>
      <c r="ID101" s="474"/>
      <c r="IE101" s="474"/>
      <c r="IF101" s="474"/>
      <c r="IG101" s="474"/>
      <c r="IH101" s="474"/>
      <c r="JG101" s="196" t="s">
        <v>24</v>
      </c>
      <c r="JH101" s="197" t="e">
        <f>#REF!/2</f>
        <v>#REF!</v>
      </c>
      <c r="JI101" s="197" t="e">
        <f>JH101</f>
        <v>#REF!</v>
      </c>
      <c r="JJ101" s="197" t="e">
        <f>-JH101</f>
        <v>#REF!</v>
      </c>
      <c r="JK101" s="197" t="e">
        <f>-JH101</f>
        <v>#REF!</v>
      </c>
      <c r="JL101" s="198" t="e">
        <f>JH101</f>
        <v>#REF!</v>
      </c>
    </row>
    <row r="102" spans="1:278" ht="14.1" customHeight="1" x14ac:dyDescent="0.2">
      <c r="A102" s="153"/>
      <c r="B102" s="237"/>
      <c r="C102" s="237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  <c r="BI102" s="153"/>
      <c r="BJ102" s="153"/>
      <c r="BK102" s="153"/>
      <c r="BL102" s="153"/>
      <c r="BM102" s="153"/>
      <c r="BN102" s="153"/>
      <c r="BO102" s="153"/>
      <c r="BP102" s="153"/>
      <c r="BQ102" s="153"/>
      <c r="BR102" s="153"/>
      <c r="BS102" s="153"/>
      <c r="BT102" s="153"/>
      <c r="BU102" s="153"/>
      <c r="BV102" s="153"/>
      <c r="BW102" s="153"/>
      <c r="BX102" s="153"/>
      <c r="BY102" s="153"/>
      <c r="BZ102" s="153"/>
      <c r="CA102" s="153"/>
      <c r="CB102" s="153"/>
      <c r="CC102" s="153"/>
      <c r="CD102" s="153"/>
      <c r="CE102" s="153"/>
      <c r="CF102" s="153"/>
      <c r="CG102" s="153"/>
      <c r="CH102" s="153"/>
      <c r="CI102" s="153"/>
      <c r="CJ102" s="153"/>
      <c r="CK102" s="153"/>
      <c r="CL102" s="153"/>
      <c r="CM102" s="153"/>
      <c r="CN102" s="153"/>
      <c r="CO102" s="153"/>
      <c r="CP102" s="153"/>
      <c r="CQ102" s="153"/>
      <c r="CR102" s="153"/>
      <c r="CS102" s="153"/>
      <c r="CT102" s="153"/>
      <c r="CU102" s="153"/>
      <c r="CV102" s="153"/>
      <c r="CW102" s="153"/>
      <c r="CX102" s="153"/>
      <c r="CY102" s="153"/>
      <c r="CZ102" s="153"/>
      <c r="DA102" s="153"/>
      <c r="DB102" s="153"/>
      <c r="DC102" s="153"/>
      <c r="DD102" s="153"/>
      <c r="DE102" s="153"/>
      <c r="DF102" s="153"/>
      <c r="DG102" s="153"/>
      <c r="DH102" s="153"/>
      <c r="DI102" s="153"/>
      <c r="DJ102" s="153"/>
      <c r="DK102" s="153"/>
      <c r="DL102" s="153"/>
      <c r="DM102" s="153"/>
      <c r="DN102" s="153"/>
      <c r="DO102" s="153"/>
      <c r="DP102" s="153"/>
      <c r="DQ102" s="153"/>
      <c r="DR102" s="153"/>
      <c r="DS102" s="153"/>
      <c r="DT102" s="153"/>
      <c r="DU102" s="153"/>
      <c r="DV102" s="153"/>
      <c r="DW102" s="153"/>
      <c r="DX102" s="153"/>
      <c r="DY102" s="153"/>
      <c r="EC102" s="557">
        <v>0.125</v>
      </c>
      <c r="ED102" s="557"/>
      <c r="EE102" s="460">
        <f>IF(EG90&gt;=0.125,1,0)</f>
        <v>1</v>
      </c>
      <c r="EF102" s="460">
        <f>IF(EG90&lt;0.15,1,0)</f>
        <v>0</v>
      </c>
      <c r="EG102" s="188">
        <f t="shared" ref="EG102:EG115" si="5">SUM(EE102:EF102)</f>
        <v>1</v>
      </c>
      <c r="EI102" s="557">
        <v>0.125</v>
      </c>
      <c r="EJ102" s="557"/>
      <c r="EK102" s="460">
        <f>IF(EK89&gt;=0.125,1,0)</f>
        <v>0</v>
      </c>
      <c r="EL102" s="460">
        <f>IF(EK89&lt;0.15,1,0)</f>
        <v>1</v>
      </c>
      <c r="EM102" s="188">
        <f t="shared" ref="EM102:EM115" si="6">SUM(EK102:EL102)</f>
        <v>1</v>
      </c>
      <c r="EO102" s="557">
        <v>0.125</v>
      </c>
      <c r="EP102" s="557"/>
      <c r="EQ102" s="460">
        <f>IF(EO89&gt;=0.125,1,0)</f>
        <v>0</v>
      </c>
      <c r="ER102" s="460">
        <f>IF(EO89&lt;0.15,1,0)</f>
        <v>1</v>
      </c>
      <c r="ES102" s="188">
        <f t="shared" ref="ES102:ES115" si="7">SUM(EQ102:ER102)</f>
        <v>1</v>
      </c>
      <c r="ET102" s="474"/>
      <c r="EU102" s="474"/>
      <c r="EV102" s="474"/>
      <c r="EY102" s="471" t="s">
        <v>79</v>
      </c>
      <c r="EZ102" s="474"/>
      <c r="FA102" s="471" t="s">
        <v>80</v>
      </c>
      <c r="FB102" s="474"/>
      <c r="FC102" s="171" t="str">
        <f t="shared" si="3"/>
        <v>DB28</v>
      </c>
      <c r="FD102" s="474"/>
      <c r="FE102" s="171" t="str">
        <f t="shared" si="4"/>
        <v>RB19</v>
      </c>
      <c r="FF102" s="474"/>
      <c r="FG102" s="474"/>
      <c r="FH102" s="474"/>
      <c r="FI102" s="474"/>
      <c r="FJ102" s="474"/>
      <c r="FK102" s="474"/>
      <c r="FL102" s="474"/>
      <c r="FM102" s="474"/>
      <c r="FN102" s="474"/>
      <c r="FO102" s="474"/>
      <c r="FP102" s="474"/>
      <c r="FQ102" s="474"/>
      <c r="FR102" s="474"/>
      <c r="FS102" s="474"/>
      <c r="FT102" s="474"/>
      <c r="FU102" s="474"/>
      <c r="FV102" s="474"/>
      <c r="FW102" s="474"/>
      <c r="FX102" s="474"/>
      <c r="FY102" s="474"/>
      <c r="FZ102" s="474"/>
      <c r="GA102" s="474"/>
      <c r="GB102" s="474"/>
      <c r="GC102" s="474"/>
      <c r="GD102" s="474"/>
      <c r="GE102" s="474"/>
      <c r="GF102" s="474"/>
      <c r="GG102" s="474"/>
      <c r="GH102" s="474"/>
      <c r="GI102" s="474"/>
      <c r="GJ102" s="474"/>
      <c r="GK102" s="474"/>
      <c r="GL102" s="474"/>
      <c r="GM102" s="474"/>
      <c r="GN102" s="474"/>
      <c r="GO102" s="474"/>
      <c r="GP102" s="474"/>
      <c r="GQ102" s="474"/>
      <c r="GR102" s="474"/>
      <c r="GS102" s="474"/>
      <c r="GT102" s="474"/>
      <c r="GU102" s="474"/>
      <c r="GV102" s="474"/>
      <c r="GW102" s="474"/>
      <c r="GX102" s="474"/>
      <c r="GY102" s="474"/>
      <c r="GZ102" s="474"/>
      <c r="HA102" s="474"/>
      <c r="HB102" s="474"/>
      <c r="HC102" s="474"/>
      <c r="HD102" s="474"/>
      <c r="HE102" s="474"/>
      <c r="HF102" s="474"/>
      <c r="HG102" s="474"/>
      <c r="HH102" s="474"/>
      <c r="HI102" s="474"/>
      <c r="HJ102" s="474"/>
      <c r="HK102" s="474"/>
      <c r="HL102" s="474"/>
      <c r="HM102" s="474"/>
      <c r="HN102" s="474"/>
      <c r="HO102" s="474"/>
      <c r="HP102" s="474"/>
      <c r="HQ102" s="474"/>
      <c r="HR102" s="474"/>
      <c r="HS102" s="474"/>
      <c r="HT102" s="474"/>
      <c r="HU102" s="474"/>
      <c r="HV102" s="474"/>
      <c r="HW102" s="474"/>
      <c r="HX102" s="474"/>
      <c r="HY102" s="474"/>
      <c r="HZ102" s="474"/>
      <c r="IA102" s="474"/>
      <c r="IB102" s="474"/>
      <c r="IC102" s="474"/>
      <c r="ID102" s="474"/>
      <c r="IE102" s="474"/>
      <c r="IF102" s="474"/>
      <c r="IG102" s="474"/>
      <c r="IH102" s="474"/>
      <c r="JG102" s="146" t="s">
        <v>119</v>
      </c>
      <c r="JK102" s="146" t="s">
        <v>120</v>
      </c>
    </row>
    <row r="103" spans="1:278" ht="14.1" customHeight="1" x14ac:dyDescent="0.2">
      <c r="A103" s="153"/>
      <c r="B103" s="237"/>
      <c r="C103" s="237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  <c r="BI103" s="153"/>
      <c r="BJ103" s="153"/>
      <c r="BK103" s="153"/>
      <c r="BL103" s="153"/>
      <c r="BM103" s="153"/>
      <c r="BN103" s="153"/>
      <c r="BO103" s="153"/>
      <c r="BP103" s="153"/>
      <c r="BQ103" s="153"/>
      <c r="BR103" s="153"/>
      <c r="BS103" s="153"/>
      <c r="BT103" s="153"/>
      <c r="BU103" s="153"/>
      <c r="BV103" s="153"/>
      <c r="BW103" s="153"/>
      <c r="BX103" s="153"/>
      <c r="BY103" s="153"/>
      <c r="BZ103" s="153"/>
      <c r="CA103" s="153"/>
      <c r="CB103" s="153"/>
      <c r="CC103" s="153"/>
      <c r="CD103" s="153"/>
      <c r="CE103" s="153"/>
      <c r="CF103" s="153"/>
      <c r="CG103" s="153"/>
      <c r="CH103" s="153"/>
      <c r="CI103" s="153"/>
      <c r="CJ103" s="153"/>
      <c r="CK103" s="153"/>
      <c r="CL103" s="153"/>
      <c r="CM103" s="153"/>
      <c r="CN103" s="153"/>
      <c r="CO103" s="153"/>
      <c r="CP103" s="153"/>
      <c r="CQ103" s="153"/>
      <c r="CR103" s="153"/>
      <c r="CS103" s="153"/>
      <c r="CT103" s="153"/>
      <c r="CU103" s="153"/>
      <c r="CV103" s="153"/>
      <c r="CW103" s="153"/>
      <c r="CX103" s="153"/>
      <c r="CY103" s="153"/>
      <c r="CZ103" s="153"/>
      <c r="DA103" s="153"/>
      <c r="DB103" s="153"/>
      <c r="DC103" s="153"/>
      <c r="DD103" s="153"/>
      <c r="DE103" s="153"/>
      <c r="DF103" s="153"/>
      <c r="DG103" s="153"/>
      <c r="DH103" s="153"/>
      <c r="DI103" s="153"/>
      <c r="DJ103" s="153"/>
      <c r="DK103" s="153"/>
      <c r="DL103" s="153"/>
      <c r="DM103" s="153"/>
      <c r="DN103" s="153"/>
      <c r="DO103" s="153"/>
      <c r="DP103" s="153"/>
      <c r="DQ103" s="153"/>
      <c r="DR103" s="153"/>
      <c r="DS103" s="153"/>
      <c r="DT103" s="153"/>
      <c r="DU103" s="153"/>
      <c r="DV103" s="153"/>
      <c r="DW103" s="153"/>
      <c r="DX103" s="153"/>
      <c r="DY103" s="153"/>
      <c r="EC103" s="557">
        <v>0.15</v>
      </c>
      <c r="ED103" s="557"/>
      <c r="EE103" s="460">
        <f>IF(EG90&gt;=0.15,1,0)</f>
        <v>1</v>
      </c>
      <c r="EF103" s="460">
        <f>IF(EG90&lt;0.175,1,0)</f>
        <v>0</v>
      </c>
      <c r="EG103" s="188">
        <f t="shared" si="5"/>
        <v>1</v>
      </c>
      <c r="EI103" s="557">
        <v>0.15</v>
      </c>
      <c r="EJ103" s="557"/>
      <c r="EK103" s="460">
        <f>IF(EK89&gt;=0.15,1,0)</f>
        <v>0</v>
      </c>
      <c r="EL103" s="460">
        <f>IF(EK89&lt;0.175,1,0)</f>
        <v>1</v>
      </c>
      <c r="EM103" s="188">
        <f t="shared" si="6"/>
        <v>1</v>
      </c>
      <c r="EO103" s="557">
        <v>0.15</v>
      </c>
      <c r="EP103" s="557"/>
      <c r="EQ103" s="460">
        <f>IF(EO89&gt;=0.15,1,0)</f>
        <v>0</v>
      </c>
      <c r="ER103" s="460">
        <f>IF(EO89&lt;0.175,1,0)</f>
        <v>1</v>
      </c>
      <c r="ES103" s="188">
        <f t="shared" si="7"/>
        <v>1</v>
      </c>
      <c r="ET103" s="207"/>
      <c r="EU103" s="207"/>
      <c r="EV103" s="474"/>
      <c r="EY103" s="471" t="s">
        <v>81</v>
      </c>
      <c r="EZ103" s="474"/>
      <c r="FA103" s="474" t="s">
        <v>82</v>
      </c>
      <c r="FB103" s="474"/>
      <c r="FC103" s="171" t="str">
        <f t="shared" si="3"/>
        <v>DB32</v>
      </c>
      <c r="FD103" s="171"/>
      <c r="FE103" s="171" t="str">
        <f t="shared" si="4"/>
        <v>RB25</v>
      </c>
      <c r="FF103" s="171"/>
      <c r="FG103" s="474"/>
      <c r="FH103" s="474"/>
      <c r="FI103" s="474"/>
      <c r="FJ103" s="474"/>
      <c r="FK103" s="474"/>
      <c r="FL103" s="474"/>
      <c r="FM103" s="474"/>
      <c r="FN103" s="474"/>
      <c r="FO103" s="474"/>
      <c r="FP103" s="474"/>
      <c r="FQ103" s="474"/>
      <c r="FR103" s="474"/>
      <c r="FS103" s="474"/>
      <c r="FT103" s="474"/>
      <c r="FU103" s="474"/>
      <c r="FV103" s="474"/>
      <c r="FW103" s="474"/>
      <c r="FX103" s="474"/>
      <c r="FY103" s="474"/>
      <c r="FZ103" s="474"/>
      <c r="GA103" s="474"/>
      <c r="GB103" s="474"/>
      <c r="GC103" s="474"/>
      <c r="GD103" s="474"/>
      <c r="GE103" s="474"/>
      <c r="GF103" s="474"/>
      <c r="GG103" s="474"/>
      <c r="GH103" s="474"/>
      <c r="GI103" s="474"/>
      <c r="GJ103" s="474"/>
      <c r="GK103" s="474"/>
      <c r="GL103" s="474"/>
      <c r="GM103" s="474"/>
      <c r="GN103" s="474"/>
      <c r="GO103" s="474"/>
      <c r="GP103" s="474"/>
      <c r="GQ103" s="474"/>
      <c r="GR103" s="474"/>
      <c r="GS103" s="474"/>
      <c r="GT103" s="474"/>
      <c r="GU103" s="474"/>
      <c r="GV103" s="474"/>
      <c r="GW103" s="474"/>
      <c r="GX103" s="474"/>
      <c r="GY103" s="474"/>
      <c r="GZ103" s="474"/>
      <c r="HA103" s="474"/>
      <c r="HB103" s="474"/>
      <c r="HC103" s="474"/>
      <c r="HD103" s="474"/>
      <c r="HE103" s="474"/>
      <c r="HF103" s="474"/>
      <c r="HG103" s="474"/>
      <c r="HH103" s="474"/>
      <c r="HI103" s="474"/>
      <c r="HJ103" s="474"/>
      <c r="HK103" s="474"/>
      <c r="HL103" s="474"/>
      <c r="HM103" s="474"/>
      <c r="HN103" s="474"/>
      <c r="HO103" s="474"/>
      <c r="HP103" s="474"/>
      <c r="HQ103" s="474"/>
      <c r="HR103" s="474"/>
      <c r="HS103" s="474"/>
      <c r="HT103" s="474"/>
      <c r="HU103" s="474"/>
      <c r="HV103" s="474"/>
      <c r="HW103" s="474"/>
      <c r="HX103" s="474"/>
      <c r="HY103" s="474"/>
      <c r="HZ103" s="474"/>
      <c r="IA103" s="474"/>
      <c r="IB103" s="474"/>
      <c r="IC103" s="474"/>
      <c r="ID103" s="474"/>
      <c r="IE103" s="474"/>
      <c r="IF103" s="474"/>
      <c r="IG103" s="474"/>
      <c r="IH103" s="474"/>
      <c r="JG103" s="193" t="s">
        <v>23</v>
      </c>
      <c r="JH103" s="194" t="e">
        <f>IF(H24=4,0,IF(H24=7,0,IF(H24=9,0,JH100-0.2)))</f>
        <v>#REF!</v>
      </c>
      <c r="JI103" s="195" t="e">
        <f>JH103</f>
        <v>#REF!</v>
      </c>
      <c r="JK103" s="193" t="s">
        <v>23</v>
      </c>
      <c r="JL103" s="194">
        <f>IF(H24=1,JI100+0.2,IF(H24=2,JI100+0.2,IF(H24=6,JI100+0.2,0)))</f>
        <v>0</v>
      </c>
      <c r="JM103" s="195">
        <f>JL103</f>
        <v>0</v>
      </c>
    </row>
    <row r="104" spans="1:278" ht="14.1" customHeight="1" x14ac:dyDescent="0.2">
      <c r="A104" s="153"/>
      <c r="B104" s="237"/>
      <c r="C104" s="237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  <c r="BI104" s="153"/>
      <c r="BJ104" s="153"/>
      <c r="BK104" s="153"/>
      <c r="BL104" s="153"/>
      <c r="BM104" s="153"/>
      <c r="BN104" s="153"/>
      <c r="BO104" s="153"/>
      <c r="BP104" s="153"/>
      <c r="BQ104" s="153"/>
      <c r="BR104" s="153"/>
      <c r="BS104" s="153"/>
      <c r="BT104" s="153"/>
      <c r="BU104" s="153"/>
      <c r="BV104" s="153"/>
      <c r="BW104" s="153"/>
      <c r="BX104" s="153"/>
      <c r="BY104" s="153"/>
      <c r="BZ104" s="153"/>
      <c r="CA104" s="153"/>
      <c r="CB104" s="153"/>
      <c r="CC104" s="153"/>
      <c r="CD104" s="153"/>
      <c r="CE104" s="153"/>
      <c r="CF104" s="153"/>
      <c r="CG104" s="153"/>
      <c r="CH104" s="153"/>
      <c r="CI104" s="153"/>
      <c r="CJ104" s="153"/>
      <c r="CK104" s="153"/>
      <c r="CL104" s="153"/>
      <c r="CM104" s="153"/>
      <c r="CN104" s="153"/>
      <c r="CO104" s="153"/>
      <c r="CP104" s="153"/>
      <c r="CQ104" s="153"/>
      <c r="CR104" s="153"/>
      <c r="CS104" s="153"/>
      <c r="CT104" s="153"/>
      <c r="CU104" s="153"/>
      <c r="CV104" s="153"/>
      <c r="CW104" s="153"/>
      <c r="CX104" s="153"/>
      <c r="CY104" s="153"/>
      <c r="CZ104" s="153"/>
      <c r="DA104" s="153"/>
      <c r="DB104" s="153"/>
      <c r="DC104" s="153"/>
      <c r="DD104" s="153"/>
      <c r="DE104" s="153"/>
      <c r="DF104" s="153"/>
      <c r="DG104" s="153"/>
      <c r="DH104" s="153"/>
      <c r="DI104" s="153"/>
      <c r="DJ104" s="153"/>
      <c r="DK104" s="153"/>
      <c r="DL104" s="153"/>
      <c r="DM104" s="153"/>
      <c r="DN104" s="153"/>
      <c r="DO104" s="153"/>
      <c r="DP104" s="153"/>
      <c r="DQ104" s="153"/>
      <c r="DR104" s="153"/>
      <c r="DS104" s="153"/>
      <c r="DT104" s="153"/>
      <c r="DU104" s="153"/>
      <c r="DV104" s="153"/>
      <c r="DW104" s="153"/>
      <c r="DX104" s="153"/>
      <c r="DY104" s="153"/>
      <c r="EC104" s="557">
        <v>0.17499999999999999</v>
      </c>
      <c r="ED104" s="557"/>
      <c r="EE104" s="460">
        <f>IF(EG90&gt;=0.175,1,0)</f>
        <v>1</v>
      </c>
      <c r="EF104" s="460">
        <f>IF(EG90&lt;0.2,1,0)</f>
        <v>0</v>
      </c>
      <c r="EG104" s="188">
        <f t="shared" si="5"/>
        <v>1</v>
      </c>
      <c r="EI104" s="557">
        <v>0.17499999999999999</v>
      </c>
      <c r="EJ104" s="557"/>
      <c r="EK104" s="460">
        <f>IF(EK89&gt;=0.175,1,0)</f>
        <v>0</v>
      </c>
      <c r="EL104" s="460">
        <f>IF(EK89&lt;0.2,1,0)</f>
        <v>1</v>
      </c>
      <c r="EM104" s="188">
        <f t="shared" si="6"/>
        <v>1</v>
      </c>
      <c r="EO104" s="557">
        <v>0.17499999999999999</v>
      </c>
      <c r="EP104" s="557"/>
      <c r="EQ104" s="460">
        <f>IF(EO89&gt;=0.175,1,0)</f>
        <v>0</v>
      </c>
      <c r="ER104" s="460">
        <f>IF(EO89&lt;0.2,1,0)</f>
        <v>1</v>
      </c>
      <c r="ES104" s="188">
        <f t="shared" si="7"/>
        <v>1</v>
      </c>
      <c r="ET104" s="207"/>
      <c r="EU104" s="207"/>
      <c r="EV104" s="474"/>
      <c r="EY104" s="474"/>
      <c r="EZ104" s="474"/>
      <c r="FA104" s="474"/>
      <c r="FB104" s="474"/>
      <c r="FC104" s="474"/>
      <c r="FD104" s="474"/>
      <c r="FE104" s="474"/>
      <c r="FF104" s="474"/>
      <c r="FG104" s="474"/>
      <c r="FH104" s="474"/>
      <c r="FI104" s="474"/>
      <c r="FJ104" s="474"/>
      <c r="FK104" s="474"/>
      <c r="FL104" s="474"/>
      <c r="FM104" s="474"/>
      <c r="FN104" s="474"/>
      <c r="FO104" s="474"/>
      <c r="FP104" s="474"/>
      <c r="FQ104" s="474"/>
      <c r="FR104" s="474"/>
      <c r="FS104" s="474"/>
      <c r="FT104" s="474"/>
      <c r="FU104" s="474"/>
      <c r="FV104" s="474"/>
      <c r="FW104" s="474"/>
      <c r="FX104" s="474"/>
      <c r="FY104" s="474"/>
      <c r="FZ104" s="474"/>
      <c r="GA104" s="474"/>
      <c r="GB104" s="474"/>
      <c r="GC104" s="474"/>
      <c r="GD104" s="474"/>
      <c r="GE104" s="474"/>
      <c r="GF104" s="474"/>
      <c r="GG104" s="474"/>
      <c r="GH104" s="474"/>
      <c r="GI104" s="474"/>
      <c r="GJ104" s="474"/>
      <c r="GK104" s="474"/>
      <c r="GL104" s="474"/>
      <c r="GM104" s="474"/>
      <c r="GN104" s="474"/>
      <c r="GO104" s="474"/>
      <c r="GP104" s="474"/>
      <c r="GQ104" s="474"/>
      <c r="GR104" s="474"/>
      <c r="GS104" s="474"/>
      <c r="GT104" s="474"/>
      <c r="GU104" s="474"/>
      <c r="GV104" s="474"/>
      <c r="GW104" s="474"/>
      <c r="GX104" s="474"/>
      <c r="GY104" s="474"/>
      <c r="GZ104" s="474"/>
      <c r="HA104" s="474"/>
      <c r="HB104" s="474"/>
      <c r="HC104" s="474"/>
      <c r="HD104" s="474"/>
      <c r="HE104" s="474"/>
      <c r="HF104" s="474"/>
      <c r="HG104" s="474"/>
      <c r="HH104" s="474"/>
      <c r="HI104" s="474"/>
      <c r="HJ104" s="474"/>
      <c r="HK104" s="474"/>
      <c r="HL104" s="474"/>
      <c r="HM104" s="474"/>
      <c r="HN104" s="474"/>
      <c r="HO104" s="474"/>
      <c r="HP104" s="474"/>
      <c r="HQ104" s="474"/>
      <c r="HR104" s="474"/>
      <c r="HS104" s="474"/>
      <c r="HT104" s="474"/>
      <c r="HU104" s="474"/>
      <c r="HV104" s="474"/>
      <c r="HW104" s="474"/>
      <c r="HX104" s="474"/>
      <c r="HY104" s="474"/>
      <c r="HZ104" s="474"/>
      <c r="IA104" s="474"/>
      <c r="IB104" s="474"/>
      <c r="IC104" s="474"/>
      <c r="ID104" s="474"/>
      <c r="IE104" s="474"/>
      <c r="IF104" s="474"/>
      <c r="IG104" s="474"/>
      <c r="IH104" s="474"/>
      <c r="JG104" s="196" t="s">
        <v>24</v>
      </c>
      <c r="JH104" s="199" t="e">
        <f>IF(H24=4,0,IF(H24=7,0,IF(H24=9,0,JH101)))</f>
        <v>#REF!</v>
      </c>
      <c r="JI104" s="200" t="e">
        <f>IF(H24=4,0,IF(H24=7,0,IF(H24=9,0,JJ101)))</f>
        <v>#REF!</v>
      </c>
      <c r="JK104" s="196" t="s">
        <v>24</v>
      </c>
      <c r="JL104" s="199">
        <f>IF(H24=1,JH101,IF(H24=2,JH101,IF(H24=6,JH101,0)))</f>
        <v>0</v>
      </c>
      <c r="JM104" s="200">
        <f>IF(H24=1,JJ101,IF(H24=2,JJ101,IF(H24=6,JJ101,0)))</f>
        <v>0</v>
      </c>
    </row>
    <row r="105" spans="1:278" ht="14.1" customHeight="1" x14ac:dyDescent="0.2">
      <c r="A105" s="153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  <c r="BI105" s="153"/>
      <c r="BJ105" s="153"/>
      <c r="BK105" s="153"/>
      <c r="BL105" s="153"/>
      <c r="BM105" s="153"/>
      <c r="BN105" s="153"/>
      <c r="BO105" s="153"/>
      <c r="BP105" s="153"/>
      <c r="BQ105" s="153"/>
      <c r="BR105" s="153"/>
      <c r="BS105" s="153"/>
      <c r="BT105" s="153"/>
      <c r="BU105" s="153"/>
      <c r="BV105" s="153"/>
      <c r="BW105" s="153"/>
      <c r="BX105" s="153"/>
      <c r="BY105" s="153"/>
      <c r="BZ105" s="153"/>
      <c r="CA105" s="153"/>
      <c r="CB105" s="153"/>
      <c r="CC105" s="153"/>
      <c r="CD105" s="153"/>
      <c r="CE105" s="153"/>
      <c r="CF105" s="153"/>
      <c r="CG105" s="153"/>
      <c r="CH105" s="153"/>
      <c r="CI105" s="153"/>
      <c r="CJ105" s="153"/>
      <c r="CK105" s="153"/>
      <c r="CL105" s="153"/>
      <c r="CM105" s="153"/>
      <c r="CN105" s="153"/>
      <c r="CO105" s="153"/>
      <c r="CP105" s="153"/>
      <c r="CQ105" s="153"/>
      <c r="CR105" s="153"/>
      <c r="CS105" s="153"/>
      <c r="CT105" s="153"/>
      <c r="CU105" s="153"/>
      <c r="CV105" s="153"/>
      <c r="CW105" s="153"/>
      <c r="CX105" s="153"/>
      <c r="CY105" s="153"/>
      <c r="CZ105" s="153"/>
      <c r="DA105" s="153"/>
      <c r="DB105" s="153"/>
      <c r="DC105" s="153"/>
      <c r="DD105" s="153"/>
      <c r="DE105" s="153"/>
      <c r="DF105" s="153"/>
      <c r="DG105" s="153"/>
      <c r="DH105" s="153"/>
      <c r="DI105" s="153"/>
      <c r="DJ105" s="153"/>
      <c r="DK105" s="153"/>
      <c r="DL105" s="153"/>
      <c r="DM105" s="153"/>
      <c r="DN105" s="153"/>
      <c r="DO105" s="153"/>
      <c r="DP105" s="153"/>
      <c r="DQ105" s="153"/>
      <c r="DR105" s="153"/>
      <c r="DS105" s="153"/>
      <c r="DT105" s="153"/>
      <c r="DU105" s="153"/>
      <c r="DV105" s="153"/>
      <c r="DW105" s="153"/>
      <c r="DX105" s="153"/>
      <c r="DY105" s="153"/>
      <c r="EC105" s="557">
        <v>0.2</v>
      </c>
      <c r="ED105" s="557"/>
      <c r="EE105" s="460">
        <f>IF(EG90&gt;=0.2,1,0)</f>
        <v>1</v>
      </c>
      <c r="EF105" s="460">
        <f>IF(EG90&lt;0.225,1,0)</f>
        <v>0</v>
      </c>
      <c r="EG105" s="188">
        <f t="shared" si="5"/>
        <v>1</v>
      </c>
      <c r="EI105" s="557">
        <v>0.2</v>
      </c>
      <c r="EJ105" s="557"/>
      <c r="EK105" s="460">
        <f>IF(EK89&gt;=0.2,1,0)</f>
        <v>0</v>
      </c>
      <c r="EL105" s="460">
        <f>IF(EK89&lt;0.225,1,0)</f>
        <v>1</v>
      </c>
      <c r="EM105" s="188">
        <f t="shared" si="6"/>
        <v>1</v>
      </c>
      <c r="EO105" s="557">
        <v>0.2</v>
      </c>
      <c r="EP105" s="557"/>
      <c r="EQ105" s="460">
        <f>IF(EO89&gt;=0.2,1,0)</f>
        <v>0</v>
      </c>
      <c r="ER105" s="460">
        <f>IF(EO89&lt;0.225,1,0)</f>
        <v>1</v>
      </c>
      <c r="ES105" s="188">
        <f t="shared" si="7"/>
        <v>1</v>
      </c>
      <c r="ET105" s="207"/>
      <c r="EU105" s="207"/>
      <c r="EV105" s="474"/>
      <c r="EY105" s="474"/>
      <c r="EZ105" s="474"/>
      <c r="FA105" s="474"/>
      <c r="FB105" s="474"/>
      <c r="FC105" s="474"/>
      <c r="FD105" s="474"/>
      <c r="FE105" s="474"/>
      <c r="FF105" s="474"/>
      <c r="FG105" s="474"/>
      <c r="FH105" s="474"/>
      <c r="FI105" s="474"/>
      <c r="FJ105" s="474"/>
      <c r="FK105" s="474"/>
      <c r="FL105" s="474"/>
      <c r="FM105" s="474"/>
      <c r="FN105" s="474"/>
      <c r="FO105" s="474"/>
      <c r="FP105" s="474"/>
      <c r="FQ105" s="474"/>
      <c r="FR105" s="474"/>
      <c r="FS105" s="474"/>
      <c r="FT105" s="474"/>
      <c r="FU105" s="474"/>
      <c r="FV105" s="474"/>
      <c r="FW105" s="474"/>
      <c r="FX105" s="474"/>
      <c r="FY105" s="474"/>
      <c r="FZ105" s="474"/>
      <c r="GA105" s="474"/>
      <c r="GB105" s="474"/>
      <c r="GC105" s="474"/>
      <c r="GD105" s="474"/>
      <c r="GE105" s="474"/>
      <c r="GF105" s="474"/>
      <c r="GG105" s="474"/>
      <c r="GH105" s="474"/>
      <c r="GI105" s="474"/>
      <c r="GJ105" s="474"/>
      <c r="GK105" s="474"/>
      <c r="GL105" s="474"/>
      <c r="GM105" s="474"/>
      <c r="GN105" s="474"/>
      <c r="GO105" s="474"/>
      <c r="GP105" s="474"/>
      <c r="GQ105" s="474"/>
      <c r="GR105" s="474"/>
      <c r="GS105" s="474"/>
      <c r="GT105" s="474"/>
      <c r="GU105" s="474"/>
      <c r="GV105" s="474"/>
      <c r="GW105" s="474"/>
      <c r="GX105" s="474"/>
      <c r="GY105" s="474"/>
      <c r="GZ105" s="474"/>
      <c r="HA105" s="474"/>
      <c r="HB105" s="474"/>
      <c r="HC105" s="474"/>
      <c r="HD105" s="474"/>
      <c r="HE105" s="474"/>
      <c r="HF105" s="474"/>
      <c r="HG105" s="474"/>
      <c r="HH105" s="474"/>
      <c r="HI105" s="474"/>
      <c r="HJ105" s="474"/>
      <c r="HK105" s="474"/>
      <c r="HL105" s="474"/>
      <c r="HM105" s="474"/>
      <c r="HN105" s="474"/>
      <c r="HO105" s="474"/>
      <c r="HP105" s="474"/>
      <c r="HQ105" s="474"/>
      <c r="HR105" s="474"/>
      <c r="HS105" s="474"/>
      <c r="HT105" s="474"/>
      <c r="HU105" s="474"/>
      <c r="HV105" s="474"/>
      <c r="HW105" s="474"/>
      <c r="HX105" s="474"/>
      <c r="HY105" s="474"/>
      <c r="HZ105" s="474"/>
      <c r="IA105" s="474"/>
      <c r="IB105" s="474"/>
      <c r="IC105" s="474"/>
      <c r="ID105" s="474"/>
      <c r="IE105" s="474"/>
      <c r="IF105" s="474"/>
      <c r="IG105" s="474"/>
      <c r="IH105" s="474"/>
      <c r="JG105" s="146" t="s">
        <v>121</v>
      </c>
      <c r="JK105" s="146" t="s">
        <v>122</v>
      </c>
    </row>
    <row r="106" spans="1:278" ht="14.1" customHeight="1" x14ac:dyDescent="0.2">
      <c r="A106" s="242"/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  <c r="X106" s="242"/>
      <c r="Y106" s="242"/>
      <c r="Z106" s="242"/>
      <c r="AA106" s="242"/>
      <c r="AB106" s="242"/>
      <c r="AC106" s="242"/>
      <c r="AD106" s="242"/>
      <c r="AE106" s="242"/>
      <c r="AF106" s="242"/>
      <c r="AG106" s="242"/>
      <c r="AH106" s="242"/>
      <c r="AI106" s="242"/>
      <c r="AJ106" s="242"/>
      <c r="AK106" s="242"/>
      <c r="AL106" s="242"/>
      <c r="AM106" s="242"/>
      <c r="AN106" s="242"/>
      <c r="AO106" s="242"/>
      <c r="AP106" s="242"/>
      <c r="AQ106" s="242"/>
      <c r="AR106" s="242"/>
      <c r="AS106" s="45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  <c r="BI106" s="153"/>
      <c r="BJ106" s="153"/>
      <c r="BK106" s="153"/>
      <c r="BL106" s="153"/>
      <c r="BM106" s="153"/>
      <c r="BN106" s="153"/>
      <c r="BO106" s="153"/>
      <c r="BP106" s="153"/>
      <c r="BQ106" s="153"/>
      <c r="BR106" s="153"/>
      <c r="BS106" s="153"/>
      <c r="BT106" s="153"/>
      <c r="BU106" s="153"/>
      <c r="BV106" s="153"/>
      <c r="BW106" s="153"/>
      <c r="BX106" s="153"/>
      <c r="BY106" s="153"/>
      <c r="BZ106" s="153"/>
      <c r="CA106" s="153"/>
      <c r="CB106" s="153"/>
      <c r="CC106" s="153"/>
      <c r="CD106" s="153"/>
      <c r="CE106" s="153"/>
      <c r="CF106" s="153"/>
      <c r="CG106" s="153"/>
      <c r="CH106" s="153"/>
      <c r="CI106" s="153"/>
      <c r="CJ106" s="153"/>
      <c r="CK106" s="153"/>
      <c r="CL106" s="153"/>
      <c r="CM106" s="153"/>
      <c r="CN106" s="153"/>
      <c r="CO106" s="153"/>
      <c r="CP106" s="153"/>
      <c r="CQ106" s="153"/>
      <c r="CR106" s="153"/>
      <c r="CS106" s="153"/>
      <c r="CT106" s="153"/>
      <c r="CU106" s="153"/>
      <c r="CV106" s="153"/>
      <c r="CW106" s="153"/>
      <c r="CX106" s="153"/>
      <c r="CY106" s="153"/>
      <c r="CZ106" s="153"/>
      <c r="DA106" s="153"/>
      <c r="DB106" s="153"/>
      <c r="DC106" s="153"/>
      <c r="DD106" s="153"/>
      <c r="DE106" s="153"/>
      <c r="DF106" s="153"/>
      <c r="DG106" s="153"/>
      <c r="DH106" s="153"/>
      <c r="DI106" s="153"/>
      <c r="DJ106" s="153"/>
      <c r="DK106" s="153"/>
      <c r="DL106" s="153"/>
      <c r="DM106" s="153"/>
      <c r="DN106" s="153"/>
      <c r="DO106" s="153"/>
      <c r="DP106" s="153"/>
      <c r="DQ106" s="153"/>
      <c r="DR106" s="153"/>
      <c r="DS106" s="153"/>
      <c r="DT106" s="153"/>
      <c r="DU106" s="153"/>
      <c r="DV106" s="153"/>
      <c r="DW106" s="153"/>
      <c r="DX106" s="153"/>
      <c r="DY106" s="153"/>
      <c r="EC106" s="557">
        <v>0.22500000000000001</v>
      </c>
      <c r="ED106" s="557"/>
      <c r="EE106" s="460">
        <f>IF(EG90&gt;=0.225,1,0)</f>
        <v>1</v>
      </c>
      <c r="EF106" s="460">
        <f>IF(EG90&lt;0.25,1,0)</f>
        <v>0</v>
      </c>
      <c r="EG106" s="188">
        <f t="shared" si="5"/>
        <v>1</v>
      </c>
      <c r="EI106" s="557">
        <v>0.22500000000000001</v>
      </c>
      <c r="EJ106" s="557"/>
      <c r="EK106" s="460">
        <f>IF(EK89&gt;=0.225,1,0)</f>
        <v>0</v>
      </c>
      <c r="EL106" s="460">
        <f>IF(EK89&lt;0.25,1,0)</f>
        <v>1</v>
      </c>
      <c r="EM106" s="188">
        <f t="shared" si="6"/>
        <v>1</v>
      </c>
      <c r="EO106" s="557">
        <v>0.22500000000000001</v>
      </c>
      <c r="EP106" s="557"/>
      <c r="EQ106" s="460">
        <f>IF(EO89&gt;=0.225,1,0)</f>
        <v>0</v>
      </c>
      <c r="ER106" s="460">
        <f>IF(EO89&lt;0.25,1,0)</f>
        <v>1</v>
      </c>
      <c r="ES106" s="188">
        <f t="shared" si="7"/>
        <v>1</v>
      </c>
      <c r="ET106" s="207"/>
      <c r="EU106" s="207"/>
      <c r="EV106" s="474"/>
      <c r="EY106" s="471"/>
      <c r="EZ106" s="474"/>
      <c r="FA106" s="474"/>
      <c r="FB106" s="474"/>
      <c r="FC106" s="498"/>
      <c r="FD106" s="498"/>
      <c r="FE106" s="498"/>
      <c r="FF106" s="498"/>
      <c r="FG106" s="498"/>
      <c r="FH106" s="498"/>
      <c r="FI106" s="498"/>
      <c r="FJ106" s="498"/>
      <c r="FK106" s="498"/>
      <c r="FL106" s="25"/>
      <c r="FM106" s="25"/>
      <c r="FN106" s="25"/>
      <c r="FO106" s="474"/>
      <c r="FP106" s="474"/>
      <c r="FQ106" s="474"/>
      <c r="FR106" s="474"/>
      <c r="FS106" s="474"/>
      <c r="FT106" s="474"/>
      <c r="FU106" s="474"/>
      <c r="FV106" s="474"/>
      <c r="FW106" s="474"/>
      <c r="FX106" s="474"/>
      <c r="FY106" s="474"/>
      <c r="FZ106" s="474"/>
      <c r="GA106" s="474"/>
      <c r="GB106" s="474"/>
      <c r="GC106" s="474"/>
      <c r="GD106" s="474"/>
      <c r="GE106" s="474"/>
      <c r="GF106" s="474"/>
      <c r="GG106" s="474"/>
      <c r="GH106" s="474"/>
      <c r="GI106" s="474"/>
      <c r="GJ106" s="474"/>
      <c r="GK106" s="474"/>
      <c r="GL106" s="474"/>
      <c r="GM106" s="474"/>
      <c r="GN106" s="474"/>
      <c r="GO106" s="474"/>
      <c r="GP106" s="474"/>
      <c r="GQ106" s="474"/>
      <c r="GR106" s="474"/>
      <c r="GS106" s="474"/>
      <c r="GT106" s="474"/>
      <c r="GU106" s="474"/>
      <c r="GV106" s="474"/>
      <c r="GW106" s="474"/>
      <c r="GX106" s="474"/>
      <c r="GY106" s="474"/>
      <c r="GZ106" s="474"/>
      <c r="HA106" s="474"/>
      <c r="HB106" s="474"/>
      <c r="HC106" s="474"/>
      <c r="HD106" s="474"/>
      <c r="HE106" s="474"/>
      <c r="HF106" s="474"/>
      <c r="HG106" s="474"/>
      <c r="HH106" s="474"/>
      <c r="HI106" s="474"/>
      <c r="HJ106" s="474"/>
      <c r="HK106" s="474"/>
      <c r="HL106" s="474"/>
      <c r="HM106" s="474"/>
      <c r="HN106" s="474"/>
      <c r="HO106" s="474"/>
      <c r="HP106" s="474"/>
      <c r="HQ106" s="474"/>
      <c r="HR106" s="474"/>
      <c r="HS106" s="474"/>
      <c r="HT106" s="474"/>
      <c r="HU106" s="474"/>
      <c r="HV106" s="474"/>
      <c r="HW106" s="474"/>
      <c r="HX106" s="474"/>
      <c r="HY106" s="474"/>
      <c r="HZ106" s="474"/>
      <c r="IA106" s="474"/>
      <c r="IB106" s="474"/>
      <c r="IC106" s="474"/>
      <c r="ID106" s="474"/>
      <c r="IE106" s="474"/>
      <c r="IF106" s="474"/>
      <c r="IG106" s="474"/>
      <c r="IH106" s="474"/>
      <c r="JG106" s="193" t="s">
        <v>23</v>
      </c>
      <c r="JH106" s="194">
        <f>IF(H24=2,JH100,IF(H24=3,JH100,0))</f>
        <v>0</v>
      </c>
      <c r="JI106" s="195">
        <f>IF(H24=2,JI100,IF(H24=3,JI100,0))</f>
        <v>0</v>
      </c>
      <c r="JK106" s="193" t="s">
        <v>23</v>
      </c>
      <c r="JL106" s="194">
        <f>IF(H24=3,JH100,0)</f>
        <v>0</v>
      </c>
      <c r="JM106" s="195">
        <f>IF(H24=3,JI100,0)</f>
        <v>0</v>
      </c>
    </row>
    <row r="107" spans="1:278" ht="14.1" customHeight="1" x14ac:dyDescent="0.2">
      <c r="A107" s="242"/>
      <c r="B107" s="242"/>
      <c r="C107" s="242"/>
      <c r="D107" s="243"/>
      <c r="E107" s="243"/>
      <c r="F107" s="243"/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3"/>
      <c r="AG107" s="242"/>
      <c r="AH107" s="242"/>
      <c r="AI107" s="242"/>
      <c r="AJ107" s="242"/>
      <c r="AK107" s="242"/>
      <c r="AL107" s="242"/>
      <c r="AM107" s="242"/>
      <c r="AN107" s="242"/>
      <c r="AO107" s="242"/>
      <c r="AP107" s="242"/>
      <c r="AQ107" s="242"/>
      <c r="AR107" s="242"/>
      <c r="AS107" s="45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  <c r="BI107" s="153"/>
      <c r="BJ107" s="153"/>
      <c r="BK107" s="153"/>
      <c r="BL107" s="153"/>
      <c r="BM107" s="153"/>
      <c r="BN107" s="153"/>
      <c r="BO107" s="153"/>
      <c r="BP107" s="153"/>
      <c r="BQ107" s="153"/>
      <c r="BR107" s="153"/>
      <c r="BS107" s="153"/>
      <c r="BT107" s="153"/>
      <c r="BU107" s="153"/>
      <c r="BV107" s="153"/>
      <c r="BW107" s="153"/>
      <c r="BX107" s="153"/>
      <c r="BY107" s="153"/>
      <c r="BZ107" s="153"/>
      <c r="CA107" s="153"/>
      <c r="CB107" s="153"/>
      <c r="CC107" s="153"/>
      <c r="CD107" s="153"/>
      <c r="CE107" s="153"/>
      <c r="CF107" s="153"/>
      <c r="CG107" s="153"/>
      <c r="CH107" s="153"/>
      <c r="CI107" s="153"/>
      <c r="CJ107" s="153"/>
      <c r="CK107" s="153"/>
      <c r="CL107" s="153"/>
      <c r="CM107" s="153"/>
      <c r="CN107" s="153"/>
      <c r="CO107" s="153"/>
      <c r="CP107" s="153"/>
      <c r="CQ107" s="153"/>
      <c r="CR107" s="153"/>
      <c r="CS107" s="153"/>
      <c r="CT107" s="153"/>
      <c r="CU107" s="153"/>
      <c r="CV107" s="153"/>
      <c r="CW107" s="153"/>
      <c r="CX107" s="153"/>
      <c r="CY107" s="153"/>
      <c r="CZ107" s="153"/>
      <c r="DA107" s="153"/>
      <c r="DB107" s="153"/>
      <c r="DC107" s="153"/>
      <c r="DD107" s="153"/>
      <c r="DE107" s="153"/>
      <c r="DF107" s="153"/>
      <c r="DG107" s="153"/>
      <c r="DH107" s="153"/>
      <c r="DI107" s="153"/>
      <c r="DJ107" s="153"/>
      <c r="DK107" s="153"/>
      <c r="DL107" s="153"/>
      <c r="DM107" s="153"/>
      <c r="DN107" s="153"/>
      <c r="DO107" s="153"/>
      <c r="DP107" s="153"/>
      <c r="DQ107" s="153"/>
      <c r="DR107" s="153"/>
      <c r="DS107" s="153"/>
      <c r="DT107" s="153"/>
      <c r="DU107" s="153"/>
      <c r="DV107" s="153"/>
      <c r="DW107" s="153"/>
      <c r="DX107" s="153"/>
      <c r="DY107" s="153"/>
      <c r="EC107" s="557">
        <v>0.25</v>
      </c>
      <c r="ED107" s="557"/>
      <c r="EE107" s="460">
        <f>IF(EG90&gt;=0.25,1,0)</f>
        <v>1</v>
      </c>
      <c r="EF107" s="460">
        <f>IF(EG90&lt;0.275,1,0)</f>
        <v>0</v>
      </c>
      <c r="EG107" s="188">
        <f t="shared" si="5"/>
        <v>1</v>
      </c>
      <c r="EI107" s="557">
        <v>0.25</v>
      </c>
      <c r="EJ107" s="557"/>
      <c r="EK107" s="460">
        <f>IF(EK89&gt;=0.25,1,0)</f>
        <v>0</v>
      </c>
      <c r="EL107" s="460">
        <f>IF(EK89&lt;0.275,1,0)</f>
        <v>1</v>
      </c>
      <c r="EM107" s="188">
        <f t="shared" si="6"/>
        <v>1</v>
      </c>
      <c r="EO107" s="557">
        <v>0.25</v>
      </c>
      <c r="EP107" s="557"/>
      <c r="EQ107" s="460">
        <f>IF(EO89&gt;=0.25,1,0)</f>
        <v>0</v>
      </c>
      <c r="ER107" s="460">
        <f>IF(EO89&lt;0.275,1,0)</f>
        <v>1</v>
      </c>
      <c r="ES107" s="188">
        <f t="shared" si="7"/>
        <v>1</v>
      </c>
      <c r="ET107" s="207"/>
      <c r="EU107" s="207"/>
      <c r="EV107" s="474"/>
      <c r="EY107" s="17"/>
      <c r="EZ107" s="17"/>
      <c r="FA107" s="17"/>
      <c r="FB107" s="474"/>
      <c r="FC107" s="25"/>
      <c r="FD107" s="25"/>
      <c r="FE107" s="25"/>
      <c r="FF107" s="25"/>
      <c r="FG107" s="25"/>
      <c r="FH107" s="25"/>
      <c r="FI107" s="25"/>
      <c r="FJ107" s="25"/>
      <c r="FK107" s="25"/>
      <c r="FL107" s="474"/>
      <c r="FM107" s="474"/>
      <c r="FN107" s="474"/>
      <c r="FO107" s="474"/>
      <c r="FP107" s="474"/>
      <c r="FQ107" s="474"/>
      <c r="FR107" s="474"/>
      <c r="FS107" s="474"/>
      <c r="FT107" s="474"/>
      <c r="FU107" s="474"/>
      <c r="FV107" s="474"/>
      <c r="FW107" s="474"/>
      <c r="FX107" s="474"/>
      <c r="FY107" s="474"/>
      <c r="FZ107" s="474"/>
      <c r="GA107" s="474"/>
      <c r="GB107" s="474"/>
      <c r="GC107" s="474"/>
      <c r="GD107" s="474"/>
      <c r="GE107" s="474"/>
      <c r="GF107" s="474"/>
      <c r="GG107" s="474"/>
      <c r="GH107" s="474"/>
      <c r="GI107" s="474"/>
      <c r="GJ107" s="474"/>
      <c r="GK107" s="474"/>
      <c r="GL107" s="474"/>
      <c r="GM107" s="474"/>
      <c r="GN107" s="474"/>
      <c r="GO107" s="474"/>
      <c r="GP107" s="474"/>
      <c r="GQ107" s="474"/>
      <c r="GR107" s="474"/>
      <c r="GS107" s="474"/>
      <c r="GT107" s="474"/>
      <c r="GU107" s="474"/>
      <c r="GV107" s="474"/>
      <c r="GW107" s="474"/>
      <c r="GX107" s="474"/>
      <c r="GY107" s="474"/>
      <c r="GZ107" s="474"/>
      <c r="HA107" s="474"/>
      <c r="HB107" s="474"/>
      <c r="HC107" s="474"/>
      <c r="HD107" s="474"/>
      <c r="HE107" s="474"/>
      <c r="HF107" s="474"/>
      <c r="HG107" s="474"/>
      <c r="HH107" s="474"/>
      <c r="HI107" s="474"/>
      <c r="HJ107" s="474"/>
      <c r="HK107" s="474"/>
      <c r="HL107" s="474"/>
      <c r="HM107" s="474"/>
      <c r="HN107" s="474"/>
      <c r="HO107" s="474"/>
      <c r="HP107" s="474"/>
      <c r="HQ107" s="474"/>
      <c r="HR107" s="474"/>
      <c r="HS107" s="474"/>
      <c r="HT107" s="474"/>
      <c r="HU107" s="474"/>
      <c r="HV107" s="474"/>
      <c r="HW107" s="474"/>
      <c r="HX107" s="474"/>
      <c r="HY107" s="474"/>
      <c r="HZ107" s="474"/>
      <c r="IA107" s="474"/>
      <c r="IB107" s="474"/>
      <c r="IC107" s="474"/>
      <c r="ID107" s="474"/>
      <c r="IE107" s="474"/>
      <c r="IF107" s="474"/>
      <c r="IG107" s="474"/>
      <c r="IH107" s="474"/>
      <c r="JG107" s="196" t="s">
        <v>24</v>
      </c>
      <c r="JH107" s="201" t="e">
        <f>IF(H24=6,0,IF(H24=8,0,IF(H24=9,0,JH101+0.2)))</f>
        <v>#REF!</v>
      </c>
      <c r="JI107" s="198" t="e">
        <f>JH107</f>
        <v>#REF!</v>
      </c>
      <c r="JK107" s="196" t="s">
        <v>24</v>
      </c>
      <c r="JL107" s="201">
        <f>IF(H24=1,JK101-0.2,IF(H24=3,JK101-0.2,IF(H24=4,JK101-0.2,0)))</f>
        <v>0</v>
      </c>
      <c r="JM107" s="198">
        <f>JL107</f>
        <v>0</v>
      </c>
    </row>
    <row r="108" spans="1:278" ht="14.1" customHeight="1" x14ac:dyDescent="0.2">
      <c r="A108" s="242"/>
      <c r="B108" s="415"/>
      <c r="C108" s="415"/>
      <c r="D108" s="415"/>
      <c r="E108" s="415"/>
      <c r="F108" s="416"/>
      <c r="G108" s="257"/>
      <c r="H108" s="257"/>
      <c r="I108" s="257"/>
      <c r="J108" s="257"/>
      <c r="K108" s="257"/>
      <c r="L108" s="257"/>
      <c r="M108" s="257"/>
      <c r="N108" s="257"/>
      <c r="O108" s="257"/>
      <c r="P108" s="257"/>
      <c r="Q108" s="257"/>
      <c r="R108" s="257"/>
      <c r="S108" s="257"/>
      <c r="T108" s="257"/>
      <c r="U108" s="257"/>
      <c r="V108" s="257"/>
      <c r="W108" s="257"/>
      <c r="X108" s="242"/>
      <c r="Y108" s="242"/>
      <c r="Z108" s="242"/>
      <c r="AA108" s="417"/>
      <c r="AB108" s="417"/>
      <c r="AC108" s="417"/>
      <c r="AD108" s="415"/>
      <c r="AE108" s="248"/>
      <c r="AF108" s="248"/>
      <c r="AG108" s="242"/>
      <c r="AH108" s="242"/>
      <c r="AI108" s="242"/>
      <c r="AJ108" s="242"/>
      <c r="AK108" s="242"/>
      <c r="AL108" s="242"/>
      <c r="AM108" s="242"/>
      <c r="AN108" s="242"/>
      <c r="AO108" s="242"/>
      <c r="AP108" s="242"/>
      <c r="AQ108" s="242"/>
      <c r="AR108" s="242"/>
      <c r="AS108" s="45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  <c r="BI108" s="153"/>
      <c r="BJ108" s="153"/>
      <c r="BK108" s="153"/>
      <c r="BL108" s="153"/>
      <c r="BM108" s="153"/>
      <c r="BN108" s="153"/>
      <c r="BO108" s="153"/>
      <c r="BP108" s="153"/>
      <c r="BQ108" s="153"/>
      <c r="BR108" s="153"/>
      <c r="BS108" s="153"/>
      <c r="BT108" s="153"/>
      <c r="BU108" s="153"/>
      <c r="BV108" s="153"/>
      <c r="BW108" s="153"/>
      <c r="BX108" s="153"/>
      <c r="BY108" s="153"/>
      <c r="BZ108" s="153"/>
      <c r="CA108" s="153"/>
      <c r="CB108" s="153"/>
      <c r="CC108" s="153"/>
      <c r="CD108" s="153"/>
      <c r="CE108" s="153"/>
      <c r="CF108" s="153"/>
      <c r="CG108" s="153"/>
      <c r="CH108" s="153"/>
      <c r="CI108" s="153"/>
      <c r="CJ108" s="153"/>
      <c r="CK108" s="153"/>
      <c r="CL108" s="153"/>
      <c r="CM108" s="153"/>
      <c r="CN108" s="153"/>
      <c r="CO108" s="153"/>
      <c r="CP108" s="153"/>
      <c r="CQ108" s="153"/>
      <c r="CR108" s="153"/>
      <c r="CS108" s="153"/>
      <c r="CT108" s="153"/>
      <c r="CU108" s="153"/>
      <c r="CV108" s="153"/>
      <c r="CW108" s="153"/>
      <c r="CX108" s="153"/>
      <c r="CY108" s="153"/>
      <c r="CZ108" s="153"/>
      <c r="DA108" s="153"/>
      <c r="DB108" s="153"/>
      <c r="DC108" s="153"/>
      <c r="DD108" s="153"/>
      <c r="DE108" s="153"/>
      <c r="DF108" s="153"/>
      <c r="DG108" s="153"/>
      <c r="DH108" s="153"/>
      <c r="DI108" s="153"/>
      <c r="DJ108" s="153"/>
      <c r="DK108" s="153"/>
      <c r="DL108" s="153"/>
      <c r="DM108" s="153"/>
      <c r="DN108" s="153"/>
      <c r="DO108" s="153"/>
      <c r="DP108" s="153"/>
      <c r="DQ108" s="153"/>
      <c r="DR108" s="153"/>
      <c r="DS108" s="153"/>
      <c r="DT108" s="153"/>
      <c r="DU108" s="153"/>
      <c r="DV108" s="153"/>
      <c r="DW108" s="153"/>
      <c r="DX108" s="153"/>
      <c r="DY108" s="153"/>
      <c r="EC108" s="557">
        <v>0.27500000000000002</v>
      </c>
      <c r="ED108" s="557"/>
      <c r="EE108" s="460">
        <f>IF(EG90&gt;=0.275,1,0)</f>
        <v>1</v>
      </c>
      <c r="EF108" s="460">
        <f>IF(EG90&lt;0.3,1,0)</f>
        <v>0</v>
      </c>
      <c r="EG108" s="188">
        <f t="shared" si="5"/>
        <v>1</v>
      </c>
      <c r="EI108" s="557">
        <v>0.27500000000000002</v>
      </c>
      <c r="EJ108" s="557"/>
      <c r="EK108" s="460">
        <f>IF(EK89&gt;=0.275,1,0)</f>
        <v>0</v>
      </c>
      <c r="EL108" s="460">
        <f>IF(EK89&lt;0.3,1,0)</f>
        <v>1</v>
      </c>
      <c r="EM108" s="188">
        <f t="shared" si="6"/>
        <v>1</v>
      </c>
      <c r="EO108" s="557">
        <v>0.27500000000000002</v>
      </c>
      <c r="EP108" s="557"/>
      <c r="EQ108" s="460">
        <f>IF(EO89&gt;=0.275,1,0)</f>
        <v>0</v>
      </c>
      <c r="ER108" s="460">
        <f>IF(EO89&lt;0.3,1,0)</f>
        <v>1</v>
      </c>
      <c r="ES108" s="188">
        <f t="shared" si="7"/>
        <v>1</v>
      </c>
      <c r="ET108" s="474"/>
      <c r="EU108" s="474"/>
      <c r="EV108" s="474"/>
      <c r="EY108" s="17"/>
      <c r="EZ108" s="474"/>
      <c r="FA108" s="474"/>
      <c r="FB108" s="474"/>
      <c r="FC108" s="31"/>
      <c r="FD108" s="31"/>
      <c r="FE108" s="31"/>
      <c r="FF108" s="31"/>
      <c r="FG108" s="31"/>
      <c r="FH108" s="31"/>
      <c r="FI108" s="31"/>
      <c r="FJ108" s="31"/>
      <c r="FK108" s="31"/>
      <c r="FL108" s="474"/>
      <c r="FM108" s="474"/>
      <c r="FN108" s="474"/>
      <c r="FO108" s="474"/>
      <c r="FP108" s="474"/>
      <c r="FQ108" s="474"/>
      <c r="FR108" s="474"/>
      <c r="FS108" s="474"/>
      <c r="FT108" s="474"/>
      <c r="FU108" s="474"/>
      <c r="FV108" s="474"/>
      <c r="FW108" s="474"/>
      <c r="FX108" s="474"/>
      <c r="FY108" s="474"/>
      <c r="FZ108" s="474"/>
      <c r="GA108" s="474"/>
      <c r="GB108" s="474"/>
      <c r="GC108" s="474"/>
      <c r="GD108" s="474"/>
      <c r="GE108" s="474"/>
      <c r="GF108" s="474"/>
      <c r="GG108" s="474"/>
      <c r="GH108" s="474"/>
      <c r="GI108" s="474"/>
      <c r="GJ108" s="474"/>
      <c r="GK108" s="474"/>
      <c r="GL108" s="474"/>
      <c r="GM108" s="474"/>
      <c r="GN108" s="474"/>
      <c r="GO108" s="474"/>
      <c r="GP108" s="474"/>
      <c r="GQ108" s="474"/>
      <c r="GR108" s="474"/>
      <c r="GS108" s="474"/>
      <c r="GT108" s="474"/>
      <c r="GU108" s="474"/>
      <c r="GV108" s="474"/>
      <c r="GW108" s="474"/>
      <c r="GX108" s="474"/>
      <c r="GY108" s="474"/>
      <c r="GZ108" s="474"/>
      <c r="HA108" s="474"/>
      <c r="HB108" s="474"/>
      <c r="HC108" s="474"/>
      <c r="HD108" s="474"/>
      <c r="HE108" s="474"/>
      <c r="HF108" s="474"/>
      <c r="HG108" s="474"/>
      <c r="HH108" s="474"/>
      <c r="HI108" s="474"/>
      <c r="HJ108" s="474"/>
      <c r="HK108" s="474"/>
      <c r="HL108" s="474"/>
      <c r="HM108" s="474"/>
      <c r="HN108" s="474"/>
      <c r="HO108" s="474"/>
      <c r="HP108" s="474"/>
      <c r="HQ108" s="474"/>
      <c r="HR108" s="474"/>
      <c r="HS108" s="474"/>
      <c r="HT108" s="474"/>
      <c r="HU108" s="474"/>
      <c r="HV108" s="474"/>
      <c r="HW108" s="474"/>
      <c r="HX108" s="474"/>
      <c r="HY108" s="474"/>
      <c r="HZ108" s="474"/>
      <c r="IA108" s="474"/>
      <c r="IB108" s="474"/>
      <c r="IC108" s="474"/>
      <c r="ID108" s="474"/>
      <c r="IE108" s="474"/>
      <c r="IF108" s="474"/>
      <c r="IG108" s="474"/>
      <c r="IH108" s="474"/>
      <c r="JG108" s="146" t="s">
        <v>123</v>
      </c>
    </row>
    <row r="109" spans="1:278" ht="14.1" customHeight="1" x14ac:dyDescent="0.2">
      <c r="A109" s="242"/>
      <c r="B109" s="415"/>
      <c r="C109" s="415"/>
      <c r="D109" s="415"/>
      <c r="E109" s="415"/>
      <c r="F109" s="416"/>
      <c r="G109" s="257"/>
      <c r="H109" s="257"/>
      <c r="I109" s="257"/>
      <c r="J109" s="257"/>
      <c r="K109" s="257"/>
      <c r="L109" s="257"/>
      <c r="M109" s="257"/>
      <c r="N109" s="257"/>
      <c r="O109" s="257"/>
      <c r="P109" s="257"/>
      <c r="Q109" s="257"/>
      <c r="R109" s="257"/>
      <c r="S109" s="257"/>
      <c r="T109" s="257"/>
      <c r="U109" s="257"/>
      <c r="V109" s="257"/>
      <c r="W109" s="257"/>
      <c r="X109" s="242"/>
      <c r="Y109" s="242"/>
      <c r="Z109" s="242"/>
      <c r="AA109" s="417"/>
      <c r="AB109" s="417"/>
      <c r="AC109" s="417"/>
      <c r="AD109" s="415"/>
      <c r="AE109" s="250"/>
      <c r="AF109" s="250"/>
      <c r="AG109" s="242"/>
      <c r="AH109" s="242"/>
      <c r="AI109" s="242"/>
      <c r="AJ109" s="242"/>
      <c r="AK109" s="242"/>
      <c r="AL109" s="242"/>
      <c r="AM109" s="242"/>
      <c r="AN109" s="242"/>
      <c r="AO109" s="242"/>
      <c r="AP109" s="242"/>
      <c r="AQ109" s="242"/>
      <c r="AR109" s="242"/>
      <c r="AS109" s="45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  <c r="BI109" s="153"/>
      <c r="BJ109" s="153"/>
      <c r="BK109" s="153"/>
      <c r="BL109" s="153"/>
      <c r="BM109" s="153"/>
      <c r="BN109" s="153"/>
      <c r="BO109" s="153"/>
      <c r="BP109" s="153"/>
      <c r="BQ109" s="153"/>
      <c r="BR109" s="153"/>
      <c r="BS109" s="153"/>
      <c r="BT109" s="153"/>
      <c r="BU109" s="153"/>
      <c r="BV109" s="153"/>
      <c r="BW109" s="153"/>
      <c r="BX109" s="153"/>
      <c r="BY109" s="153"/>
      <c r="BZ109" s="153"/>
      <c r="CA109" s="153"/>
      <c r="CB109" s="153"/>
      <c r="CC109" s="153"/>
      <c r="CD109" s="153"/>
      <c r="CE109" s="153"/>
      <c r="CF109" s="153"/>
      <c r="CG109" s="153"/>
      <c r="CH109" s="153"/>
      <c r="CI109" s="153"/>
      <c r="CJ109" s="153"/>
      <c r="CK109" s="153"/>
      <c r="CL109" s="153"/>
      <c r="CM109" s="153"/>
      <c r="CN109" s="153"/>
      <c r="CO109" s="153"/>
      <c r="CP109" s="153"/>
      <c r="CQ109" s="153"/>
      <c r="CR109" s="153"/>
      <c r="CS109" s="153"/>
      <c r="CT109" s="153"/>
      <c r="CU109" s="153"/>
      <c r="CV109" s="153"/>
      <c r="CW109" s="153"/>
      <c r="CX109" s="153"/>
      <c r="CY109" s="153"/>
      <c r="CZ109" s="153"/>
      <c r="DA109" s="153"/>
      <c r="DB109" s="153"/>
      <c r="DC109" s="153"/>
      <c r="DD109" s="153"/>
      <c r="DE109" s="153"/>
      <c r="DF109" s="153"/>
      <c r="DG109" s="153"/>
      <c r="DH109" s="153"/>
      <c r="DI109" s="153"/>
      <c r="DJ109" s="153"/>
      <c r="DK109" s="153"/>
      <c r="DL109" s="153"/>
      <c r="DM109" s="153"/>
      <c r="DN109" s="153"/>
      <c r="DO109" s="153"/>
      <c r="DP109" s="153"/>
      <c r="DQ109" s="153"/>
      <c r="DR109" s="153"/>
      <c r="DS109" s="153"/>
      <c r="DT109" s="153"/>
      <c r="DU109" s="153"/>
      <c r="DV109" s="153"/>
      <c r="DW109" s="153"/>
      <c r="DX109" s="153"/>
      <c r="DY109" s="153"/>
      <c r="EC109" s="557">
        <v>0.3</v>
      </c>
      <c r="ED109" s="557"/>
      <c r="EE109" s="460">
        <f>IF(EG90&gt;=0.3,1,0)</f>
        <v>1</v>
      </c>
      <c r="EF109" s="460">
        <f>IF(EG90&lt;0.325,1,0)</f>
        <v>0</v>
      </c>
      <c r="EG109" s="188">
        <f t="shared" si="5"/>
        <v>1</v>
      </c>
      <c r="EI109" s="557">
        <v>0.3</v>
      </c>
      <c r="EJ109" s="557"/>
      <c r="EK109" s="460">
        <f>IF(EK89&gt;=0.3,1,0)</f>
        <v>0</v>
      </c>
      <c r="EL109" s="460">
        <f>IF(EK89&lt;0.325,1,0)</f>
        <v>1</v>
      </c>
      <c r="EM109" s="188">
        <f t="shared" si="6"/>
        <v>1</v>
      </c>
      <c r="EO109" s="557">
        <v>0.3</v>
      </c>
      <c r="EP109" s="557"/>
      <c r="EQ109" s="460">
        <f>IF(EO89&gt;=0.3,1,0)</f>
        <v>0</v>
      </c>
      <c r="ER109" s="460">
        <f>IF(EO89&lt;0.325,1,0)</f>
        <v>1</v>
      </c>
      <c r="ES109" s="188">
        <f t="shared" si="7"/>
        <v>1</v>
      </c>
      <c r="ET109" s="474"/>
      <c r="EU109" s="474"/>
      <c r="EV109" s="474"/>
      <c r="EY109" s="25"/>
      <c r="EZ109" s="474"/>
      <c r="FA109" s="474"/>
      <c r="FB109" s="474"/>
      <c r="FC109" s="31"/>
      <c r="FD109" s="31"/>
      <c r="FE109" s="31"/>
      <c r="FF109" s="31"/>
      <c r="FG109" s="31"/>
      <c r="FH109" s="31"/>
      <c r="FI109" s="31"/>
      <c r="FJ109" s="31"/>
      <c r="FK109" s="31"/>
      <c r="FL109" s="474"/>
      <c r="FM109" s="474"/>
      <c r="FN109" s="474"/>
      <c r="FO109" s="474"/>
      <c r="FP109" s="474"/>
      <c r="FQ109" s="474"/>
      <c r="FR109" s="474"/>
      <c r="FS109" s="474"/>
      <c r="FT109" s="474"/>
      <c r="FU109" s="474"/>
      <c r="FV109" s="474"/>
      <c r="FW109" s="474"/>
      <c r="FX109" s="474"/>
      <c r="FY109" s="474"/>
      <c r="FZ109" s="474"/>
      <c r="GA109" s="474"/>
      <c r="GB109" s="474"/>
      <c r="GC109" s="474"/>
      <c r="GD109" s="474"/>
      <c r="GE109" s="474"/>
      <c r="GF109" s="474"/>
      <c r="GG109" s="474"/>
      <c r="GH109" s="474"/>
      <c r="GI109" s="474"/>
      <c r="GJ109" s="474"/>
      <c r="GK109" s="474"/>
      <c r="GL109" s="474"/>
      <c r="GM109" s="474"/>
      <c r="GN109" s="474"/>
      <c r="GO109" s="474"/>
      <c r="GP109" s="474"/>
      <c r="GQ109" s="474"/>
      <c r="GR109" s="474"/>
      <c r="GS109" s="474"/>
      <c r="GT109" s="474"/>
      <c r="GU109" s="474"/>
      <c r="GV109" s="474"/>
      <c r="GW109" s="474"/>
      <c r="GX109" s="474"/>
      <c r="GY109" s="474"/>
      <c r="GZ109" s="474"/>
      <c r="HA109" s="474"/>
      <c r="HB109" s="474"/>
      <c r="HC109" s="474"/>
      <c r="HD109" s="474"/>
      <c r="HE109" s="474"/>
      <c r="HF109" s="474"/>
      <c r="HG109" s="474"/>
      <c r="HH109" s="474"/>
      <c r="HI109" s="474"/>
      <c r="HJ109" s="474"/>
      <c r="HK109" s="474"/>
      <c r="HL109" s="474"/>
      <c r="HM109" s="474"/>
      <c r="HN109" s="474"/>
      <c r="HO109" s="474"/>
      <c r="HP109" s="474"/>
      <c r="HQ109" s="474"/>
      <c r="HR109" s="474"/>
      <c r="HS109" s="474"/>
      <c r="HT109" s="474"/>
      <c r="HU109" s="474"/>
      <c r="HV109" s="474"/>
      <c r="HW109" s="474"/>
      <c r="HX109" s="474"/>
      <c r="HY109" s="474"/>
      <c r="HZ109" s="474"/>
      <c r="IA109" s="474"/>
      <c r="IB109" s="474"/>
      <c r="IC109" s="474"/>
      <c r="ID109" s="474"/>
      <c r="IE109" s="474"/>
      <c r="IF109" s="474"/>
      <c r="IG109" s="474"/>
      <c r="IH109" s="474"/>
      <c r="JG109" s="193" t="s">
        <v>23</v>
      </c>
      <c r="JH109" s="194" t="e">
        <f>JH100+0.2</f>
        <v>#REF!</v>
      </c>
      <c r="JI109" s="194" t="e">
        <f>JI100-0.2</f>
        <v>#REF!</v>
      </c>
      <c r="JJ109" s="202">
        <v>0</v>
      </c>
      <c r="JK109" s="203">
        <v>0</v>
      </c>
      <c r="JL109" s="100" t="s">
        <v>8</v>
      </c>
      <c r="JM109" s="562" t="e">
        <f>#REF!</f>
        <v>#REF!</v>
      </c>
      <c r="JN109" s="562"/>
      <c r="JO109" s="562"/>
    </row>
    <row r="110" spans="1:278" ht="14.1" customHeight="1" x14ac:dyDescent="0.2">
      <c r="A110" s="242"/>
      <c r="B110" s="415"/>
      <c r="C110" s="415"/>
      <c r="D110" s="415"/>
      <c r="E110" s="415"/>
      <c r="F110" s="416"/>
      <c r="G110" s="257"/>
      <c r="H110" s="257"/>
      <c r="I110" s="257"/>
      <c r="J110" s="257"/>
      <c r="K110" s="257"/>
      <c r="L110" s="257"/>
      <c r="M110" s="257"/>
      <c r="N110" s="257"/>
      <c r="O110" s="257"/>
      <c r="P110" s="257"/>
      <c r="Q110" s="257"/>
      <c r="R110" s="257"/>
      <c r="S110" s="257"/>
      <c r="T110" s="257"/>
      <c r="U110" s="257"/>
      <c r="V110" s="257"/>
      <c r="W110" s="257"/>
      <c r="X110" s="242"/>
      <c r="Y110" s="242"/>
      <c r="Z110" s="242"/>
      <c r="AA110" s="417"/>
      <c r="AB110" s="417"/>
      <c r="AC110" s="417"/>
      <c r="AD110" s="415"/>
      <c r="AE110" s="250"/>
      <c r="AF110" s="250"/>
      <c r="AG110" s="242"/>
      <c r="AH110" s="242"/>
      <c r="AI110" s="242"/>
      <c r="AJ110" s="242"/>
      <c r="AK110" s="242"/>
      <c r="AL110" s="242"/>
      <c r="AM110" s="242"/>
      <c r="AN110" s="242"/>
      <c r="AO110" s="242"/>
      <c r="AP110" s="242"/>
      <c r="AQ110" s="242"/>
      <c r="AR110" s="242"/>
      <c r="AS110" s="45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  <c r="BJ110" s="153"/>
      <c r="BK110" s="153"/>
      <c r="BL110" s="153"/>
      <c r="BM110" s="153"/>
      <c r="BN110" s="153"/>
      <c r="BO110" s="153"/>
      <c r="BP110" s="153"/>
      <c r="BQ110" s="153"/>
      <c r="BR110" s="153"/>
      <c r="BS110" s="153"/>
      <c r="BT110" s="153"/>
      <c r="BU110" s="153"/>
      <c r="BV110" s="153"/>
      <c r="BW110" s="153"/>
      <c r="BX110" s="153"/>
      <c r="BY110" s="153"/>
      <c r="BZ110" s="153"/>
      <c r="CA110" s="153"/>
      <c r="CB110" s="153"/>
      <c r="CC110" s="153"/>
      <c r="CD110" s="153"/>
      <c r="CE110" s="153"/>
      <c r="CF110" s="153"/>
      <c r="CG110" s="153"/>
      <c r="CH110" s="153"/>
      <c r="CI110" s="153"/>
      <c r="CJ110" s="153"/>
      <c r="CK110" s="153"/>
      <c r="CL110" s="153"/>
      <c r="CM110" s="153"/>
      <c r="CN110" s="153"/>
      <c r="CO110" s="153"/>
      <c r="CP110" s="153"/>
      <c r="CQ110" s="153"/>
      <c r="CR110" s="153"/>
      <c r="CS110" s="153"/>
      <c r="CT110" s="153"/>
      <c r="CU110" s="153"/>
      <c r="CV110" s="153"/>
      <c r="CW110" s="153"/>
      <c r="CX110" s="153"/>
      <c r="CY110" s="153"/>
      <c r="CZ110" s="153"/>
      <c r="DA110" s="153"/>
      <c r="DB110" s="153"/>
      <c r="DC110" s="153"/>
      <c r="DD110" s="153"/>
      <c r="DE110" s="153"/>
      <c r="DF110" s="153"/>
      <c r="DG110" s="153"/>
      <c r="DH110" s="153"/>
      <c r="DI110" s="153"/>
      <c r="DJ110" s="153"/>
      <c r="DK110" s="153"/>
      <c r="DL110" s="153"/>
      <c r="DM110" s="153"/>
      <c r="DN110" s="153"/>
      <c r="DO110" s="153"/>
      <c r="DP110" s="153"/>
      <c r="DQ110" s="153"/>
      <c r="DR110" s="153"/>
      <c r="DS110" s="153"/>
      <c r="DT110" s="153"/>
      <c r="DU110" s="153"/>
      <c r="DV110" s="153"/>
      <c r="DW110" s="153"/>
      <c r="DX110" s="153"/>
      <c r="DY110" s="153"/>
      <c r="EC110" s="557">
        <v>0.32500000000000001</v>
      </c>
      <c r="ED110" s="557"/>
      <c r="EE110" s="460">
        <f>IF(EG90&gt;=0.325,1,0)</f>
        <v>1</v>
      </c>
      <c r="EF110" s="460">
        <f>IF(EG90&lt;0.35,1,0)</f>
        <v>0</v>
      </c>
      <c r="EG110" s="188">
        <f t="shared" si="5"/>
        <v>1</v>
      </c>
      <c r="EI110" s="557">
        <v>0.32500000000000001</v>
      </c>
      <c r="EJ110" s="557"/>
      <c r="EK110" s="460">
        <f>IF(EK89&gt;=0.325,1,0)</f>
        <v>0</v>
      </c>
      <c r="EL110" s="460">
        <f>IF(EK89&lt;0.35,1,0)</f>
        <v>1</v>
      </c>
      <c r="EM110" s="188">
        <f t="shared" si="6"/>
        <v>1</v>
      </c>
      <c r="EO110" s="557">
        <v>0.32500000000000001</v>
      </c>
      <c r="EP110" s="557"/>
      <c r="EQ110" s="460">
        <f>IF(EO89&gt;=0.325,1,0)</f>
        <v>0</v>
      </c>
      <c r="ER110" s="460">
        <f>IF(EO89&lt;0.35,1,0)</f>
        <v>1</v>
      </c>
      <c r="ES110" s="188">
        <f t="shared" si="7"/>
        <v>1</v>
      </c>
      <c r="ET110" s="474"/>
      <c r="EU110" s="474"/>
      <c r="EV110" s="474"/>
      <c r="EY110" s="20"/>
      <c r="EZ110" s="474"/>
      <c r="FA110" s="474"/>
      <c r="FB110" s="474"/>
      <c r="FC110" s="139"/>
      <c r="FD110" s="139"/>
      <c r="FE110" s="139"/>
      <c r="FF110" s="139"/>
      <c r="FG110" s="139"/>
      <c r="FH110" s="139"/>
      <c r="FI110" s="139"/>
      <c r="FJ110" s="139"/>
      <c r="FK110" s="139"/>
      <c r="FL110" s="473"/>
      <c r="FM110" s="474"/>
      <c r="FN110" s="474"/>
      <c r="FO110" s="474"/>
      <c r="FP110" s="474"/>
      <c r="FQ110" s="474"/>
      <c r="FR110" s="474"/>
      <c r="FS110" s="474"/>
      <c r="FT110" s="474"/>
      <c r="FU110" s="474"/>
      <c r="FV110" s="474"/>
      <c r="FW110" s="474"/>
      <c r="FX110" s="474"/>
      <c r="FY110" s="474"/>
      <c r="FZ110" s="474"/>
      <c r="GA110" s="474"/>
      <c r="GB110" s="474"/>
      <c r="GC110" s="474"/>
      <c r="GD110" s="474"/>
      <c r="GE110" s="474"/>
      <c r="GF110" s="474"/>
      <c r="GG110" s="474"/>
      <c r="GH110" s="474"/>
      <c r="GI110" s="474"/>
      <c r="GJ110" s="474"/>
      <c r="GK110" s="474"/>
      <c r="GL110" s="474"/>
      <c r="GM110" s="474"/>
      <c r="GN110" s="474"/>
      <c r="GO110" s="474"/>
      <c r="GP110" s="474"/>
      <c r="GQ110" s="474"/>
      <c r="GR110" s="474"/>
      <c r="GS110" s="474"/>
      <c r="GT110" s="474"/>
      <c r="GU110" s="474"/>
      <c r="GV110" s="474"/>
      <c r="GW110" s="474"/>
      <c r="GX110" s="474"/>
      <c r="GY110" s="474"/>
      <c r="GZ110" s="474"/>
      <c r="HA110" s="474"/>
      <c r="HB110" s="474"/>
      <c r="HC110" s="474"/>
      <c r="HD110" s="474"/>
      <c r="HE110" s="474"/>
      <c r="HF110" s="474"/>
      <c r="HG110" s="474"/>
      <c r="HH110" s="474"/>
      <c r="HI110" s="474"/>
      <c r="HJ110" s="474"/>
      <c r="HK110" s="474"/>
      <c r="HL110" s="474"/>
      <c r="HM110" s="474"/>
      <c r="HN110" s="474"/>
      <c r="HO110" s="474"/>
      <c r="HP110" s="474"/>
      <c r="HQ110" s="474"/>
      <c r="HR110" s="474"/>
      <c r="HS110" s="474"/>
      <c r="HT110" s="474"/>
      <c r="HU110" s="474"/>
      <c r="HV110" s="474"/>
      <c r="HW110" s="474"/>
      <c r="HX110" s="474"/>
      <c r="HY110" s="474"/>
      <c r="HZ110" s="474"/>
      <c r="IA110" s="474"/>
      <c r="IB110" s="474"/>
      <c r="IC110" s="474"/>
      <c r="ID110" s="474"/>
      <c r="IE110" s="474"/>
      <c r="IF110" s="474"/>
      <c r="IG110" s="474"/>
      <c r="IH110" s="474"/>
      <c r="JG110" s="196" t="s">
        <v>24</v>
      </c>
      <c r="JH110" s="201">
        <v>0</v>
      </c>
      <c r="JI110" s="201">
        <v>0</v>
      </c>
      <c r="JJ110" s="201" t="e">
        <f>JH101-0.2</f>
        <v>#REF!</v>
      </c>
      <c r="JK110" s="198" t="e">
        <f>JJ101+0.2</f>
        <v>#REF!</v>
      </c>
      <c r="JL110" s="100" t="s">
        <v>4</v>
      </c>
      <c r="JM110" s="562" t="e">
        <f>#REF!</f>
        <v>#REF!</v>
      </c>
      <c r="JN110" s="562"/>
      <c r="JO110" s="562"/>
    </row>
    <row r="111" spans="1:278" ht="14.1" customHeight="1" x14ac:dyDescent="0.2">
      <c r="A111" s="242"/>
      <c r="B111" s="242"/>
      <c r="C111" s="242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3"/>
      <c r="AG111" s="242"/>
      <c r="AH111" s="242"/>
      <c r="AI111" s="242"/>
      <c r="AJ111" s="242"/>
      <c r="AK111" s="242"/>
      <c r="AL111" s="242"/>
      <c r="AM111" s="242"/>
      <c r="AN111" s="242"/>
      <c r="AO111" s="242"/>
      <c r="AP111" s="242"/>
      <c r="AQ111" s="242"/>
      <c r="AR111" s="242"/>
      <c r="AS111" s="45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  <c r="BJ111" s="153"/>
      <c r="BK111" s="153"/>
      <c r="BL111" s="153"/>
      <c r="BM111" s="153"/>
      <c r="BN111" s="153"/>
      <c r="BO111" s="153"/>
      <c r="BP111" s="153"/>
      <c r="BQ111" s="153"/>
      <c r="BR111" s="153"/>
      <c r="BS111" s="153"/>
      <c r="BT111" s="153"/>
      <c r="BU111" s="153"/>
      <c r="BV111" s="153"/>
      <c r="BW111" s="153"/>
      <c r="BX111" s="153"/>
      <c r="BY111" s="153"/>
      <c r="BZ111" s="153"/>
      <c r="CA111" s="153"/>
      <c r="CB111" s="153"/>
      <c r="CC111" s="153"/>
      <c r="CD111" s="153"/>
      <c r="CE111" s="153"/>
      <c r="CF111" s="153"/>
      <c r="CG111" s="153"/>
      <c r="CH111" s="153"/>
      <c r="CI111" s="153"/>
      <c r="CJ111" s="153"/>
      <c r="CK111" s="153"/>
      <c r="CL111" s="153"/>
      <c r="CM111" s="153"/>
      <c r="CN111" s="153"/>
      <c r="CO111" s="153"/>
      <c r="CP111" s="153"/>
      <c r="CQ111" s="153"/>
      <c r="CR111" s="153"/>
      <c r="CS111" s="153"/>
      <c r="CT111" s="153"/>
      <c r="CU111" s="153"/>
      <c r="CV111" s="153"/>
      <c r="CW111" s="153"/>
      <c r="CX111" s="153"/>
      <c r="CY111" s="153"/>
      <c r="CZ111" s="153"/>
      <c r="DA111" s="153"/>
      <c r="DB111" s="153"/>
      <c r="DC111" s="153"/>
      <c r="DD111" s="153"/>
      <c r="DE111" s="153"/>
      <c r="DF111" s="153"/>
      <c r="DG111" s="153"/>
      <c r="DH111" s="153"/>
      <c r="DI111" s="153"/>
      <c r="DJ111" s="153"/>
      <c r="DK111" s="153"/>
      <c r="DL111" s="153"/>
      <c r="DM111" s="153"/>
      <c r="DN111" s="153"/>
      <c r="DO111" s="153"/>
      <c r="DP111" s="153"/>
      <c r="DQ111" s="153"/>
      <c r="DR111" s="153"/>
      <c r="DS111" s="153"/>
      <c r="DT111" s="153"/>
      <c r="DU111" s="153"/>
      <c r="DV111" s="153"/>
      <c r="DW111" s="153"/>
      <c r="DX111" s="153"/>
      <c r="DY111" s="153"/>
      <c r="EC111" s="557">
        <v>0.35</v>
      </c>
      <c r="ED111" s="557"/>
      <c r="EE111" s="460">
        <f>IF(EG90&gt;=0.35,1,0)</f>
        <v>1</v>
      </c>
      <c r="EF111" s="460">
        <f>IF(EG90&lt;0.375,1,0)</f>
        <v>0</v>
      </c>
      <c r="EG111" s="188">
        <f t="shared" si="5"/>
        <v>1</v>
      </c>
      <c r="EI111" s="557">
        <v>0.35</v>
      </c>
      <c r="EJ111" s="557"/>
      <c r="EK111" s="460">
        <f>IF(EK89&gt;=0.35,1,0)</f>
        <v>0</v>
      </c>
      <c r="EL111" s="460">
        <f>IF(EK89&lt;0.375,1,0)</f>
        <v>1</v>
      </c>
      <c r="EM111" s="188">
        <f t="shared" si="6"/>
        <v>1</v>
      </c>
      <c r="EO111" s="557">
        <v>0.35</v>
      </c>
      <c r="EP111" s="557"/>
      <c r="EQ111" s="460">
        <f>IF(EO89&gt;=0.35,1,0)</f>
        <v>0</v>
      </c>
      <c r="ER111" s="460">
        <f>IF(EO89&lt;0.375,1,0)</f>
        <v>1</v>
      </c>
      <c r="ES111" s="188">
        <f t="shared" si="7"/>
        <v>1</v>
      </c>
      <c r="ET111" s="474"/>
      <c r="EU111" s="474"/>
      <c r="EV111" s="474"/>
      <c r="EY111" s="474"/>
      <c r="EZ111" s="474"/>
      <c r="FA111" s="474"/>
      <c r="FB111" s="474"/>
      <c r="FC111" s="160"/>
      <c r="FD111" s="160"/>
      <c r="FE111" s="160"/>
      <c r="FF111" s="160"/>
      <c r="FG111" s="160"/>
      <c r="FH111" s="160"/>
      <c r="FI111" s="160"/>
      <c r="FJ111" s="160"/>
      <c r="FK111" s="160"/>
      <c r="FL111" s="474"/>
      <c r="FM111" s="474"/>
      <c r="FN111" s="474"/>
      <c r="FO111" s="474"/>
      <c r="FP111" s="474"/>
      <c r="FQ111" s="474"/>
      <c r="FR111" s="474"/>
      <c r="FS111" s="474"/>
      <c r="FT111" s="474"/>
      <c r="FU111" s="474"/>
      <c r="FV111" s="474"/>
      <c r="FW111" s="474"/>
      <c r="FX111" s="474"/>
      <c r="FY111" s="474"/>
      <c r="FZ111" s="474"/>
      <c r="GA111" s="474"/>
      <c r="GB111" s="474"/>
      <c r="GC111" s="474"/>
      <c r="GD111" s="474"/>
      <c r="GE111" s="474"/>
      <c r="GF111" s="474"/>
      <c r="GG111" s="474"/>
      <c r="GH111" s="474"/>
      <c r="GI111" s="474"/>
      <c r="GJ111" s="474"/>
      <c r="GK111" s="474"/>
      <c r="GL111" s="474"/>
      <c r="GM111" s="474"/>
      <c r="GN111" s="474"/>
      <c r="GO111" s="474"/>
      <c r="GP111" s="474"/>
      <c r="GQ111" s="474"/>
      <c r="GR111" s="474"/>
      <c r="GS111" s="474"/>
      <c r="GT111" s="474"/>
      <c r="GU111" s="474"/>
      <c r="GV111" s="474"/>
      <c r="GW111" s="474"/>
      <c r="GX111" s="474"/>
      <c r="GY111" s="474"/>
      <c r="GZ111" s="474"/>
      <c r="HA111" s="474"/>
      <c r="HB111" s="474"/>
      <c r="HC111" s="474"/>
      <c r="HD111" s="474"/>
      <c r="HE111" s="474"/>
      <c r="HF111" s="474"/>
      <c r="HG111" s="474"/>
      <c r="HH111" s="474"/>
      <c r="HI111" s="474"/>
      <c r="HJ111" s="474"/>
      <c r="HK111" s="474"/>
      <c r="HL111" s="474"/>
      <c r="HM111" s="474"/>
      <c r="HN111" s="474"/>
      <c r="HO111" s="474"/>
      <c r="HP111" s="474"/>
      <c r="HQ111" s="474"/>
      <c r="HR111" s="474"/>
      <c r="HS111" s="474"/>
      <c r="HT111" s="474"/>
      <c r="HU111" s="474"/>
      <c r="HV111" s="474"/>
      <c r="HW111" s="474"/>
      <c r="HX111" s="474"/>
      <c r="HY111" s="474"/>
      <c r="HZ111" s="474"/>
      <c r="IA111" s="474"/>
      <c r="IB111" s="474"/>
      <c r="IC111" s="474"/>
      <c r="ID111" s="474"/>
      <c r="IE111" s="474"/>
      <c r="IF111" s="474"/>
      <c r="IG111" s="474"/>
      <c r="IH111" s="474"/>
      <c r="JG111" s="146" t="s">
        <v>23</v>
      </c>
      <c r="JJ111" s="146" t="s">
        <v>24</v>
      </c>
      <c r="JL111" s="100" t="s">
        <v>124</v>
      </c>
      <c r="JM111" s="560">
        <f>W17/100</f>
        <v>0.1</v>
      </c>
      <c r="JN111" s="560"/>
      <c r="JO111" s="560"/>
      <c r="JP111" s="560"/>
    </row>
    <row r="112" spans="1:278" ht="14.1" customHeight="1" x14ac:dyDescent="0.2">
      <c r="A112" s="242"/>
      <c r="B112" s="252"/>
      <c r="C112" s="252"/>
      <c r="D112" s="252"/>
      <c r="E112" s="252"/>
      <c r="F112" s="252"/>
      <c r="G112" s="252"/>
      <c r="H112" s="252"/>
      <c r="I112" s="252"/>
      <c r="J112" s="252"/>
      <c r="K112" s="253"/>
      <c r="L112" s="253"/>
      <c r="M112" s="253"/>
      <c r="N112" s="254"/>
      <c r="O112" s="254"/>
      <c r="P112" s="242"/>
      <c r="Q112" s="242"/>
      <c r="R112" s="242"/>
      <c r="S112" s="242"/>
      <c r="T112" s="242"/>
      <c r="U112" s="242"/>
      <c r="V112" s="242"/>
      <c r="W112" s="242"/>
      <c r="X112" s="242"/>
      <c r="Y112" s="242"/>
      <c r="Z112" s="242"/>
      <c r="AA112" s="242"/>
      <c r="AB112" s="242"/>
      <c r="AC112" s="242"/>
      <c r="AD112" s="242"/>
      <c r="AE112" s="242"/>
      <c r="AF112" s="242"/>
      <c r="AG112" s="242"/>
      <c r="AH112" s="242"/>
      <c r="AI112" s="242"/>
      <c r="AJ112" s="242"/>
      <c r="AK112" s="242"/>
      <c r="AL112" s="242"/>
      <c r="AM112" s="242"/>
      <c r="AN112" s="242"/>
      <c r="AO112" s="242"/>
      <c r="AP112" s="242"/>
      <c r="AQ112" s="242"/>
      <c r="AR112" s="242"/>
      <c r="AS112" s="45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  <c r="BJ112" s="153"/>
      <c r="BK112" s="153"/>
      <c r="BL112" s="153"/>
      <c r="BM112" s="153"/>
      <c r="BN112" s="153"/>
      <c r="BO112" s="153"/>
      <c r="BP112" s="153"/>
      <c r="BQ112" s="153"/>
      <c r="BR112" s="153"/>
      <c r="BS112" s="153"/>
      <c r="BT112" s="153"/>
      <c r="BU112" s="153"/>
      <c r="BV112" s="153"/>
      <c r="BW112" s="153"/>
      <c r="BX112" s="153"/>
      <c r="BY112" s="153"/>
      <c r="BZ112" s="153"/>
      <c r="CA112" s="153"/>
      <c r="CB112" s="153"/>
      <c r="CC112" s="153"/>
      <c r="CD112" s="153"/>
      <c r="CE112" s="153"/>
      <c r="CF112" s="153"/>
      <c r="CG112" s="153"/>
      <c r="CH112" s="153"/>
      <c r="CI112" s="153"/>
      <c r="CJ112" s="153"/>
      <c r="CK112" s="153"/>
      <c r="CL112" s="153"/>
      <c r="CM112" s="153"/>
      <c r="CN112" s="153"/>
      <c r="CO112" s="153"/>
      <c r="CP112" s="153"/>
      <c r="CQ112" s="153"/>
      <c r="CR112" s="153"/>
      <c r="CS112" s="153"/>
      <c r="CT112" s="153"/>
      <c r="CU112" s="153"/>
      <c r="CV112" s="153"/>
      <c r="CW112" s="153"/>
      <c r="CX112" s="153"/>
      <c r="CY112" s="153"/>
      <c r="CZ112" s="153"/>
      <c r="DA112" s="153"/>
      <c r="DB112" s="153"/>
      <c r="DC112" s="153"/>
      <c r="DD112" s="153"/>
      <c r="DE112" s="153"/>
      <c r="DF112" s="153"/>
      <c r="DG112" s="153"/>
      <c r="DH112" s="153"/>
      <c r="DI112" s="153"/>
      <c r="DJ112" s="153"/>
      <c r="DK112" s="153"/>
      <c r="DL112" s="153"/>
      <c r="DM112" s="153"/>
      <c r="DN112" s="153"/>
      <c r="DO112" s="153"/>
      <c r="DP112" s="153"/>
      <c r="DQ112" s="153"/>
      <c r="DR112" s="153"/>
      <c r="DS112" s="153"/>
      <c r="DT112" s="153"/>
      <c r="DU112" s="153"/>
      <c r="DV112" s="153"/>
      <c r="DW112" s="153"/>
      <c r="DX112" s="153"/>
      <c r="DY112" s="153"/>
      <c r="EC112" s="557">
        <v>0.375</v>
      </c>
      <c r="ED112" s="557"/>
      <c r="EE112" s="460">
        <f>IF(EG90&gt;=0.375,1,0)</f>
        <v>1</v>
      </c>
      <c r="EF112" s="460">
        <f>IF(EG90&lt;0.4,1,0)</f>
        <v>0</v>
      </c>
      <c r="EG112" s="188">
        <f t="shared" si="5"/>
        <v>1</v>
      </c>
      <c r="EI112" s="557">
        <v>0.375</v>
      </c>
      <c r="EJ112" s="557"/>
      <c r="EK112" s="460">
        <f>IF(EK89&gt;=0.375,1,0)</f>
        <v>0</v>
      </c>
      <c r="EL112" s="460">
        <f>IF(EK89&lt;0.4,1,0)</f>
        <v>1</v>
      </c>
      <c r="EM112" s="188">
        <f t="shared" si="6"/>
        <v>1</v>
      </c>
      <c r="EO112" s="557">
        <v>0.375</v>
      </c>
      <c r="EP112" s="557"/>
      <c r="EQ112" s="460">
        <f>IF(EO89&gt;=0.375,1,0)</f>
        <v>0</v>
      </c>
      <c r="ER112" s="460">
        <f>IF(EO89&lt;0.4,1,0)</f>
        <v>1</v>
      </c>
      <c r="ES112" s="188">
        <f t="shared" si="7"/>
        <v>1</v>
      </c>
      <c r="ET112" s="474"/>
      <c r="EU112" s="474"/>
      <c r="EV112" s="474"/>
      <c r="EY112" s="31"/>
      <c r="EZ112" s="474"/>
      <c r="FA112" s="474"/>
      <c r="FB112" s="474"/>
      <c r="FC112" s="31"/>
      <c r="FD112" s="31"/>
      <c r="FE112" s="31"/>
      <c r="FF112" s="31"/>
      <c r="FG112" s="31"/>
      <c r="FH112" s="31"/>
      <c r="FI112" s="31"/>
      <c r="FJ112" s="31"/>
      <c r="FK112" s="31"/>
      <c r="FL112" s="490"/>
      <c r="FM112" s="474"/>
      <c r="FN112" s="474"/>
      <c r="FO112" s="474"/>
      <c r="FP112" s="474"/>
      <c r="FQ112" s="474"/>
      <c r="FR112" s="474"/>
      <c r="FS112" s="474"/>
      <c r="FT112" s="474"/>
      <c r="FU112" s="474"/>
      <c r="FV112" s="474"/>
      <c r="FW112" s="474"/>
      <c r="FX112" s="474"/>
      <c r="FY112" s="474"/>
      <c r="FZ112" s="474"/>
      <c r="GA112" s="474"/>
      <c r="GB112" s="474"/>
      <c r="GC112" s="474"/>
      <c r="GD112" s="474"/>
      <c r="GE112" s="474"/>
      <c r="GF112" s="474"/>
      <c r="GG112" s="474"/>
      <c r="GH112" s="474"/>
      <c r="GI112" s="474"/>
      <c r="GJ112" s="474"/>
      <c r="GK112" s="474"/>
      <c r="GL112" s="474"/>
      <c r="GM112" s="474"/>
      <c r="GN112" s="474"/>
      <c r="GO112" s="474"/>
      <c r="GP112" s="474"/>
      <c r="GQ112" s="474"/>
      <c r="GR112" s="474"/>
      <c r="GS112" s="474"/>
      <c r="GT112" s="474"/>
      <c r="GU112" s="474"/>
      <c r="GV112" s="474"/>
      <c r="GW112" s="474"/>
      <c r="GX112" s="474"/>
      <c r="GY112" s="474"/>
      <c r="GZ112" s="474"/>
      <c r="HA112" s="474"/>
      <c r="HB112" s="474"/>
      <c r="HC112" s="474"/>
      <c r="HD112" s="474"/>
      <c r="HE112" s="474"/>
      <c r="HF112" s="474"/>
      <c r="HG112" s="474"/>
      <c r="HH112" s="474"/>
      <c r="HI112" s="474"/>
      <c r="HJ112" s="474"/>
      <c r="HK112" s="474"/>
      <c r="HL112" s="474"/>
      <c r="HM112" s="474"/>
      <c r="HN112" s="474"/>
      <c r="HO112" s="474"/>
      <c r="HP112" s="474"/>
      <c r="HQ112" s="474"/>
      <c r="HR112" s="474"/>
      <c r="HS112" s="474"/>
      <c r="HT112" s="474"/>
      <c r="HU112" s="474"/>
      <c r="HV112" s="474"/>
      <c r="HW112" s="474"/>
      <c r="HX112" s="474"/>
      <c r="HY112" s="474"/>
      <c r="HZ112" s="474"/>
      <c r="IA112" s="474"/>
      <c r="IB112" s="474"/>
      <c r="IC112" s="474"/>
      <c r="ID112" s="474"/>
      <c r="IE112" s="474"/>
      <c r="IF112" s="474"/>
      <c r="IG112" s="474"/>
      <c r="IH112" s="474"/>
      <c r="JG112" s="193" t="s">
        <v>23</v>
      </c>
      <c r="JH112" s="202">
        <v>0</v>
      </c>
      <c r="JI112" s="203">
        <v>1</v>
      </c>
      <c r="JJ112" s="193" t="s">
        <v>23</v>
      </c>
      <c r="JK112" s="202">
        <v>0</v>
      </c>
      <c r="JL112" s="203">
        <v>0</v>
      </c>
    </row>
    <row r="113" spans="1:284" ht="14.1" customHeight="1" x14ac:dyDescent="0.2">
      <c r="A113" s="242"/>
      <c r="B113" s="252"/>
      <c r="C113" s="252"/>
      <c r="D113" s="252"/>
      <c r="E113" s="252"/>
      <c r="F113" s="252"/>
      <c r="G113" s="252"/>
      <c r="H113" s="252"/>
      <c r="I113" s="252"/>
      <c r="J113" s="252"/>
      <c r="K113" s="253"/>
      <c r="L113" s="253"/>
      <c r="M113" s="253"/>
      <c r="N113" s="254"/>
      <c r="O113" s="254"/>
      <c r="P113" s="242"/>
      <c r="Q113" s="242"/>
      <c r="R113" s="242"/>
      <c r="S113" s="242"/>
      <c r="T113" s="242"/>
      <c r="U113" s="242"/>
      <c r="V113" s="242"/>
      <c r="W113" s="242"/>
      <c r="X113" s="242"/>
      <c r="Y113" s="242"/>
      <c r="Z113" s="242"/>
      <c r="AA113" s="242"/>
      <c r="AB113" s="242"/>
      <c r="AC113" s="242"/>
      <c r="AD113" s="242"/>
      <c r="AE113" s="242"/>
      <c r="AF113" s="242"/>
      <c r="AG113" s="242"/>
      <c r="AH113" s="242"/>
      <c r="AI113" s="242"/>
      <c r="AJ113" s="242"/>
      <c r="AK113" s="242"/>
      <c r="AL113" s="242"/>
      <c r="AM113" s="242"/>
      <c r="AN113" s="242"/>
      <c r="AO113" s="242"/>
      <c r="AP113" s="242"/>
      <c r="AQ113" s="242"/>
      <c r="AR113" s="242"/>
      <c r="AS113" s="45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  <c r="BJ113" s="153"/>
      <c r="BK113" s="153"/>
      <c r="BL113" s="153"/>
      <c r="BM113" s="153"/>
      <c r="BN113" s="153"/>
      <c r="BO113" s="153"/>
      <c r="BP113" s="153"/>
      <c r="BQ113" s="153"/>
      <c r="BR113" s="153"/>
      <c r="BS113" s="153"/>
      <c r="BT113" s="153"/>
      <c r="BU113" s="153"/>
      <c r="BV113" s="153"/>
      <c r="BW113" s="153"/>
      <c r="BX113" s="153"/>
      <c r="BY113" s="153"/>
      <c r="BZ113" s="153"/>
      <c r="CA113" s="153"/>
      <c r="CB113" s="153"/>
      <c r="CC113" s="153"/>
      <c r="CD113" s="153"/>
      <c r="CE113" s="153"/>
      <c r="CF113" s="153"/>
      <c r="CG113" s="153"/>
      <c r="CH113" s="153"/>
      <c r="CI113" s="153"/>
      <c r="CJ113" s="153"/>
      <c r="CK113" s="153"/>
      <c r="CL113" s="153"/>
      <c r="CM113" s="153"/>
      <c r="CN113" s="153"/>
      <c r="CO113" s="153"/>
      <c r="CP113" s="153"/>
      <c r="CQ113" s="153"/>
      <c r="CR113" s="153"/>
      <c r="CS113" s="153"/>
      <c r="CT113" s="153"/>
      <c r="CU113" s="153"/>
      <c r="CV113" s="153"/>
      <c r="CW113" s="153"/>
      <c r="CX113" s="153"/>
      <c r="CY113" s="153"/>
      <c r="CZ113" s="153"/>
      <c r="DA113" s="153"/>
      <c r="DB113" s="153"/>
      <c r="DC113" s="153"/>
      <c r="DD113" s="153"/>
      <c r="DE113" s="153"/>
      <c r="DF113" s="153"/>
      <c r="DG113" s="153"/>
      <c r="DH113" s="153"/>
      <c r="DI113" s="153"/>
      <c r="DJ113" s="153"/>
      <c r="DK113" s="153"/>
      <c r="DL113" s="153"/>
      <c r="DM113" s="153"/>
      <c r="DN113" s="153"/>
      <c r="DO113" s="153"/>
      <c r="DP113" s="153"/>
      <c r="DQ113" s="153"/>
      <c r="DR113" s="153"/>
      <c r="DS113" s="153"/>
      <c r="DT113" s="153"/>
      <c r="DU113" s="153"/>
      <c r="DV113" s="153"/>
      <c r="DW113" s="153"/>
      <c r="DX113" s="153"/>
      <c r="DY113" s="153"/>
      <c r="EC113" s="557">
        <v>0.4</v>
      </c>
      <c r="ED113" s="557"/>
      <c r="EE113" s="460">
        <f>IF(EG90&gt;=0.4,1,0)</f>
        <v>1</v>
      </c>
      <c r="EF113" s="460">
        <f>IF(EG90&lt;0.425,1,0)</f>
        <v>0</v>
      </c>
      <c r="EG113" s="188">
        <f t="shared" si="5"/>
        <v>1</v>
      </c>
      <c r="EI113" s="557">
        <v>0.4</v>
      </c>
      <c r="EJ113" s="557"/>
      <c r="EK113" s="460">
        <f>IF(EK89&gt;=0.4,1,0)</f>
        <v>0</v>
      </c>
      <c r="EL113" s="460">
        <f>IF(EK89&lt;0.425,1,0)</f>
        <v>1</v>
      </c>
      <c r="EM113" s="188">
        <f t="shared" si="6"/>
        <v>1</v>
      </c>
      <c r="EO113" s="557">
        <v>0.4</v>
      </c>
      <c r="EP113" s="557"/>
      <c r="EQ113" s="460">
        <f>IF(EO89&gt;=0.4,1,0)</f>
        <v>0</v>
      </c>
      <c r="ER113" s="460">
        <f>IF(EO89&lt;0.425,1,0)</f>
        <v>1</v>
      </c>
      <c r="ES113" s="188">
        <f t="shared" si="7"/>
        <v>1</v>
      </c>
      <c r="ET113" s="474"/>
      <c r="EU113" s="474"/>
      <c r="EV113" s="474"/>
      <c r="EY113" s="474"/>
      <c r="EZ113" s="474"/>
      <c r="FA113" s="474"/>
      <c r="FB113" s="474"/>
      <c r="FC113" s="139"/>
      <c r="FD113" s="139"/>
      <c r="FE113" s="139"/>
      <c r="FF113" s="139"/>
      <c r="FG113" s="139"/>
      <c r="FH113" s="139"/>
      <c r="FI113" s="139"/>
      <c r="FJ113" s="139"/>
      <c r="FK113" s="139"/>
      <c r="FL113" s="490"/>
      <c r="FM113" s="474"/>
      <c r="FN113" s="474"/>
      <c r="FO113" s="474"/>
      <c r="FP113" s="474"/>
      <c r="FQ113" s="474"/>
      <c r="FR113" s="474"/>
      <c r="FS113" s="474"/>
      <c r="FT113" s="474"/>
      <c r="FU113" s="474"/>
      <c r="FV113" s="474"/>
      <c r="FW113" s="474"/>
      <c r="FX113" s="474"/>
      <c r="FY113" s="474"/>
      <c r="FZ113" s="474"/>
      <c r="GA113" s="474"/>
      <c r="GB113" s="474"/>
      <c r="GC113" s="474"/>
      <c r="GD113" s="474"/>
      <c r="GE113" s="474"/>
      <c r="GF113" s="474"/>
      <c r="GG113" s="474"/>
      <c r="GH113" s="474"/>
      <c r="GI113" s="474"/>
      <c r="GJ113" s="474"/>
      <c r="GK113" s="474"/>
      <c r="GL113" s="474"/>
      <c r="GM113" s="474"/>
      <c r="GN113" s="474"/>
      <c r="GO113" s="474"/>
      <c r="GP113" s="474"/>
      <c r="GQ113" s="474"/>
      <c r="GR113" s="474"/>
      <c r="GS113" s="474"/>
      <c r="GT113" s="474"/>
      <c r="GU113" s="474"/>
      <c r="GV113" s="474"/>
      <c r="GW113" s="474"/>
      <c r="GX113" s="474"/>
      <c r="GY113" s="474"/>
      <c r="GZ113" s="474"/>
      <c r="HA113" s="474"/>
      <c r="HB113" s="474"/>
      <c r="HC113" s="474"/>
      <c r="HD113" s="474"/>
      <c r="HE113" s="474"/>
      <c r="HF113" s="474"/>
      <c r="HG113" s="474"/>
      <c r="HH113" s="474"/>
      <c r="HI113" s="474"/>
      <c r="HJ113" s="474"/>
      <c r="HK113" s="474"/>
      <c r="HL113" s="474"/>
      <c r="HM113" s="474"/>
      <c r="HN113" s="474"/>
      <c r="HO113" s="474"/>
      <c r="HP113" s="474"/>
      <c r="HQ113" s="474"/>
      <c r="HR113" s="474"/>
      <c r="HS113" s="474"/>
      <c r="HT113" s="474"/>
      <c r="HU113" s="474"/>
      <c r="HV113" s="474"/>
      <c r="HW113" s="474"/>
      <c r="HX113" s="474"/>
      <c r="HY113" s="474"/>
      <c r="HZ113" s="474"/>
      <c r="IA113" s="474"/>
      <c r="IB113" s="474"/>
      <c r="IC113" s="474"/>
      <c r="ID113" s="474"/>
      <c r="IE113" s="474"/>
      <c r="IF113" s="474"/>
      <c r="IG113" s="474"/>
      <c r="IH113" s="474"/>
      <c r="JG113" s="196" t="s">
        <v>24</v>
      </c>
      <c r="JH113" s="201">
        <v>0</v>
      </c>
      <c r="JI113" s="198">
        <v>0</v>
      </c>
      <c r="JJ113" s="196" t="s">
        <v>24</v>
      </c>
      <c r="JK113" s="201">
        <v>0</v>
      </c>
      <c r="JL113" s="198">
        <v>1</v>
      </c>
    </row>
    <row r="114" spans="1:284" ht="14.1" customHeight="1" x14ac:dyDescent="0.2">
      <c r="A114" s="242"/>
      <c r="B114" s="256"/>
      <c r="C114" s="256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56"/>
      <c r="O114" s="25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6"/>
      <c r="AA114" s="256"/>
      <c r="AB114" s="256"/>
      <c r="AC114" s="256"/>
      <c r="AD114" s="256"/>
      <c r="AE114" s="256"/>
      <c r="AF114" s="256"/>
      <c r="AG114" s="242"/>
      <c r="AH114" s="242"/>
      <c r="AI114" s="242"/>
      <c r="AJ114" s="242"/>
      <c r="AK114" s="242"/>
      <c r="AL114" s="242"/>
      <c r="AM114" s="242"/>
      <c r="AN114" s="242"/>
      <c r="AO114" s="242"/>
      <c r="AP114" s="242"/>
      <c r="AQ114" s="242"/>
      <c r="AR114" s="242"/>
      <c r="AS114" s="45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  <c r="BJ114" s="153"/>
      <c r="BK114" s="153"/>
      <c r="BL114" s="153"/>
      <c r="BM114" s="153"/>
      <c r="BN114" s="153"/>
      <c r="BO114" s="153"/>
      <c r="BP114" s="153"/>
      <c r="BQ114" s="153"/>
      <c r="BR114" s="153"/>
      <c r="BS114" s="153"/>
      <c r="BT114" s="153"/>
      <c r="BU114" s="153"/>
      <c r="BV114" s="153"/>
      <c r="BW114" s="153"/>
      <c r="BX114" s="153"/>
      <c r="BY114" s="153"/>
      <c r="BZ114" s="153"/>
      <c r="CA114" s="153"/>
      <c r="CB114" s="153"/>
      <c r="CC114" s="153"/>
      <c r="CD114" s="153"/>
      <c r="CE114" s="153"/>
      <c r="CF114" s="153"/>
      <c r="CG114" s="153"/>
      <c r="CH114" s="153"/>
      <c r="CI114" s="153"/>
      <c r="CJ114" s="153"/>
      <c r="CK114" s="153"/>
      <c r="CL114" s="153"/>
      <c r="CM114" s="153"/>
      <c r="CN114" s="153"/>
      <c r="CO114" s="153"/>
      <c r="CP114" s="153"/>
      <c r="CQ114" s="153"/>
      <c r="CR114" s="153"/>
      <c r="CS114" s="153"/>
      <c r="CT114" s="153"/>
      <c r="CU114" s="153"/>
      <c r="CV114" s="153"/>
      <c r="CW114" s="153"/>
      <c r="CX114" s="153"/>
      <c r="CY114" s="153"/>
      <c r="CZ114" s="153"/>
      <c r="DA114" s="153"/>
      <c r="DB114" s="153"/>
      <c r="DC114" s="153"/>
      <c r="DD114" s="153"/>
      <c r="DE114" s="153"/>
      <c r="DF114" s="153"/>
      <c r="DG114" s="153"/>
      <c r="DH114" s="153"/>
      <c r="DI114" s="153"/>
      <c r="DJ114" s="153"/>
      <c r="DK114" s="153"/>
      <c r="DL114" s="153"/>
      <c r="DM114" s="153"/>
      <c r="DN114" s="153"/>
      <c r="DO114" s="153"/>
      <c r="DP114" s="153"/>
      <c r="DQ114" s="153"/>
      <c r="DR114" s="153"/>
      <c r="DS114" s="153"/>
      <c r="DT114" s="153"/>
      <c r="DU114" s="153"/>
      <c r="DV114" s="153"/>
      <c r="DW114" s="153"/>
      <c r="DX114" s="153"/>
      <c r="DY114" s="153"/>
      <c r="EC114" s="557">
        <v>0.42499999999999999</v>
      </c>
      <c r="ED114" s="557"/>
      <c r="EE114" s="460">
        <f>IF(EG90&gt;=0.425,1,0)</f>
        <v>1</v>
      </c>
      <c r="EF114" s="460">
        <f>IF(EG90&lt;0.45,1,0)</f>
        <v>0</v>
      </c>
      <c r="EG114" s="188">
        <f t="shared" si="5"/>
        <v>1</v>
      </c>
      <c r="EI114" s="557">
        <v>0.42499999999999999</v>
      </c>
      <c r="EJ114" s="557"/>
      <c r="EK114" s="460">
        <f>IF(EK89&gt;=0.425,1,0)</f>
        <v>0</v>
      </c>
      <c r="EL114" s="460">
        <f>IF(EK89&lt;0.45,1,0)</f>
        <v>1</v>
      </c>
      <c r="EM114" s="188">
        <f t="shared" si="6"/>
        <v>1</v>
      </c>
      <c r="EO114" s="557">
        <v>0.42499999999999999</v>
      </c>
      <c r="EP114" s="557"/>
      <c r="EQ114" s="460">
        <f>IF(EO89&gt;=0.425,1,0)</f>
        <v>0</v>
      </c>
      <c r="ER114" s="460">
        <f>IF(EO89&lt;0.45,1,0)</f>
        <v>1</v>
      </c>
      <c r="ES114" s="188">
        <f t="shared" si="7"/>
        <v>1</v>
      </c>
      <c r="ET114" s="474"/>
      <c r="EU114" s="474"/>
      <c r="EV114" s="474"/>
      <c r="EY114" s="31"/>
      <c r="EZ114" s="31"/>
      <c r="FA114" s="474"/>
      <c r="FB114" s="474"/>
      <c r="FC114" s="31"/>
      <c r="FD114" s="31"/>
      <c r="FE114" s="31"/>
      <c r="FF114" s="31"/>
      <c r="FG114" s="31"/>
      <c r="FH114" s="31"/>
      <c r="FI114" s="31"/>
      <c r="FJ114" s="31"/>
      <c r="FK114" s="31"/>
      <c r="FL114" s="490"/>
      <c r="FM114" s="474"/>
      <c r="FN114" s="474"/>
      <c r="FO114" s="474"/>
      <c r="FP114" s="474"/>
      <c r="FQ114" s="474"/>
      <c r="FR114" s="474"/>
      <c r="FS114" s="474"/>
      <c r="FT114" s="474"/>
      <c r="FU114" s="474"/>
      <c r="FV114" s="474"/>
      <c r="FW114" s="474"/>
      <c r="FX114" s="474"/>
      <c r="FY114" s="474"/>
      <c r="FZ114" s="474"/>
      <c r="GA114" s="474"/>
      <c r="GB114" s="474"/>
      <c r="GC114" s="474"/>
      <c r="GD114" s="474"/>
      <c r="GE114" s="474"/>
      <c r="GF114" s="474"/>
      <c r="GG114" s="474"/>
      <c r="GH114" s="474"/>
      <c r="GI114" s="474"/>
      <c r="GJ114" s="474"/>
      <c r="GK114" s="474"/>
      <c r="GL114" s="474"/>
      <c r="GM114" s="474"/>
      <c r="GN114" s="474"/>
      <c r="GO114" s="474"/>
      <c r="GP114" s="474"/>
      <c r="GQ114" s="474"/>
      <c r="GR114" s="474"/>
      <c r="GS114" s="474"/>
      <c r="GT114" s="474"/>
      <c r="GU114" s="474"/>
      <c r="GV114" s="474"/>
      <c r="GW114" s="474"/>
      <c r="GX114" s="474"/>
      <c r="GY114" s="474"/>
      <c r="GZ114" s="474"/>
      <c r="HA114" s="474"/>
      <c r="HB114" s="474"/>
      <c r="HC114" s="474"/>
      <c r="HD114" s="474"/>
      <c r="HE114" s="474"/>
      <c r="HF114" s="474"/>
      <c r="HG114" s="474"/>
      <c r="HH114" s="474"/>
      <c r="HI114" s="474"/>
      <c r="HJ114" s="474"/>
      <c r="HK114" s="474"/>
      <c r="HL114" s="474"/>
      <c r="HM114" s="474"/>
      <c r="HN114" s="474"/>
      <c r="HO114" s="474"/>
      <c r="HP114" s="474"/>
      <c r="HQ114" s="474"/>
      <c r="HR114" s="474"/>
      <c r="HS114" s="474"/>
      <c r="HT114" s="474"/>
      <c r="HU114" s="474"/>
      <c r="HV114" s="474"/>
      <c r="HW114" s="474"/>
      <c r="HX114" s="474"/>
      <c r="HY114" s="474"/>
      <c r="HZ114" s="474"/>
      <c r="IA114" s="474"/>
      <c r="IB114" s="474"/>
      <c r="IC114" s="474"/>
      <c r="ID114" s="474"/>
      <c r="IE114" s="474"/>
      <c r="IF114" s="474"/>
      <c r="IG114" s="474"/>
      <c r="IH114" s="474"/>
    </row>
    <row r="115" spans="1:284" ht="14.1" customHeight="1" x14ac:dyDescent="0.2">
      <c r="A115" s="242"/>
      <c r="B115" s="242"/>
      <c r="C115" s="242"/>
      <c r="D115" s="242"/>
      <c r="E115" s="242"/>
      <c r="F115" s="161"/>
      <c r="G115" s="161"/>
      <c r="H115" s="161"/>
      <c r="I115" s="257"/>
      <c r="J115" s="242"/>
      <c r="K115" s="242"/>
      <c r="L115" s="242"/>
      <c r="M115" s="242"/>
      <c r="N115" s="267"/>
      <c r="O115" s="242"/>
      <c r="P115" s="242"/>
      <c r="Q115" s="242"/>
      <c r="R115" s="269"/>
      <c r="S115" s="269"/>
      <c r="T115" s="269"/>
      <c r="U115" s="257"/>
      <c r="V115" s="242"/>
      <c r="W115" s="242"/>
      <c r="X115" s="242"/>
      <c r="Y115" s="242"/>
      <c r="Z115" s="257"/>
      <c r="AA115" s="242"/>
      <c r="AB115" s="242"/>
      <c r="AC115" s="242"/>
      <c r="AD115" s="261"/>
      <c r="AE115" s="261"/>
      <c r="AF115" s="261"/>
      <c r="AG115" s="505"/>
      <c r="AH115" s="506"/>
      <c r="AI115" s="506"/>
      <c r="AJ115" s="506"/>
      <c r="AK115" s="505"/>
      <c r="AL115" s="505"/>
      <c r="AM115" s="505"/>
      <c r="AN115" s="505"/>
      <c r="AO115" s="292"/>
      <c r="AP115" s="242"/>
      <c r="AQ115" s="242"/>
      <c r="AR115" s="242"/>
      <c r="AS115" s="45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  <c r="BI115" s="153"/>
      <c r="BJ115" s="153"/>
      <c r="BK115" s="153"/>
      <c r="BL115" s="153"/>
      <c r="BM115" s="153"/>
      <c r="BN115" s="153"/>
      <c r="BO115" s="153"/>
      <c r="BP115" s="153"/>
      <c r="BQ115" s="153"/>
      <c r="BR115" s="153"/>
      <c r="BS115" s="153"/>
      <c r="BT115" s="153"/>
      <c r="BU115" s="153"/>
      <c r="BV115" s="153"/>
      <c r="BW115" s="153"/>
      <c r="BX115" s="153"/>
      <c r="BY115" s="153"/>
      <c r="BZ115" s="153"/>
      <c r="CA115" s="153"/>
      <c r="CB115" s="153"/>
      <c r="CC115" s="153"/>
      <c r="CD115" s="153"/>
      <c r="CE115" s="153"/>
      <c r="CF115" s="153"/>
      <c r="CG115" s="153"/>
      <c r="CH115" s="153"/>
      <c r="CI115" s="153"/>
      <c r="CJ115" s="153"/>
      <c r="CK115" s="153"/>
      <c r="CL115" s="153"/>
      <c r="CM115" s="153"/>
      <c r="CN115" s="153"/>
      <c r="CO115" s="153"/>
      <c r="CP115" s="153"/>
      <c r="CQ115" s="153"/>
      <c r="CR115" s="153"/>
      <c r="CS115" s="153"/>
      <c r="CT115" s="153"/>
      <c r="CU115" s="153"/>
      <c r="CV115" s="153"/>
      <c r="CW115" s="153"/>
      <c r="CX115" s="153"/>
      <c r="CY115" s="153"/>
      <c r="CZ115" s="153"/>
      <c r="DA115" s="153"/>
      <c r="DB115" s="153"/>
      <c r="DC115" s="153"/>
      <c r="DD115" s="153"/>
      <c r="DE115" s="153"/>
      <c r="DF115" s="153"/>
      <c r="DG115" s="153"/>
      <c r="DH115" s="153"/>
      <c r="DI115" s="153"/>
      <c r="DJ115" s="153"/>
      <c r="DK115" s="153"/>
      <c r="DL115" s="153"/>
      <c r="DM115" s="153"/>
      <c r="DN115" s="153"/>
      <c r="DO115" s="153"/>
      <c r="DP115" s="153"/>
      <c r="DQ115" s="153"/>
      <c r="DR115" s="153"/>
      <c r="DS115" s="153"/>
      <c r="DT115" s="153"/>
      <c r="DU115" s="153"/>
      <c r="DV115" s="153"/>
      <c r="DW115" s="153"/>
      <c r="DX115" s="153"/>
      <c r="DY115" s="153"/>
      <c r="EC115" s="557">
        <v>0.45</v>
      </c>
      <c r="ED115" s="557"/>
      <c r="EE115" s="460">
        <f>IF(EG90&gt;=0.5,1,0)</f>
        <v>0</v>
      </c>
      <c r="EF115" s="460">
        <f>IF(EG90&lt;1,1,0)</f>
        <v>1</v>
      </c>
      <c r="EG115" s="188">
        <f t="shared" si="5"/>
        <v>1</v>
      </c>
      <c r="EI115" s="557">
        <v>0.45</v>
      </c>
      <c r="EJ115" s="557"/>
      <c r="EK115" s="460">
        <f>IF(EK89&gt;=0.5,1,0)</f>
        <v>0</v>
      </c>
      <c r="EL115" s="460">
        <f>IF(EK89&lt;1,1,0)</f>
        <v>1</v>
      </c>
      <c r="EM115" s="188">
        <f t="shared" si="6"/>
        <v>1</v>
      </c>
      <c r="EO115" s="557">
        <v>0.45</v>
      </c>
      <c r="EP115" s="557"/>
      <c r="EQ115" s="460">
        <f>IF(EO89&gt;=0.5,1,0)</f>
        <v>0</v>
      </c>
      <c r="ER115" s="460">
        <f>IF(EO89&lt;1,1,0)</f>
        <v>1</v>
      </c>
      <c r="ES115" s="188">
        <f t="shared" si="7"/>
        <v>1</v>
      </c>
      <c r="ET115" s="111"/>
      <c r="EU115" s="111"/>
      <c r="EV115" s="111"/>
      <c r="EY115" s="29"/>
      <c r="EZ115" s="474"/>
      <c r="FA115" s="474"/>
      <c r="FB115" s="474"/>
      <c r="FC115" s="174"/>
      <c r="FD115" s="174"/>
      <c r="FE115" s="500"/>
      <c r="FF115" s="500"/>
      <c r="FG115" s="174"/>
      <c r="FH115" s="174"/>
      <c r="FI115" s="174"/>
      <c r="FJ115" s="174"/>
      <c r="FK115" s="174"/>
      <c r="FL115" s="490"/>
      <c r="FM115" s="474"/>
      <c r="FN115" s="474"/>
      <c r="FO115" s="474"/>
      <c r="FP115" s="474"/>
      <c r="FQ115" s="474"/>
      <c r="FR115" s="474"/>
      <c r="FS115" s="474"/>
      <c r="FT115" s="474"/>
      <c r="FU115" s="474"/>
      <c r="FV115" s="474"/>
      <c r="FW115" s="474"/>
      <c r="FX115" s="474"/>
      <c r="FY115" s="474"/>
      <c r="FZ115" s="474"/>
      <c r="GA115" s="474"/>
      <c r="GB115" s="474"/>
      <c r="GC115" s="474"/>
      <c r="GD115" s="474"/>
      <c r="GE115" s="474"/>
      <c r="GF115" s="474"/>
      <c r="GG115" s="474"/>
      <c r="GH115" s="474"/>
      <c r="GI115" s="474"/>
      <c r="GJ115" s="474"/>
      <c r="GK115" s="474"/>
      <c r="GL115" s="474"/>
      <c r="GM115" s="474"/>
      <c r="GN115" s="474"/>
      <c r="GO115" s="474"/>
      <c r="GP115" s="474"/>
      <c r="GQ115" s="474"/>
      <c r="GR115" s="474"/>
      <c r="GS115" s="474"/>
      <c r="GT115" s="474"/>
      <c r="GU115" s="474"/>
      <c r="GV115" s="474"/>
      <c r="GW115" s="474"/>
      <c r="GX115" s="474"/>
      <c r="GY115" s="474"/>
      <c r="GZ115" s="474"/>
      <c r="HA115" s="474"/>
      <c r="HB115" s="474"/>
      <c r="HC115" s="474"/>
      <c r="HD115" s="474"/>
      <c r="HE115" s="474"/>
      <c r="HF115" s="474"/>
      <c r="HG115" s="474"/>
      <c r="HH115" s="474"/>
      <c r="HI115" s="474"/>
      <c r="HJ115" s="474"/>
      <c r="HK115" s="474"/>
      <c r="HL115" s="474"/>
      <c r="HM115" s="474"/>
      <c r="HN115" s="474"/>
      <c r="HO115" s="474"/>
      <c r="HP115" s="474"/>
      <c r="HQ115" s="474"/>
      <c r="HR115" s="474"/>
      <c r="HS115" s="474"/>
      <c r="HT115" s="474"/>
      <c r="HU115" s="474"/>
      <c r="HV115" s="474"/>
      <c r="HW115" s="474"/>
      <c r="HX115" s="474"/>
      <c r="HY115" s="474"/>
      <c r="HZ115" s="474"/>
      <c r="IA115" s="474"/>
      <c r="IB115" s="474"/>
      <c r="IC115" s="474"/>
      <c r="ID115" s="474"/>
      <c r="IE115" s="474"/>
      <c r="IF115" s="474"/>
      <c r="IG115" s="474"/>
      <c r="IH115" s="474"/>
    </row>
    <row r="116" spans="1:284" ht="14.1" customHeight="1" x14ac:dyDescent="0.2">
      <c r="A116" s="242"/>
      <c r="B116" s="268"/>
      <c r="C116" s="242"/>
      <c r="D116" s="242"/>
      <c r="E116" s="242"/>
      <c r="F116" s="161"/>
      <c r="G116" s="161"/>
      <c r="H116" s="161"/>
      <c r="I116" s="257"/>
      <c r="J116" s="242"/>
      <c r="K116" s="242"/>
      <c r="L116" s="242"/>
      <c r="M116" s="242"/>
      <c r="N116" s="267"/>
      <c r="O116" s="242"/>
      <c r="P116" s="242"/>
      <c r="Q116" s="242"/>
      <c r="R116" s="494"/>
      <c r="S116" s="494"/>
      <c r="T116" s="494"/>
      <c r="U116" s="257"/>
      <c r="V116" s="242"/>
      <c r="W116" s="242"/>
      <c r="X116" s="242"/>
      <c r="Y116" s="242"/>
      <c r="Z116" s="214"/>
      <c r="AA116" s="242"/>
      <c r="AB116" s="242"/>
      <c r="AC116" s="242"/>
      <c r="AD116" s="282"/>
      <c r="AE116" s="282"/>
      <c r="AF116" s="282"/>
      <c r="AG116" s="505"/>
      <c r="AH116" s="506"/>
      <c r="AI116" s="506"/>
      <c r="AJ116" s="506"/>
      <c r="AK116" s="505"/>
      <c r="AL116" s="505"/>
      <c r="AM116" s="505"/>
      <c r="AN116" s="505"/>
      <c r="AO116" s="292"/>
      <c r="AP116" s="242"/>
      <c r="AQ116" s="242"/>
      <c r="AR116" s="242"/>
      <c r="AS116" s="242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  <c r="BI116" s="153"/>
      <c r="BJ116" s="153"/>
      <c r="BK116" s="153"/>
      <c r="BL116" s="153"/>
      <c r="BM116" s="153"/>
      <c r="BN116" s="153"/>
      <c r="BO116" s="153"/>
      <c r="BP116" s="153"/>
      <c r="BQ116" s="153"/>
      <c r="BR116" s="153"/>
      <c r="BS116" s="153"/>
      <c r="BT116" s="153"/>
      <c r="BU116" s="153"/>
      <c r="BV116" s="153"/>
      <c r="BW116" s="153"/>
      <c r="BX116" s="153"/>
      <c r="BY116" s="153"/>
      <c r="BZ116" s="153"/>
      <c r="CA116" s="153"/>
      <c r="CB116" s="153"/>
      <c r="CC116" s="153"/>
      <c r="CD116" s="153"/>
      <c r="CE116" s="153"/>
      <c r="CF116" s="153"/>
      <c r="CG116" s="153"/>
      <c r="CH116" s="153"/>
      <c r="CI116" s="153"/>
      <c r="CJ116" s="153"/>
      <c r="CK116" s="153"/>
      <c r="CL116" s="153"/>
      <c r="CM116" s="153"/>
      <c r="CN116" s="153"/>
      <c r="CO116" s="153"/>
      <c r="CP116" s="153"/>
      <c r="CQ116" s="153"/>
      <c r="CR116" s="153"/>
      <c r="CS116" s="153"/>
      <c r="CT116" s="153"/>
      <c r="CU116" s="153"/>
      <c r="CV116" s="153"/>
      <c r="CW116" s="153"/>
      <c r="CX116" s="153"/>
      <c r="CY116" s="153"/>
      <c r="CZ116" s="153"/>
      <c r="DA116" s="153"/>
      <c r="DB116" s="153"/>
      <c r="DC116" s="153"/>
      <c r="DD116" s="153"/>
      <c r="DE116" s="153"/>
      <c r="DF116" s="153"/>
      <c r="DG116" s="153"/>
      <c r="DH116" s="153"/>
      <c r="DI116" s="153"/>
      <c r="DJ116" s="153"/>
      <c r="DK116" s="153"/>
      <c r="DL116" s="153"/>
      <c r="DM116" s="153"/>
      <c r="DN116" s="153"/>
      <c r="DO116" s="153"/>
      <c r="DP116" s="153"/>
      <c r="DQ116" s="153"/>
      <c r="DR116" s="153"/>
      <c r="DS116" s="153"/>
      <c r="DT116" s="153"/>
      <c r="DU116" s="153"/>
      <c r="DV116" s="153"/>
      <c r="DW116" s="153"/>
      <c r="DX116" s="153"/>
      <c r="DY116" s="153"/>
      <c r="EY116" s="474"/>
      <c r="EZ116" s="474"/>
      <c r="FA116" s="474"/>
      <c r="FB116" s="474"/>
      <c r="FC116" s="31"/>
      <c r="FD116" s="31"/>
      <c r="FE116" s="31"/>
      <c r="FF116" s="490"/>
      <c r="FG116" s="499"/>
      <c r="FH116" s="499"/>
      <c r="FI116" s="499"/>
      <c r="FJ116" s="499"/>
      <c r="FK116" s="499"/>
      <c r="FL116" s="474"/>
      <c r="FM116" s="474"/>
      <c r="FN116" s="474"/>
      <c r="FO116" s="474"/>
      <c r="FP116" s="474"/>
      <c r="FQ116" s="474"/>
      <c r="FR116" s="474"/>
      <c r="FS116" s="474"/>
      <c r="FT116" s="474"/>
      <c r="FU116" s="474"/>
      <c r="FV116" s="474"/>
      <c r="FW116" s="474"/>
      <c r="FX116" s="474"/>
      <c r="FY116" s="474"/>
      <c r="FZ116" s="474"/>
      <c r="GA116" s="474"/>
      <c r="GB116" s="474"/>
      <c r="GC116" s="474"/>
      <c r="GD116" s="474"/>
      <c r="GE116" s="474"/>
      <c r="GF116" s="474"/>
      <c r="GG116" s="474"/>
      <c r="GH116" s="474"/>
      <c r="GI116" s="474"/>
      <c r="GJ116" s="474"/>
      <c r="GK116" s="474"/>
      <c r="GL116" s="474"/>
      <c r="GM116" s="474"/>
      <c r="GN116" s="474"/>
      <c r="GO116" s="474"/>
      <c r="GP116" s="474"/>
      <c r="GQ116" s="474"/>
      <c r="GR116" s="474"/>
      <c r="GS116" s="474"/>
      <c r="GT116" s="474"/>
      <c r="GU116" s="474"/>
      <c r="GV116" s="474"/>
      <c r="GW116" s="474"/>
      <c r="GX116" s="474"/>
      <c r="GY116" s="474"/>
      <c r="GZ116" s="474"/>
      <c r="HA116" s="474"/>
      <c r="HB116" s="474"/>
      <c r="HC116" s="474"/>
      <c r="HD116" s="474"/>
      <c r="HE116" s="474"/>
      <c r="HF116" s="474"/>
      <c r="HG116" s="474"/>
      <c r="HH116" s="474"/>
      <c r="HI116" s="474"/>
      <c r="HJ116" s="474"/>
      <c r="HK116" s="474"/>
      <c r="HL116" s="474"/>
      <c r="HM116" s="474"/>
      <c r="HN116" s="474"/>
      <c r="HO116" s="474"/>
      <c r="HP116" s="474"/>
      <c r="HQ116" s="474"/>
      <c r="HR116" s="474"/>
      <c r="HS116" s="474"/>
      <c r="HT116" s="474"/>
      <c r="HU116" s="474"/>
      <c r="HV116" s="474"/>
      <c r="HW116" s="474"/>
      <c r="HX116" s="474"/>
      <c r="HY116" s="474"/>
      <c r="HZ116" s="474"/>
      <c r="IA116" s="474"/>
      <c r="IB116" s="474"/>
      <c r="IC116" s="474"/>
      <c r="ID116" s="474"/>
      <c r="IE116" s="474"/>
      <c r="IF116" s="474"/>
      <c r="IG116" s="474"/>
      <c r="IH116" s="474"/>
    </row>
    <row r="117" spans="1:284" ht="14.1" customHeight="1" x14ac:dyDescent="0.2">
      <c r="A117" s="242"/>
      <c r="B117" s="268"/>
      <c r="C117" s="242"/>
      <c r="D117" s="242"/>
      <c r="E117" s="242"/>
      <c r="F117" s="161"/>
      <c r="G117" s="161"/>
      <c r="H117" s="161"/>
      <c r="I117" s="257"/>
      <c r="J117" s="242"/>
      <c r="K117" s="288"/>
      <c r="L117" s="242"/>
      <c r="M117" s="242"/>
      <c r="N117" s="267"/>
      <c r="O117" s="242"/>
      <c r="P117" s="242"/>
      <c r="Q117" s="242"/>
      <c r="R117" s="494"/>
      <c r="S117" s="494"/>
      <c r="T117" s="494"/>
      <c r="U117" s="257"/>
      <c r="V117" s="242"/>
      <c r="W117" s="242"/>
      <c r="X117" s="242"/>
      <c r="Y117" s="242"/>
      <c r="Z117" s="214"/>
      <c r="AA117" s="242"/>
      <c r="AB117" s="242"/>
      <c r="AC117" s="242"/>
      <c r="AD117" s="261"/>
      <c r="AE117" s="261"/>
      <c r="AF117" s="261"/>
      <c r="AG117" s="505"/>
      <c r="AH117" s="506"/>
      <c r="AI117" s="506"/>
      <c r="AJ117" s="506"/>
      <c r="AK117" s="505"/>
      <c r="AL117" s="505"/>
      <c r="AM117" s="505"/>
      <c r="AN117" s="505"/>
      <c r="AO117" s="292"/>
      <c r="AP117" s="242"/>
      <c r="AQ117" s="242"/>
      <c r="AR117" s="242"/>
      <c r="AS117" s="242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  <c r="BI117" s="153"/>
      <c r="BJ117" s="153"/>
      <c r="BK117" s="153"/>
      <c r="BL117" s="153"/>
      <c r="BM117" s="153"/>
      <c r="BN117" s="153"/>
      <c r="BO117" s="153"/>
      <c r="BP117" s="153"/>
      <c r="BQ117" s="153"/>
      <c r="BR117" s="153"/>
      <c r="BS117" s="153"/>
      <c r="BT117" s="153"/>
      <c r="BU117" s="153"/>
      <c r="BV117" s="153"/>
      <c r="BW117" s="153"/>
      <c r="BX117" s="153"/>
      <c r="BY117" s="153"/>
      <c r="BZ117" s="153"/>
      <c r="CA117" s="153"/>
      <c r="CB117" s="153"/>
      <c r="CC117" s="153"/>
      <c r="CD117" s="153"/>
      <c r="CE117" s="153"/>
      <c r="CF117" s="153"/>
      <c r="CG117" s="153"/>
      <c r="CH117" s="153"/>
      <c r="CI117" s="153"/>
      <c r="CJ117" s="153"/>
      <c r="CK117" s="153"/>
      <c r="CL117" s="153"/>
      <c r="CM117" s="153"/>
      <c r="CN117" s="153"/>
      <c r="CO117" s="153"/>
      <c r="CP117" s="153"/>
      <c r="CQ117" s="153"/>
      <c r="CR117" s="153"/>
      <c r="CS117" s="153"/>
      <c r="CT117" s="153"/>
      <c r="CU117" s="153"/>
      <c r="CV117" s="153"/>
      <c r="CW117" s="153"/>
      <c r="CX117" s="153"/>
      <c r="CY117" s="153"/>
      <c r="CZ117" s="153"/>
      <c r="DA117" s="153"/>
      <c r="DB117" s="153"/>
      <c r="DC117" s="153"/>
      <c r="DD117" s="153"/>
      <c r="DE117" s="153"/>
      <c r="DF117" s="153"/>
      <c r="DG117" s="153"/>
      <c r="DH117" s="153"/>
      <c r="DI117" s="153"/>
      <c r="DJ117" s="153"/>
      <c r="DK117" s="153"/>
      <c r="DL117" s="153"/>
      <c r="DM117" s="153"/>
      <c r="DN117" s="153"/>
      <c r="DO117" s="153"/>
      <c r="DP117" s="153"/>
      <c r="DQ117" s="153"/>
      <c r="DR117" s="153"/>
      <c r="DS117" s="153"/>
      <c r="DT117" s="153"/>
      <c r="DU117" s="153"/>
      <c r="DV117" s="153"/>
      <c r="DW117" s="153"/>
      <c r="DX117" s="153"/>
      <c r="DY117" s="153"/>
      <c r="EY117" s="474"/>
      <c r="EZ117" s="474"/>
      <c r="FA117" s="490"/>
      <c r="FB117" s="474"/>
      <c r="FC117" s="138"/>
      <c r="FD117" s="138"/>
      <c r="FE117" s="138"/>
      <c r="FF117" s="490"/>
      <c r="FG117" s="474"/>
      <c r="FH117" s="474"/>
      <c r="FI117" s="474"/>
      <c r="FJ117" s="474"/>
      <c r="FK117" s="474"/>
      <c r="FL117" s="474"/>
      <c r="FM117" s="474"/>
      <c r="FN117" s="474"/>
      <c r="FO117" s="474"/>
      <c r="FP117" s="474"/>
      <c r="FQ117" s="474"/>
      <c r="FR117" s="474"/>
      <c r="FS117" s="474"/>
      <c r="FT117" s="474"/>
      <c r="FU117" s="474"/>
      <c r="FV117" s="474"/>
      <c r="FW117" s="474"/>
      <c r="FX117" s="474"/>
      <c r="FY117" s="474"/>
      <c r="FZ117" s="474"/>
      <c r="GA117" s="474"/>
      <c r="GB117" s="474"/>
      <c r="GC117" s="474"/>
      <c r="GD117" s="474"/>
      <c r="GE117" s="474"/>
      <c r="GF117" s="474"/>
      <c r="GG117" s="474"/>
      <c r="GH117" s="474"/>
      <c r="GI117" s="474"/>
      <c r="GJ117" s="474"/>
      <c r="GK117" s="474"/>
      <c r="GL117" s="474"/>
      <c r="GM117" s="474"/>
      <c r="GN117" s="474"/>
      <c r="GO117" s="474"/>
      <c r="GP117" s="474"/>
      <c r="GQ117" s="474"/>
      <c r="GR117" s="474"/>
      <c r="GS117" s="474"/>
      <c r="GT117" s="474"/>
      <c r="GU117" s="474"/>
      <c r="GV117" s="474"/>
      <c r="GW117" s="474"/>
      <c r="GX117" s="474"/>
      <c r="GY117" s="474"/>
      <c r="GZ117" s="474"/>
      <c r="HA117" s="474"/>
      <c r="HB117" s="474"/>
      <c r="HC117" s="474"/>
      <c r="HD117" s="474"/>
      <c r="HE117" s="474"/>
      <c r="HF117" s="474"/>
      <c r="HG117" s="474"/>
      <c r="HH117" s="474"/>
      <c r="HI117" s="474"/>
      <c r="HJ117" s="474"/>
      <c r="HK117" s="474"/>
      <c r="HL117" s="474"/>
      <c r="HM117" s="474"/>
      <c r="HN117" s="474"/>
      <c r="HO117" s="474"/>
      <c r="HP117" s="474"/>
      <c r="HQ117" s="474"/>
      <c r="HR117" s="474"/>
      <c r="HS117" s="474"/>
      <c r="HT117" s="474"/>
      <c r="HU117" s="474"/>
      <c r="HV117" s="474"/>
      <c r="HW117" s="474"/>
      <c r="HX117" s="474"/>
      <c r="HY117" s="474"/>
      <c r="HZ117" s="474"/>
      <c r="IA117" s="474"/>
      <c r="IB117" s="474"/>
      <c r="IC117" s="474"/>
      <c r="ID117" s="474"/>
      <c r="IE117" s="474"/>
      <c r="IF117" s="474"/>
      <c r="IG117" s="474"/>
      <c r="IH117" s="474"/>
      <c r="JG117" s="103" t="s">
        <v>206</v>
      </c>
      <c r="JH117" s="103"/>
      <c r="JI117" s="103"/>
      <c r="JJ117" s="103"/>
      <c r="JK117" s="103"/>
      <c r="JL117" s="103"/>
      <c r="JM117" s="103"/>
      <c r="JN117" s="102" t="s">
        <v>207</v>
      </c>
      <c r="JO117" s="102"/>
      <c r="JP117" s="102"/>
      <c r="JQ117" s="102"/>
      <c r="JR117" s="102"/>
      <c r="JS117" s="103"/>
      <c r="JT117" s="103"/>
      <c r="JU117" s="103"/>
      <c r="JV117" s="103"/>
      <c r="JW117" s="103"/>
      <c r="JX117" s="103"/>
    </row>
    <row r="118" spans="1:284" ht="14.1" customHeight="1" x14ac:dyDescent="0.2">
      <c r="A118" s="242"/>
      <c r="B118" s="267"/>
      <c r="C118" s="242"/>
      <c r="D118" s="242"/>
      <c r="E118" s="242"/>
      <c r="F118" s="281"/>
      <c r="G118" s="281"/>
      <c r="H118" s="281"/>
      <c r="I118" s="257"/>
      <c r="J118" s="242"/>
      <c r="K118" s="242"/>
      <c r="L118" s="242"/>
      <c r="M118" s="242"/>
      <c r="N118" s="242"/>
      <c r="O118" s="242"/>
      <c r="P118" s="242"/>
      <c r="Q118" s="242"/>
      <c r="R118" s="161"/>
      <c r="S118" s="161"/>
      <c r="T118" s="161"/>
      <c r="U118" s="257"/>
      <c r="V118" s="242"/>
      <c r="W118" s="242"/>
      <c r="X118" s="242"/>
      <c r="Y118" s="242"/>
      <c r="Z118" s="258"/>
      <c r="AA118" s="242"/>
      <c r="AB118" s="242"/>
      <c r="AC118" s="242"/>
      <c r="AD118" s="268"/>
      <c r="AE118" s="268"/>
      <c r="AF118" s="268"/>
      <c r="AG118" s="505"/>
      <c r="AH118" s="506"/>
      <c r="AI118" s="506"/>
      <c r="AJ118" s="506"/>
      <c r="AK118" s="505"/>
      <c r="AL118" s="505"/>
      <c r="AM118" s="505"/>
      <c r="AN118" s="505"/>
      <c r="AO118" s="292"/>
      <c r="AP118" s="242"/>
      <c r="AQ118" s="242"/>
      <c r="AR118" s="242"/>
      <c r="AS118" s="242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  <c r="BI118" s="153"/>
      <c r="BJ118" s="153"/>
      <c r="BK118" s="153"/>
      <c r="BL118" s="153"/>
      <c r="BM118" s="153"/>
      <c r="BN118" s="153"/>
      <c r="BO118" s="153"/>
      <c r="BP118" s="153"/>
      <c r="BQ118" s="153"/>
      <c r="BR118" s="153"/>
      <c r="BS118" s="153"/>
      <c r="BT118" s="153"/>
      <c r="BU118" s="153"/>
      <c r="BV118" s="153"/>
      <c r="BW118" s="153"/>
      <c r="BX118" s="153"/>
      <c r="BY118" s="153"/>
      <c r="BZ118" s="153"/>
      <c r="CA118" s="153"/>
      <c r="CB118" s="153"/>
      <c r="CC118" s="153"/>
      <c r="CD118" s="153"/>
      <c r="CE118" s="153"/>
      <c r="CF118" s="153"/>
      <c r="CG118" s="153"/>
      <c r="CH118" s="153"/>
      <c r="CI118" s="153"/>
      <c r="CJ118" s="153"/>
      <c r="CK118" s="153"/>
      <c r="CL118" s="153"/>
      <c r="CM118" s="153"/>
      <c r="CN118" s="153"/>
      <c r="CO118" s="153"/>
      <c r="CP118" s="153"/>
      <c r="CQ118" s="153"/>
      <c r="CR118" s="153"/>
      <c r="CS118" s="153"/>
      <c r="CT118" s="153"/>
      <c r="CU118" s="153"/>
      <c r="CV118" s="153"/>
      <c r="CW118" s="153"/>
      <c r="CX118" s="153"/>
      <c r="CY118" s="153"/>
      <c r="CZ118" s="153"/>
      <c r="DA118" s="153"/>
      <c r="DB118" s="153"/>
      <c r="DC118" s="153"/>
      <c r="DD118" s="153"/>
      <c r="DE118" s="153"/>
      <c r="DF118" s="153"/>
      <c r="DG118" s="153"/>
      <c r="DH118" s="153"/>
      <c r="DI118" s="153"/>
      <c r="DJ118" s="153"/>
      <c r="DK118" s="153"/>
      <c r="DL118" s="153"/>
      <c r="DM118" s="153"/>
      <c r="DN118" s="153"/>
      <c r="DO118" s="153"/>
      <c r="DP118" s="153"/>
      <c r="DQ118" s="153"/>
      <c r="DR118" s="153"/>
      <c r="DS118" s="153"/>
      <c r="DT118" s="153"/>
      <c r="DU118" s="153"/>
      <c r="DV118" s="153"/>
      <c r="DW118" s="153"/>
      <c r="DX118" s="153"/>
      <c r="DY118" s="153"/>
      <c r="EY118" s="31"/>
      <c r="EZ118" s="31"/>
      <c r="FA118" s="490"/>
      <c r="FB118" s="474"/>
      <c r="FC118" s="20"/>
      <c r="FD118" s="20"/>
      <c r="FE118" s="20"/>
      <c r="FF118" s="490"/>
      <c r="FG118" s="474"/>
      <c r="FH118" s="474"/>
      <c r="FI118" s="474"/>
      <c r="FJ118" s="474"/>
      <c r="FK118" s="474"/>
      <c r="FL118" s="474"/>
      <c r="FM118" s="474"/>
      <c r="FN118" s="474"/>
      <c r="FO118" s="474"/>
      <c r="FP118" s="474"/>
      <c r="FQ118" s="474"/>
      <c r="FR118" s="474"/>
      <c r="FS118" s="474"/>
      <c r="FT118" s="474"/>
      <c r="FU118" s="474"/>
      <c r="FV118" s="474"/>
      <c r="FW118" s="474"/>
      <c r="FX118" s="474"/>
      <c r="FY118" s="474"/>
      <c r="FZ118" s="474"/>
      <c r="GA118" s="474"/>
      <c r="GB118" s="474"/>
      <c r="GC118" s="474"/>
      <c r="GD118" s="474"/>
      <c r="GE118" s="474"/>
      <c r="GF118" s="474"/>
      <c r="GG118" s="474"/>
      <c r="GH118" s="474"/>
      <c r="GI118" s="474"/>
      <c r="GJ118" s="474"/>
      <c r="GK118" s="474"/>
      <c r="GL118" s="474"/>
      <c r="GM118" s="474"/>
      <c r="GN118" s="474"/>
      <c r="GO118" s="474"/>
      <c r="GP118" s="474"/>
      <c r="GQ118" s="474"/>
      <c r="GR118" s="474"/>
      <c r="GS118" s="474"/>
      <c r="GT118" s="474"/>
      <c r="GU118" s="474"/>
      <c r="GV118" s="474"/>
      <c r="GW118" s="474"/>
      <c r="GX118" s="474"/>
      <c r="GY118" s="474"/>
      <c r="GZ118" s="474"/>
      <c r="HA118" s="474"/>
      <c r="HB118" s="474"/>
      <c r="HC118" s="474"/>
      <c r="HD118" s="474"/>
      <c r="HE118" s="474"/>
      <c r="HF118" s="474"/>
      <c r="HG118" s="474"/>
      <c r="HH118" s="474"/>
      <c r="HI118" s="474"/>
      <c r="HJ118" s="474"/>
      <c r="HK118" s="474"/>
      <c r="HL118" s="474"/>
      <c r="HM118" s="474"/>
      <c r="HN118" s="474"/>
      <c r="HO118" s="474"/>
      <c r="HP118" s="474"/>
      <c r="HQ118" s="474"/>
      <c r="HR118" s="474"/>
      <c r="HS118" s="474"/>
      <c r="HT118" s="474"/>
      <c r="HU118" s="474"/>
      <c r="HV118" s="474"/>
      <c r="HW118" s="474"/>
      <c r="HX118" s="474"/>
      <c r="HY118" s="474"/>
      <c r="HZ118" s="474"/>
      <c r="IA118" s="474"/>
      <c r="IB118" s="474"/>
      <c r="IC118" s="474"/>
      <c r="ID118" s="474"/>
      <c r="IE118" s="474"/>
      <c r="IF118" s="474"/>
      <c r="IG118" s="474"/>
      <c r="IH118" s="474"/>
      <c r="JG118" s="102" t="s">
        <v>23</v>
      </c>
      <c r="JH118" s="102">
        <v>-0.1</v>
      </c>
      <c r="JI118" s="102">
        <v>2.1</v>
      </c>
      <c r="JJ118" s="102">
        <v>2.1</v>
      </c>
      <c r="JK118" s="102">
        <v>-0.1</v>
      </c>
      <c r="JL118" s="102">
        <v>-0.1</v>
      </c>
      <c r="JM118" s="103"/>
      <c r="JN118" s="102">
        <v>-0.1</v>
      </c>
      <c r="JO118" s="102">
        <v>2.1</v>
      </c>
      <c r="JP118" s="102">
        <v>2.1</v>
      </c>
      <c r="JQ118" s="102">
        <v>-0.1</v>
      </c>
      <c r="JR118" s="102">
        <v>-0.1</v>
      </c>
      <c r="JS118" s="103"/>
      <c r="JT118" s="103"/>
      <c r="JU118" s="103"/>
      <c r="JV118" s="103"/>
      <c r="JW118" s="103"/>
      <c r="JX118" s="103"/>
    </row>
    <row r="119" spans="1:284" ht="14.1" customHeight="1" x14ac:dyDescent="0.2">
      <c r="A119" s="242"/>
      <c r="B119" s="282"/>
      <c r="C119" s="242"/>
      <c r="D119" s="242"/>
      <c r="E119" s="242"/>
      <c r="F119" s="281"/>
      <c r="G119" s="281"/>
      <c r="H119" s="281"/>
      <c r="I119" s="257"/>
      <c r="J119" s="242"/>
      <c r="K119" s="242"/>
      <c r="L119" s="242"/>
      <c r="M119" s="242"/>
      <c r="N119" s="242"/>
      <c r="O119" s="242"/>
      <c r="P119" s="242"/>
      <c r="Q119" s="242"/>
      <c r="R119" s="507"/>
      <c r="S119" s="507"/>
      <c r="T119" s="507"/>
      <c r="U119" s="257"/>
      <c r="V119" s="242"/>
      <c r="W119" s="242"/>
      <c r="X119" s="242"/>
      <c r="Y119" s="242"/>
      <c r="Z119" s="214"/>
      <c r="AA119" s="242"/>
      <c r="AB119" s="242"/>
      <c r="AC119" s="242"/>
      <c r="AD119" s="268"/>
      <c r="AE119" s="268"/>
      <c r="AF119" s="268"/>
      <c r="AG119" s="508"/>
      <c r="AH119" s="506"/>
      <c r="AI119" s="506"/>
      <c r="AJ119" s="506"/>
      <c r="AK119" s="505"/>
      <c r="AL119" s="505"/>
      <c r="AM119" s="505"/>
      <c r="AN119" s="505"/>
      <c r="AO119" s="292"/>
      <c r="AP119" s="242"/>
      <c r="AQ119" s="242"/>
      <c r="AR119" s="242"/>
      <c r="AS119" s="242"/>
      <c r="AT119" s="242"/>
      <c r="AU119" s="242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53"/>
      <c r="BJ119" s="153"/>
      <c r="BK119" s="153"/>
      <c r="BL119" s="153"/>
      <c r="BM119" s="153"/>
      <c r="BN119" s="153"/>
      <c r="BO119" s="153"/>
      <c r="BP119" s="153"/>
      <c r="BQ119" s="153"/>
      <c r="BR119" s="153"/>
      <c r="BS119" s="153"/>
      <c r="BT119" s="153"/>
      <c r="BU119" s="153"/>
      <c r="BV119" s="153"/>
      <c r="BW119" s="153"/>
      <c r="BX119" s="153"/>
      <c r="BY119" s="153"/>
      <c r="BZ119" s="153"/>
      <c r="CA119" s="153"/>
      <c r="CB119" s="153"/>
      <c r="CC119" s="153"/>
      <c r="CD119" s="153"/>
      <c r="CE119" s="153"/>
      <c r="CF119" s="153"/>
      <c r="CG119" s="153"/>
      <c r="CH119" s="153"/>
      <c r="CI119" s="153"/>
      <c r="CJ119" s="153"/>
      <c r="CK119" s="153"/>
      <c r="CL119" s="153"/>
      <c r="CM119" s="153"/>
      <c r="CN119" s="153"/>
      <c r="CO119" s="153"/>
      <c r="CP119" s="153"/>
      <c r="CQ119" s="153"/>
      <c r="CR119" s="153"/>
      <c r="CS119" s="153"/>
      <c r="CT119" s="153"/>
      <c r="CU119" s="153"/>
      <c r="CV119" s="153"/>
      <c r="CW119" s="153"/>
      <c r="CX119" s="153"/>
      <c r="CY119" s="153"/>
      <c r="CZ119" s="153"/>
      <c r="DA119" s="153"/>
      <c r="DB119" s="153"/>
      <c r="DC119" s="153"/>
      <c r="DD119" s="153"/>
      <c r="DE119" s="153"/>
      <c r="DF119" s="153"/>
      <c r="DG119" s="153"/>
      <c r="DH119" s="153"/>
      <c r="DI119" s="153"/>
      <c r="DJ119" s="153"/>
      <c r="DK119" s="153"/>
      <c r="DL119" s="153"/>
      <c r="DM119" s="153"/>
      <c r="DN119" s="153"/>
      <c r="DO119" s="153"/>
      <c r="DP119" s="153"/>
      <c r="DQ119" s="153"/>
      <c r="DR119" s="153"/>
      <c r="DS119" s="153"/>
      <c r="DT119" s="153"/>
      <c r="DU119" s="153"/>
      <c r="DV119" s="153"/>
      <c r="DW119" s="153"/>
      <c r="DX119" s="153"/>
      <c r="DY119" s="153"/>
      <c r="EY119" s="474"/>
      <c r="EZ119" s="474"/>
      <c r="FA119" s="474"/>
      <c r="FB119" s="474"/>
      <c r="FC119" s="474"/>
      <c r="FD119" s="474"/>
      <c r="FE119" s="474"/>
      <c r="FF119" s="474"/>
      <c r="FG119" s="474"/>
      <c r="FH119" s="474"/>
      <c r="FI119" s="474"/>
      <c r="FJ119" s="474"/>
      <c r="FK119" s="474"/>
      <c r="FL119" s="474"/>
      <c r="FM119" s="474"/>
      <c r="FN119" s="474"/>
      <c r="FO119" s="474"/>
      <c r="FP119" s="474"/>
      <c r="FQ119" s="474"/>
      <c r="FR119" s="474"/>
      <c r="FS119" s="474"/>
      <c r="FT119" s="474"/>
      <c r="FU119" s="474"/>
      <c r="FV119" s="474"/>
      <c r="FW119" s="474"/>
      <c r="FX119" s="474"/>
      <c r="FY119" s="474"/>
      <c r="FZ119" s="474"/>
      <c r="GA119" s="474"/>
      <c r="GB119" s="474"/>
      <c r="GC119" s="474"/>
      <c r="GD119" s="474"/>
      <c r="GE119" s="474"/>
      <c r="GF119" s="474"/>
      <c r="GG119" s="474"/>
      <c r="GH119" s="474"/>
      <c r="GI119" s="474"/>
      <c r="GJ119" s="474"/>
      <c r="GK119" s="474"/>
      <c r="GL119" s="474"/>
      <c r="GM119" s="474"/>
      <c r="GN119" s="474"/>
      <c r="GO119" s="474"/>
      <c r="GP119" s="474"/>
      <c r="GQ119" s="474"/>
      <c r="GR119" s="474"/>
      <c r="GS119" s="474"/>
      <c r="GT119" s="474"/>
      <c r="GU119" s="474"/>
      <c r="GV119" s="474"/>
      <c r="GW119" s="474"/>
      <c r="GX119" s="474"/>
      <c r="GY119" s="474"/>
      <c r="GZ119" s="474"/>
      <c r="HA119" s="474"/>
      <c r="HB119" s="474"/>
      <c r="HC119" s="474"/>
      <c r="HD119" s="474"/>
      <c r="HE119" s="474"/>
      <c r="HF119" s="474"/>
      <c r="HG119" s="474"/>
      <c r="HH119" s="474"/>
      <c r="HI119" s="474"/>
      <c r="HJ119" s="474"/>
      <c r="HK119" s="474"/>
      <c r="HL119" s="474"/>
      <c r="HM119" s="474"/>
      <c r="HN119" s="474"/>
      <c r="HO119" s="474"/>
      <c r="HP119" s="474"/>
      <c r="HQ119" s="474"/>
      <c r="HR119" s="474"/>
      <c r="HS119" s="474"/>
      <c r="HT119" s="474"/>
      <c r="HU119" s="474"/>
      <c r="HV119" s="474"/>
      <c r="HW119" s="474"/>
      <c r="HX119" s="474"/>
      <c r="HY119" s="474"/>
      <c r="HZ119" s="474"/>
      <c r="IA119" s="474"/>
      <c r="IB119" s="474"/>
      <c r="IC119" s="474"/>
      <c r="ID119" s="474"/>
      <c r="IE119" s="474"/>
      <c r="IF119" s="474"/>
      <c r="IG119" s="474"/>
      <c r="IH119" s="474"/>
      <c r="JG119" s="102" t="s">
        <v>24</v>
      </c>
      <c r="JH119" s="102">
        <v>1</v>
      </c>
      <c r="JI119" s="102">
        <v>1</v>
      </c>
      <c r="JJ119" s="102">
        <v>1.1000000000000001</v>
      </c>
      <c r="JK119" s="102">
        <v>1.1000000000000001</v>
      </c>
      <c r="JL119" s="102">
        <v>1</v>
      </c>
      <c r="JM119" s="103"/>
      <c r="JN119" s="102">
        <v>-0.1</v>
      </c>
      <c r="JO119" s="102">
        <v>-0.1</v>
      </c>
      <c r="JP119" s="102">
        <v>1.1000000000000001</v>
      </c>
      <c r="JQ119" s="102">
        <v>1.1000000000000001</v>
      </c>
      <c r="JR119" s="102">
        <v>-0.1</v>
      </c>
      <c r="JS119" s="103"/>
      <c r="JT119" s="103"/>
      <c r="JU119" s="103"/>
      <c r="JV119" s="103"/>
      <c r="JW119" s="103"/>
      <c r="JX119" s="103"/>
    </row>
    <row r="120" spans="1:284" ht="14.1" customHeight="1" x14ac:dyDescent="0.2">
      <c r="A120" s="242"/>
      <c r="B120" s="242"/>
      <c r="C120" s="242"/>
      <c r="D120" s="242"/>
      <c r="E120" s="242"/>
      <c r="F120" s="274"/>
      <c r="G120" s="274"/>
      <c r="H120" s="274"/>
      <c r="I120" s="257"/>
      <c r="J120" s="242"/>
      <c r="K120" s="242"/>
      <c r="L120" s="242"/>
      <c r="M120" s="242"/>
      <c r="N120" s="267"/>
      <c r="O120" s="242"/>
      <c r="P120" s="242"/>
      <c r="Q120" s="242"/>
      <c r="R120" s="274"/>
      <c r="S120" s="274"/>
      <c r="T120" s="274"/>
      <c r="U120" s="257"/>
      <c r="V120" s="242"/>
      <c r="W120" s="242"/>
      <c r="X120" s="242"/>
      <c r="Y120" s="242"/>
      <c r="Z120" s="282"/>
      <c r="AA120" s="242"/>
      <c r="AB120" s="242"/>
      <c r="AC120" s="242"/>
      <c r="AD120" s="274"/>
      <c r="AE120" s="274"/>
      <c r="AF120" s="274"/>
      <c r="AG120" s="505"/>
      <c r="AH120" s="505"/>
      <c r="AI120" s="505"/>
      <c r="AJ120" s="505"/>
      <c r="AK120" s="505"/>
      <c r="AL120" s="505"/>
      <c r="AM120" s="505"/>
      <c r="AN120" s="505"/>
      <c r="AO120" s="292"/>
      <c r="AP120" s="242"/>
      <c r="AQ120" s="242"/>
      <c r="AR120" s="242"/>
      <c r="AS120" s="242"/>
      <c r="AT120" s="242"/>
      <c r="AU120" s="242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53"/>
      <c r="BJ120" s="153"/>
      <c r="BK120" s="153"/>
      <c r="BL120" s="153"/>
      <c r="BM120" s="153"/>
      <c r="BN120" s="153"/>
      <c r="BO120" s="153"/>
      <c r="BP120" s="153"/>
      <c r="BQ120" s="153"/>
      <c r="BR120" s="153"/>
      <c r="BS120" s="153"/>
      <c r="BT120" s="153"/>
      <c r="BU120" s="153"/>
      <c r="BV120" s="153"/>
      <c r="BW120" s="153"/>
      <c r="BX120" s="153"/>
      <c r="BY120" s="153"/>
      <c r="BZ120" s="153"/>
      <c r="CA120" s="153"/>
      <c r="CB120" s="153"/>
      <c r="CC120" s="153"/>
      <c r="CD120" s="153"/>
      <c r="CE120" s="153"/>
      <c r="CF120" s="153"/>
      <c r="CG120" s="153"/>
      <c r="CH120" s="153"/>
      <c r="CI120" s="153"/>
      <c r="CJ120" s="153"/>
      <c r="CK120" s="153"/>
      <c r="CL120" s="153"/>
      <c r="CM120" s="153"/>
      <c r="CN120" s="153"/>
      <c r="CO120" s="153"/>
      <c r="CP120" s="153"/>
      <c r="CQ120" s="153"/>
      <c r="CR120" s="153"/>
      <c r="CS120" s="153"/>
      <c r="CT120" s="153"/>
      <c r="CU120" s="153"/>
      <c r="CV120" s="153"/>
      <c r="CW120" s="153"/>
      <c r="CX120" s="153"/>
      <c r="CY120" s="153"/>
      <c r="CZ120" s="153"/>
      <c r="DA120" s="153"/>
      <c r="DB120" s="153"/>
      <c r="DC120" s="153"/>
      <c r="DD120" s="153"/>
      <c r="DE120" s="153"/>
      <c r="DF120" s="153"/>
      <c r="DG120" s="153"/>
      <c r="DH120" s="153"/>
      <c r="DI120" s="153"/>
      <c r="DJ120" s="153"/>
      <c r="DK120" s="153"/>
      <c r="DL120" s="153"/>
      <c r="DM120" s="153"/>
      <c r="DN120" s="153"/>
      <c r="DO120" s="153"/>
      <c r="DP120" s="153"/>
      <c r="DQ120" s="153"/>
      <c r="DR120" s="153"/>
      <c r="DS120" s="153"/>
      <c r="DT120" s="153"/>
      <c r="DU120" s="153"/>
      <c r="DV120" s="153"/>
      <c r="DW120" s="153"/>
      <c r="DX120" s="153"/>
      <c r="DY120" s="153"/>
      <c r="JG120" s="103" t="s">
        <v>140</v>
      </c>
      <c r="JH120" s="103"/>
      <c r="JI120" s="103"/>
      <c r="JJ120" s="103"/>
      <c r="JK120" s="103" t="s">
        <v>141</v>
      </c>
      <c r="JL120" s="103"/>
      <c r="JM120" s="103"/>
      <c r="JN120" s="103"/>
      <c r="JO120" s="103"/>
      <c r="JP120" s="103"/>
      <c r="JQ120" s="103"/>
      <c r="JR120" s="103"/>
      <c r="JS120" s="103"/>
      <c r="JT120" s="103"/>
      <c r="JU120" s="103"/>
      <c r="JV120" s="103"/>
      <c r="JW120" s="103"/>
      <c r="JX120" s="103"/>
    </row>
    <row r="121" spans="1:284" ht="14.1" customHeight="1" x14ac:dyDescent="0.2">
      <c r="A121" s="242"/>
      <c r="B121" s="267"/>
      <c r="C121" s="242"/>
      <c r="D121" s="242"/>
      <c r="E121" s="242"/>
      <c r="F121" s="281"/>
      <c r="G121" s="281"/>
      <c r="H121" s="281"/>
      <c r="I121" s="257"/>
      <c r="J121" s="293"/>
      <c r="K121" s="242"/>
      <c r="L121" s="263"/>
      <c r="M121" s="242"/>
      <c r="N121" s="270"/>
      <c r="O121" s="242"/>
      <c r="P121" s="242"/>
      <c r="Q121" s="242"/>
      <c r="R121" s="275"/>
      <c r="S121" s="275"/>
      <c r="T121" s="275"/>
      <c r="U121" s="276"/>
      <c r="V121" s="242"/>
      <c r="W121" s="242"/>
      <c r="X121" s="242"/>
      <c r="Y121" s="242"/>
      <c r="Z121" s="257"/>
      <c r="AA121" s="242"/>
      <c r="AB121" s="266"/>
      <c r="AC121" s="267"/>
      <c r="AD121" s="264"/>
      <c r="AE121" s="264"/>
      <c r="AF121" s="264"/>
      <c r="AG121" s="505"/>
      <c r="AH121" s="505"/>
      <c r="AI121" s="505"/>
      <c r="AJ121" s="508"/>
      <c r="AK121" s="508"/>
      <c r="AL121" s="509"/>
      <c r="AM121" s="509"/>
      <c r="AN121" s="510"/>
      <c r="AO121" s="292"/>
      <c r="AP121" s="242"/>
      <c r="AQ121" s="242"/>
      <c r="AR121" s="242"/>
      <c r="AS121" s="242"/>
      <c r="AT121" s="242"/>
      <c r="AU121" s="242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3"/>
      <c r="BN121" s="153"/>
      <c r="BO121" s="153"/>
      <c r="BP121" s="153"/>
      <c r="BQ121" s="153"/>
      <c r="BR121" s="153"/>
      <c r="BS121" s="153"/>
      <c r="BT121" s="153"/>
      <c r="BU121" s="153"/>
      <c r="BV121" s="153"/>
      <c r="BW121" s="153"/>
      <c r="BX121" s="153"/>
      <c r="BY121" s="153"/>
      <c r="BZ121" s="153"/>
      <c r="CA121" s="153"/>
      <c r="CB121" s="153"/>
      <c r="CC121" s="153"/>
      <c r="CD121" s="153"/>
      <c r="CE121" s="153"/>
      <c r="CF121" s="153"/>
      <c r="CG121" s="153"/>
      <c r="CH121" s="153"/>
      <c r="CI121" s="153"/>
      <c r="CJ121" s="153"/>
      <c r="CK121" s="153"/>
      <c r="CL121" s="153"/>
      <c r="CM121" s="153"/>
      <c r="CN121" s="153"/>
      <c r="CO121" s="153"/>
      <c r="CP121" s="153"/>
      <c r="CQ121" s="153"/>
      <c r="CR121" s="153"/>
      <c r="CS121" s="153"/>
      <c r="CT121" s="153"/>
      <c r="CU121" s="153"/>
      <c r="CV121" s="153"/>
      <c r="CW121" s="153"/>
      <c r="CX121" s="153"/>
      <c r="CY121" s="153"/>
      <c r="CZ121" s="153"/>
      <c r="DA121" s="153"/>
      <c r="DB121" s="153"/>
      <c r="DC121" s="153"/>
      <c r="DD121" s="153"/>
      <c r="DE121" s="153"/>
      <c r="DF121" s="153"/>
      <c r="DG121" s="153"/>
      <c r="DH121" s="153"/>
      <c r="DI121" s="153"/>
      <c r="DJ121" s="153"/>
      <c r="DK121" s="153"/>
      <c r="DL121" s="153"/>
      <c r="DM121" s="153"/>
      <c r="DN121" s="153"/>
      <c r="DO121" s="153"/>
      <c r="DP121" s="153"/>
      <c r="DQ121" s="153"/>
      <c r="DR121" s="153"/>
      <c r="DS121" s="153"/>
      <c r="DT121" s="153"/>
      <c r="DU121" s="153"/>
      <c r="DV121" s="153"/>
      <c r="DW121" s="153"/>
      <c r="DX121" s="153"/>
      <c r="DY121" s="153"/>
      <c r="JG121" s="64" t="s">
        <v>23</v>
      </c>
      <c r="JH121" s="64">
        <v>-0.1</v>
      </c>
      <c r="JI121" s="64">
        <v>2.1</v>
      </c>
      <c r="JJ121" s="64"/>
      <c r="JK121" s="64">
        <v>-0.1</v>
      </c>
      <c r="JL121" s="64">
        <v>2.1</v>
      </c>
      <c r="JM121" s="64"/>
      <c r="JN121" s="64"/>
      <c r="JO121" s="64"/>
      <c r="JP121" s="64"/>
      <c r="JQ121" s="64"/>
      <c r="JR121" s="64"/>
      <c r="JS121" s="64"/>
      <c r="JT121" s="64"/>
      <c r="JU121" s="64"/>
      <c r="JV121" s="64"/>
      <c r="JW121" s="64"/>
      <c r="JX121" s="64"/>
    </row>
    <row r="122" spans="1:284" ht="14.1" customHeight="1" x14ac:dyDescent="0.2">
      <c r="A122" s="242"/>
      <c r="B122" s="242"/>
      <c r="C122" s="242"/>
      <c r="D122" s="242"/>
      <c r="E122" s="242"/>
      <c r="F122" s="274"/>
      <c r="G122" s="274"/>
      <c r="H122" s="274"/>
      <c r="I122" s="257"/>
      <c r="J122" s="242"/>
      <c r="K122" s="242"/>
      <c r="L122" s="242"/>
      <c r="M122" s="242"/>
      <c r="N122" s="270"/>
      <c r="O122" s="242"/>
      <c r="P122" s="242"/>
      <c r="Q122" s="242"/>
      <c r="R122" s="277"/>
      <c r="S122" s="277"/>
      <c r="T122" s="277"/>
      <c r="U122" s="242"/>
      <c r="V122" s="242"/>
      <c r="W122" s="242"/>
      <c r="X122" s="242"/>
      <c r="Y122" s="242"/>
      <c r="Z122" s="270"/>
      <c r="AA122" s="242"/>
      <c r="AB122" s="242"/>
      <c r="AC122" s="242"/>
      <c r="AD122" s="264"/>
      <c r="AE122" s="264"/>
      <c r="AF122" s="264"/>
      <c r="AG122" s="510"/>
      <c r="AH122" s="505"/>
      <c r="AI122" s="510"/>
      <c r="AJ122" s="508"/>
      <c r="AK122" s="508"/>
      <c r="AL122" s="509"/>
      <c r="AM122" s="509"/>
      <c r="AN122" s="510"/>
      <c r="AO122" s="292"/>
      <c r="AP122" s="242"/>
      <c r="AQ122" s="242"/>
      <c r="AR122" s="242"/>
      <c r="AS122" s="242"/>
      <c r="AT122" s="242"/>
      <c r="AU122" s="242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  <c r="BJ122" s="153"/>
      <c r="BK122" s="153"/>
      <c r="BL122" s="153"/>
      <c r="BM122" s="153"/>
      <c r="BN122" s="153"/>
      <c r="BO122" s="153"/>
      <c r="BP122" s="153"/>
      <c r="BQ122" s="153"/>
      <c r="BR122" s="153"/>
      <c r="BS122" s="153"/>
      <c r="BT122" s="153"/>
      <c r="BU122" s="153"/>
      <c r="BV122" s="153"/>
      <c r="BW122" s="153"/>
      <c r="BX122" s="153"/>
      <c r="BY122" s="153"/>
      <c r="BZ122" s="153"/>
      <c r="CA122" s="153"/>
      <c r="CB122" s="153"/>
      <c r="CC122" s="153"/>
      <c r="CD122" s="153"/>
      <c r="CE122" s="153"/>
      <c r="CF122" s="153"/>
      <c r="CG122" s="153"/>
      <c r="CH122" s="153"/>
      <c r="CI122" s="153"/>
      <c r="CJ122" s="153"/>
      <c r="CK122" s="153"/>
      <c r="CL122" s="153"/>
      <c r="CM122" s="153"/>
      <c r="CN122" s="153"/>
      <c r="CO122" s="153"/>
      <c r="CP122" s="153"/>
      <c r="CQ122" s="153"/>
      <c r="CR122" s="153"/>
      <c r="CS122" s="153"/>
      <c r="CT122" s="153"/>
      <c r="CU122" s="153"/>
      <c r="CV122" s="153"/>
      <c r="CW122" s="153"/>
      <c r="CX122" s="153"/>
      <c r="CY122" s="153"/>
      <c r="CZ122" s="153"/>
      <c r="DA122" s="153"/>
      <c r="DB122" s="153"/>
      <c r="DC122" s="153"/>
      <c r="DD122" s="153"/>
      <c r="DE122" s="153"/>
      <c r="DF122" s="153"/>
      <c r="DG122" s="153"/>
      <c r="DH122" s="153"/>
      <c r="DI122" s="153"/>
      <c r="DJ122" s="153"/>
      <c r="DK122" s="153"/>
      <c r="DL122" s="153"/>
      <c r="DM122" s="153"/>
      <c r="DN122" s="153"/>
      <c r="DO122" s="153"/>
      <c r="DP122" s="153"/>
      <c r="DQ122" s="153"/>
      <c r="DR122" s="153"/>
      <c r="DS122" s="153"/>
      <c r="DT122" s="153"/>
      <c r="DU122" s="153"/>
      <c r="DV122" s="153"/>
      <c r="DW122" s="153"/>
      <c r="DX122" s="153"/>
      <c r="DY122" s="153"/>
      <c r="JG122" s="64" t="s">
        <v>24</v>
      </c>
      <c r="JH122" s="64">
        <v>1.4</v>
      </c>
      <c r="JI122" s="64">
        <v>1.4</v>
      </c>
      <c r="JJ122" s="64"/>
      <c r="JK122" s="64">
        <v>0.1</v>
      </c>
      <c r="JL122" s="64">
        <v>0.1</v>
      </c>
      <c r="JM122" s="64"/>
      <c r="JN122" s="64"/>
      <c r="JO122" s="64"/>
      <c r="JP122" s="64"/>
      <c r="JQ122" s="64"/>
      <c r="JR122" s="64"/>
      <c r="JS122" s="64"/>
      <c r="JT122" s="64"/>
      <c r="JU122" s="64"/>
      <c r="JV122" s="64"/>
      <c r="JW122" s="64"/>
      <c r="JX122" s="64"/>
    </row>
    <row r="123" spans="1:284" ht="14.1" customHeight="1" x14ac:dyDescent="0.2">
      <c r="A123" s="242"/>
      <c r="B123" s="242"/>
      <c r="C123" s="242"/>
      <c r="D123" s="242"/>
      <c r="E123" s="242"/>
      <c r="F123" s="281"/>
      <c r="G123" s="281"/>
      <c r="H123" s="281"/>
      <c r="I123" s="257"/>
      <c r="J123" s="242"/>
      <c r="K123" s="242"/>
      <c r="L123" s="242"/>
      <c r="M123" s="242"/>
      <c r="N123" s="258"/>
      <c r="O123" s="242"/>
      <c r="P123" s="242"/>
      <c r="Q123" s="242"/>
      <c r="R123" s="268"/>
      <c r="S123" s="268"/>
      <c r="T123" s="268"/>
      <c r="U123" s="242"/>
      <c r="V123" s="242"/>
      <c r="W123" s="242"/>
      <c r="X123" s="242"/>
      <c r="Y123" s="242"/>
      <c r="Z123" s="242"/>
      <c r="AA123" s="418"/>
      <c r="AB123" s="418"/>
      <c r="AC123" s="242"/>
      <c r="AD123" s="261"/>
      <c r="AE123" s="261"/>
      <c r="AF123" s="261"/>
      <c r="AG123" s="505"/>
      <c r="AH123" s="505"/>
      <c r="AI123" s="505"/>
      <c r="AJ123" s="508"/>
      <c r="AK123" s="508"/>
      <c r="AL123" s="509"/>
      <c r="AM123" s="509"/>
      <c r="AN123" s="510"/>
      <c r="AO123" s="292"/>
      <c r="AP123" s="242"/>
      <c r="AQ123" s="242"/>
      <c r="AR123" s="242"/>
      <c r="AS123" s="242"/>
      <c r="AT123" s="242"/>
      <c r="AU123" s="242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  <c r="BJ123" s="153"/>
      <c r="BK123" s="153"/>
      <c r="BL123" s="153"/>
      <c r="BM123" s="153"/>
      <c r="BN123" s="153"/>
      <c r="BO123" s="153"/>
      <c r="BP123" s="153"/>
      <c r="BQ123" s="153"/>
      <c r="BR123" s="153"/>
      <c r="BS123" s="153"/>
      <c r="BT123" s="153"/>
      <c r="BU123" s="153"/>
      <c r="BV123" s="153"/>
      <c r="BW123" s="153"/>
      <c r="BX123" s="153"/>
      <c r="BY123" s="153"/>
      <c r="BZ123" s="153"/>
      <c r="CA123" s="153"/>
      <c r="CB123" s="153"/>
      <c r="CC123" s="153"/>
      <c r="CD123" s="153"/>
      <c r="CE123" s="153"/>
      <c r="CF123" s="153"/>
      <c r="CG123" s="153"/>
      <c r="CH123" s="153"/>
      <c r="CI123" s="153"/>
      <c r="CJ123" s="153"/>
      <c r="CK123" s="153"/>
      <c r="CL123" s="153"/>
      <c r="CM123" s="153"/>
      <c r="CN123" s="153"/>
      <c r="CO123" s="153"/>
      <c r="CP123" s="153"/>
      <c r="CQ123" s="153"/>
      <c r="CR123" s="153"/>
      <c r="CS123" s="153"/>
      <c r="CT123" s="153"/>
      <c r="CU123" s="153"/>
      <c r="CV123" s="153"/>
      <c r="CW123" s="153"/>
      <c r="CX123" s="153"/>
      <c r="CY123" s="153"/>
      <c r="CZ123" s="153"/>
      <c r="DA123" s="153"/>
      <c r="DB123" s="153"/>
      <c r="DC123" s="153"/>
      <c r="DD123" s="153"/>
      <c r="DE123" s="153"/>
      <c r="DF123" s="153"/>
      <c r="DG123" s="153"/>
      <c r="DH123" s="153"/>
      <c r="DI123" s="153"/>
      <c r="DJ123" s="153"/>
      <c r="DK123" s="153"/>
      <c r="DL123" s="153"/>
      <c r="DM123" s="153"/>
      <c r="DN123" s="153"/>
      <c r="DO123" s="153"/>
      <c r="DP123" s="153"/>
      <c r="DQ123" s="153"/>
      <c r="DR123" s="153"/>
      <c r="DS123" s="153"/>
      <c r="DT123" s="153"/>
      <c r="DU123" s="153"/>
      <c r="DV123" s="153"/>
      <c r="DW123" s="153"/>
      <c r="DX123" s="153"/>
      <c r="DY123" s="153"/>
      <c r="JG123" s="103" t="s">
        <v>208</v>
      </c>
      <c r="JH123" s="103"/>
      <c r="JI123" s="103"/>
      <c r="JJ123" s="103"/>
      <c r="JK123" s="103" t="s">
        <v>209</v>
      </c>
      <c r="JL123" s="64"/>
      <c r="JM123" s="64"/>
      <c r="JN123" s="64"/>
      <c r="JO123" s="64"/>
      <c r="JP123" s="64"/>
      <c r="JQ123" s="64"/>
      <c r="JR123" s="64"/>
      <c r="JS123" s="64"/>
      <c r="JT123" s="64"/>
      <c r="JU123" s="64"/>
      <c r="JV123" s="64"/>
      <c r="JW123" s="64"/>
      <c r="JX123" s="64"/>
    </row>
    <row r="124" spans="1:284" ht="14.1" customHeight="1" x14ac:dyDescent="0.2">
      <c r="A124" s="242"/>
      <c r="B124" s="242"/>
      <c r="C124" s="242"/>
      <c r="D124" s="242"/>
      <c r="E124" s="242"/>
      <c r="F124" s="281"/>
      <c r="G124" s="281"/>
      <c r="H124" s="281"/>
      <c r="I124" s="257"/>
      <c r="J124" s="242"/>
      <c r="K124" s="242"/>
      <c r="L124" s="242"/>
      <c r="M124" s="242"/>
      <c r="N124" s="270"/>
      <c r="O124" s="242"/>
      <c r="P124" s="242"/>
      <c r="Q124" s="242"/>
      <c r="R124" s="277"/>
      <c r="S124" s="277"/>
      <c r="T124" s="277"/>
      <c r="U124" s="242"/>
      <c r="V124" s="242"/>
      <c r="W124" s="242"/>
      <c r="X124" s="242"/>
      <c r="Y124" s="242"/>
      <c r="Z124" s="242"/>
      <c r="AA124" s="418"/>
      <c r="AB124" s="418"/>
      <c r="AC124" s="242"/>
      <c r="AD124" s="261"/>
      <c r="AE124" s="261"/>
      <c r="AF124" s="261"/>
      <c r="AG124" s="505"/>
      <c r="AH124" s="505"/>
      <c r="AI124" s="505"/>
      <c r="AJ124" s="505"/>
      <c r="AK124" s="505"/>
      <c r="AL124" s="505"/>
      <c r="AM124" s="505"/>
      <c r="AN124" s="505"/>
      <c r="AO124" s="292"/>
      <c r="AP124" s="242"/>
      <c r="AQ124" s="242"/>
      <c r="AR124" s="242"/>
      <c r="AS124" s="242"/>
      <c r="AT124" s="242"/>
      <c r="AU124" s="242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  <c r="BJ124" s="153"/>
      <c r="BK124" s="153"/>
      <c r="BL124" s="153"/>
      <c r="BM124" s="153"/>
      <c r="BN124" s="153"/>
      <c r="BO124" s="153"/>
      <c r="BP124" s="153"/>
      <c r="BQ124" s="153"/>
      <c r="BR124" s="153"/>
      <c r="BS124" s="153"/>
      <c r="BT124" s="153"/>
      <c r="BU124" s="153"/>
      <c r="BV124" s="153"/>
      <c r="BW124" s="153"/>
      <c r="BX124" s="153"/>
      <c r="BY124" s="153"/>
      <c r="BZ124" s="153"/>
      <c r="CA124" s="153"/>
      <c r="CB124" s="153"/>
      <c r="CC124" s="153"/>
      <c r="CD124" s="153"/>
      <c r="CE124" s="153"/>
      <c r="CF124" s="153"/>
      <c r="CG124" s="153"/>
      <c r="CH124" s="153"/>
      <c r="CI124" s="153"/>
      <c r="CJ124" s="153"/>
      <c r="CK124" s="153"/>
      <c r="CL124" s="153"/>
      <c r="CM124" s="153"/>
      <c r="CN124" s="153"/>
      <c r="CO124" s="153"/>
      <c r="CP124" s="153"/>
      <c r="CQ124" s="153"/>
      <c r="CR124" s="153"/>
      <c r="CS124" s="153"/>
      <c r="CT124" s="153"/>
      <c r="CU124" s="153"/>
      <c r="CV124" s="153"/>
      <c r="CW124" s="153"/>
      <c r="CX124" s="153"/>
      <c r="CY124" s="153"/>
      <c r="CZ124" s="153"/>
      <c r="DA124" s="153"/>
      <c r="DB124" s="153"/>
      <c r="DC124" s="153"/>
      <c r="DD124" s="153"/>
      <c r="DE124" s="153"/>
      <c r="DF124" s="153"/>
      <c r="DG124" s="153"/>
      <c r="DH124" s="153"/>
      <c r="DI124" s="153"/>
      <c r="DJ124" s="153"/>
      <c r="DK124" s="153"/>
      <c r="DL124" s="153"/>
      <c r="DM124" s="153"/>
      <c r="DN124" s="153"/>
      <c r="DO124" s="153"/>
      <c r="DP124" s="153"/>
      <c r="DQ124" s="153"/>
      <c r="DR124" s="153"/>
      <c r="DS124" s="153"/>
      <c r="DT124" s="153"/>
      <c r="DU124" s="153"/>
      <c r="DV124" s="153"/>
      <c r="DW124" s="153"/>
      <c r="DX124" s="153"/>
      <c r="DY124" s="153"/>
      <c r="JG124" s="64" t="s">
        <v>23</v>
      </c>
      <c r="JH124" s="64">
        <v>1</v>
      </c>
      <c r="JI124" s="64">
        <v>1</v>
      </c>
      <c r="JJ124" s="64"/>
      <c r="JK124" s="64">
        <v>1</v>
      </c>
      <c r="JL124" s="64">
        <v>1</v>
      </c>
      <c r="JM124" s="64"/>
      <c r="JN124" s="64"/>
      <c r="JO124" s="64"/>
      <c r="JP124" s="64"/>
      <c r="JQ124" s="64"/>
      <c r="JR124" s="64"/>
      <c r="JS124" s="64"/>
      <c r="JT124" s="64"/>
      <c r="JU124" s="64"/>
      <c r="JV124" s="64"/>
      <c r="JW124" s="64"/>
      <c r="JX124" s="64"/>
    </row>
    <row r="125" spans="1:284" ht="14.1" customHeight="1" x14ac:dyDescent="0.2">
      <c r="A125" s="242"/>
      <c r="B125" s="242"/>
      <c r="C125" s="242"/>
      <c r="D125" s="242"/>
      <c r="E125" s="242"/>
      <c r="F125" s="268"/>
      <c r="G125" s="268"/>
      <c r="H125" s="268"/>
      <c r="I125" s="257"/>
      <c r="J125" s="242"/>
      <c r="K125" s="242"/>
      <c r="L125" s="242"/>
      <c r="M125" s="242"/>
      <c r="N125" s="214"/>
      <c r="O125" s="242"/>
      <c r="P125" s="242"/>
      <c r="Q125" s="242"/>
      <c r="R125" s="214"/>
      <c r="S125" s="214"/>
      <c r="T125" s="214"/>
      <c r="U125" s="257"/>
      <c r="V125" s="242"/>
      <c r="W125" s="242"/>
      <c r="X125" s="242"/>
      <c r="Y125" s="242"/>
      <c r="Z125" s="242"/>
      <c r="AA125" s="242"/>
      <c r="AB125" s="242"/>
      <c r="AC125" s="242"/>
      <c r="AD125" s="242"/>
      <c r="AE125" s="242"/>
      <c r="AF125" s="242"/>
      <c r="AG125" s="506"/>
      <c r="AH125" s="510"/>
      <c r="AI125" s="510"/>
      <c r="AJ125" s="511"/>
      <c r="AK125" s="511"/>
      <c r="AL125" s="511"/>
      <c r="AM125" s="511"/>
      <c r="AN125" s="505"/>
      <c r="AO125" s="292"/>
      <c r="AP125" s="242"/>
      <c r="AQ125" s="242"/>
      <c r="AR125" s="242"/>
      <c r="AS125" s="242"/>
      <c r="AT125" s="242"/>
      <c r="AU125" s="242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  <c r="BI125" s="153"/>
      <c r="BJ125" s="153"/>
      <c r="BK125" s="153"/>
      <c r="BL125" s="153"/>
      <c r="BM125" s="153"/>
      <c r="BN125" s="153"/>
      <c r="BO125" s="153"/>
      <c r="BP125" s="153"/>
      <c r="BQ125" s="153"/>
      <c r="BR125" s="153"/>
      <c r="BS125" s="153"/>
      <c r="BT125" s="153"/>
      <c r="BU125" s="153"/>
      <c r="BV125" s="153"/>
      <c r="BW125" s="153"/>
      <c r="BX125" s="153"/>
      <c r="BY125" s="153"/>
      <c r="BZ125" s="153"/>
      <c r="CA125" s="153"/>
      <c r="CB125" s="153"/>
      <c r="CC125" s="153"/>
      <c r="CD125" s="153"/>
      <c r="CE125" s="153"/>
      <c r="CF125" s="153"/>
      <c r="CG125" s="153"/>
      <c r="CH125" s="153"/>
      <c r="CI125" s="153"/>
      <c r="CJ125" s="153"/>
      <c r="CK125" s="153"/>
      <c r="CL125" s="153"/>
      <c r="CM125" s="153"/>
      <c r="CN125" s="153"/>
      <c r="CO125" s="153"/>
      <c r="CP125" s="153"/>
      <c r="CQ125" s="153"/>
      <c r="CR125" s="153"/>
      <c r="CS125" s="153"/>
      <c r="CT125" s="153"/>
      <c r="CU125" s="153"/>
      <c r="CV125" s="153"/>
      <c r="CW125" s="153"/>
      <c r="CX125" s="153"/>
      <c r="CY125" s="153"/>
      <c r="CZ125" s="153"/>
      <c r="DA125" s="153"/>
      <c r="DB125" s="153"/>
      <c r="DC125" s="153"/>
      <c r="DD125" s="153"/>
      <c r="DE125" s="153"/>
      <c r="DF125" s="153"/>
      <c r="DG125" s="153"/>
      <c r="DH125" s="153"/>
      <c r="DI125" s="153"/>
      <c r="DJ125" s="153"/>
      <c r="DK125" s="153"/>
      <c r="DL125" s="153"/>
      <c r="DM125" s="153"/>
      <c r="DN125" s="153"/>
      <c r="DO125" s="153"/>
      <c r="DP125" s="153"/>
      <c r="DQ125" s="153"/>
      <c r="DR125" s="153"/>
      <c r="DS125" s="153"/>
      <c r="DT125" s="153"/>
      <c r="DU125" s="153"/>
      <c r="DV125" s="153"/>
      <c r="DW125" s="153"/>
      <c r="DX125" s="153"/>
      <c r="DY125" s="153"/>
      <c r="JG125" s="64" t="s">
        <v>24</v>
      </c>
      <c r="JH125" s="64">
        <v>-0.1</v>
      </c>
      <c r="JI125" s="64">
        <v>0.3</v>
      </c>
      <c r="JJ125" s="64"/>
      <c r="JK125" s="64">
        <v>1.2</v>
      </c>
      <c r="JL125" s="64">
        <v>1.6</v>
      </c>
      <c r="JM125" s="64"/>
      <c r="JN125" s="64"/>
      <c r="JO125" s="64"/>
      <c r="JP125" s="64"/>
      <c r="JQ125" s="64"/>
      <c r="JR125" s="64"/>
      <c r="JS125" s="64"/>
      <c r="JT125" s="64"/>
      <c r="JU125" s="64"/>
      <c r="JV125" s="64"/>
      <c r="JW125" s="64"/>
      <c r="JX125" s="64"/>
    </row>
    <row r="126" spans="1:284" ht="14.1" customHeight="1" x14ac:dyDescent="0.2">
      <c r="A126" s="242"/>
      <c r="B126" s="256"/>
      <c r="C126" s="256"/>
      <c r="D126" s="256"/>
      <c r="E126" s="256"/>
      <c r="F126" s="256"/>
      <c r="G126" s="256"/>
      <c r="H126" s="256"/>
      <c r="I126" s="256"/>
      <c r="J126" s="256"/>
      <c r="K126" s="256"/>
      <c r="L126" s="256"/>
      <c r="M126" s="256"/>
      <c r="N126" s="256"/>
      <c r="O126" s="256"/>
      <c r="P126" s="256"/>
      <c r="Q126" s="256"/>
      <c r="R126" s="256"/>
      <c r="S126" s="256"/>
      <c r="T126" s="256"/>
      <c r="U126" s="256"/>
      <c r="V126" s="256"/>
      <c r="W126" s="256"/>
      <c r="X126" s="256"/>
      <c r="Y126" s="256"/>
      <c r="Z126" s="256"/>
      <c r="AA126" s="256"/>
      <c r="AB126" s="256"/>
      <c r="AC126" s="256"/>
      <c r="AD126" s="256"/>
      <c r="AE126" s="256"/>
      <c r="AF126" s="256"/>
      <c r="AG126" s="506"/>
      <c r="AH126" s="510"/>
      <c r="AI126" s="510"/>
      <c r="AJ126" s="511"/>
      <c r="AK126" s="511"/>
      <c r="AL126" s="505"/>
      <c r="AM126" s="505"/>
      <c r="AN126" s="505"/>
      <c r="AO126" s="292"/>
      <c r="AP126" s="242"/>
      <c r="AQ126" s="242"/>
      <c r="AR126" s="242"/>
      <c r="AS126" s="242"/>
      <c r="AT126" s="242"/>
      <c r="AU126" s="242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  <c r="BJ126" s="153"/>
      <c r="BK126" s="153"/>
      <c r="BL126" s="153"/>
      <c r="BM126" s="153"/>
      <c r="BN126" s="153"/>
      <c r="BO126" s="153"/>
      <c r="BP126" s="153"/>
      <c r="BQ126" s="153"/>
      <c r="BR126" s="153"/>
      <c r="BS126" s="153"/>
      <c r="BT126" s="153"/>
      <c r="BU126" s="153"/>
      <c r="BV126" s="153"/>
      <c r="BW126" s="153"/>
      <c r="BX126" s="153"/>
      <c r="BY126" s="153"/>
      <c r="BZ126" s="153"/>
      <c r="CA126" s="153"/>
      <c r="CB126" s="153"/>
      <c r="CC126" s="153"/>
      <c r="CD126" s="153"/>
      <c r="CE126" s="153"/>
      <c r="CF126" s="153"/>
      <c r="CG126" s="153"/>
      <c r="CH126" s="153"/>
      <c r="CI126" s="153"/>
      <c r="CJ126" s="153"/>
      <c r="CK126" s="153"/>
      <c r="CL126" s="153"/>
      <c r="CM126" s="153"/>
      <c r="CN126" s="153"/>
      <c r="CO126" s="153"/>
      <c r="CP126" s="153"/>
      <c r="CQ126" s="153"/>
      <c r="CR126" s="153"/>
      <c r="CS126" s="153"/>
      <c r="CT126" s="153"/>
      <c r="CU126" s="153"/>
      <c r="CV126" s="153"/>
      <c r="CW126" s="153"/>
      <c r="CX126" s="153"/>
      <c r="CY126" s="153"/>
      <c r="CZ126" s="153"/>
      <c r="DA126" s="153"/>
      <c r="DB126" s="153"/>
      <c r="DC126" s="153"/>
      <c r="DD126" s="153"/>
      <c r="DE126" s="153"/>
      <c r="DF126" s="153"/>
      <c r="DG126" s="153"/>
      <c r="DH126" s="153"/>
      <c r="DI126" s="153"/>
      <c r="DJ126" s="153"/>
      <c r="DK126" s="153"/>
      <c r="DL126" s="153"/>
      <c r="DM126" s="153"/>
      <c r="DN126" s="153"/>
      <c r="DO126" s="153"/>
      <c r="DP126" s="153"/>
      <c r="DQ126" s="153"/>
      <c r="DR126" s="153"/>
      <c r="DS126" s="153"/>
      <c r="DT126" s="153"/>
      <c r="DU126" s="153"/>
      <c r="DV126" s="153"/>
      <c r="DW126" s="153"/>
      <c r="DX126" s="153"/>
      <c r="DY126" s="153"/>
      <c r="JG126" s="64" t="s">
        <v>210</v>
      </c>
      <c r="JH126" s="64"/>
      <c r="JI126" s="64"/>
      <c r="JJ126" s="64"/>
      <c r="JK126" s="64"/>
      <c r="JL126" s="64"/>
      <c r="JM126" s="64"/>
      <c r="JN126" s="64"/>
      <c r="JO126" s="64"/>
      <c r="JP126" s="64"/>
      <c r="JQ126" s="64"/>
      <c r="JR126" s="64"/>
      <c r="JS126" s="64"/>
      <c r="JT126" s="64"/>
      <c r="JU126" s="64"/>
      <c r="JV126" s="64"/>
      <c r="JW126" s="64"/>
      <c r="JX126" s="64"/>
    </row>
    <row r="127" spans="1:284" ht="14.1" customHeight="1" x14ac:dyDescent="0.2">
      <c r="A127" s="242"/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419"/>
      <c r="S127" s="419"/>
      <c r="T127" s="419"/>
      <c r="U127" s="419"/>
      <c r="V127" s="419"/>
      <c r="W127" s="419"/>
      <c r="X127" s="419"/>
      <c r="Y127" s="419"/>
      <c r="Z127" s="419"/>
      <c r="AA127" s="419"/>
      <c r="AB127" s="419"/>
      <c r="AC127" s="419"/>
      <c r="AD127" s="419"/>
      <c r="AE127" s="419"/>
      <c r="AF127" s="419"/>
      <c r="AG127" s="506"/>
      <c r="AH127" s="510"/>
      <c r="AI127" s="510"/>
      <c r="AJ127" s="510"/>
      <c r="AK127" s="505"/>
      <c r="AL127" s="505"/>
      <c r="AM127" s="505"/>
      <c r="AN127" s="505"/>
      <c r="AO127" s="292"/>
      <c r="AP127" s="242"/>
      <c r="AQ127" s="242"/>
      <c r="AR127" s="242"/>
      <c r="AS127" s="242"/>
      <c r="AT127" s="242"/>
      <c r="AU127" s="242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  <c r="BJ127" s="153"/>
      <c r="BK127" s="153"/>
      <c r="BL127" s="153"/>
      <c r="BM127" s="153"/>
      <c r="BN127" s="153"/>
      <c r="BO127" s="153"/>
      <c r="BP127" s="153"/>
      <c r="BQ127" s="153"/>
      <c r="BR127" s="153"/>
      <c r="BS127" s="153"/>
      <c r="BT127" s="153"/>
      <c r="BU127" s="153"/>
      <c r="BV127" s="153"/>
      <c r="BW127" s="153"/>
      <c r="BX127" s="153"/>
      <c r="BY127" s="153"/>
      <c r="BZ127" s="153"/>
      <c r="CA127" s="153"/>
      <c r="CB127" s="153"/>
      <c r="CC127" s="153"/>
      <c r="CD127" s="153"/>
      <c r="CE127" s="153"/>
      <c r="CF127" s="153"/>
      <c r="CG127" s="153"/>
      <c r="CH127" s="153"/>
      <c r="CI127" s="153"/>
      <c r="CJ127" s="153"/>
      <c r="CK127" s="153"/>
      <c r="CL127" s="153"/>
      <c r="CM127" s="153"/>
      <c r="CN127" s="153"/>
      <c r="CO127" s="153"/>
      <c r="CP127" s="153"/>
      <c r="CQ127" s="153"/>
      <c r="CR127" s="153"/>
      <c r="CS127" s="153"/>
      <c r="CT127" s="153"/>
      <c r="CU127" s="153"/>
      <c r="CV127" s="153"/>
      <c r="CW127" s="153"/>
      <c r="CX127" s="153"/>
      <c r="CY127" s="153"/>
      <c r="CZ127" s="153"/>
      <c r="DA127" s="153"/>
      <c r="DB127" s="153"/>
      <c r="DC127" s="153"/>
      <c r="DD127" s="153"/>
      <c r="DE127" s="153"/>
      <c r="DF127" s="153"/>
      <c r="DG127" s="153"/>
      <c r="DH127" s="153"/>
      <c r="DI127" s="153"/>
      <c r="DJ127" s="153"/>
      <c r="DK127" s="153"/>
      <c r="DL127" s="153"/>
      <c r="DM127" s="153"/>
      <c r="DN127" s="153"/>
      <c r="DO127" s="153"/>
      <c r="DP127" s="153"/>
      <c r="DQ127" s="153"/>
      <c r="DR127" s="153"/>
      <c r="DS127" s="153"/>
      <c r="DT127" s="153"/>
      <c r="DU127" s="153"/>
      <c r="DV127" s="153"/>
      <c r="DW127" s="153"/>
      <c r="DX127" s="153"/>
      <c r="DY127" s="153"/>
      <c r="JG127" s="64" t="s">
        <v>23</v>
      </c>
      <c r="JH127" s="64">
        <v>0</v>
      </c>
      <c r="JI127" s="64">
        <v>2</v>
      </c>
      <c r="JJ127" s="64"/>
      <c r="JK127" s="64">
        <v>1</v>
      </c>
      <c r="JL127" s="64"/>
      <c r="JM127" s="64"/>
      <c r="JN127" s="64"/>
      <c r="JO127" s="64"/>
      <c r="JP127" s="64"/>
      <c r="JQ127" s="64"/>
      <c r="JR127" s="64"/>
      <c r="JS127" s="64"/>
      <c r="JT127" s="64"/>
      <c r="JU127" s="64"/>
      <c r="JV127" s="64"/>
      <c r="JW127" s="64"/>
      <c r="JX127" s="64"/>
    </row>
    <row r="128" spans="1:284" ht="14.1" customHeight="1" x14ac:dyDescent="0.2">
      <c r="A128" s="242"/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419"/>
      <c r="S128" s="419"/>
      <c r="T128" s="419"/>
      <c r="U128" s="419"/>
      <c r="V128" s="419"/>
      <c r="W128" s="419"/>
      <c r="X128" s="419"/>
      <c r="Y128" s="419"/>
      <c r="Z128" s="419"/>
      <c r="AA128" s="419"/>
      <c r="AB128" s="419"/>
      <c r="AC128" s="419"/>
      <c r="AD128" s="419"/>
      <c r="AE128" s="419"/>
      <c r="AF128" s="419"/>
      <c r="AG128" s="263"/>
      <c r="AH128" s="263"/>
      <c r="AI128" s="263"/>
      <c r="AJ128" s="263"/>
      <c r="AK128" s="263"/>
      <c r="AL128" s="263"/>
      <c r="AM128" s="263"/>
      <c r="AN128" s="263"/>
      <c r="AO128" s="242"/>
      <c r="AP128" s="242"/>
      <c r="AQ128" s="242"/>
      <c r="AR128" s="242"/>
      <c r="AS128" s="242"/>
      <c r="AT128" s="242"/>
      <c r="AU128" s="242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  <c r="BJ128" s="153"/>
      <c r="BK128" s="153"/>
      <c r="BL128" s="153"/>
      <c r="BM128" s="153"/>
      <c r="BN128" s="153"/>
      <c r="BO128" s="153"/>
      <c r="BP128" s="153"/>
      <c r="BQ128" s="153"/>
      <c r="BR128" s="153"/>
      <c r="BS128" s="153"/>
      <c r="BT128" s="153"/>
      <c r="BU128" s="153"/>
      <c r="BV128" s="153"/>
      <c r="BW128" s="153"/>
      <c r="BX128" s="153"/>
      <c r="BY128" s="153"/>
      <c r="BZ128" s="153"/>
      <c r="CA128" s="153"/>
      <c r="CB128" s="153"/>
      <c r="CC128" s="153"/>
      <c r="CD128" s="153"/>
      <c r="CE128" s="153"/>
      <c r="CF128" s="153"/>
      <c r="CG128" s="153"/>
      <c r="CH128" s="153"/>
      <c r="CI128" s="153"/>
      <c r="CJ128" s="153"/>
      <c r="CK128" s="153"/>
      <c r="CL128" s="153"/>
      <c r="CM128" s="153"/>
      <c r="CN128" s="153"/>
      <c r="CO128" s="153"/>
      <c r="CP128" s="153"/>
      <c r="CQ128" s="153"/>
      <c r="CR128" s="153"/>
      <c r="CS128" s="153"/>
      <c r="CT128" s="153"/>
      <c r="CU128" s="153"/>
      <c r="CV128" s="153"/>
      <c r="CW128" s="153"/>
      <c r="CX128" s="153"/>
      <c r="CY128" s="153"/>
      <c r="CZ128" s="153"/>
      <c r="DA128" s="153"/>
      <c r="DB128" s="153"/>
      <c r="DC128" s="153"/>
      <c r="DD128" s="153"/>
      <c r="DE128" s="153"/>
      <c r="DF128" s="153"/>
      <c r="DG128" s="153"/>
      <c r="DH128" s="153"/>
      <c r="DI128" s="153"/>
      <c r="DJ128" s="153"/>
      <c r="DK128" s="153"/>
      <c r="DL128" s="153"/>
      <c r="DM128" s="153"/>
      <c r="DN128" s="153"/>
      <c r="DO128" s="153"/>
      <c r="DP128" s="153"/>
      <c r="DQ128" s="153"/>
      <c r="DR128" s="153"/>
      <c r="DS128" s="153"/>
      <c r="DT128" s="153"/>
      <c r="DU128" s="153"/>
      <c r="DV128" s="153"/>
      <c r="DW128" s="153"/>
      <c r="DX128" s="153"/>
      <c r="DY128" s="153"/>
      <c r="JG128" s="64" t="s">
        <v>24</v>
      </c>
      <c r="JH128" s="64">
        <v>0.2</v>
      </c>
      <c r="JI128" s="64">
        <v>0.2</v>
      </c>
      <c r="JJ128" s="64"/>
      <c r="JK128" s="64">
        <v>0.2</v>
      </c>
      <c r="JL128" s="64"/>
      <c r="JM128" s="64"/>
      <c r="JN128" s="64"/>
      <c r="JO128" s="64"/>
      <c r="JP128" s="64"/>
      <c r="JQ128" s="64"/>
      <c r="JR128" s="64"/>
      <c r="JS128" s="64"/>
      <c r="JT128" s="64"/>
      <c r="JU128" s="64"/>
      <c r="JV128" s="64"/>
      <c r="JW128" s="64"/>
      <c r="JX128" s="64"/>
    </row>
    <row r="129" spans="1:284" ht="14.1" customHeight="1" x14ac:dyDescent="0.2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161"/>
      <c r="S129" s="161"/>
      <c r="T129" s="161"/>
      <c r="U129" s="161"/>
      <c r="V129" s="268"/>
      <c r="W129" s="268"/>
      <c r="X129" s="268"/>
      <c r="Y129" s="268"/>
      <c r="Z129" s="512"/>
      <c r="AA129" s="512"/>
      <c r="AB129" s="512"/>
      <c r="AC129" s="512"/>
      <c r="AD129" s="268"/>
      <c r="AE129" s="268"/>
      <c r="AF129" s="268"/>
      <c r="AG129" s="263"/>
      <c r="AH129" s="263"/>
      <c r="AI129" s="263"/>
      <c r="AJ129" s="263"/>
      <c r="AK129" s="263"/>
      <c r="AL129" s="263"/>
      <c r="AM129" s="263"/>
      <c r="AN129" s="263"/>
      <c r="AO129" s="242"/>
      <c r="AP129" s="242"/>
      <c r="AQ129" s="242"/>
      <c r="AR129" s="242"/>
      <c r="AS129" s="242"/>
      <c r="AT129" s="242"/>
      <c r="AU129" s="242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  <c r="BJ129" s="153"/>
      <c r="BK129" s="153"/>
      <c r="BL129" s="153"/>
      <c r="BM129" s="153"/>
      <c r="BN129" s="153"/>
      <c r="BO129" s="153"/>
      <c r="BP129" s="153"/>
      <c r="BQ129" s="153"/>
      <c r="BR129" s="153"/>
      <c r="BS129" s="153"/>
      <c r="BT129" s="153"/>
      <c r="BU129" s="153"/>
      <c r="BV129" s="153"/>
      <c r="BW129" s="153"/>
      <c r="BX129" s="153"/>
      <c r="BY129" s="153"/>
      <c r="BZ129" s="153"/>
      <c r="CA129" s="153"/>
      <c r="CB129" s="153"/>
      <c r="CC129" s="153"/>
      <c r="CD129" s="153"/>
      <c r="CE129" s="153"/>
      <c r="CF129" s="153"/>
      <c r="CG129" s="153"/>
      <c r="CH129" s="153"/>
      <c r="CI129" s="153"/>
      <c r="CJ129" s="153"/>
      <c r="CK129" s="153"/>
      <c r="CL129" s="153"/>
      <c r="CM129" s="153"/>
      <c r="CN129" s="153"/>
      <c r="CO129" s="153"/>
      <c r="CP129" s="153"/>
      <c r="CQ129" s="153"/>
      <c r="CR129" s="153"/>
      <c r="CS129" s="153"/>
      <c r="CT129" s="153"/>
      <c r="CU129" s="153"/>
      <c r="CV129" s="153"/>
      <c r="CW129" s="153"/>
      <c r="CX129" s="153"/>
      <c r="CY129" s="153"/>
      <c r="CZ129" s="153"/>
      <c r="DA129" s="153"/>
      <c r="DB129" s="153"/>
      <c r="DC129" s="153"/>
      <c r="DD129" s="153"/>
      <c r="DE129" s="153"/>
      <c r="DF129" s="153"/>
      <c r="DG129" s="153"/>
      <c r="DH129" s="153"/>
      <c r="DI129" s="153"/>
      <c r="DJ129" s="153"/>
      <c r="DK129" s="153"/>
      <c r="DL129" s="153"/>
      <c r="DM129" s="153"/>
      <c r="DN129" s="153"/>
      <c r="DO129" s="153"/>
      <c r="DP129" s="153"/>
      <c r="DQ129" s="153"/>
      <c r="DR129" s="153"/>
      <c r="DS129" s="153"/>
      <c r="DT129" s="153"/>
      <c r="DU129" s="153"/>
      <c r="DV129" s="153"/>
      <c r="DW129" s="153"/>
      <c r="DX129" s="153"/>
      <c r="DY129" s="153"/>
      <c r="JG129" s="64" t="s">
        <v>211</v>
      </c>
      <c r="JH129" s="64"/>
      <c r="JI129" s="64"/>
      <c r="JJ129" s="64"/>
      <c r="JK129" s="64"/>
      <c r="JL129" s="64"/>
      <c r="JM129" s="64"/>
      <c r="JN129" s="64"/>
      <c r="JO129" s="64"/>
      <c r="JP129" s="64"/>
      <c r="JQ129" s="64"/>
      <c r="JR129" s="64"/>
      <c r="JS129" s="64"/>
      <c r="JT129" s="64"/>
      <c r="JU129" s="64"/>
      <c r="JV129" s="64"/>
      <c r="JW129" s="64"/>
      <c r="JX129" s="64"/>
    </row>
    <row r="130" spans="1:284" ht="14.1" customHeight="1" x14ac:dyDescent="0.2">
      <c r="A130" s="242"/>
      <c r="B130" s="242"/>
      <c r="C130" s="242"/>
      <c r="D130" s="242"/>
      <c r="E130" s="420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161"/>
      <c r="S130" s="161"/>
      <c r="T130" s="161"/>
      <c r="U130" s="161"/>
      <c r="V130" s="421"/>
      <c r="W130" s="421"/>
      <c r="X130" s="421"/>
      <c r="Y130" s="421"/>
      <c r="Z130" s="512"/>
      <c r="AA130" s="512"/>
      <c r="AB130" s="512"/>
      <c r="AC130" s="512"/>
      <c r="AD130" s="422"/>
      <c r="AE130" s="422"/>
      <c r="AF130" s="422"/>
      <c r="AG130" s="242"/>
      <c r="AH130" s="242"/>
      <c r="AI130" s="242"/>
      <c r="AJ130" s="242"/>
      <c r="AK130" s="242"/>
      <c r="AL130" s="242"/>
      <c r="AM130" s="242"/>
      <c r="AN130" s="242"/>
      <c r="AO130" s="242"/>
      <c r="AP130" s="242"/>
      <c r="AQ130" s="242"/>
      <c r="AR130" s="242"/>
      <c r="AS130" s="242"/>
      <c r="AT130" s="242"/>
      <c r="AU130" s="242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  <c r="BJ130" s="153"/>
      <c r="BK130" s="153"/>
      <c r="BL130" s="153"/>
      <c r="BM130" s="153"/>
      <c r="BN130" s="153"/>
      <c r="BO130" s="153"/>
      <c r="BP130" s="153"/>
      <c r="BQ130" s="153"/>
      <c r="BR130" s="153"/>
      <c r="BS130" s="153"/>
      <c r="BT130" s="153"/>
      <c r="BU130" s="153"/>
      <c r="BV130" s="153"/>
      <c r="BW130" s="153"/>
      <c r="BX130" s="153"/>
      <c r="BY130" s="153"/>
      <c r="BZ130" s="153"/>
      <c r="CA130" s="153"/>
      <c r="CB130" s="153"/>
      <c r="CC130" s="153"/>
      <c r="CD130" s="153"/>
      <c r="CE130" s="153"/>
      <c r="CF130" s="153"/>
      <c r="CG130" s="153"/>
      <c r="CH130" s="153"/>
      <c r="CI130" s="153"/>
      <c r="CJ130" s="153"/>
      <c r="CK130" s="153"/>
      <c r="CL130" s="153"/>
      <c r="CM130" s="153"/>
      <c r="CN130" s="153"/>
      <c r="CO130" s="153"/>
      <c r="CP130" s="153"/>
      <c r="CQ130" s="153"/>
      <c r="CR130" s="153"/>
      <c r="CS130" s="153"/>
      <c r="CT130" s="153"/>
      <c r="CU130" s="153"/>
      <c r="CV130" s="153"/>
      <c r="CW130" s="153"/>
      <c r="CX130" s="153"/>
      <c r="CY130" s="153"/>
      <c r="CZ130" s="153"/>
      <c r="DA130" s="153"/>
      <c r="DB130" s="153"/>
      <c r="DC130" s="153"/>
      <c r="DD130" s="153"/>
      <c r="DE130" s="153"/>
      <c r="DF130" s="153"/>
      <c r="DG130" s="153"/>
      <c r="DH130" s="153"/>
      <c r="DI130" s="153"/>
      <c r="DJ130" s="153"/>
      <c r="DK130" s="153"/>
      <c r="DL130" s="153"/>
      <c r="DM130" s="153"/>
      <c r="DN130" s="153"/>
      <c r="DO130" s="153"/>
      <c r="DP130" s="153"/>
      <c r="DQ130" s="153"/>
      <c r="DR130" s="153"/>
      <c r="DS130" s="153"/>
      <c r="DT130" s="153"/>
      <c r="DU130" s="153"/>
      <c r="DV130" s="153"/>
      <c r="DW130" s="153"/>
      <c r="DX130" s="153"/>
      <c r="DY130" s="153"/>
      <c r="JG130" s="64" t="s">
        <v>23</v>
      </c>
      <c r="JH130" s="64">
        <v>-0.1</v>
      </c>
      <c r="JI130" s="64">
        <v>2.1</v>
      </c>
      <c r="JJ130" s="64"/>
      <c r="JK130" s="64">
        <v>1</v>
      </c>
      <c r="JL130" s="64"/>
      <c r="JM130" s="64"/>
      <c r="JN130" s="64"/>
      <c r="JO130" s="64"/>
      <c r="JP130" s="64"/>
      <c r="JQ130" s="64"/>
      <c r="JR130" s="64"/>
      <c r="JS130" s="64"/>
      <c r="JT130" s="64"/>
      <c r="JU130" s="64"/>
      <c r="JV130" s="64"/>
      <c r="JW130" s="64"/>
      <c r="JX130" s="64"/>
    </row>
    <row r="131" spans="1:284" ht="14.1" customHeight="1" x14ac:dyDescent="0.2">
      <c r="A131" s="242"/>
      <c r="B131" s="242"/>
      <c r="C131" s="242"/>
      <c r="D131" s="242"/>
      <c r="E131" s="420"/>
      <c r="F131" s="423"/>
      <c r="G131" s="423"/>
      <c r="H131" s="424"/>
      <c r="I131" s="424"/>
      <c r="J131" s="424"/>
      <c r="K131" s="424"/>
      <c r="L131" s="423"/>
      <c r="M131" s="423"/>
      <c r="N131" s="423"/>
      <c r="O131" s="242"/>
      <c r="P131" s="242"/>
      <c r="Q131" s="242"/>
      <c r="R131" s="161"/>
      <c r="S131" s="161"/>
      <c r="T131" s="161"/>
      <c r="U131" s="161"/>
      <c r="V131" s="425"/>
      <c r="W131" s="425"/>
      <c r="X131" s="425"/>
      <c r="Y131" s="425"/>
      <c r="Z131" s="512"/>
      <c r="AA131" s="512"/>
      <c r="AB131" s="512"/>
      <c r="AC131" s="512"/>
      <c r="AD131" s="264"/>
      <c r="AE131" s="264"/>
      <c r="AF131" s="264"/>
      <c r="AG131" s="513"/>
      <c r="AH131" s="513"/>
      <c r="AI131" s="514"/>
      <c r="AJ131" s="268"/>
      <c r="AK131" s="319"/>
      <c r="AL131" s="319"/>
      <c r="AM131" s="242"/>
      <c r="AN131" s="242"/>
      <c r="AO131" s="242"/>
      <c r="AP131" s="515"/>
      <c r="AQ131" s="242"/>
      <c r="AR131" s="242"/>
      <c r="AS131" s="242"/>
      <c r="AT131" s="242"/>
      <c r="AU131" s="242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  <c r="BJ131" s="153"/>
      <c r="BK131" s="153"/>
      <c r="BL131" s="153"/>
      <c r="BM131" s="153"/>
      <c r="BN131" s="153"/>
      <c r="BO131" s="153"/>
      <c r="BP131" s="153"/>
      <c r="BQ131" s="153"/>
      <c r="BR131" s="153"/>
      <c r="BS131" s="153"/>
      <c r="BT131" s="153"/>
      <c r="BU131" s="153"/>
      <c r="BV131" s="153"/>
      <c r="BW131" s="153"/>
      <c r="BX131" s="153"/>
      <c r="BY131" s="153"/>
      <c r="BZ131" s="153"/>
      <c r="CA131" s="153"/>
      <c r="CB131" s="153"/>
      <c r="CC131" s="153"/>
      <c r="CD131" s="153"/>
      <c r="CE131" s="153"/>
      <c r="CF131" s="153"/>
      <c r="CG131" s="153"/>
      <c r="CH131" s="153"/>
      <c r="CI131" s="153"/>
      <c r="CJ131" s="153"/>
      <c r="CK131" s="153"/>
      <c r="CL131" s="153"/>
      <c r="CM131" s="153"/>
      <c r="CN131" s="153"/>
      <c r="CO131" s="153"/>
      <c r="CP131" s="153"/>
      <c r="CQ131" s="153"/>
      <c r="CR131" s="153"/>
      <c r="CS131" s="153"/>
      <c r="CT131" s="153"/>
      <c r="CU131" s="153"/>
      <c r="CV131" s="153"/>
      <c r="CW131" s="153"/>
      <c r="CX131" s="153"/>
      <c r="CY131" s="153"/>
      <c r="CZ131" s="153"/>
      <c r="DA131" s="153"/>
      <c r="DB131" s="153"/>
      <c r="DC131" s="153"/>
      <c r="DD131" s="153"/>
      <c r="DE131" s="153"/>
      <c r="DF131" s="153"/>
      <c r="DG131" s="153"/>
      <c r="DH131" s="153"/>
      <c r="DI131" s="153"/>
      <c r="DJ131" s="153"/>
      <c r="DK131" s="153"/>
      <c r="DL131" s="153"/>
      <c r="DM131" s="153"/>
      <c r="DN131" s="153"/>
      <c r="DO131" s="153"/>
      <c r="DP131" s="153"/>
      <c r="DQ131" s="153"/>
      <c r="DR131" s="153"/>
      <c r="DS131" s="153"/>
      <c r="DT131" s="153"/>
      <c r="DU131" s="153"/>
      <c r="DV131" s="153"/>
      <c r="DW131" s="153"/>
      <c r="DX131" s="153"/>
      <c r="DY131" s="153"/>
      <c r="JG131" s="64" t="s">
        <v>24</v>
      </c>
      <c r="JH131" s="64">
        <v>0.8</v>
      </c>
      <c r="JI131" s="64">
        <v>0.8</v>
      </c>
      <c r="JJ131" s="64"/>
      <c r="JK131" s="64">
        <v>0.8</v>
      </c>
      <c r="JL131" s="64"/>
      <c r="JM131" s="64"/>
      <c r="JN131" s="64"/>
      <c r="JO131" s="64"/>
      <c r="JP131" s="64"/>
      <c r="JQ131" s="64"/>
      <c r="JR131" s="64"/>
      <c r="JS131" s="64"/>
      <c r="JT131" s="64"/>
      <c r="JU131" s="64"/>
      <c r="JV131" s="64"/>
      <c r="JW131" s="64"/>
      <c r="JX131" s="64"/>
    </row>
    <row r="132" spans="1:284" ht="14.1" customHeight="1" x14ac:dyDescent="0.2">
      <c r="A132" s="242"/>
      <c r="B132" s="242"/>
      <c r="C132" s="242"/>
      <c r="D132" s="242"/>
      <c r="E132" s="420"/>
      <c r="F132" s="242"/>
      <c r="G132" s="242"/>
      <c r="H132" s="424"/>
      <c r="I132" s="424"/>
      <c r="J132" s="424"/>
      <c r="K132" s="424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  <c r="X132" s="242"/>
      <c r="Y132" s="242"/>
      <c r="Z132" s="242"/>
      <c r="AA132" s="242"/>
      <c r="AB132" s="242"/>
      <c r="AC132" s="242"/>
      <c r="AD132" s="242"/>
      <c r="AE132" s="242"/>
      <c r="AF132" s="242"/>
      <c r="AG132" s="513"/>
      <c r="AH132" s="513"/>
      <c r="AI132" s="514"/>
      <c r="AJ132" s="268"/>
      <c r="AK132" s="319"/>
      <c r="AL132" s="319"/>
      <c r="AM132" s="242"/>
      <c r="AN132" s="242"/>
      <c r="AO132" s="242"/>
      <c r="AP132" s="515"/>
      <c r="AQ132" s="242"/>
      <c r="AR132" s="242"/>
      <c r="AS132" s="242"/>
      <c r="AT132" s="242"/>
      <c r="AU132" s="242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  <c r="BJ132" s="153"/>
      <c r="BK132" s="153"/>
      <c r="BL132" s="153"/>
      <c r="BM132" s="153"/>
      <c r="BN132" s="153"/>
      <c r="BO132" s="153"/>
      <c r="BP132" s="153"/>
      <c r="BQ132" s="153"/>
      <c r="BR132" s="153"/>
      <c r="BS132" s="153"/>
      <c r="BT132" s="153"/>
      <c r="BU132" s="153"/>
      <c r="BV132" s="153"/>
      <c r="BW132" s="153"/>
      <c r="BX132" s="153"/>
      <c r="BY132" s="153"/>
      <c r="BZ132" s="153"/>
      <c r="CA132" s="153"/>
      <c r="CB132" s="153"/>
      <c r="CC132" s="153"/>
      <c r="CD132" s="153"/>
      <c r="CE132" s="153"/>
      <c r="CF132" s="153"/>
      <c r="CG132" s="153"/>
      <c r="CH132" s="153"/>
      <c r="CI132" s="153"/>
      <c r="CJ132" s="153"/>
      <c r="CK132" s="153"/>
      <c r="CL132" s="153"/>
      <c r="CM132" s="153"/>
      <c r="CN132" s="153"/>
      <c r="CO132" s="153"/>
      <c r="CP132" s="153"/>
      <c r="CQ132" s="153"/>
      <c r="CR132" s="153"/>
      <c r="CS132" s="153"/>
      <c r="CT132" s="153"/>
      <c r="CU132" s="153"/>
      <c r="CV132" s="153"/>
      <c r="CW132" s="153"/>
      <c r="CX132" s="153"/>
      <c r="CY132" s="153"/>
      <c r="CZ132" s="153"/>
      <c r="DA132" s="153"/>
      <c r="DB132" s="153"/>
      <c r="DC132" s="153"/>
      <c r="DD132" s="153"/>
      <c r="DE132" s="153"/>
      <c r="DF132" s="153"/>
      <c r="DG132" s="153"/>
      <c r="DH132" s="153"/>
      <c r="DI132" s="153"/>
      <c r="DJ132" s="153"/>
      <c r="DK132" s="153"/>
      <c r="DL132" s="153"/>
      <c r="DM132" s="153"/>
      <c r="DN132" s="153"/>
      <c r="DO132" s="153"/>
      <c r="DP132" s="153"/>
      <c r="DQ132" s="153"/>
      <c r="DR132" s="153"/>
      <c r="DS132" s="153"/>
      <c r="DT132" s="153"/>
      <c r="DU132" s="153"/>
      <c r="DV132" s="153"/>
      <c r="DW132" s="153"/>
      <c r="DX132" s="153"/>
      <c r="DY132" s="153"/>
      <c r="JG132" s="64" t="s">
        <v>212</v>
      </c>
      <c r="JH132" s="64"/>
      <c r="JI132" s="64"/>
      <c r="JJ132" s="64"/>
      <c r="JK132" s="64"/>
      <c r="JL132" s="64"/>
      <c r="JM132" s="64"/>
      <c r="JN132" s="64"/>
      <c r="JO132" s="64"/>
      <c r="JP132" s="64"/>
      <c r="JQ132" s="64"/>
      <c r="JR132" s="64"/>
      <c r="JS132" s="64"/>
      <c r="JT132" s="64"/>
      <c r="JU132" s="64"/>
      <c r="JV132" s="64"/>
      <c r="JW132" s="64"/>
      <c r="JX132" s="64"/>
    </row>
    <row r="133" spans="1:284" ht="14.1" customHeight="1" x14ac:dyDescent="0.2">
      <c r="A133" s="242"/>
      <c r="B133" s="242"/>
      <c r="C133" s="242"/>
      <c r="D133" s="242"/>
      <c r="E133" s="426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427"/>
      <c r="S133" s="427"/>
      <c r="T133" s="427"/>
      <c r="U133" s="427"/>
      <c r="V133" s="427"/>
      <c r="W133" s="427"/>
      <c r="X133" s="427"/>
      <c r="Y133" s="427"/>
      <c r="Z133" s="427"/>
      <c r="AA133" s="427"/>
      <c r="AB133" s="427"/>
      <c r="AC133" s="427"/>
      <c r="AD133" s="427"/>
      <c r="AE133" s="427"/>
      <c r="AF133" s="427"/>
      <c r="AG133" s="513"/>
      <c r="AH133" s="513"/>
      <c r="AI133" s="514"/>
      <c r="AJ133" s="268"/>
      <c r="AK133" s="319"/>
      <c r="AL133" s="319"/>
      <c r="AM133" s="242"/>
      <c r="AN133" s="242"/>
      <c r="AO133" s="242"/>
      <c r="AP133" s="516"/>
      <c r="AQ133" s="242"/>
      <c r="AR133" s="242"/>
      <c r="AS133" s="242"/>
      <c r="AT133" s="242"/>
      <c r="AU133" s="242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  <c r="BJ133" s="153"/>
      <c r="BK133" s="153"/>
      <c r="BL133" s="153"/>
      <c r="BM133" s="153"/>
      <c r="BN133" s="153"/>
      <c r="BO133" s="153"/>
      <c r="BP133" s="153"/>
      <c r="BQ133" s="153"/>
      <c r="BR133" s="153"/>
      <c r="BS133" s="153"/>
      <c r="BT133" s="153"/>
      <c r="BU133" s="153"/>
      <c r="BV133" s="153"/>
      <c r="BW133" s="153"/>
      <c r="BX133" s="153"/>
      <c r="BY133" s="153"/>
      <c r="BZ133" s="153"/>
      <c r="CA133" s="153"/>
      <c r="CB133" s="153"/>
      <c r="CC133" s="153"/>
      <c r="CD133" s="153"/>
      <c r="CE133" s="153"/>
      <c r="CF133" s="153"/>
      <c r="CG133" s="153"/>
      <c r="CH133" s="153"/>
      <c r="CI133" s="153"/>
      <c r="CJ133" s="153"/>
      <c r="CK133" s="153"/>
      <c r="CL133" s="153"/>
      <c r="CM133" s="153"/>
      <c r="CN133" s="153"/>
      <c r="CO133" s="153"/>
      <c r="CP133" s="153"/>
      <c r="CQ133" s="153"/>
      <c r="CR133" s="153"/>
      <c r="CS133" s="153"/>
      <c r="CT133" s="153"/>
      <c r="CU133" s="153"/>
      <c r="CV133" s="153"/>
      <c r="CW133" s="153"/>
      <c r="CX133" s="153"/>
      <c r="CY133" s="153"/>
      <c r="CZ133" s="153"/>
      <c r="DA133" s="153"/>
      <c r="DB133" s="153"/>
      <c r="DC133" s="153"/>
      <c r="DD133" s="153"/>
      <c r="DE133" s="153"/>
      <c r="DF133" s="153"/>
      <c r="DG133" s="153"/>
      <c r="DH133" s="153"/>
      <c r="DI133" s="153"/>
      <c r="DJ133" s="153"/>
      <c r="DK133" s="153"/>
      <c r="DL133" s="153"/>
      <c r="DM133" s="153"/>
      <c r="DN133" s="153"/>
      <c r="DO133" s="153"/>
      <c r="DP133" s="153"/>
      <c r="DQ133" s="153"/>
      <c r="DR133" s="153"/>
      <c r="DS133" s="153"/>
      <c r="DT133" s="153"/>
      <c r="DU133" s="153"/>
      <c r="DV133" s="153"/>
      <c r="DW133" s="153"/>
      <c r="DX133" s="153"/>
      <c r="DY133" s="153"/>
      <c r="JG133" s="64" t="s">
        <v>23</v>
      </c>
      <c r="JH133" s="64">
        <v>0.5</v>
      </c>
      <c r="JI133" s="64">
        <v>0.5</v>
      </c>
      <c r="JJ133" s="64"/>
      <c r="JK133" s="64">
        <v>0.5</v>
      </c>
      <c r="JL133" s="64"/>
      <c r="JM133" s="64"/>
      <c r="JN133" s="64"/>
      <c r="JO133" s="64"/>
      <c r="JP133" s="64"/>
      <c r="JQ133" s="64"/>
      <c r="JR133" s="64"/>
      <c r="JS133" s="64"/>
      <c r="JT133" s="64"/>
      <c r="JU133" s="64"/>
      <c r="JV133" s="64"/>
      <c r="JW133" s="64"/>
      <c r="JX133" s="64"/>
    </row>
    <row r="134" spans="1:284" ht="14.1" customHeight="1" x14ac:dyDescent="0.2">
      <c r="A134" s="242"/>
      <c r="B134" s="242"/>
      <c r="C134" s="242"/>
      <c r="D134" s="428"/>
      <c r="E134" s="428"/>
      <c r="F134" s="428"/>
      <c r="G134" s="428"/>
      <c r="H134" s="428"/>
      <c r="I134" s="428"/>
      <c r="J134" s="428"/>
      <c r="K134" s="428"/>
      <c r="L134" s="428"/>
      <c r="M134" s="428"/>
      <c r="N134" s="428"/>
      <c r="O134" s="428"/>
      <c r="P134" s="242"/>
      <c r="Q134" s="242"/>
      <c r="R134" s="419"/>
      <c r="S134" s="419"/>
      <c r="T134" s="419"/>
      <c r="U134" s="419"/>
      <c r="V134" s="419"/>
      <c r="W134" s="419"/>
      <c r="X134" s="419"/>
      <c r="Y134" s="419"/>
      <c r="Z134" s="419"/>
      <c r="AA134" s="419"/>
      <c r="AB134" s="419"/>
      <c r="AC134" s="419"/>
      <c r="AD134" s="419"/>
      <c r="AE134" s="419"/>
      <c r="AF134" s="419"/>
      <c r="AG134" s="513"/>
      <c r="AH134" s="513"/>
      <c r="AI134" s="514"/>
      <c r="AJ134" s="268"/>
      <c r="AK134" s="319"/>
      <c r="AL134" s="319"/>
      <c r="AM134" s="242"/>
      <c r="AN134" s="242"/>
      <c r="AO134" s="242"/>
      <c r="AP134" s="516"/>
      <c r="AQ134" s="242"/>
      <c r="AR134" s="242"/>
      <c r="AS134" s="242"/>
      <c r="AT134" s="242"/>
      <c r="AU134" s="242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  <c r="BJ134" s="153"/>
      <c r="BK134" s="153"/>
      <c r="BL134" s="153"/>
      <c r="BM134" s="153"/>
      <c r="BN134" s="153"/>
      <c r="BO134" s="153"/>
      <c r="BP134" s="153"/>
      <c r="BQ134" s="153"/>
      <c r="BR134" s="153"/>
      <c r="BS134" s="153"/>
      <c r="BT134" s="153"/>
      <c r="BU134" s="153"/>
      <c r="BV134" s="153"/>
      <c r="BW134" s="153"/>
      <c r="BX134" s="153"/>
      <c r="BY134" s="153"/>
      <c r="BZ134" s="153"/>
      <c r="CA134" s="153"/>
      <c r="CB134" s="153"/>
      <c r="CC134" s="153"/>
      <c r="CD134" s="153"/>
      <c r="CE134" s="153"/>
      <c r="CF134" s="153"/>
      <c r="CG134" s="153"/>
      <c r="CH134" s="153"/>
      <c r="CI134" s="153"/>
      <c r="CJ134" s="153"/>
      <c r="CK134" s="153"/>
      <c r="CL134" s="153"/>
      <c r="CM134" s="153"/>
      <c r="CN134" s="153"/>
      <c r="CO134" s="153"/>
      <c r="CP134" s="153"/>
      <c r="CQ134" s="153"/>
      <c r="CR134" s="153"/>
      <c r="CS134" s="153"/>
      <c r="CT134" s="153"/>
      <c r="CU134" s="153"/>
      <c r="CV134" s="153"/>
      <c r="CW134" s="153"/>
      <c r="CX134" s="153"/>
      <c r="CY134" s="153"/>
      <c r="CZ134" s="153"/>
      <c r="DA134" s="153"/>
      <c r="DB134" s="153"/>
      <c r="DC134" s="153"/>
      <c r="DD134" s="153"/>
      <c r="DE134" s="153"/>
      <c r="DF134" s="153"/>
      <c r="DG134" s="153"/>
      <c r="DH134" s="153"/>
      <c r="DI134" s="153"/>
      <c r="DJ134" s="153"/>
      <c r="DK134" s="153"/>
      <c r="DL134" s="153"/>
      <c r="DM134" s="153"/>
      <c r="DN134" s="153"/>
      <c r="DO134" s="153"/>
      <c r="DP134" s="153"/>
      <c r="DQ134" s="153"/>
      <c r="DR134" s="153"/>
      <c r="DS134" s="153"/>
      <c r="DT134" s="153"/>
      <c r="DU134" s="153"/>
      <c r="DV134" s="153"/>
      <c r="DW134" s="153"/>
      <c r="DX134" s="153"/>
      <c r="DY134" s="153"/>
      <c r="JG134" s="64" t="s">
        <v>24</v>
      </c>
      <c r="JH134" s="64">
        <v>1.2</v>
      </c>
      <c r="JI134" s="64">
        <v>1.5</v>
      </c>
      <c r="JJ134" s="64"/>
      <c r="JK134" s="64">
        <v>1.4</v>
      </c>
      <c r="JL134" s="64"/>
      <c r="JM134" s="64"/>
      <c r="JN134" s="64"/>
      <c r="JO134" s="64"/>
      <c r="JP134" s="64"/>
      <c r="JQ134" s="64"/>
      <c r="JR134" s="64"/>
      <c r="JS134" s="64"/>
      <c r="JT134" s="64"/>
      <c r="JU134" s="64"/>
      <c r="JV134" s="64"/>
      <c r="JW134" s="64"/>
      <c r="JX134" s="64"/>
    </row>
    <row r="135" spans="1:284" ht="14.1" customHeight="1" x14ac:dyDescent="0.2">
      <c r="A135" s="242"/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161"/>
      <c r="S135" s="161"/>
      <c r="T135" s="161"/>
      <c r="U135" s="161"/>
      <c r="V135" s="429"/>
      <c r="W135" s="429"/>
      <c r="X135" s="429"/>
      <c r="Y135" s="429"/>
      <c r="Z135" s="512"/>
      <c r="AA135" s="512"/>
      <c r="AB135" s="512"/>
      <c r="AC135" s="512"/>
      <c r="AD135" s="429"/>
      <c r="AE135" s="429"/>
      <c r="AF135" s="429"/>
      <c r="AG135" s="513"/>
      <c r="AH135" s="513"/>
      <c r="AI135" s="514"/>
      <c r="AJ135" s="268"/>
      <c r="AK135" s="319"/>
      <c r="AL135" s="319"/>
      <c r="AM135" s="242"/>
      <c r="AN135" s="242"/>
      <c r="AO135" s="242"/>
      <c r="AP135" s="278"/>
      <c r="AQ135" s="242"/>
      <c r="AR135" s="242"/>
      <c r="AS135" s="242"/>
      <c r="AT135" s="242"/>
      <c r="AU135" s="242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  <c r="BJ135" s="153"/>
      <c r="BK135" s="153"/>
      <c r="BL135" s="153"/>
      <c r="BM135" s="153"/>
      <c r="BN135" s="153"/>
      <c r="BO135" s="153"/>
      <c r="BP135" s="153"/>
      <c r="BQ135" s="153"/>
      <c r="BR135" s="153"/>
      <c r="BS135" s="153"/>
      <c r="BT135" s="153"/>
      <c r="BU135" s="153"/>
      <c r="BV135" s="153"/>
      <c r="BW135" s="153"/>
      <c r="BX135" s="153"/>
      <c r="BY135" s="153"/>
      <c r="BZ135" s="153"/>
      <c r="CA135" s="153"/>
      <c r="CB135" s="153"/>
      <c r="CC135" s="153"/>
      <c r="CD135" s="153"/>
      <c r="CE135" s="153"/>
      <c r="CF135" s="153"/>
      <c r="CG135" s="153"/>
      <c r="CH135" s="153"/>
      <c r="CI135" s="153"/>
      <c r="CJ135" s="153"/>
      <c r="CK135" s="153"/>
      <c r="CL135" s="153"/>
      <c r="CM135" s="153"/>
      <c r="CN135" s="153"/>
      <c r="CO135" s="153"/>
      <c r="CP135" s="153"/>
      <c r="CQ135" s="153"/>
      <c r="CR135" s="153"/>
      <c r="CS135" s="153"/>
      <c r="CT135" s="153"/>
      <c r="CU135" s="153"/>
      <c r="CV135" s="153"/>
      <c r="CW135" s="153"/>
      <c r="CX135" s="153"/>
      <c r="CY135" s="153"/>
      <c r="CZ135" s="153"/>
      <c r="DA135" s="153"/>
      <c r="DB135" s="153"/>
      <c r="DC135" s="153"/>
      <c r="DD135" s="153"/>
      <c r="DE135" s="153"/>
      <c r="DF135" s="153"/>
      <c r="DG135" s="153"/>
      <c r="DH135" s="153"/>
      <c r="DI135" s="153"/>
      <c r="DJ135" s="153"/>
      <c r="DK135" s="153"/>
      <c r="DL135" s="153"/>
      <c r="DM135" s="153"/>
      <c r="DN135" s="153"/>
      <c r="DO135" s="153"/>
      <c r="DP135" s="153"/>
      <c r="DQ135" s="153"/>
      <c r="DR135" s="153"/>
      <c r="DS135" s="153"/>
      <c r="DT135" s="153"/>
      <c r="DU135" s="153"/>
      <c r="DV135" s="153"/>
      <c r="DW135" s="153"/>
      <c r="DX135" s="153"/>
      <c r="DY135" s="153"/>
      <c r="JG135" s="64" t="s">
        <v>213</v>
      </c>
      <c r="JH135" s="64"/>
      <c r="JI135" s="64"/>
      <c r="JJ135" s="64"/>
      <c r="JK135" s="64"/>
      <c r="JL135" s="64"/>
      <c r="JM135" s="64"/>
      <c r="JN135" s="64"/>
      <c r="JO135" s="64"/>
      <c r="JP135" s="64"/>
      <c r="JQ135" s="64"/>
      <c r="JR135" s="64"/>
      <c r="JS135" s="64"/>
      <c r="JT135" s="64"/>
      <c r="JU135" s="64"/>
      <c r="JV135" s="64"/>
      <c r="JW135" s="64"/>
      <c r="JX135" s="64"/>
    </row>
    <row r="136" spans="1:284" ht="14.1" customHeight="1" x14ac:dyDescent="0.2">
      <c r="A136" s="242"/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161"/>
      <c r="S136" s="161"/>
      <c r="T136" s="161"/>
      <c r="U136" s="161"/>
      <c r="V136" s="421"/>
      <c r="W136" s="421"/>
      <c r="X136" s="421"/>
      <c r="Y136" s="421"/>
      <c r="Z136" s="512"/>
      <c r="AA136" s="512"/>
      <c r="AB136" s="512"/>
      <c r="AC136" s="512"/>
      <c r="AD136" s="422"/>
      <c r="AE136" s="422"/>
      <c r="AF136" s="422"/>
      <c r="AG136" s="513"/>
      <c r="AH136" s="513"/>
      <c r="AI136" s="514"/>
      <c r="AJ136" s="268"/>
      <c r="AK136" s="319"/>
      <c r="AL136" s="319"/>
      <c r="AM136" s="242"/>
      <c r="AN136" s="242"/>
      <c r="AO136" s="242"/>
      <c r="AP136" s="278"/>
      <c r="AQ136" s="242"/>
      <c r="AR136" s="242"/>
      <c r="AS136" s="242"/>
      <c r="AT136" s="242"/>
      <c r="AU136" s="242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  <c r="BJ136" s="153"/>
      <c r="BK136" s="153"/>
      <c r="BL136" s="153"/>
      <c r="BM136" s="153"/>
      <c r="BN136" s="153"/>
      <c r="BO136" s="153"/>
      <c r="BP136" s="153"/>
      <c r="BQ136" s="153"/>
      <c r="BR136" s="153"/>
      <c r="BS136" s="153"/>
      <c r="BT136" s="153"/>
      <c r="BU136" s="153"/>
      <c r="BV136" s="153"/>
      <c r="BW136" s="153"/>
      <c r="BX136" s="153"/>
      <c r="BY136" s="153"/>
      <c r="BZ136" s="153"/>
      <c r="CA136" s="153"/>
      <c r="CB136" s="153"/>
      <c r="CC136" s="153"/>
      <c r="CD136" s="153"/>
      <c r="CE136" s="153"/>
      <c r="CF136" s="153"/>
      <c r="CG136" s="153"/>
      <c r="CH136" s="153"/>
      <c r="CI136" s="153"/>
      <c r="CJ136" s="153"/>
      <c r="CK136" s="153"/>
      <c r="CL136" s="153"/>
      <c r="CM136" s="153"/>
      <c r="CN136" s="153"/>
      <c r="CO136" s="153"/>
      <c r="CP136" s="153"/>
      <c r="CQ136" s="153"/>
      <c r="CR136" s="153"/>
      <c r="CS136" s="153"/>
      <c r="CT136" s="153"/>
      <c r="CU136" s="153"/>
      <c r="CV136" s="153"/>
      <c r="CW136" s="153"/>
      <c r="CX136" s="153"/>
      <c r="CY136" s="153"/>
      <c r="CZ136" s="153"/>
      <c r="DA136" s="153"/>
      <c r="DB136" s="153"/>
      <c r="DC136" s="153"/>
      <c r="DD136" s="153"/>
      <c r="DE136" s="153"/>
      <c r="DF136" s="153"/>
      <c r="DG136" s="153"/>
      <c r="DH136" s="153"/>
      <c r="DI136" s="153"/>
      <c r="DJ136" s="153"/>
      <c r="DK136" s="153"/>
      <c r="DL136" s="153"/>
      <c r="DM136" s="153"/>
      <c r="DN136" s="153"/>
      <c r="DO136" s="153"/>
      <c r="DP136" s="153"/>
      <c r="DQ136" s="153"/>
      <c r="DR136" s="153"/>
      <c r="DS136" s="153"/>
      <c r="DT136" s="153"/>
      <c r="DU136" s="153"/>
      <c r="DV136" s="153"/>
      <c r="DW136" s="153"/>
      <c r="DX136" s="153"/>
      <c r="DY136" s="153"/>
      <c r="JG136" s="64" t="s">
        <v>23</v>
      </c>
      <c r="JH136" s="99">
        <v>0.5</v>
      </c>
      <c r="JI136" s="99">
        <v>0.5</v>
      </c>
      <c r="JJ136" s="99"/>
      <c r="JK136" s="64">
        <v>0.5</v>
      </c>
      <c r="JL136" s="99"/>
      <c r="JM136" s="99">
        <v>0.45</v>
      </c>
      <c r="JN136" s="99">
        <v>0.55000000000000004</v>
      </c>
      <c r="JO136" s="64"/>
      <c r="JP136" s="99"/>
      <c r="JQ136" s="99">
        <f>JM136</f>
        <v>0.45</v>
      </c>
      <c r="JR136" s="99">
        <f>JN136</f>
        <v>0.55000000000000004</v>
      </c>
      <c r="JS136" s="64"/>
      <c r="JT136" s="99"/>
      <c r="JU136" s="99"/>
      <c r="JV136" s="99"/>
      <c r="JW136" s="64"/>
      <c r="JX136" s="99"/>
    </row>
    <row r="137" spans="1:284" ht="14.1" customHeight="1" x14ac:dyDescent="0.2">
      <c r="A137" s="242"/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14"/>
      <c r="P137" s="242"/>
      <c r="Q137" s="242"/>
      <c r="R137" s="161"/>
      <c r="S137" s="161"/>
      <c r="T137" s="161"/>
      <c r="U137" s="161"/>
      <c r="V137" s="425"/>
      <c r="W137" s="425"/>
      <c r="X137" s="425"/>
      <c r="Y137" s="425"/>
      <c r="Z137" s="512"/>
      <c r="AA137" s="512"/>
      <c r="AB137" s="512"/>
      <c r="AC137" s="512"/>
      <c r="AD137" s="264"/>
      <c r="AE137" s="264"/>
      <c r="AF137" s="264"/>
      <c r="AG137" s="242"/>
      <c r="AH137" s="242"/>
      <c r="AI137" s="514"/>
      <c r="AJ137" s="268"/>
      <c r="AK137" s="319"/>
      <c r="AL137" s="319"/>
      <c r="AM137" s="242"/>
      <c r="AN137" s="242"/>
      <c r="AO137" s="242"/>
      <c r="AP137" s="278"/>
      <c r="AQ137" s="242"/>
      <c r="AR137" s="242"/>
      <c r="AS137" s="242"/>
      <c r="AT137" s="242"/>
      <c r="AU137" s="242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  <c r="BJ137" s="153"/>
      <c r="BK137" s="153"/>
      <c r="BL137" s="153"/>
      <c r="BM137" s="153"/>
      <c r="BN137" s="153"/>
      <c r="BO137" s="153"/>
      <c r="BP137" s="153"/>
      <c r="BQ137" s="153"/>
      <c r="BR137" s="153"/>
      <c r="BS137" s="153"/>
      <c r="BT137" s="153"/>
      <c r="BU137" s="153"/>
      <c r="BV137" s="153"/>
      <c r="BW137" s="153"/>
      <c r="BX137" s="153"/>
      <c r="BY137" s="153"/>
      <c r="BZ137" s="153"/>
      <c r="CA137" s="153"/>
      <c r="CB137" s="153"/>
      <c r="CC137" s="153"/>
      <c r="CD137" s="153"/>
      <c r="CE137" s="153"/>
      <c r="CF137" s="153"/>
      <c r="CG137" s="153"/>
      <c r="CH137" s="153"/>
      <c r="CI137" s="153"/>
      <c r="CJ137" s="153"/>
      <c r="CK137" s="153"/>
      <c r="CL137" s="153"/>
      <c r="CM137" s="153"/>
      <c r="CN137" s="153"/>
      <c r="CO137" s="153"/>
      <c r="CP137" s="153"/>
      <c r="CQ137" s="153"/>
      <c r="CR137" s="153"/>
      <c r="CS137" s="153"/>
      <c r="CT137" s="153"/>
      <c r="CU137" s="153"/>
      <c r="CV137" s="153"/>
      <c r="CW137" s="153"/>
      <c r="CX137" s="153"/>
      <c r="CY137" s="153"/>
      <c r="CZ137" s="153"/>
      <c r="DA137" s="153"/>
      <c r="DB137" s="153"/>
      <c r="DC137" s="153"/>
      <c r="DD137" s="153"/>
      <c r="DE137" s="153"/>
      <c r="DF137" s="153"/>
      <c r="DG137" s="153"/>
      <c r="DH137" s="153"/>
      <c r="DI137" s="153"/>
      <c r="DJ137" s="153"/>
      <c r="DK137" s="153"/>
      <c r="DL137" s="153"/>
      <c r="DM137" s="153"/>
      <c r="DN137" s="153"/>
      <c r="DO137" s="153"/>
      <c r="DP137" s="153"/>
      <c r="DQ137" s="153"/>
      <c r="DR137" s="153"/>
      <c r="DS137" s="153"/>
      <c r="DT137" s="153"/>
      <c r="DU137" s="153"/>
      <c r="DV137" s="153"/>
      <c r="DW137" s="153"/>
      <c r="DX137" s="153"/>
      <c r="DY137" s="153"/>
      <c r="JG137" s="64" t="s">
        <v>24</v>
      </c>
      <c r="JH137" s="99">
        <v>0</v>
      </c>
      <c r="JI137" s="99">
        <v>0.3</v>
      </c>
      <c r="JJ137" s="99"/>
      <c r="JK137" s="99">
        <v>0.1</v>
      </c>
      <c r="JL137" s="99"/>
      <c r="JM137" s="99">
        <v>0.3</v>
      </c>
      <c r="JN137" s="99">
        <v>0.3</v>
      </c>
      <c r="JO137" s="99"/>
      <c r="JP137" s="99"/>
      <c r="JQ137" s="99">
        <v>1.2</v>
      </c>
      <c r="JR137" s="99">
        <v>1.2</v>
      </c>
      <c r="JS137" s="99"/>
      <c r="JT137" s="99"/>
      <c r="JU137" s="99"/>
      <c r="JV137" s="99"/>
      <c r="JW137" s="99"/>
      <c r="JX137" s="99"/>
    </row>
    <row r="138" spans="1:284" ht="14.1" customHeight="1" x14ac:dyDescent="0.2">
      <c r="A138" s="242"/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430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  <c r="AC138" s="242"/>
      <c r="AD138" s="242"/>
      <c r="AE138" s="242"/>
      <c r="AF138" s="242"/>
      <c r="AG138" s="242"/>
      <c r="AH138" s="242"/>
      <c r="AI138" s="514"/>
      <c r="AJ138" s="268"/>
      <c r="AK138" s="319"/>
      <c r="AL138" s="319"/>
      <c r="AM138" s="242"/>
      <c r="AN138" s="242"/>
      <c r="AO138" s="242"/>
      <c r="AP138" s="515"/>
      <c r="AQ138" s="242"/>
      <c r="AR138" s="242"/>
      <c r="AS138" s="242"/>
      <c r="AT138" s="242"/>
      <c r="AU138" s="242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  <c r="BJ138" s="153"/>
      <c r="BK138" s="153"/>
      <c r="BL138" s="153"/>
      <c r="BM138" s="153"/>
      <c r="BN138" s="153"/>
      <c r="BO138" s="153"/>
      <c r="BP138" s="153"/>
      <c r="BQ138" s="153"/>
      <c r="BR138" s="153"/>
      <c r="BS138" s="153"/>
      <c r="BT138" s="153"/>
      <c r="BU138" s="153"/>
      <c r="BV138" s="153"/>
      <c r="BW138" s="153"/>
      <c r="BX138" s="153"/>
      <c r="BY138" s="153"/>
      <c r="BZ138" s="153"/>
      <c r="CA138" s="153"/>
      <c r="CB138" s="153"/>
      <c r="CC138" s="153"/>
      <c r="CD138" s="153"/>
      <c r="CE138" s="153"/>
      <c r="CF138" s="153"/>
      <c r="CG138" s="153"/>
      <c r="CH138" s="153"/>
      <c r="CI138" s="153"/>
      <c r="CJ138" s="153"/>
      <c r="CK138" s="153"/>
      <c r="CL138" s="153"/>
      <c r="CM138" s="153"/>
      <c r="CN138" s="153"/>
      <c r="CO138" s="153"/>
      <c r="CP138" s="153"/>
      <c r="CQ138" s="153"/>
      <c r="CR138" s="153"/>
      <c r="CS138" s="153"/>
      <c r="CT138" s="153"/>
      <c r="CU138" s="153"/>
      <c r="CV138" s="153"/>
      <c r="CW138" s="153"/>
      <c r="CX138" s="153"/>
      <c r="CY138" s="153"/>
      <c r="CZ138" s="153"/>
      <c r="DA138" s="153"/>
      <c r="DB138" s="153"/>
      <c r="DC138" s="153"/>
      <c r="DD138" s="153"/>
      <c r="DE138" s="153"/>
      <c r="DF138" s="153"/>
      <c r="DG138" s="153"/>
      <c r="DH138" s="153"/>
      <c r="DI138" s="153"/>
      <c r="DJ138" s="153"/>
      <c r="DK138" s="153"/>
      <c r="DL138" s="153"/>
      <c r="DM138" s="153"/>
      <c r="DN138" s="153"/>
      <c r="DO138" s="153"/>
      <c r="DP138" s="153"/>
      <c r="DQ138" s="153"/>
      <c r="DR138" s="153"/>
      <c r="DS138" s="153"/>
      <c r="DT138" s="153"/>
      <c r="DU138" s="153"/>
      <c r="DV138" s="153"/>
      <c r="DW138" s="153"/>
      <c r="DX138" s="153"/>
      <c r="DY138" s="153"/>
      <c r="JG138" s="64" t="s">
        <v>214</v>
      </c>
      <c r="JH138" s="64"/>
      <c r="JI138" s="64"/>
      <c r="JJ138" s="64"/>
      <c r="JK138" s="64"/>
      <c r="JL138" s="64"/>
      <c r="JM138" s="64"/>
      <c r="JN138" s="64"/>
      <c r="JO138" s="64"/>
      <c r="JP138" s="64"/>
      <c r="JQ138" s="64" t="s">
        <v>230</v>
      </c>
      <c r="JR138" s="64"/>
      <c r="JS138" s="64"/>
      <c r="JT138" s="64"/>
      <c r="JU138" s="64"/>
      <c r="JV138" s="64"/>
      <c r="JW138" s="64"/>
      <c r="JX138" s="64"/>
    </row>
    <row r="139" spans="1:284" ht="14.1" customHeight="1" x14ac:dyDescent="0.2">
      <c r="A139" s="242"/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430"/>
      <c r="Q139" s="242"/>
      <c r="R139" s="242"/>
      <c r="S139" s="242"/>
      <c r="T139" s="242"/>
      <c r="U139" s="242"/>
      <c r="V139" s="242"/>
      <c r="W139" s="242"/>
      <c r="X139" s="242"/>
      <c r="Y139" s="242"/>
      <c r="Z139" s="242"/>
      <c r="AA139" s="242"/>
      <c r="AB139" s="242"/>
      <c r="AC139" s="242"/>
      <c r="AD139" s="242"/>
      <c r="AE139" s="242"/>
      <c r="AF139" s="242"/>
      <c r="AG139" s="242"/>
      <c r="AH139" s="242"/>
      <c r="AI139" s="513"/>
      <c r="AJ139" s="242"/>
      <c r="AK139" s="319"/>
      <c r="AL139" s="319"/>
      <c r="AM139" s="242"/>
      <c r="AN139" s="242"/>
      <c r="AO139" s="242"/>
      <c r="AP139" s="515"/>
      <c r="AQ139" s="242"/>
      <c r="AR139" s="242"/>
      <c r="AS139" s="242"/>
      <c r="AT139" s="242"/>
      <c r="AU139" s="242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  <c r="BI139" s="153"/>
      <c r="BJ139" s="153"/>
      <c r="BK139" s="153"/>
      <c r="BL139" s="153"/>
      <c r="BM139" s="153"/>
      <c r="BN139" s="153"/>
      <c r="BO139" s="153"/>
      <c r="BP139" s="153"/>
      <c r="BQ139" s="153"/>
      <c r="BR139" s="153"/>
      <c r="BS139" s="153"/>
      <c r="BT139" s="153"/>
      <c r="BU139" s="153"/>
      <c r="BV139" s="153"/>
      <c r="BW139" s="153"/>
      <c r="BX139" s="153"/>
      <c r="BY139" s="153"/>
      <c r="BZ139" s="153"/>
      <c r="CA139" s="153"/>
      <c r="CB139" s="153"/>
      <c r="CC139" s="153"/>
      <c r="CD139" s="153"/>
      <c r="CE139" s="153"/>
      <c r="CF139" s="153"/>
      <c r="CG139" s="153"/>
      <c r="CH139" s="153"/>
      <c r="CI139" s="153"/>
      <c r="CJ139" s="153"/>
      <c r="CK139" s="153"/>
      <c r="CL139" s="153"/>
      <c r="CM139" s="153"/>
      <c r="CN139" s="153"/>
      <c r="CO139" s="153"/>
      <c r="CP139" s="153"/>
      <c r="CQ139" s="153"/>
      <c r="CR139" s="153"/>
      <c r="CS139" s="153"/>
      <c r="CT139" s="153"/>
      <c r="CU139" s="153"/>
      <c r="CV139" s="153"/>
      <c r="CW139" s="153"/>
      <c r="CX139" s="153"/>
      <c r="CY139" s="153"/>
      <c r="CZ139" s="153"/>
      <c r="DA139" s="153"/>
      <c r="DB139" s="153"/>
      <c r="DC139" s="153"/>
      <c r="DD139" s="153"/>
      <c r="DE139" s="153"/>
      <c r="DF139" s="153"/>
      <c r="DG139" s="153"/>
      <c r="DH139" s="153"/>
      <c r="DI139" s="153"/>
      <c r="DJ139" s="153"/>
      <c r="DK139" s="153"/>
      <c r="DL139" s="153"/>
      <c r="DM139" s="153"/>
      <c r="DN139" s="153"/>
      <c r="DO139" s="153"/>
      <c r="DP139" s="153"/>
      <c r="DQ139" s="153"/>
      <c r="DR139" s="153"/>
      <c r="DS139" s="153"/>
      <c r="DT139" s="153"/>
      <c r="DU139" s="153"/>
      <c r="DV139" s="153"/>
      <c r="DW139" s="153"/>
      <c r="DX139" s="153"/>
      <c r="DY139" s="153"/>
      <c r="JG139" s="64" t="s">
        <v>23</v>
      </c>
      <c r="JH139" s="64">
        <v>-0.4</v>
      </c>
      <c r="JI139" s="64">
        <v>-0.4</v>
      </c>
      <c r="JJ139" s="64"/>
      <c r="JK139" s="64">
        <v>-0.45</v>
      </c>
      <c r="JL139" s="64">
        <v>-0.35</v>
      </c>
      <c r="JM139" s="64"/>
      <c r="JN139" s="64">
        <f>JK139</f>
        <v>-0.45</v>
      </c>
      <c r="JO139" s="64">
        <f>JL139</f>
        <v>-0.35</v>
      </c>
      <c r="JP139" s="64"/>
      <c r="JQ139" s="64">
        <f>JH139</f>
        <v>-0.4</v>
      </c>
      <c r="JR139" s="64">
        <f>JH139</f>
        <v>-0.4</v>
      </c>
      <c r="JS139" s="64"/>
      <c r="JT139" s="64">
        <f>JN139</f>
        <v>-0.45</v>
      </c>
      <c r="JU139" s="64">
        <f>JO139</f>
        <v>-0.35</v>
      </c>
      <c r="JV139" s="64"/>
      <c r="JW139" s="64">
        <f>JH139</f>
        <v>-0.4</v>
      </c>
      <c r="JX139" s="64"/>
    </row>
    <row r="140" spans="1:284" ht="14.1" customHeight="1" x14ac:dyDescent="0.2">
      <c r="A140" s="242"/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  <c r="X140" s="242"/>
      <c r="Y140" s="242"/>
      <c r="Z140" s="242"/>
      <c r="AA140" s="242"/>
      <c r="AB140" s="242"/>
      <c r="AC140" s="242"/>
      <c r="AD140" s="242"/>
      <c r="AE140" s="242"/>
      <c r="AF140" s="242"/>
      <c r="AG140" s="242"/>
      <c r="AH140" s="242"/>
      <c r="AI140" s="513"/>
      <c r="AJ140" s="242"/>
      <c r="AK140" s="319"/>
      <c r="AL140" s="319"/>
      <c r="AM140" s="242"/>
      <c r="AN140" s="242"/>
      <c r="AO140" s="242"/>
      <c r="AP140" s="516"/>
      <c r="AQ140" s="242"/>
      <c r="AR140" s="242"/>
      <c r="AS140" s="242"/>
      <c r="AT140" s="242"/>
      <c r="AU140" s="242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  <c r="BJ140" s="153"/>
      <c r="BK140" s="153"/>
      <c r="BL140" s="153"/>
      <c r="BM140" s="153"/>
      <c r="BN140" s="153"/>
      <c r="BO140" s="153"/>
      <c r="BP140" s="153"/>
      <c r="BQ140" s="153"/>
      <c r="BR140" s="153"/>
      <c r="BS140" s="153"/>
      <c r="BT140" s="153"/>
      <c r="BU140" s="153"/>
      <c r="BV140" s="153"/>
      <c r="BW140" s="153"/>
      <c r="BX140" s="153"/>
      <c r="BY140" s="153"/>
      <c r="BZ140" s="153"/>
      <c r="CA140" s="153"/>
      <c r="CB140" s="153"/>
      <c r="CC140" s="153"/>
      <c r="CD140" s="153"/>
      <c r="CE140" s="153"/>
      <c r="CF140" s="153"/>
      <c r="CG140" s="153"/>
      <c r="CH140" s="153"/>
      <c r="CI140" s="153"/>
      <c r="CJ140" s="153"/>
      <c r="CK140" s="153"/>
      <c r="CL140" s="153"/>
      <c r="CM140" s="153"/>
      <c r="CN140" s="153"/>
      <c r="CO140" s="153"/>
      <c r="CP140" s="153"/>
      <c r="CQ140" s="153"/>
      <c r="CR140" s="153"/>
      <c r="CS140" s="153"/>
      <c r="CT140" s="153"/>
      <c r="CU140" s="153"/>
      <c r="CV140" s="153"/>
      <c r="CW140" s="153"/>
      <c r="CX140" s="153"/>
      <c r="CY140" s="153"/>
      <c r="CZ140" s="153"/>
      <c r="DA140" s="153"/>
      <c r="DB140" s="153"/>
      <c r="DC140" s="153"/>
      <c r="DD140" s="153"/>
      <c r="DE140" s="153"/>
      <c r="DF140" s="153"/>
      <c r="DG140" s="153"/>
      <c r="DH140" s="153"/>
      <c r="DI140" s="153"/>
      <c r="DJ140" s="153"/>
      <c r="DK140" s="153"/>
      <c r="DL140" s="153"/>
      <c r="DM140" s="153"/>
      <c r="DN140" s="153"/>
      <c r="DO140" s="153"/>
      <c r="DP140" s="153"/>
      <c r="DQ140" s="153"/>
      <c r="DR140" s="153"/>
      <c r="DS140" s="153"/>
      <c r="DT140" s="153"/>
      <c r="DU140" s="153"/>
      <c r="DV140" s="153"/>
      <c r="DW140" s="153"/>
      <c r="DX140" s="153"/>
      <c r="DY140" s="153"/>
      <c r="JG140" s="64" t="s">
        <v>24</v>
      </c>
      <c r="JH140" s="64">
        <v>-0.05</v>
      </c>
      <c r="JI140" s="64">
        <v>0.3</v>
      </c>
      <c r="JJ140" s="64"/>
      <c r="JK140" s="64">
        <v>-0.1</v>
      </c>
      <c r="JL140" s="64">
        <v>-0.1</v>
      </c>
      <c r="JM140" s="64"/>
      <c r="JN140" s="64">
        <v>0.3</v>
      </c>
      <c r="JO140" s="64">
        <v>0.3</v>
      </c>
      <c r="JP140" s="64"/>
      <c r="JQ140" s="64">
        <v>-0.1</v>
      </c>
      <c r="JR140" s="64">
        <v>1.05</v>
      </c>
      <c r="JS140" s="64"/>
      <c r="JT140" s="64">
        <v>1.05</v>
      </c>
      <c r="JU140" s="64">
        <f>JT140</f>
        <v>1.05</v>
      </c>
      <c r="JV140" s="64"/>
      <c r="JW140" s="64">
        <v>0.5</v>
      </c>
      <c r="JX140" s="64"/>
    </row>
    <row r="141" spans="1:284" ht="14.1" customHeight="1" x14ac:dyDescent="0.2">
      <c r="A141" s="242"/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  <c r="X141" s="242"/>
      <c r="Y141" s="242"/>
      <c r="Z141" s="242"/>
      <c r="AA141" s="242"/>
      <c r="AB141" s="242"/>
      <c r="AC141" s="242"/>
      <c r="AD141" s="242"/>
      <c r="AE141" s="242"/>
      <c r="AF141" s="242"/>
      <c r="AG141" s="242"/>
      <c r="AH141" s="242"/>
      <c r="AI141" s="242"/>
      <c r="AJ141" s="242"/>
      <c r="AK141" s="319"/>
      <c r="AL141" s="319"/>
      <c r="AM141" s="242"/>
      <c r="AN141" s="242"/>
      <c r="AO141" s="242"/>
      <c r="AP141" s="516"/>
      <c r="AQ141" s="242"/>
      <c r="AR141" s="242"/>
      <c r="AS141" s="242"/>
      <c r="AT141" s="242"/>
      <c r="AU141" s="242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  <c r="BJ141" s="153"/>
      <c r="BK141" s="153"/>
      <c r="BL141" s="153"/>
      <c r="BM141" s="153"/>
      <c r="BN141" s="153"/>
      <c r="BO141" s="153"/>
      <c r="BP141" s="153"/>
      <c r="BQ141" s="153"/>
      <c r="BR141" s="153"/>
      <c r="BS141" s="153"/>
      <c r="BT141" s="153"/>
      <c r="BU141" s="153"/>
      <c r="BV141" s="153"/>
      <c r="BW141" s="153"/>
      <c r="BX141" s="153"/>
      <c r="BY141" s="153"/>
      <c r="BZ141" s="153"/>
      <c r="CA141" s="153"/>
      <c r="CB141" s="153"/>
      <c r="CC141" s="153"/>
      <c r="CD141" s="153"/>
      <c r="CE141" s="153"/>
      <c r="CF141" s="153"/>
      <c r="CG141" s="153"/>
      <c r="CH141" s="153"/>
      <c r="CI141" s="153"/>
      <c r="CJ141" s="153"/>
      <c r="CK141" s="153"/>
      <c r="CL141" s="153"/>
      <c r="CM141" s="153"/>
      <c r="CN141" s="153"/>
      <c r="CO141" s="153"/>
      <c r="CP141" s="153"/>
      <c r="CQ141" s="153"/>
      <c r="CR141" s="153"/>
      <c r="CS141" s="153"/>
      <c r="CT141" s="153"/>
      <c r="CU141" s="153"/>
      <c r="CV141" s="153"/>
      <c r="CW141" s="153"/>
      <c r="CX141" s="153"/>
      <c r="CY141" s="153"/>
      <c r="CZ141" s="153"/>
      <c r="DA141" s="153"/>
      <c r="DB141" s="153"/>
      <c r="DC141" s="153"/>
      <c r="DD141" s="153"/>
      <c r="DE141" s="153"/>
      <c r="DF141" s="153"/>
      <c r="DG141" s="153"/>
      <c r="DH141" s="153"/>
      <c r="DI141" s="153"/>
      <c r="DJ141" s="153"/>
      <c r="DK141" s="153"/>
      <c r="DL141" s="153"/>
      <c r="DM141" s="153"/>
      <c r="DN141" s="153"/>
      <c r="DO141" s="153"/>
      <c r="DP141" s="153"/>
      <c r="DQ141" s="153"/>
      <c r="DR141" s="153"/>
      <c r="DS141" s="153"/>
      <c r="DT141" s="153"/>
      <c r="DU141" s="153"/>
      <c r="DV141" s="153"/>
      <c r="DW141" s="153"/>
      <c r="DX141" s="153"/>
      <c r="DY141" s="153"/>
      <c r="JG141" s="64" t="s">
        <v>215</v>
      </c>
      <c r="JH141" s="64"/>
      <c r="JI141" s="64"/>
      <c r="JJ141" s="64"/>
      <c r="JK141" s="64"/>
      <c r="JL141" s="64"/>
      <c r="JM141" s="64"/>
      <c r="JN141" s="64"/>
      <c r="JO141" s="64"/>
      <c r="JP141" s="64"/>
      <c r="JQ141" s="64"/>
      <c r="JR141" s="64"/>
      <c r="JS141" s="64"/>
      <c r="JT141" s="64"/>
      <c r="JU141" s="64"/>
      <c r="JV141" s="64"/>
      <c r="JW141" s="64"/>
      <c r="JX141" s="64"/>
    </row>
    <row r="142" spans="1:284" ht="14.1" customHeight="1" x14ac:dyDescent="0.2">
      <c r="A142" s="242"/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  <c r="X142" s="242"/>
      <c r="Y142" s="242"/>
      <c r="Z142" s="242"/>
      <c r="AA142" s="242"/>
      <c r="AB142" s="242"/>
      <c r="AC142" s="242"/>
      <c r="AD142" s="242"/>
      <c r="AE142" s="242"/>
      <c r="AF142" s="242"/>
      <c r="AG142" s="242"/>
      <c r="AH142" s="242"/>
      <c r="AI142" s="242"/>
      <c r="AJ142" s="242"/>
      <c r="AK142" s="319"/>
      <c r="AL142" s="319"/>
      <c r="AM142" s="242"/>
      <c r="AN142" s="242"/>
      <c r="AO142" s="242"/>
      <c r="AP142" s="516"/>
      <c r="AQ142" s="242"/>
      <c r="AR142" s="242"/>
      <c r="AS142" s="242"/>
      <c r="AT142" s="242"/>
      <c r="AU142" s="242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  <c r="BJ142" s="153"/>
      <c r="BK142" s="153"/>
      <c r="BL142" s="153"/>
      <c r="BM142" s="153"/>
      <c r="BN142" s="153"/>
      <c r="BO142" s="153"/>
      <c r="BP142" s="153"/>
      <c r="BQ142" s="153"/>
      <c r="BR142" s="153"/>
      <c r="BS142" s="153"/>
      <c r="BT142" s="153"/>
      <c r="BU142" s="153"/>
      <c r="BV142" s="153"/>
      <c r="BW142" s="153"/>
      <c r="BX142" s="153"/>
      <c r="BY142" s="153"/>
      <c r="BZ142" s="153"/>
      <c r="CA142" s="153"/>
      <c r="CB142" s="153"/>
      <c r="CC142" s="153"/>
      <c r="CD142" s="153"/>
      <c r="CE142" s="153"/>
      <c r="CF142" s="153"/>
      <c r="CG142" s="153"/>
      <c r="CH142" s="153"/>
      <c r="CI142" s="153"/>
      <c r="CJ142" s="153"/>
      <c r="CK142" s="153"/>
      <c r="CL142" s="153"/>
      <c r="CM142" s="153"/>
      <c r="CN142" s="153"/>
      <c r="CO142" s="153"/>
      <c r="CP142" s="153"/>
      <c r="CQ142" s="153"/>
      <c r="CR142" s="153"/>
      <c r="CS142" s="153"/>
      <c r="CT142" s="153"/>
      <c r="CU142" s="153"/>
      <c r="CV142" s="153"/>
      <c r="CW142" s="153"/>
      <c r="CX142" s="153"/>
      <c r="CY142" s="153"/>
      <c r="CZ142" s="153"/>
      <c r="DA142" s="153"/>
      <c r="DB142" s="153"/>
      <c r="DC142" s="153"/>
      <c r="DD142" s="153"/>
      <c r="DE142" s="153"/>
      <c r="DF142" s="153"/>
      <c r="DG142" s="153"/>
      <c r="DH142" s="153"/>
      <c r="DI142" s="153"/>
      <c r="DJ142" s="153"/>
      <c r="DK142" s="153"/>
      <c r="DL142" s="153"/>
      <c r="DM142" s="153"/>
      <c r="DN142" s="153"/>
      <c r="DO142" s="153"/>
      <c r="DP142" s="153"/>
      <c r="DQ142" s="153"/>
      <c r="DR142" s="153"/>
      <c r="DS142" s="153"/>
      <c r="DT142" s="153"/>
      <c r="DU142" s="153"/>
      <c r="DV142" s="153"/>
      <c r="DW142" s="153"/>
      <c r="DX142" s="153"/>
      <c r="DY142" s="153"/>
      <c r="JG142" s="64" t="s">
        <v>23</v>
      </c>
      <c r="JH142" s="64">
        <f>JH139</f>
        <v>-0.4</v>
      </c>
      <c r="JI142" s="64">
        <f>JI139</f>
        <v>-0.4</v>
      </c>
      <c r="JJ142" s="64"/>
      <c r="JK142" s="64">
        <f>JK139</f>
        <v>-0.45</v>
      </c>
      <c r="JL142" s="64">
        <f>JL139</f>
        <v>-0.35</v>
      </c>
      <c r="JM142" s="64"/>
      <c r="JN142" s="64">
        <f>JK142</f>
        <v>-0.45</v>
      </c>
      <c r="JO142" s="64">
        <f>JL142</f>
        <v>-0.35</v>
      </c>
      <c r="JP142" s="64"/>
      <c r="JQ142" s="64"/>
      <c r="JR142" s="64"/>
      <c r="JS142" s="64"/>
      <c r="JT142" s="64"/>
      <c r="JU142" s="64"/>
      <c r="JV142" s="64"/>
      <c r="JW142" s="64"/>
      <c r="JX142" s="64"/>
    </row>
    <row r="143" spans="1:284" ht="14.1" customHeight="1" x14ac:dyDescent="0.2">
      <c r="A143" s="242"/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  <c r="X143" s="242"/>
      <c r="Y143" s="242"/>
      <c r="Z143" s="242"/>
      <c r="AA143" s="242"/>
      <c r="AB143" s="242"/>
      <c r="AC143" s="242"/>
      <c r="AD143" s="242"/>
      <c r="AE143" s="242"/>
      <c r="AF143" s="242"/>
      <c r="AG143" s="242"/>
      <c r="AH143" s="242"/>
      <c r="AI143" s="242"/>
      <c r="AJ143" s="242"/>
      <c r="AK143" s="319"/>
      <c r="AL143" s="319"/>
      <c r="AM143" s="242"/>
      <c r="AN143" s="242"/>
      <c r="AO143" s="242"/>
      <c r="AP143" s="242"/>
      <c r="AQ143" s="242"/>
      <c r="AR143" s="242"/>
      <c r="AS143" s="242"/>
      <c r="AT143" s="242"/>
      <c r="AU143" s="242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  <c r="BJ143" s="153"/>
      <c r="BK143" s="153"/>
      <c r="BL143" s="153"/>
      <c r="BM143" s="153"/>
      <c r="BN143" s="153"/>
      <c r="BO143" s="153"/>
      <c r="BP143" s="153"/>
      <c r="BQ143" s="153"/>
      <c r="BR143" s="153"/>
      <c r="BS143" s="153"/>
      <c r="BT143" s="153"/>
      <c r="BU143" s="153"/>
      <c r="BV143" s="153"/>
      <c r="BW143" s="153"/>
      <c r="BX143" s="153"/>
      <c r="BY143" s="153"/>
      <c r="BZ143" s="153"/>
      <c r="CA143" s="153"/>
      <c r="CB143" s="153"/>
      <c r="CC143" s="153"/>
      <c r="CD143" s="153"/>
      <c r="CE143" s="153"/>
      <c r="CF143" s="153"/>
      <c r="CG143" s="153"/>
      <c r="CH143" s="153"/>
      <c r="CI143" s="153"/>
      <c r="CJ143" s="153"/>
      <c r="CK143" s="153"/>
      <c r="CL143" s="153"/>
      <c r="CM143" s="153"/>
      <c r="CN143" s="153"/>
      <c r="CO143" s="153"/>
      <c r="CP143" s="153"/>
      <c r="CQ143" s="153"/>
      <c r="CR143" s="153"/>
      <c r="CS143" s="153"/>
      <c r="CT143" s="153"/>
      <c r="CU143" s="153"/>
      <c r="CV143" s="153"/>
      <c r="CW143" s="153"/>
      <c r="CX143" s="153"/>
      <c r="CY143" s="153"/>
      <c r="CZ143" s="153"/>
      <c r="DA143" s="153"/>
      <c r="DB143" s="153"/>
      <c r="DC143" s="153"/>
      <c r="DD143" s="153"/>
      <c r="DE143" s="153"/>
      <c r="DF143" s="153"/>
      <c r="DG143" s="153"/>
      <c r="DH143" s="153"/>
      <c r="DI143" s="153"/>
      <c r="DJ143" s="153"/>
      <c r="DK143" s="153"/>
      <c r="DL143" s="153"/>
      <c r="DM143" s="153"/>
      <c r="DN143" s="153"/>
      <c r="DO143" s="153"/>
      <c r="DP143" s="153"/>
      <c r="DQ143" s="153"/>
      <c r="DR143" s="153"/>
      <c r="DS143" s="153"/>
      <c r="DT143" s="153"/>
      <c r="DU143" s="153"/>
      <c r="DV143" s="153"/>
      <c r="DW143" s="153"/>
      <c r="DX143" s="153"/>
      <c r="DY143" s="153"/>
      <c r="JG143" s="64" t="s">
        <v>24</v>
      </c>
      <c r="JH143" s="64">
        <v>1.2</v>
      </c>
      <c r="JI143" s="64">
        <v>1.55</v>
      </c>
      <c r="JJ143" s="64"/>
      <c r="JK143" s="64">
        <v>1.2</v>
      </c>
      <c r="JL143" s="64">
        <v>1.2</v>
      </c>
      <c r="JM143" s="64"/>
      <c r="JN143" s="64">
        <v>1.55</v>
      </c>
      <c r="JO143" s="64">
        <v>1.55</v>
      </c>
      <c r="JP143" s="64"/>
      <c r="JQ143" s="64"/>
      <c r="JR143" s="64"/>
      <c r="JS143" s="64"/>
      <c r="JT143" s="64"/>
      <c r="JU143" s="64"/>
      <c r="JV143" s="64"/>
      <c r="JW143" s="64"/>
      <c r="JX143" s="64"/>
    </row>
    <row r="144" spans="1:284" ht="14.1" customHeight="1" x14ac:dyDescent="0.2">
      <c r="A144" s="242"/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68"/>
      <c r="S144" s="268"/>
      <c r="T144" s="268"/>
      <c r="U144" s="268"/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/>
      <c r="AF144" s="161"/>
      <c r="AG144" s="242"/>
      <c r="AH144" s="242"/>
      <c r="AI144" s="242"/>
      <c r="AJ144" s="242"/>
      <c r="AK144" s="319"/>
      <c r="AL144" s="319"/>
      <c r="AM144" s="242"/>
      <c r="AN144" s="242"/>
      <c r="AO144" s="242"/>
      <c r="AP144" s="242"/>
      <c r="AQ144" s="242"/>
      <c r="AR144" s="242"/>
      <c r="AS144" s="242"/>
      <c r="AT144" s="242"/>
      <c r="AU144" s="242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  <c r="BJ144" s="153"/>
      <c r="BK144" s="153"/>
      <c r="BL144" s="153"/>
      <c r="BM144" s="153"/>
      <c r="BN144" s="153"/>
      <c r="BO144" s="153"/>
      <c r="BP144" s="153"/>
      <c r="BQ144" s="153"/>
      <c r="BR144" s="153"/>
      <c r="BS144" s="153"/>
      <c r="BT144" s="153"/>
      <c r="BU144" s="153"/>
      <c r="BV144" s="153"/>
      <c r="BW144" s="153"/>
      <c r="BX144" s="153"/>
      <c r="BY144" s="153"/>
      <c r="BZ144" s="153"/>
      <c r="CA144" s="153"/>
      <c r="CB144" s="153"/>
      <c r="CC144" s="153"/>
      <c r="CD144" s="153"/>
      <c r="CE144" s="153"/>
      <c r="CF144" s="153"/>
      <c r="CG144" s="153"/>
      <c r="CH144" s="153"/>
      <c r="CI144" s="153"/>
      <c r="CJ144" s="153"/>
      <c r="CK144" s="153"/>
      <c r="CL144" s="153"/>
      <c r="CM144" s="153"/>
      <c r="CN144" s="153"/>
      <c r="CO144" s="153"/>
      <c r="CP144" s="153"/>
      <c r="CQ144" s="153"/>
      <c r="CR144" s="153"/>
      <c r="CS144" s="153"/>
      <c r="CT144" s="153"/>
      <c r="CU144" s="153"/>
      <c r="CV144" s="153"/>
      <c r="CW144" s="153"/>
      <c r="CX144" s="153"/>
      <c r="CY144" s="153"/>
      <c r="CZ144" s="153"/>
      <c r="DA144" s="153"/>
      <c r="DB144" s="153"/>
      <c r="DC144" s="153"/>
      <c r="DD144" s="153"/>
      <c r="DE144" s="153"/>
      <c r="DF144" s="153"/>
      <c r="DG144" s="153"/>
      <c r="DH144" s="153"/>
      <c r="DI144" s="153"/>
      <c r="DJ144" s="153"/>
      <c r="DK144" s="153"/>
      <c r="DL144" s="153"/>
      <c r="DM144" s="153"/>
      <c r="DN144" s="153"/>
      <c r="DO144" s="153"/>
      <c r="DP144" s="153"/>
      <c r="DQ144" s="153"/>
      <c r="DR144" s="153"/>
      <c r="DS144" s="153"/>
      <c r="DT144" s="153"/>
      <c r="DU144" s="153"/>
      <c r="DV144" s="153"/>
      <c r="DW144" s="153"/>
      <c r="DX144" s="153"/>
      <c r="DY144" s="153"/>
      <c r="JG144" s="64" t="s">
        <v>216</v>
      </c>
      <c r="JH144" s="64"/>
      <c r="JI144" s="64"/>
      <c r="JJ144" s="64"/>
      <c r="JK144" s="64"/>
      <c r="JL144" s="64"/>
      <c r="JM144" s="64"/>
      <c r="JN144" s="64"/>
      <c r="JO144" s="64"/>
      <c r="JP144" s="64"/>
      <c r="JQ144" s="64" t="s">
        <v>231</v>
      </c>
      <c r="JR144" s="64"/>
      <c r="JS144" s="64"/>
      <c r="JT144" s="64"/>
      <c r="JU144" s="64"/>
      <c r="JV144" s="64"/>
      <c r="JW144" s="64"/>
      <c r="JX144" s="64"/>
    </row>
    <row r="145" spans="1:284" ht="14.1" customHeight="1" x14ac:dyDescent="0.2">
      <c r="A145" s="242"/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68"/>
      <c r="S145" s="268"/>
      <c r="T145" s="268"/>
      <c r="U145" s="268"/>
      <c r="V145" s="319"/>
      <c r="W145" s="319"/>
      <c r="X145" s="319"/>
      <c r="Y145" s="319"/>
      <c r="Z145" s="319"/>
      <c r="AA145" s="319"/>
      <c r="AB145" s="319"/>
      <c r="AC145" s="319"/>
      <c r="AD145" s="319"/>
      <c r="AE145" s="319"/>
      <c r="AF145" s="319"/>
      <c r="AG145" s="242"/>
      <c r="AH145" s="242"/>
      <c r="AI145" s="242"/>
      <c r="AJ145" s="242"/>
      <c r="AK145" s="319"/>
      <c r="AL145" s="319"/>
      <c r="AM145" s="242"/>
      <c r="AN145" s="242"/>
      <c r="AO145" s="242"/>
      <c r="AP145" s="242"/>
      <c r="AQ145" s="242"/>
      <c r="AR145" s="242"/>
      <c r="AS145" s="242"/>
      <c r="AT145" s="242"/>
      <c r="AU145" s="242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  <c r="BJ145" s="153"/>
      <c r="BK145" s="153"/>
      <c r="BL145" s="153"/>
      <c r="BM145" s="153"/>
      <c r="BN145" s="153"/>
      <c r="BO145" s="153"/>
      <c r="BP145" s="153"/>
      <c r="BQ145" s="153"/>
      <c r="BR145" s="153"/>
      <c r="BS145" s="153"/>
      <c r="BT145" s="153"/>
      <c r="BU145" s="153"/>
      <c r="BV145" s="153"/>
      <c r="BW145" s="153"/>
      <c r="BX145" s="153"/>
      <c r="BY145" s="153"/>
      <c r="BZ145" s="153"/>
      <c r="CA145" s="153"/>
      <c r="CB145" s="153"/>
      <c r="CC145" s="153"/>
      <c r="CD145" s="153"/>
      <c r="CE145" s="153"/>
      <c r="CF145" s="153"/>
      <c r="CG145" s="153"/>
      <c r="CH145" s="153"/>
      <c r="CI145" s="153"/>
      <c r="CJ145" s="153"/>
      <c r="CK145" s="153"/>
      <c r="CL145" s="153"/>
      <c r="CM145" s="153"/>
      <c r="CN145" s="153"/>
      <c r="CO145" s="153"/>
      <c r="CP145" s="153"/>
      <c r="CQ145" s="153"/>
      <c r="CR145" s="153"/>
      <c r="CS145" s="153"/>
      <c r="CT145" s="153"/>
      <c r="CU145" s="153"/>
      <c r="CV145" s="153"/>
      <c r="CW145" s="153"/>
      <c r="CX145" s="153"/>
      <c r="CY145" s="153"/>
      <c r="CZ145" s="153"/>
      <c r="DA145" s="153"/>
      <c r="DB145" s="153"/>
      <c r="DC145" s="153"/>
      <c r="DD145" s="153"/>
      <c r="DE145" s="153"/>
      <c r="DF145" s="153"/>
      <c r="DG145" s="153"/>
      <c r="DH145" s="153"/>
      <c r="DI145" s="153"/>
      <c r="DJ145" s="153"/>
      <c r="DK145" s="153"/>
      <c r="DL145" s="153"/>
      <c r="DM145" s="153"/>
      <c r="DN145" s="153"/>
      <c r="DO145" s="153"/>
      <c r="DP145" s="153"/>
      <c r="DQ145" s="153"/>
      <c r="DR145" s="153"/>
      <c r="DS145" s="153"/>
      <c r="DT145" s="153"/>
      <c r="DU145" s="153"/>
      <c r="DV145" s="153"/>
      <c r="DW145" s="153"/>
      <c r="DX145" s="153"/>
      <c r="DY145" s="153"/>
      <c r="JG145" s="64" t="s">
        <v>23</v>
      </c>
      <c r="JH145" s="64">
        <v>-0.05</v>
      </c>
      <c r="JI145" s="64">
        <v>0.4</v>
      </c>
      <c r="JJ145" s="64"/>
      <c r="JK145" s="64">
        <v>-0.1</v>
      </c>
      <c r="JL145" s="64">
        <v>-0.1</v>
      </c>
      <c r="JM145" s="64"/>
      <c r="JN145" s="64">
        <v>0.4</v>
      </c>
      <c r="JO145" s="64">
        <v>0.4</v>
      </c>
      <c r="JP145" s="64"/>
      <c r="JQ145" s="64">
        <v>-0.1</v>
      </c>
      <c r="JR145" s="64">
        <v>2.1</v>
      </c>
      <c r="JS145" s="64"/>
      <c r="JT145" s="64">
        <f>JR145</f>
        <v>2.1</v>
      </c>
      <c r="JU145" s="64">
        <f>JR145</f>
        <v>2.1</v>
      </c>
      <c r="JV145" s="64"/>
      <c r="JW145" s="64">
        <v>1</v>
      </c>
      <c r="JX145" s="64"/>
    </row>
    <row r="146" spans="1:284" ht="14.1" customHeight="1" x14ac:dyDescent="0.2">
      <c r="A146" s="242"/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68"/>
      <c r="S146" s="268"/>
      <c r="T146" s="268"/>
      <c r="U146" s="268"/>
      <c r="V146" s="517"/>
      <c r="W146" s="517"/>
      <c r="X146" s="517"/>
      <c r="Y146" s="517"/>
      <c r="Z146" s="517"/>
      <c r="AA146" s="517"/>
      <c r="AB146" s="517"/>
      <c r="AC146" s="517"/>
      <c r="AD146" s="517"/>
      <c r="AE146" s="517"/>
      <c r="AF146" s="517"/>
      <c r="AG146" s="242"/>
      <c r="AH146" s="242"/>
      <c r="AI146" s="242"/>
      <c r="AJ146" s="242"/>
      <c r="AK146" s="242"/>
      <c r="AL146" s="242"/>
      <c r="AM146" s="242"/>
      <c r="AN146" s="242"/>
      <c r="AO146" s="242"/>
      <c r="AP146" s="242"/>
      <c r="AQ146" s="242"/>
      <c r="AR146" s="242"/>
      <c r="AS146" s="242"/>
      <c r="AT146" s="242"/>
      <c r="AU146" s="242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  <c r="BJ146" s="153"/>
      <c r="BK146" s="153"/>
      <c r="BL146" s="153"/>
      <c r="BM146" s="153"/>
      <c r="BN146" s="153"/>
      <c r="BO146" s="153"/>
      <c r="BP146" s="153"/>
      <c r="BQ146" s="153"/>
      <c r="BR146" s="153"/>
      <c r="BS146" s="153"/>
      <c r="BT146" s="153"/>
      <c r="BU146" s="153"/>
      <c r="BV146" s="153"/>
      <c r="BW146" s="153"/>
      <c r="BX146" s="153"/>
      <c r="BY146" s="153"/>
      <c r="BZ146" s="153"/>
      <c r="CA146" s="153"/>
      <c r="CB146" s="153"/>
      <c r="CC146" s="153"/>
      <c r="CD146" s="153"/>
      <c r="CE146" s="153"/>
      <c r="CF146" s="153"/>
      <c r="CG146" s="153"/>
      <c r="CH146" s="153"/>
      <c r="CI146" s="153"/>
      <c r="CJ146" s="153"/>
      <c r="CK146" s="153"/>
      <c r="CL146" s="153"/>
      <c r="CM146" s="153"/>
      <c r="CN146" s="153"/>
      <c r="CO146" s="153"/>
      <c r="CP146" s="153"/>
      <c r="CQ146" s="153"/>
      <c r="CR146" s="153"/>
      <c r="CS146" s="153"/>
      <c r="CT146" s="153"/>
      <c r="CU146" s="153"/>
      <c r="CV146" s="153"/>
      <c r="CW146" s="153"/>
      <c r="CX146" s="153"/>
      <c r="CY146" s="153"/>
      <c r="CZ146" s="153"/>
      <c r="DA146" s="153"/>
      <c r="DB146" s="153"/>
      <c r="DC146" s="153"/>
      <c r="DD146" s="153"/>
      <c r="DE146" s="153"/>
      <c r="DF146" s="153"/>
      <c r="DG146" s="153"/>
      <c r="DH146" s="153"/>
      <c r="DI146" s="153"/>
      <c r="DJ146" s="153"/>
      <c r="DK146" s="153"/>
      <c r="DL146" s="153"/>
      <c r="DM146" s="153"/>
      <c r="DN146" s="153"/>
      <c r="DO146" s="153"/>
      <c r="DP146" s="153"/>
      <c r="DQ146" s="153"/>
      <c r="DR146" s="153"/>
      <c r="DS146" s="153"/>
      <c r="DT146" s="153"/>
      <c r="DU146" s="153"/>
      <c r="DV146" s="153"/>
      <c r="DW146" s="153"/>
      <c r="DX146" s="153"/>
      <c r="DY146" s="153"/>
      <c r="JG146" s="64" t="s">
        <v>24</v>
      </c>
      <c r="JH146" s="64">
        <v>-0.4</v>
      </c>
      <c r="JI146" s="64">
        <v>-0.4</v>
      </c>
      <c r="JJ146" s="64"/>
      <c r="JK146" s="64">
        <v>-0.35</v>
      </c>
      <c r="JL146" s="64">
        <v>-0.45</v>
      </c>
      <c r="JM146" s="64"/>
      <c r="JN146" s="64">
        <f>JK146</f>
        <v>-0.35</v>
      </c>
      <c r="JO146" s="295">
        <f>JL146</f>
        <v>-0.45</v>
      </c>
      <c r="JP146" s="64"/>
      <c r="JQ146" s="64">
        <f>JH146</f>
        <v>-0.4</v>
      </c>
      <c r="JR146" s="64">
        <f>JQ146</f>
        <v>-0.4</v>
      </c>
      <c r="JS146" s="64"/>
      <c r="JT146" s="64">
        <f>JN146</f>
        <v>-0.35</v>
      </c>
      <c r="JU146" s="64">
        <f>JO146</f>
        <v>-0.45</v>
      </c>
      <c r="JV146" s="64"/>
      <c r="JW146" s="64">
        <v>-0.4</v>
      </c>
      <c r="JX146" s="64"/>
    </row>
    <row r="147" spans="1:284" ht="14.1" customHeight="1" x14ac:dyDescent="0.2">
      <c r="A147" s="242"/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68"/>
      <c r="S147" s="268"/>
      <c r="T147" s="268"/>
      <c r="U147" s="268"/>
      <c r="V147" s="431"/>
      <c r="W147" s="431"/>
      <c r="X147" s="431"/>
      <c r="Y147" s="431"/>
      <c r="Z147" s="431"/>
      <c r="AA147" s="431"/>
      <c r="AB147" s="431"/>
      <c r="AC147" s="431"/>
      <c r="AD147" s="431"/>
      <c r="AE147" s="431"/>
      <c r="AF147" s="431"/>
      <c r="AG147" s="518"/>
      <c r="AH147" s="242"/>
      <c r="AI147" s="519"/>
      <c r="AJ147" s="242"/>
      <c r="AK147" s="519"/>
      <c r="AL147" s="242"/>
      <c r="AM147" s="242"/>
      <c r="AN147" s="242"/>
      <c r="AO147" s="242"/>
      <c r="AP147" s="242"/>
      <c r="AQ147" s="242"/>
      <c r="AR147" s="242"/>
      <c r="AS147" s="242"/>
      <c r="AT147" s="242"/>
      <c r="AU147" s="242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  <c r="BJ147" s="153"/>
      <c r="BK147" s="153"/>
      <c r="BL147" s="153"/>
      <c r="BM147" s="153"/>
      <c r="BN147" s="153"/>
      <c r="BO147" s="153"/>
      <c r="BP147" s="153"/>
      <c r="BQ147" s="153"/>
      <c r="BR147" s="153"/>
      <c r="BS147" s="153"/>
      <c r="BT147" s="153"/>
      <c r="BU147" s="153"/>
      <c r="BV147" s="153"/>
      <c r="BW147" s="153"/>
      <c r="BX147" s="153"/>
      <c r="BY147" s="153"/>
      <c r="BZ147" s="153"/>
      <c r="CA147" s="153"/>
      <c r="CB147" s="153"/>
      <c r="CC147" s="153"/>
      <c r="CD147" s="153"/>
      <c r="CE147" s="153"/>
      <c r="CF147" s="153"/>
      <c r="CG147" s="153"/>
      <c r="CH147" s="153"/>
      <c r="CI147" s="153"/>
      <c r="CJ147" s="153"/>
      <c r="CK147" s="153"/>
      <c r="CL147" s="153"/>
      <c r="CM147" s="153"/>
      <c r="CN147" s="153"/>
      <c r="CO147" s="153"/>
      <c r="CP147" s="153"/>
      <c r="CQ147" s="153"/>
      <c r="CR147" s="153"/>
      <c r="CS147" s="153"/>
      <c r="CT147" s="153"/>
      <c r="CU147" s="153"/>
      <c r="CV147" s="153"/>
      <c r="CW147" s="153"/>
      <c r="CX147" s="153"/>
      <c r="CY147" s="153"/>
      <c r="CZ147" s="153"/>
      <c r="DA147" s="153"/>
      <c r="DB147" s="153"/>
      <c r="DC147" s="153"/>
      <c r="DD147" s="153"/>
      <c r="DE147" s="153"/>
      <c r="DF147" s="153"/>
      <c r="DG147" s="153"/>
      <c r="DH147" s="153"/>
      <c r="DI147" s="153"/>
      <c r="DJ147" s="153"/>
      <c r="DK147" s="153"/>
      <c r="DL147" s="153"/>
      <c r="DM147" s="153"/>
      <c r="DN147" s="153"/>
      <c r="DO147" s="153"/>
      <c r="DP147" s="153"/>
      <c r="DQ147" s="153"/>
      <c r="DR147" s="153"/>
      <c r="DS147" s="153"/>
      <c r="DT147" s="153"/>
      <c r="DU147" s="153"/>
      <c r="DV147" s="153"/>
      <c r="DW147" s="153"/>
      <c r="DX147" s="153"/>
      <c r="DY147" s="153"/>
      <c r="JG147" s="64" t="s">
        <v>217</v>
      </c>
      <c r="JH147" s="64"/>
      <c r="JI147" s="64"/>
      <c r="JJ147" s="64"/>
      <c r="JK147" s="64"/>
      <c r="JL147" s="64"/>
      <c r="JM147" s="64"/>
      <c r="JN147" s="64"/>
      <c r="JO147" s="305"/>
      <c r="JP147" s="64"/>
      <c r="JQ147" s="64"/>
      <c r="JR147" s="64"/>
      <c r="JS147" s="64"/>
      <c r="JT147" s="64"/>
      <c r="JU147" s="64"/>
      <c r="JV147" s="64"/>
      <c r="JW147" s="64"/>
      <c r="JX147" s="64"/>
    </row>
    <row r="148" spans="1:284" ht="14.1" customHeight="1" x14ac:dyDescent="0.2">
      <c r="A148" s="242"/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68"/>
      <c r="S148" s="268"/>
      <c r="T148" s="268"/>
      <c r="U148" s="268"/>
      <c r="V148" s="268"/>
      <c r="W148" s="268"/>
      <c r="X148" s="268"/>
      <c r="Y148" s="268"/>
      <c r="Z148" s="268"/>
      <c r="AA148" s="268"/>
      <c r="AB148" s="268"/>
      <c r="AC148" s="268"/>
      <c r="AD148" s="268"/>
      <c r="AE148" s="268"/>
      <c r="AF148" s="268"/>
      <c r="AG148" s="518"/>
      <c r="AH148" s="242"/>
      <c r="AI148" s="519"/>
      <c r="AJ148" s="242"/>
      <c r="AK148" s="519"/>
      <c r="AL148" s="242"/>
      <c r="AM148" s="242"/>
      <c r="AN148" s="242"/>
      <c r="AO148" s="242"/>
      <c r="AP148" s="242"/>
      <c r="AQ148" s="242"/>
      <c r="AR148" s="242"/>
      <c r="AS148" s="242"/>
      <c r="AT148" s="242"/>
      <c r="AU148" s="242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  <c r="BJ148" s="153"/>
      <c r="BK148" s="153"/>
      <c r="BL148" s="153"/>
      <c r="BM148" s="153"/>
      <c r="BN148" s="153"/>
      <c r="BO148" s="153"/>
      <c r="BP148" s="153"/>
      <c r="BQ148" s="153"/>
      <c r="BR148" s="153"/>
      <c r="BS148" s="153"/>
      <c r="BT148" s="153"/>
      <c r="BU148" s="153"/>
      <c r="BV148" s="153"/>
      <c r="BW148" s="153"/>
      <c r="BX148" s="153"/>
      <c r="BY148" s="153"/>
      <c r="BZ148" s="153"/>
      <c r="CA148" s="153"/>
      <c r="CB148" s="153"/>
      <c r="CC148" s="153"/>
      <c r="CD148" s="153"/>
      <c r="CE148" s="153"/>
      <c r="CF148" s="153"/>
      <c r="CG148" s="153"/>
      <c r="CH148" s="153"/>
      <c r="CI148" s="153"/>
      <c r="CJ148" s="153"/>
      <c r="CK148" s="153"/>
      <c r="CL148" s="153"/>
      <c r="CM148" s="153"/>
      <c r="CN148" s="153"/>
      <c r="CO148" s="153"/>
      <c r="CP148" s="153"/>
      <c r="CQ148" s="153"/>
      <c r="CR148" s="153"/>
      <c r="CS148" s="153"/>
      <c r="CT148" s="153"/>
      <c r="CU148" s="153"/>
      <c r="CV148" s="153"/>
      <c r="CW148" s="153"/>
      <c r="CX148" s="153"/>
      <c r="CY148" s="153"/>
      <c r="CZ148" s="153"/>
      <c r="DA148" s="153"/>
      <c r="DB148" s="153"/>
      <c r="DC148" s="153"/>
      <c r="DD148" s="153"/>
      <c r="DE148" s="153"/>
      <c r="DF148" s="153"/>
      <c r="DG148" s="153"/>
      <c r="DH148" s="153"/>
      <c r="DI148" s="153"/>
      <c r="DJ148" s="153"/>
      <c r="DK148" s="153"/>
      <c r="DL148" s="153"/>
      <c r="DM148" s="153"/>
      <c r="DN148" s="153"/>
      <c r="DO148" s="153"/>
      <c r="DP148" s="153"/>
      <c r="DQ148" s="153"/>
      <c r="DR148" s="153"/>
      <c r="DS148" s="153"/>
      <c r="DT148" s="153"/>
      <c r="DU148" s="153"/>
      <c r="DV148" s="153"/>
      <c r="DW148" s="153"/>
      <c r="DX148" s="153"/>
      <c r="DY148" s="153"/>
      <c r="JG148" s="64" t="s">
        <v>23</v>
      </c>
      <c r="JH148" s="64">
        <v>1.6</v>
      </c>
      <c r="JI148" s="64">
        <v>2.0499999999999998</v>
      </c>
      <c r="JJ148" s="64"/>
      <c r="JK148" s="64">
        <v>1.6</v>
      </c>
      <c r="JL148" s="64">
        <v>1.6</v>
      </c>
      <c r="JM148" s="64"/>
      <c r="JN148" s="64">
        <v>2.0499999999999998</v>
      </c>
      <c r="JO148" s="64">
        <v>2.0499999999999998</v>
      </c>
      <c r="JP148" s="64"/>
      <c r="JQ148" s="64"/>
      <c r="JR148" s="64"/>
      <c r="JS148" s="64"/>
      <c r="JT148" s="64"/>
      <c r="JU148" s="64"/>
      <c r="JV148" s="64"/>
      <c r="JW148" s="64"/>
      <c r="JX148" s="64"/>
    </row>
    <row r="149" spans="1:284" ht="14.1" customHeight="1" x14ac:dyDescent="0.2">
      <c r="A149" s="242"/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68"/>
      <c r="S149" s="268"/>
      <c r="T149" s="268"/>
      <c r="U149" s="268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  <c r="AF149" s="274"/>
      <c r="AG149" s="518"/>
      <c r="AH149" s="242"/>
      <c r="AI149" s="519"/>
      <c r="AJ149" s="242"/>
      <c r="AK149" s="519"/>
      <c r="AL149" s="242"/>
      <c r="AM149" s="242"/>
      <c r="AN149" s="242"/>
      <c r="AO149" s="242"/>
      <c r="AP149" s="242"/>
      <c r="AQ149" s="242"/>
      <c r="AR149" s="242"/>
      <c r="AS149" s="242"/>
      <c r="AT149" s="242"/>
      <c r="AU149" s="242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  <c r="BJ149" s="153"/>
      <c r="BK149" s="153"/>
      <c r="BL149" s="153"/>
      <c r="BM149" s="153"/>
      <c r="BN149" s="153"/>
      <c r="BO149" s="153"/>
      <c r="BP149" s="153"/>
      <c r="BQ149" s="153"/>
      <c r="BR149" s="153"/>
      <c r="BS149" s="153"/>
      <c r="BT149" s="153"/>
      <c r="BU149" s="153"/>
      <c r="BV149" s="153"/>
      <c r="BW149" s="153"/>
      <c r="BX149" s="153"/>
      <c r="BY149" s="153"/>
      <c r="BZ149" s="153"/>
      <c r="CA149" s="153"/>
      <c r="CB149" s="153"/>
      <c r="CC149" s="153"/>
      <c r="CD149" s="153"/>
      <c r="CE149" s="153"/>
      <c r="CF149" s="153"/>
      <c r="CG149" s="153"/>
      <c r="CH149" s="153"/>
      <c r="CI149" s="153"/>
      <c r="CJ149" s="153"/>
      <c r="CK149" s="153"/>
      <c r="CL149" s="153"/>
      <c r="CM149" s="153"/>
      <c r="CN149" s="153"/>
      <c r="CO149" s="153"/>
      <c r="CP149" s="153"/>
      <c r="CQ149" s="153"/>
      <c r="CR149" s="153"/>
      <c r="CS149" s="153"/>
      <c r="CT149" s="153"/>
      <c r="CU149" s="153"/>
      <c r="CV149" s="153"/>
      <c r="CW149" s="153"/>
      <c r="CX149" s="153"/>
      <c r="CY149" s="153"/>
      <c r="CZ149" s="153"/>
      <c r="DA149" s="153"/>
      <c r="DB149" s="153"/>
      <c r="DC149" s="153"/>
      <c r="DD149" s="153"/>
      <c r="DE149" s="153"/>
      <c r="DF149" s="153"/>
      <c r="DG149" s="153"/>
      <c r="DH149" s="153"/>
      <c r="DI149" s="153"/>
      <c r="DJ149" s="153"/>
      <c r="DK149" s="153"/>
      <c r="DL149" s="153"/>
      <c r="DM149" s="153"/>
      <c r="DN149" s="153"/>
      <c r="DO149" s="153"/>
      <c r="DP149" s="153"/>
      <c r="DQ149" s="153"/>
      <c r="DR149" s="153"/>
      <c r="DS149" s="153"/>
      <c r="DT149" s="153"/>
      <c r="DU149" s="153"/>
      <c r="DV149" s="153"/>
      <c r="DW149" s="153"/>
      <c r="DX149" s="153"/>
      <c r="DY149" s="153"/>
      <c r="JG149" s="64" t="s">
        <v>24</v>
      </c>
      <c r="JH149" s="64">
        <f>JH146</f>
        <v>-0.4</v>
      </c>
      <c r="JI149" s="64">
        <f>JI146</f>
        <v>-0.4</v>
      </c>
      <c r="JJ149" s="64"/>
      <c r="JK149" s="64">
        <f>JK146</f>
        <v>-0.35</v>
      </c>
      <c r="JL149" s="64">
        <f>JL146</f>
        <v>-0.45</v>
      </c>
      <c r="JM149" s="64"/>
      <c r="JN149" s="64">
        <f>JN146</f>
        <v>-0.35</v>
      </c>
      <c r="JO149" s="64">
        <f>JO146</f>
        <v>-0.45</v>
      </c>
      <c r="JP149" s="64"/>
      <c r="JQ149" s="64"/>
      <c r="JR149" s="64"/>
      <c r="JS149" s="64"/>
      <c r="JT149" s="64"/>
      <c r="JU149" s="64"/>
      <c r="JV149" s="64"/>
      <c r="JW149" s="64"/>
      <c r="JX149" s="64"/>
    </row>
    <row r="150" spans="1:284" ht="14.1" customHeight="1" x14ac:dyDescent="0.2">
      <c r="A150" s="242"/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68"/>
      <c r="S150" s="268"/>
      <c r="T150" s="268"/>
      <c r="U150" s="268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61"/>
      <c r="AF150" s="161"/>
      <c r="AG150" s="518"/>
      <c r="AH150" s="242"/>
      <c r="AI150" s="519"/>
      <c r="AJ150" s="242"/>
      <c r="AK150" s="519"/>
      <c r="AL150" s="242"/>
      <c r="AM150" s="242"/>
      <c r="AN150" s="242"/>
      <c r="AO150" s="242"/>
      <c r="AP150" s="242"/>
      <c r="AQ150" s="242"/>
      <c r="AR150" s="242"/>
      <c r="AS150" s="242"/>
      <c r="AT150" s="242"/>
      <c r="AU150" s="242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  <c r="BJ150" s="153"/>
      <c r="BK150" s="153"/>
      <c r="BL150" s="153"/>
      <c r="BM150" s="153"/>
      <c r="BN150" s="153"/>
      <c r="BO150" s="153"/>
      <c r="BP150" s="153"/>
      <c r="BQ150" s="153"/>
      <c r="BR150" s="153"/>
      <c r="BS150" s="153"/>
      <c r="BT150" s="153"/>
      <c r="BU150" s="153"/>
      <c r="BV150" s="153"/>
      <c r="BW150" s="153"/>
      <c r="BX150" s="153"/>
      <c r="BY150" s="153"/>
      <c r="BZ150" s="153"/>
      <c r="CA150" s="153"/>
      <c r="CB150" s="153"/>
      <c r="CC150" s="153"/>
      <c r="CD150" s="153"/>
      <c r="CE150" s="153"/>
      <c r="CF150" s="153"/>
      <c r="CG150" s="153"/>
      <c r="CH150" s="153"/>
      <c r="CI150" s="153"/>
      <c r="CJ150" s="153"/>
      <c r="CK150" s="153"/>
      <c r="CL150" s="153"/>
      <c r="CM150" s="153"/>
      <c r="CN150" s="153"/>
      <c r="CO150" s="153"/>
      <c r="CP150" s="153"/>
      <c r="CQ150" s="153"/>
      <c r="CR150" s="153"/>
      <c r="CS150" s="153"/>
      <c r="CT150" s="153"/>
      <c r="CU150" s="153"/>
      <c r="CV150" s="153"/>
      <c r="CW150" s="153"/>
      <c r="CX150" s="153"/>
      <c r="CY150" s="153"/>
      <c r="CZ150" s="153"/>
      <c r="DA150" s="153"/>
      <c r="DB150" s="153"/>
      <c r="DC150" s="153"/>
      <c r="DD150" s="153"/>
      <c r="DE150" s="153"/>
      <c r="DF150" s="153"/>
      <c r="DG150" s="153"/>
      <c r="DH150" s="153"/>
      <c r="DI150" s="153"/>
      <c r="DJ150" s="153"/>
      <c r="DK150" s="153"/>
      <c r="DL150" s="153"/>
      <c r="DM150" s="153"/>
      <c r="DN150" s="153"/>
      <c r="DO150" s="153"/>
      <c r="DP150" s="153"/>
      <c r="DQ150" s="153"/>
      <c r="DR150" s="153"/>
      <c r="DS150" s="153"/>
      <c r="DT150" s="153"/>
      <c r="DU150" s="153"/>
      <c r="DV150" s="153"/>
      <c r="DW150" s="153"/>
      <c r="DX150" s="153"/>
      <c r="DY150" s="153"/>
      <c r="JG150" s="103" t="s">
        <v>218</v>
      </c>
      <c r="JH150" s="103"/>
      <c r="JI150" s="103"/>
      <c r="JJ150" s="103"/>
      <c r="JK150" s="103" t="s">
        <v>222</v>
      </c>
      <c r="JL150" s="103"/>
      <c r="JM150" s="103"/>
      <c r="JN150" s="103" t="s">
        <v>223</v>
      </c>
      <c r="JO150" s="103"/>
      <c r="JP150" s="103"/>
      <c r="JQ150" s="103" t="s">
        <v>224</v>
      </c>
      <c r="JR150" s="103"/>
      <c r="JS150" s="103"/>
      <c r="JT150" s="103"/>
      <c r="JU150" s="103"/>
      <c r="JV150" s="103"/>
      <c r="JW150" s="103"/>
      <c r="JX150" s="103"/>
    </row>
    <row r="151" spans="1:284" ht="14.1" customHeight="1" x14ac:dyDescent="0.2">
      <c r="A151" s="242"/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  <c r="X151" s="242"/>
      <c r="Y151" s="242"/>
      <c r="Z151" s="242"/>
      <c r="AA151" s="242"/>
      <c r="AB151" s="242"/>
      <c r="AC151" s="242"/>
      <c r="AD151" s="242"/>
      <c r="AE151" s="242"/>
      <c r="AF151" s="242"/>
      <c r="AG151" s="518"/>
      <c r="AH151" s="242"/>
      <c r="AI151" s="519"/>
      <c r="AJ151" s="242"/>
      <c r="AK151" s="519"/>
      <c r="AL151" s="242"/>
      <c r="AM151" s="242"/>
      <c r="AN151" s="242"/>
      <c r="AO151" s="242"/>
      <c r="AP151" s="242"/>
      <c r="AQ151" s="242"/>
      <c r="AR151" s="242"/>
      <c r="AS151" s="242"/>
      <c r="AT151" s="242"/>
      <c r="AU151" s="242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  <c r="BJ151" s="153"/>
      <c r="BK151" s="153"/>
      <c r="BL151" s="153"/>
      <c r="BM151" s="153"/>
      <c r="BN151" s="153"/>
      <c r="BO151" s="153"/>
      <c r="BP151" s="153"/>
      <c r="BQ151" s="153"/>
      <c r="BR151" s="153"/>
      <c r="BS151" s="153"/>
      <c r="BT151" s="153"/>
      <c r="BU151" s="153"/>
      <c r="BV151" s="153"/>
      <c r="BW151" s="153"/>
      <c r="BX151" s="153"/>
      <c r="BY151" s="153"/>
      <c r="BZ151" s="153"/>
      <c r="CA151" s="153"/>
      <c r="CB151" s="153"/>
      <c r="CC151" s="153"/>
      <c r="CD151" s="153"/>
      <c r="CE151" s="153"/>
      <c r="CF151" s="153"/>
      <c r="CG151" s="153"/>
      <c r="CH151" s="153"/>
      <c r="CI151" s="153"/>
      <c r="CJ151" s="153"/>
      <c r="CK151" s="153"/>
      <c r="CL151" s="153"/>
      <c r="CM151" s="153"/>
      <c r="CN151" s="153"/>
      <c r="CO151" s="153"/>
      <c r="CP151" s="153"/>
      <c r="CQ151" s="153"/>
      <c r="CR151" s="153"/>
      <c r="CS151" s="153"/>
      <c r="CT151" s="153"/>
      <c r="CU151" s="153"/>
      <c r="CV151" s="153"/>
      <c r="CW151" s="153"/>
      <c r="CX151" s="153"/>
      <c r="CY151" s="153"/>
      <c r="CZ151" s="153"/>
      <c r="DA151" s="153"/>
      <c r="DB151" s="153"/>
      <c r="DC151" s="153"/>
      <c r="DD151" s="153"/>
      <c r="DE151" s="153"/>
      <c r="DF151" s="153"/>
      <c r="DG151" s="153"/>
      <c r="DH151" s="153"/>
      <c r="DI151" s="153"/>
      <c r="DJ151" s="153"/>
      <c r="DK151" s="153"/>
      <c r="DL151" s="153"/>
      <c r="DM151" s="153"/>
      <c r="DN151" s="153"/>
      <c r="DO151" s="153"/>
      <c r="DP151" s="153"/>
      <c r="DQ151" s="153"/>
      <c r="DR151" s="153"/>
      <c r="DS151" s="153"/>
      <c r="DT151" s="153"/>
      <c r="DU151" s="153"/>
      <c r="DV151" s="153"/>
      <c r="DW151" s="153"/>
      <c r="DX151" s="153"/>
      <c r="DY151" s="153"/>
      <c r="JG151" s="103" t="s">
        <v>23</v>
      </c>
      <c r="JH151" s="103" t="e">
        <f>IF(#REF!=4,0,IF(#REF!=7,0,IF(#REF!=9,0,JN118-0.05)))</f>
        <v>#REF!</v>
      </c>
      <c r="JI151" s="103" t="e">
        <f>JH151</f>
        <v>#REF!</v>
      </c>
      <c r="JJ151" s="103"/>
      <c r="JK151" s="103" t="e">
        <f>IF(#REF!=1,2.15,IF(#REF!=2,2.15,IF(#REF!=6,2.15,0)))</f>
        <v>#REF!</v>
      </c>
      <c r="JL151" s="103" t="e">
        <f>JK151</f>
        <v>#REF!</v>
      </c>
      <c r="JM151" s="103"/>
      <c r="JN151" s="103">
        <v>-0.1</v>
      </c>
      <c r="JO151" s="103">
        <v>2.1</v>
      </c>
      <c r="JP151" s="103"/>
      <c r="JQ151" s="103">
        <v>-0.1</v>
      </c>
      <c r="JR151" s="103" t="e">
        <f>IF(#REF!=1,2.1,-0.1)</f>
        <v>#REF!</v>
      </c>
      <c r="JS151" s="103"/>
      <c r="JT151" s="103"/>
      <c r="JU151" s="103"/>
      <c r="JV151" s="103"/>
      <c r="JW151" s="103"/>
      <c r="JX151" s="103"/>
    </row>
    <row r="152" spans="1:284" ht="14.1" customHeight="1" x14ac:dyDescent="0.2">
      <c r="A152" s="242"/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68"/>
      <c r="S152" s="268"/>
      <c r="T152" s="268"/>
      <c r="U152" s="268"/>
      <c r="V152" s="319"/>
      <c r="W152" s="319"/>
      <c r="X152" s="319"/>
      <c r="Y152" s="319"/>
      <c r="Z152" s="319"/>
      <c r="AA152" s="319"/>
      <c r="AB152" s="319"/>
      <c r="AC152" s="319"/>
      <c r="AD152" s="319"/>
      <c r="AE152" s="319"/>
      <c r="AF152" s="319"/>
      <c r="AG152" s="242"/>
      <c r="AH152" s="242"/>
      <c r="AI152" s="519"/>
      <c r="AJ152" s="519"/>
      <c r="AK152" s="519"/>
      <c r="AL152" s="519"/>
      <c r="AM152" s="242"/>
      <c r="AN152" s="242"/>
      <c r="AO152" s="242"/>
      <c r="AP152" s="242"/>
      <c r="AQ152" s="242"/>
      <c r="AR152" s="242"/>
      <c r="AS152" s="242"/>
      <c r="AT152" s="242"/>
      <c r="AU152" s="242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  <c r="BJ152" s="153"/>
      <c r="BK152" s="153"/>
      <c r="BL152" s="153"/>
      <c r="BM152" s="153"/>
      <c r="BN152" s="153"/>
      <c r="BO152" s="153"/>
      <c r="BP152" s="153"/>
      <c r="BQ152" s="153"/>
      <c r="BR152" s="153"/>
      <c r="BS152" s="153"/>
      <c r="BT152" s="153"/>
      <c r="BU152" s="153"/>
      <c r="BV152" s="153"/>
      <c r="BW152" s="153"/>
      <c r="BX152" s="153"/>
      <c r="BY152" s="153"/>
      <c r="BZ152" s="153"/>
      <c r="CA152" s="153"/>
      <c r="CB152" s="153"/>
      <c r="CC152" s="153"/>
      <c r="CD152" s="153"/>
      <c r="CE152" s="153"/>
      <c r="CF152" s="153"/>
      <c r="CG152" s="153"/>
      <c r="CH152" s="153"/>
      <c r="CI152" s="153"/>
      <c r="CJ152" s="153"/>
      <c r="CK152" s="153"/>
      <c r="CL152" s="153"/>
      <c r="CM152" s="153"/>
      <c r="CN152" s="153"/>
      <c r="CO152" s="153"/>
      <c r="CP152" s="153"/>
      <c r="CQ152" s="153"/>
      <c r="CR152" s="153"/>
      <c r="CS152" s="153"/>
      <c r="CT152" s="153"/>
      <c r="CU152" s="153"/>
      <c r="CV152" s="153"/>
      <c r="CW152" s="153"/>
      <c r="CX152" s="153"/>
      <c r="CY152" s="153"/>
      <c r="CZ152" s="153"/>
      <c r="DA152" s="153"/>
      <c r="DB152" s="153"/>
      <c r="DC152" s="153"/>
      <c r="DD152" s="153"/>
      <c r="DE152" s="153"/>
      <c r="DF152" s="153"/>
      <c r="DG152" s="153"/>
      <c r="DH152" s="153"/>
      <c r="DI152" s="153"/>
      <c r="DJ152" s="153"/>
      <c r="DK152" s="153"/>
      <c r="DL152" s="153"/>
      <c r="DM152" s="153"/>
      <c r="DN152" s="153"/>
      <c r="DO152" s="153"/>
      <c r="DP152" s="153"/>
      <c r="DQ152" s="153"/>
      <c r="DR152" s="153"/>
      <c r="DS152" s="153"/>
      <c r="DT152" s="153"/>
      <c r="DU152" s="153"/>
      <c r="DV152" s="153"/>
      <c r="DW152" s="153"/>
      <c r="DX152" s="153"/>
      <c r="DY152" s="153"/>
      <c r="JG152" s="103" t="s">
        <v>24</v>
      </c>
      <c r="JH152" s="103">
        <v>-0.1</v>
      </c>
      <c r="JI152" s="103" t="e">
        <f>IF(#REF!=4,-0.1,IF(#REF!=7,-0.1,IF(#REF!=9,-0.1,1.6)))</f>
        <v>#REF!</v>
      </c>
      <c r="JJ152" s="103"/>
      <c r="JK152" s="103">
        <v>-0.1</v>
      </c>
      <c r="JL152" s="103" t="e">
        <f>IF(#REF!=1,1.6,IF(#REF!=2,1.6,IF(#REF!=6,1.6,-0.1)))</f>
        <v>#REF!</v>
      </c>
      <c r="JM152" s="103"/>
      <c r="JN152" s="103">
        <v>1.05</v>
      </c>
      <c r="JO152" s="103">
        <f>JN152</f>
        <v>1.05</v>
      </c>
      <c r="JP152" s="103"/>
      <c r="JQ152" s="103">
        <v>-0.15</v>
      </c>
      <c r="JR152" s="103">
        <f>JQ152</f>
        <v>-0.15</v>
      </c>
      <c r="JS152" s="103"/>
      <c r="JT152" s="103"/>
      <c r="JU152" s="103"/>
      <c r="JV152" s="103"/>
      <c r="JW152" s="103"/>
      <c r="JX152" s="103"/>
    </row>
    <row r="153" spans="1:284" ht="14.1" customHeight="1" x14ac:dyDescent="0.2">
      <c r="A153" s="242"/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68"/>
      <c r="S153" s="268"/>
      <c r="T153" s="268"/>
      <c r="U153" s="268"/>
      <c r="V153" s="517"/>
      <c r="W153" s="517"/>
      <c r="X153" s="517"/>
      <c r="Y153" s="517"/>
      <c r="Z153" s="517"/>
      <c r="AA153" s="517"/>
      <c r="AB153" s="517"/>
      <c r="AC153" s="517"/>
      <c r="AD153" s="517"/>
      <c r="AE153" s="517"/>
      <c r="AF153" s="517"/>
      <c r="AG153" s="242"/>
      <c r="AH153" s="242"/>
      <c r="AI153" s="242"/>
      <c r="AJ153" s="242"/>
      <c r="AK153" s="242"/>
      <c r="AL153" s="242"/>
      <c r="AM153" s="242"/>
      <c r="AN153" s="242"/>
      <c r="AO153" s="242"/>
      <c r="AP153" s="242"/>
      <c r="AQ153" s="242"/>
      <c r="AR153" s="242"/>
      <c r="AS153" s="242"/>
      <c r="AT153" s="242"/>
      <c r="AU153" s="242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  <c r="BJ153" s="153"/>
      <c r="BK153" s="153"/>
      <c r="BL153" s="153"/>
      <c r="BM153" s="153"/>
      <c r="BN153" s="153"/>
      <c r="BO153" s="153"/>
      <c r="BP153" s="153"/>
      <c r="BQ153" s="153"/>
      <c r="BR153" s="153"/>
      <c r="BS153" s="153"/>
      <c r="BT153" s="153"/>
      <c r="BU153" s="153"/>
      <c r="BV153" s="153"/>
      <c r="BW153" s="153"/>
      <c r="BX153" s="153"/>
      <c r="BY153" s="153"/>
      <c r="BZ153" s="153"/>
      <c r="CA153" s="153"/>
      <c r="CB153" s="153"/>
      <c r="CC153" s="153"/>
      <c r="CD153" s="153"/>
      <c r="CE153" s="153"/>
      <c r="CF153" s="153"/>
      <c r="CG153" s="153"/>
      <c r="CH153" s="153"/>
      <c r="CI153" s="153"/>
      <c r="CJ153" s="153"/>
      <c r="CK153" s="153"/>
      <c r="CL153" s="153"/>
      <c r="CM153" s="153"/>
      <c r="CN153" s="153"/>
      <c r="CO153" s="153"/>
      <c r="CP153" s="153"/>
      <c r="CQ153" s="153"/>
      <c r="CR153" s="153"/>
      <c r="CS153" s="153"/>
      <c r="CT153" s="153"/>
      <c r="CU153" s="153"/>
      <c r="CV153" s="153"/>
      <c r="CW153" s="153"/>
      <c r="CX153" s="153"/>
      <c r="CY153" s="153"/>
      <c r="CZ153" s="153"/>
      <c r="DA153" s="153"/>
      <c r="DB153" s="153"/>
      <c r="DC153" s="153"/>
      <c r="DD153" s="153"/>
      <c r="DE153" s="153"/>
      <c r="DF153" s="153"/>
      <c r="DG153" s="153"/>
      <c r="DH153" s="153"/>
      <c r="DI153" s="153"/>
      <c r="DJ153" s="153"/>
      <c r="DK153" s="153"/>
      <c r="DL153" s="153"/>
      <c r="DM153" s="153"/>
      <c r="DN153" s="153"/>
      <c r="DO153" s="153"/>
      <c r="DP153" s="153"/>
      <c r="DQ153" s="153"/>
      <c r="DR153" s="153"/>
      <c r="DS153" s="153"/>
      <c r="DT153" s="153"/>
      <c r="DU153" s="153"/>
      <c r="DV153" s="153"/>
      <c r="DW153" s="153"/>
      <c r="DX153" s="153"/>
      <c r="DY153" s="153"/>
      <c r="JG153" s="103" t="s">
        <v>225</v>
      </c>
      <c r="JH153" s="103"/>
      <c r="JI153" s="103"/>
      <c r="JJ153" s="103"/>
      <c r="JK153" s="103" t="s">
        <v>226</v>
      </c>
      <c r="JL153" s="103"/>
      <c r="JM153" s="103" t="s">
        <v>227</v>
      </c>
      <c r="JN153" s="103"/>
      <c r="JO153" s="103" t="s">
        <v>228</v>
      </c>
      <c r="JP153" s="103"/>
      <c r="JQ153" s="103" t="s">
        <v>229</v>
      </c>
      <c r="JR153" s="103"/>
      <c r="JS153" s="103"/>
      <c r="JT153" s="103"/>
      <c r="JU153" s="103"/>
      <c r="JV153" s="103"/>
      <c r="JW153" s="103"/>
      <c r="JX153" s="103"/>
    </row>
    <row r="154" spans="1:284" ht="14.1" customHeight="1" x14ac:dyDescent="0.2">
      <c r="A154" s="242"/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68"/>
      <c r="S154" s="268"/>
      <c r="T154" s="268"/>
      <c r="U154" s="268"/>
      <c r="V154" s="431"/>
      <c r="W154" s="431"/>
      <c r="X154" s="431"/>
      <c r="Y154" s="431"/>
      <c r="Z154" s="431"/>
      <c r="AA154" s="431"/>
      <c r="AB154" s="431"/>
      <c r="AC154" s="431"/>
      <c r="AD154" s="431"/>
      <c r="AE154" s="431"/>
      <c r="AF154" s="431"/>
      <c r="AG154" s="242"/>
      <c r="AH154" s="242"/>
      <c r="AI154" s="242"/>
      <c r="AJ154" s="242"/>
      <c r="AK154" s="242"/>
      <c r="AL154" s="242"/>
      <c r="AM154" s="242"/>
      <c r="AN154" s="242"/>
      <c r="AO154" s="242"/>
      <c r="AP154" s="242"/>
      <c r="AQ154" s="242"/>
      <c r="AR154" s="242"/>
      <c r="AS154" s="242"/>
      <c r="AT154" s="242"/>
      <c r="AU154" s="242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  <c r="BJ154" s="153"/>
      <c r="BK154" s="153"/>
      <c r="BL154" s="153"/>
      <c r="BM154" s="153"/>
      <c r="BN154" s="153"/>
      <c r="BO154" s="153"/>
      <c r="BP154" s="153"/>
      <c r="BQ154" s="153"/>
      <c r="BR154" s="153"/>
      <c r="BS154" s="153"/>
      <c r="BT154" s="153"/>
      <c r="BU154" s="153"/>
      <c r="BV154" s="153"/>
      <c r="BW154" s="153"/>
      <c r="BX154" s="153"/>
      <c r="BY154" s="153"/>
      <c r="BZ154" s="153"/>
      <c r="CA154" s="153"/>
      <c r="CB154" s="153"/>
      <c r="CC154" s="153"/>
      <c r="CD154" s="153"/>
      <c r="CE154" s="153"/>
      <c r="CF154" s="153"/>
      <c r="CG154" s="153"/>
      <c r="CH154" s="153"/>
      <c r="CI154" s="153"/>
      <c r="CJ154" s="153"/>
      <c r="CK154" s="153"/>
      <c r="CL154" s="153"/>
      <c r="CM154" s="153"/>
      <c r="CN154" s="153"/>
      <c r="CO154" s="153"/>
      <c r="CP154" s="153"/>
      <c r="CQ154" s="153"/>
      <c r="CR154" s="153"/>
      <c r="CS154" s="153"/>
      <c r="CT154" s="153"/>
      <c r="CU154" s="153"/>
      <c r="CV154" s="153"/>
      <c r="CW154" s="153"/>
      <c r="CX154" s="153"/>
      <c r="CY154" s="153"/>
      <c r="CZ154" s="153"/>
      <c r="DA154" s="153"/>
      <c r="DB154" s="153"/>
      <c r="DC154" s="153"/>
      <c r="DD154" s="153"/>
      <c r="DE154" s="153"/>
      <c r="DF154" s="153"/>
      <c r="DG154" s="153"/>
      <c r="DH154" s="153"/>
      <c r="DI154" s="153"/>
      <c r="DJ154" s="153"/>
      <c r="DK154" s="153"/>
      <c r="DL154" s="153"/>
      <c r="DM154" s="153"/>
      <c r="DN154" s="153"/>
      <c r="DO154" s="153"/>
      <c r="DP154" s="153"/>
      <c r="DQ154" s="153"/>
      <c r="DR154" s="153"/>
      <c r="DS154" s="153"/>
      <c r="DT154" s="153"/>
      <c r="DU154" s="153"/>
      <c r="DV154" s="153"/>
      <c r="DW154" s="153"/>
      <c r="DX154" s="153"/>
      <c r="DY154" s="153"/>
      <c r="JG154" s="103" t="s">
        <v>23</v>
      </c>
      <c r="JH154" s="103">
        <v>1</v>
      </c>
      <c r="JI154" s="103"/>
      <c r="JJ154" s="103"/>
      <c r="JK154" s="103">
        <v>-0.4</v>
      </c>
      <c r="JL154" s="103"/>
      <c r="JM154" s="103">
        <f>JK154</f>
        <v>-0.4</v>
      </c>
      <c r="JN154" s="103"/>
      <c r="JO154" s="103">
        <v>0.17499999999999999</v>
      </c>
      <c r="JP154" s="103"/>
      <c r="JQ154" s="103">
        <v>1.825</v>
      </c>
      <c r="JR154" s="103"/>
      <c r="JS154" s="103"/>
      <c r="JT154" s="103"/>
      <c r="JU154" s="103"/>
      <c r="JV154" s="103"/>
      <c r="JW154" s="103"/>
      <c r="JX154" s="103"/>
    </row>
    <row r="155" spans="1:284" ht="14.1" customHeight="1" x14ac:dyDescent="0.2">
      <c r="A155" s="242"/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  <c r="X155" s="242"/>
      <c r="Y155" s="242"/>
      <c r="Z155" s="242"/>
      <c r="AA155" s="242"/>
      <c r="AB155" s="242"/>
      <c r="AC155" s="242"/>
      <c r="AD155" s="242"/>
      <c r="AE155" s="242"/>
      <c r="AF155" s="242"/>
      <c r="AG155" s="242"/>
      <c r="AH155" s="242"/>
      <c r="AI155" s="242"/>
      <c r="AJ155" s="242"/>
      <c r="AK155" s="242"/>
      <c r="AL155" s="242"/>
      <c r="AM155" s="242"/>
      <c r="AN155" s="242"/>
      <c r="AO155" s="242"/>
      <c r="AP155" s="242"/>
      <c r="AQ155" s="242"/>
      <c r="AR155" s="242"/>
      <c r="AS155" s="242"/>
      <c r="AT155" s="242"/>
      <c r="AU155" s="242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  <c r="BJ155" s="153"/>
      <c r="BK155" s="153"/>
      <c r="BL155" s="153"/>
      <c r="BM155" s="153"/>
      <c r="BN155" s="153"/>
      <c r="BO155" s="153"/>
      <c r="BP155" s="153"/>
      <c r="BQ155" s="153"/>
      <c r="BR155" s="153"/>
      <c r="BS155" s="153"/>
      <c r="BT155" s="153"/>
      <c r="BU155" s="153"/>
      <c r="BV155" s="153"/>
      <c r="BW155" s="153"/>
      <c r="BX155" s="153"/>
      <c r="BY155" s="153"/>
      <c r="BZ155" s="153"/>
      <c r="CA155" s="153"/>
      <c r="CB155" s="153"/>
      <c r="CC155" s="153"/>
      <c r="CD155" s="153"/>
      <c r="CE155" s="153"/>
      <c r="CF155" s="153"/>
      <c r="CG155" s="153"/>
      <c r="CH155" s="153"/>
      <c r="CI155" s="153"/>
      <c r="CJ155" s="153"/>
      <c r="CK155" s="153"/>
      <c r="CL155" s="153"/>
      <c r="CM155" s="153"/>
      <c r="CN155" s="153"/>
      <c r="CO155" s="153"/>
      <c r="CP155" s="153"/>
      <c r="CQ155" s="153"/>
      <c r="CR155" s="153"/>
      <c r="CS155" s="153"/>
      <c r="CT155" s="153"/>
      <c r="CU155" s="153"/>
      <c r="CV155" s="153"/>
      <c r="CW155" s="153"/>
      <c r="CX155" s="153"/>
      <c r="CY155" s="153"/>
      <c r="CZ155" s="153"/>
      <c r="DA155" s="153"/>
      <c r="DB155" s="153"/>
      <c r="DC155" s="153"/>
      <c r="DD155" s="153"/>
      <c r="DE155" s="153"/>
      <c r="DF155" s="153"/>
      <c r="DG155" s="153"/>
      <c r="DH155" s="153"/>
      <c r="DI155" s="153"/>
      <c r="DJ155" s="153"/>
      <c r="DK155" s="153"/>
      <c r="DL155" s="153"/>
      <c r="DM155" s="153"/>
      <c r="DN155" s="153"/>
      <c r="DO155" s="153"/>
      <c r="DP155" s="153"/>
      <c r="DQ155" s="153"/>
      <c r="DR155" s="153"/>
      <c r="DS155" s="153"/>
      <c r="DT155" s="153"/>
      <c r="DU155" s="153"/>
      <c r="DV155" s="153"/>
      <c r="DW155" s="153"/>
      <c r="DX155" s="153"/>
      <c r="DY155" s="153"/>
      <c r="JG155" s="103" t="s">
        <v>24</v>
      </c>
      <c r="JH155" s="103">
        <v>0.5</v>
      </c>
      <c r="JI155" s="103"/>
      <c r="JJ155" s="103"/>
      <c r="JK155" s="103">
        <v>1.375</v>
      </c>
      <c r="JL155" s="103"/>
      <c r="JM155" s="103">
        <v>0.125</v>
      </c>
      <c r="JN155" s="103"/>
      <c r="JO155" s="103">
        <v>-0.43</v>
      </c>
      <c r="JP155" s="103"/>
      <c r="JQ155" s="103">
        <v>-0.43</v>
      </c>
      <c r="JR155" s="103"/>
      <c r="JS155" s="103"/>
      <c r="JT155" s="103"/>
      <c r="JU155" s="103"/>
      <c r="JV155" s="103"/>
      <c r="JW155" s="103"/>
      <c r="JX155" s="103"/>
    </row>
    <row r="156" spans="1:284" ht="14.1" customHeight="1" x14ac:dyDescent="0.2">
      <c r="A156" s="242"/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  <c r="X156" s="242"/>
      <c r="Y156" s="242"/>
      <c r="Z156" s="242"/>
      <c r="AA156" s="242"/>
      <c r="AB156" s="242"/>
      <c r="AC156" s="242"/>
      <c r="AD156" s="242"/>
      <c r="AE156" s="242"/>
      <c r="AF156" s="242"/>
      <c r="AG156" s="242"/>
      <c r="AH156" s="242"/>
      <c r="AI156" s="242"/>
      <c r="AJ156" s="242"/>
      <c r="AK156" s="242"/>
      <c r="AL156" s="242"/>
      <c r="AM156" s="242"/>
      <c r="AN156" s="242"/>
      <c r="AO156" s="242"/>
      <c r="AP156" s="242"/>
      <c r="AQ156" s="242"/>
      <c r="AR156" s="242"/>
      <c r="AS156" s="242"/>
      <c r="AT156" s="242"/>
      <c r="AU156" s="242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  <c r="BJ156" s="153"/>
      <c r="BK156" s="153"/>
      <c r="BL156" s="153"/>
      <c r="BM156" s="153"/>
      <c r="BN156" s="153"/>
      <c r="BO156" s="153"/>
      <c r="BP156" s="153"/>
      <c r="BQ156" s="153"/>
      <c r="BR156" s="153"/>
      <c r="BS156" s="153"/>
      <c r="BT156" s="153"/>
      <c r="BU156" s="153"/>
      <c r="BV156" s="153"/>
      <c r="BW156" s="153"/>
      <c r="BX156" s="153"/>
      <c r="BY156" s="153"/>
      <c r="BZ156" s="153"/>
      <c r="CA156" s="153"/>
      <c r="CB156" s="153"/>
      <c r="CC156" s="153"/>
      <c r="CD156" s="153"/>
      <c r="CE156" s="153"/>
      <c r="CF156" s="153"/>
      <c r="CG156" s="153"/>
      <c r="CH156" s="153"/>
      <c r="CI156" s="153"/>
      <c r="CJ156" s="153"/>
      <c r="CK156" s="153"/>
      <c r="CL156" s="153"/>
      <c r="CM156" s="153"/>
      <c r="CN156" s="153"/>
      <c r="CO156" s="153"/>
      <c r="CP156" s="153"/>
      <c r="CQ156" s="153"/>
      <c r="CR156" s="153"/>
      <c r="CS156" s="153"/>
      <c r="CT156" s="153"/>
      <c r="CU156" s="153"/>
      <c r="CV156" s="153"/>
      <c r="CW156" s="153"/>
      <c r="CX156" s="153"/>
      <c r="CY156" s="153"/>
      <c r="CZ156" s="153"/>
      <c r="DA156" s="153"/>
      <c r="DB156" s="153"/>
      <c r="DC156" s="153"/>
      <c r="DD156" s="153"/>
      <c r="DE156" s="153"/>
      <c r="DF156" s="153"/>
      <c r="DG156" s="153"/>
      <c r="DH156" s="153"/>
      <c r="DI156" s="153"/>
      <c r="DJ156" s="153"/>
      <c r="DK156" s="153"/>
      <c r="DL156" s="153"/>
      <c r="DM156" s="153"/>
      <c r="DN156" s="153"/>
      <c r="DO156" s="153"/>
      <c r="DP156" s="153"/>
      <c r="DQ156" s="153"/>
      <c r="DR156" s="153"/>
      <c r="DS156" s="153"/>
      <c r="DT156" s="153"/>
      <c r="DU156" s="153"/>
      <c r="DV156" s="153"/>
      <c r="DW156" s="153"/>
      <c r="DX156" s="153"/>
      <c r="DY156" s="153"/>
      <c r="JG156" s="103"/>
      <c r="JH156" s="103"/>
      <c r="JI156" s="103"/>
      <c r="JJ156" s="103"/>
      <c r="JK156" s="103" t="s">
        <v>220</v>
      </c>
      <c r="JL156" s="103"/>
      <c r="JM156" s="103"/>
      <c r="JN156" s="103"/>
      <c r="JO156" s="103"/>
      <c r="JP156" s="103"/>
      <c r="JQ156" s="103"/>
      <c r="JR156" s="103"/>
      <c r="JS156" s="103"/>
      <c r="JT156" s="103"/>
      <c r="JU156" s="103"/>
      <c r="JV156" s="103"/>
      <c r="JW156" s="103"/>
      <c r="JX156" s="103"/>
    </row>
    <row r="157" spans="1:284" ht="14.1" customHeight="1" x14ac:dyDescent="0.2">
      <c r="A157" s="242"/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  <c r="X157" s="242"/>
      <c r="Y157" s="242"/>
      <c r="Z157" s="242"/>
      <c r="AA157" s="242"/>
      <c r="AB157" s="242"/>
      <c r="AC157" s="242"/>
      <c r="AD157" s="242"/>
      <c r="AE157" s="242"/>
      <c r="AF157" s="242"/>
      <c r="AG157" s="242"/>
      <c r="AH157" s="242"/>
      <c r="AI157" s="242"/>
      <c r="AJ157" s="242"/>
      <c r="AK157" s="242"/>
      <c r="AL157" s="242"/>
      <c r="AM157" s="242"/>
      <c r="AN157" s="242"/>
      <c r="AO157" s="242"/>
      <c r="AP157" s="242"/>
      <c r="AQ157" s="242"/>
      <c r="AR157" s="242"/>
      <c r="AS157" s="242"/>
      <c r="AT157" s="242"/>
      <c r="AU157" s="242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  <c r="BJ157" s="153"/>
      <c r="BK157" s="153"/>
      <c r="BL157" s="153"/>
      <c r="BM157" s="153"/>
      <c r="BN157" s="153"/>
      <c r="BO157" s="153"/>
      <c r="BP157" s="153"/>
      <c r="BQ157" s="153"/>
      <c r="BR157" s="153"/>
      <c r="BS157" s="153"/>
      <c r="BT157" s="153"/>
      <c r="BU157" s="153"/>
      <c r="BV157" s="153"/>
      <c r="BW157" s="153"/>
      <c r="BX157" s="153"/>
      <c r="BY157" s="153"/>
      <c r="BZ157" s="153"/>
      <c r="CA157" s="153"/>
      <c r="CB157" s="153"/>
      <c r="CC157" s="153"/>
      <c r="CD157" s="153"/>
      <c r="CE157" s="153"/>
      <c r="CF157" s="153"/>
      <c r="CG157" s="153"/>
      <c r="CH157" s="153"/>
      <c r="CI157" s="153"/>
      <c r="CJ157" s="153"/>
      <c r="CK157" s="153"/>
      <c r="CL157" s="153"/>
      <c r="CM157" s="153"/>
      <c r="CN157" s="153"/>
      <c r="CO157" s="153"/>
      <c r="CP157" s="153"/>
      <c r="CQ157" s="153"/>
      <c r="CR157" s="153"/>
      <c r="CS157" s="153"/>
      <c r="CT157" s="153"/>
      <c r="CU157" s="153"/>
      <c r="CV157" s="153"/>
      <c r="CW157" s="153"/>
      <c r="CX157" s="153"/>
      <c r="CY157" s="153"/>
      <c r="CZ157" s="153"/>
      <c r="DA157" s="153"/>
      <c r="DB157" s="153"/>
      <c r="DC157" s="153"/>
      <c r="DD157" s="153"/>
      <c r="DE157" s="153"/>
      <c r="DF157" s="153"/>
      <c r="DG157" s="153"/>
      <c r="DH157" s="153"/>
      <c r="DI157" s="153"/>
      <c r="DJ157" s="153"/>
      <c r="DK157" s="153"/>
      <c r="DL157" s="153"/>
      <c r="DM157" s="153"/>
      <c r="DN157" s="153"/>
      <c r="DO157" s="153"/>
      <c r="DP157" s="153"/>
      <c r="DQ157" s="153"/>
      <c r="DR157" s="153"/>
      <c r="DS157" s="153"/>
      <c r="DT157" s="153"/>
      <c r="DU157" s="153"/>
      <c r="DV157" s="153"/>
      <c r="DW157" s="153"/>
      <c r="DX157" s="153"/>
      <c r="DY157" s="153"/>
      <c r="JG157" s="103"/>
      <c r="JH157" s="103"/>
      <c r="JI157" s="103"/>
      <c r="JJ157" s="103"/>
      <c r="JK157" s="103" t="str">
        <f>CONCATENATE(V18,W18,"@",W30)</f>
        <v>DB12@0.2</v>
      </c>
      <c r="JL157" s="103"/>
      <c r="JM157" s="103"/>
      <c r="JN157" s="103"/>
      <c r="JO157" s="103"/>
      <c r="JP157" s="103"/>
      <c r="JQ157" s="103"/>
      <c r="JR157" s="103"/>
      <c r="JS157" s="103"/>
      <c r="JT157" s="103"/>
      <c r="JU157" s="103"/>
      <c r="JV157" s="103"/>
      <c r="JW157" s="103"/>
      <c r="JX157" s="103"/>
    </row>
    <row r="158" spans="1:284" ht="14.1" customHeight="1" x14ac:dyDescent="0.2">
      <c r="A158" s="242"/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  <c r="X158" s="242"/>
      <c r="Y158" s="242"/>
      <c r="Z158" s="242"/>
      <c r="AA158" s="242"/>
      <c r="AB158" s="242"/>
      <c r="AC158" s="242"/>
      <c r="AD158" s="242"/>
      <c r="AE158" s="242"/>
      <c r="AF158" s="242"/>
      <c r="AG158" s="242"/>
      <c r="AH158" s="242"/>
      <c r="AI158" s="242"/>
      <c r="AJ158" s="242"/>
      <c r="AK158" s="242"/>
      <c r="AL158" s="242"/>
      <c r="AM158" s="242"/>
      <c r="AN158" s="242"/>
      <c r="AO158" s="242"/>
      <c r="AP158" s="242"/>
      <c r="AQ158" s="242"/>
      <c r="AR158" s="242"/>
      <c r="AS158" s="242"/>
      <c r="AT158" s="242"/>
      <c r="AU158" s="242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  <c r="BJ158" s="153"/>
      <c r="BK158" s="153"/>
      <c r="BL158" s="153"/>
      <c r="BM158" s="153"/>
      <c r="BN158" s="153"/>
      <c r="BO158" s="153"/>
      <c r="BP158" s="153"/>
      <c r="BQ158" s="153"/>
      <c r="BR158" s="153"/>
      <c r="BS158" s="153"/>
      <c r="BT158" s="153"/>
      <c r="BU158" s="153"/>
      <c r="BV158" s="153"/>
      <c r="BW158" s="153"/>
      <c r="BX158" s="153"/>
      <c r="BY158" s="153"/>
      <c r="BZ158" s="153"/>
      <c r="CA158" s="153"/>
      <c r="CB158" s="153"/>
      <c r="CC158" s="153"/>
      <c r="CD158" s="153"/>
      <c r="CE158" s="153"/>
      <c r="CF158" s="153"/>
      <c r="CG158" s="153"/>
      <c r="CH158" s="153"/>
      <c r="CI158" s="153"/>
      <c r="CJ158" s="153"/>
      <c r="CK158" s="153"/>
      <c r="CL158" s="153"/>
      <c r="CM158" s="153"/>
      <c r="CN158" s="153"/>
      <c r="CO158" s="153"/>
      <c r="CP158" s="153"/>
      <c r="CQ158" s="153"/>
      <c r="CR158" s="153"/>
      <c r="CS158" s="153"/>
      <c r="CT158" s="153"/>
      <c r="CU158" s="153"/>
      <c r="CV158" s="153"/>
      <c r="CW158" s="153"/>
      <c r="CX158" s="153"/>
      <c r="CY158" s="153"/>
      <c r="CZ158" s="153"/>
      <c r="DA158" s="153"/>
      <c r="DB158" s="153"/>
      <c r="DC158" s="153"/>
      <c r="DD158" s="153"/>
      <c r="DE158" s="153"/>
      <c r="DF158" s="153"/>
      <c r="DG158" s="153"/>
      <c r="DH158" s="153"/>
      <c r="DI158" s="153"/>
      <c r="DJ158" s="153"/>
      <c r="DK158" s="153"/>
      <c r="DL158" s="153"/>
      <c r="DM158" s="153"/>
      <c r="DN158" s="153"/>
      <c r="DO158" s="153"/>
      <c r="DP158" s="153"/>
      <c r="DQ158" s="153"/>
      <c r="DR158" s="153"/>
      <c r="DS158" s="153"/>
      <c r="DT158" s="153"/>
      <c r="DU158" s="153"/>
      <c r="DV158" s="153"/>
      <c r="DW158" s="153"/>
      <c r="DX158" s="153"/>
      <c r="DY158" s="153"/>
      <c r="JG158" s="103"/>
      <c r="JH158" s="103"/>
      <c r="JI158" s="103"/>
      <c r="JJ158" s="103"/>
      <c r="JK158" s="103">
        <f>1</f>
        <v>1</v>
      </c>
      <c r="JL158" s="103"/>
      <c r="JM158" s="103"/>
      <c r="JN158" s="103"/>
      <c r="JO158" s="103"/>
      <c r="JP158" s="103"/>
      <c r="JQ158" s="103"/>
      <c r="JR158" s="103"/>
      <c r="JS158" s="103"/>
      <c r="JT158" s="103"/>
      <c r="JU158" s="103"/>
      <c r="JV158" s="103"/>
      <c r="JW158" s="103"/>
      <c r="JX158" s="103"/>
    </row>
    <row r="159" spans="1:284" ht="14.1" customHeight="1" x14ac:dyDescent="0.2">
      <c r="A159" s="242"/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  <c r="X159" s="242"/>
      <c r="Y159" s="242"/>
      <c r="Z159" s="242"/>
      <c r="AA159" s="242"/>
      <c r="AB159" s="242"/>
      <c r="AC159" s="242"/>
      <c r="AD159" s="242"/>
      <c r="AE159" s="242"/>
      <c r="AF159" s="242"/>
      <c r="AG159" s="242"/>
      <c r="AH159" s="242"/>
      <c r="AI159" s="242"/>
      <c r="AJ159" s="242"/>
      <c r="AK159" s="242"/>
      <c r="AL159" s="242"/>
      <c r="AM159" s="242"/>
      <c r="AN159" s="242"/>
      <c r="AO159" s="242"/>
      <c r="AP159" s="242"/>
      <c r="AQ159" s="242"/>
      <c r="AR159" s="242"/>
      <c r="AS159" s="242"/>
      <c r="AT159" s="242"/>
      <c r="AU159" s="242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  <c r="BJ159" s="153"/>
      <c r="BK159" s="153"/>
      <c r="BL159" s="153"/>
      <c r="BM159" s="153"/>
      <c r="BN159" s="153"/>
      <c r="BO159" s="153"/>
      <c r="BP159" s="153"/>
      <c r="BQ159" s="153"/>
      <c r="BR159" s="153"/>
      <c r="BS159" s="153"/>
      <c r="BT159" s="153"/>
      <c r="BU159" s="153"/>
      <c r="BV159" s="153"/>
      <c r="BW159" s="153"/>
      <c r="BX159" s="153"/>
      <c r="BY159" s="153"/>
      <c r="BZ159" s="153"/>
      <c r="CA159" s="153"/>
      <c r="CB159" s="153"/>
      <c r="CC159" s="153"/>
      <c r="CD159" s="153"/>
      <c r="CE159" s="153"/>
      <c r="CF159" s="153"/>
      <c r="CG159" s="153"/>
      <c r="CH159" s="153"/>
      <c r="CI159" s="153"/>
      <c r="CJ159" s="153"/>
      <c r="CK159" s="153"/>
      <c r="CL159" s="153"/>
      <c r="CM159" s="153"/>
      <c r="CN159" s="153"/>
      <c r="CO159" s="153"/>
      <c r="CP159" s="153"/>
      <c r="CQ159" s="153"/>
      <c r="CR159" s="153"/>
      <c r="CS159" s="153"/>
      <c r="CT159" s="153"/>
      <c r="CU159" s="153"/>
      <c r="CV159" s="153"/>
      <c r="CW159" s="153"/>
      <c r="CX159" s="153"/>
      <c r="CY159" s="153"/>
      <c r="CZ159" s="153"/>
      <c r="DA159" s="153"/>
      <c r="DB159" s="153"/>
      <c r="DC159" s="153"/>
      <c r="DD159" s="153"/>
      <c r="DE159" s="153"/>
      <c r="DF159" s="153"/>
      <c r="DG159" s="153"/>
      <c r="DH159" s="153"/>
      <c r="DI159" s="153"/>
      <c r="DJ159" s="153"/>
      <c r="DK159" s="153"/>
      <c r="DL159" s="153"/>
      <c r="DM159" s="153"/>
      <c r="DN159" s="153"/>
      <c r="DO159" s="153"/>
      <c r="DP159" s="153"/>
      <c r="DQ159" s="153"/>
      <c r="DR159" s="153"/>
      <c r="DS159" s="153"/>
      <c r="DT159" s="153"/>
      <c r="DU159" s="153"/>
      <c r="DV159" s="153"/>
      <c r="DW159" s="153"/>
      <c r="DX159" s="153"/>
      <c r="DY159" s="153"/>
      <c r="JG159" s="64"/>
      <c r="JH159" s="64"/>
      <c r="JI159" s="64"/>
      <c r="JJ159" s="64"/>
      <c r="JK159" s="64">
        <v>1.5</v>
      </c>
      <c r="JL159" s="64"/>
      <c r="JM159" s="64"/>
      <c r="JN159" s="64"/>
      <c r="JO159" s="64"/>
      <c r="JP159" s="64"/>
      <c r="JQ159" s="64"/>
      <c r="JR159" s="64"/>
      <c r="JS159" s="64"/>
      <c r="JT159" s="64"/>
      <c r="JU159" s="64"/>
      <c r="JV159" s="64"/>
      <c r="JW159" s="64"/>
      <c r="JX159" s="64"/>
    </row>
    <row r="160" spans="1:284" ht="14.1" customHeight="1" x14ac:dyDescent="0.2">
      <c r="A160" s="242"/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  <c r="X160" s="242"/>
      <c r="Y160" s="242"/>
      <c r="Z160" s="242"/>
      <c r="AA160" s="242"/>
      <c r="AB160" s="242"/>
      <c r="AC160" s="242"/>
      <c r="AD160" s="242"/>
      <c r="AE160" s="242"/>
      <c r="AF160" s="242"/>
      <c r="AG160" s="242"/>
      <c r="AH160" s="242"/>
      <c r="AI160" s="242"/>
      <c r="AJ160" s="242"/>
      <c r="AK160" s="242"/>
      <c r="AL160" s="242"/>
      <c r="AM160" s="242"/>
      <c r="AN160" s="242"/>
      <c r="AO160" s="242"/>
      <c r="AP160" s="242"/>
      <c r="AQ160" s="242"/>
      <c r="AR160" s="242"/>
      <c r="AS160" s="242"/>
      <c r="AT160" s="242"/>
      <c r="AU160" s="242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  <c r="BJ160" s="153"/>
      <c r="BK160" s="153"/>
      <c r="BL160" s="153"/>
      <c r="BM160" s="153"/>
      <c r="BN160" s="153"/>
      <c r="BO160" s="153"/>
      <c r="BP160" s="153"/>
      <c r="BQ160" s="153"/>
      <c r="BR160" s="153"/>
      <c r="BS160" s="153"/>
      <c r="BT160" s="153"/>
      <c r="BU160" s="153"/>
      <c r="BV160" s="153"/>
      <c r="BW160" s="153"/>
      <c r="BX160" s="153"/>
      <c r="BY160" s="153"/>
      <c r="BZ160" s="153"/>
      <c r="CA160" s="153"/>
      <c r="CB160" s="153"/>
      <c r="CC160" s="153"/>
      <c r="CD160" s="153"/>
      <c r="CE160" s="153"/>
      <c r="CF160" s="153"/>
      <c r="CG160" s="153"/>
      <c r="CH160" s="153"/>
      <c r="CI160" s="153"/>
      <c r="CJ160" s="153"/>
      <c r="CK160" s="153"/>
      <c r="CL160" s="153"/>
      <c r="CM160" s="153"/>
      <c r="CN160" s="153"/>
      <c r="CO160" s="153"/>
      <c r="CP160" s="153"/>
      <c r="CQ160" s="153"/>
      <c r="CR160" s="153"/>
      <c r="CS160" s="153"/>
      <c r="CT160" s="153"/>
      <c r="CU160" s="153"/>
      <c r="CV160" s="153"/>
      <c r="CW160" s="153"/>
      <c r="CX160" s="153"/>
      <c r="CY160" s="153"/>
      <c r="CZ160" s="153"/>
      <c r="DA160" s="153"/>
      <c r="DB160" s="153"/>
      <c r="DC160" s="153"/>
      <c r="DD160" s="153"/>
      <c r="DE160" s="153"/>
      <c r="DF160" s="153"/>
      <c r="DG160" s="153"/>
      <c r="DH160" s="153"/>
      <c r="DI160" s="153"/>
      <c r="DJ160" s="153"/>
      <c r="DK160" s="153"/>
      <c r="DL160" s="153"/>
      <c r="DM160" s="153"/>
      <c r="DN160" s="153"/>
      <c r="DO160" s="153"/>
      <c r="DP160" s="153"/>
      <c r="DQ160" s="153"/>
      <c r="DR160" s="153"/>
      <c r="DS160" s="153"/>
      <c r="DT160" s="153"/>
      <c r="DU160" s="153"/>
      <c r="DV160" s="153"/>
      <c r="DW160" s="153"/>
      <c r="DX160" s="153"/>
      <c r="DY160" s="153"/>
      <c r="JG160" s="64"/>
      <c r="JH160" s="64"/>
      <c r="JI160" s="64"/>
      <c r="JJ160" s="64"/>
      <c r="JK160" s="64" t="s">
        <v>221</v>
      </c>
      <c r="JL160" s="64"/>
      <c r="JM160" s="64"/>
      <c r="JN160" s="64"/>
      <c r="JO160" s="64"/>
      <c r="JP160" s="64"/>
      <c r="JQ160" s="64"/>
      <c r="JR160" s="64"/>
      <c r="JS160" s="64"/>
      <c r="JT160" s="64"/>
      <c r="JU160" s="64"/>
      <c r="JV160" s="64"/>
      <c r="JW160" s="64"/>
      <c r="JX160" s="64"/>
    </row>
    <row r="161" spans="1:284" ht="14.1" customHeight="1" x14ac:dyDescent="0.2">
      <c r="A161" s="242"/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  <c r="X161" s="242"/>
      <c r="Y161" s="242"/>
      <c r="Z161" s="242"/>
      <c r="AA161" s="242"/>
      <c r="AB161" s="242"/>
      <c r="AC161" s="242"/>
      <c r="AD161" s="242"/>
      <c r="AE161" s="242"/>
      <c r="AF161" s="242"/>
      <c r="AG161" s="242"/>
      <c r="AH161" s="242"/>
      <c r="AI161" s="242"/>
      <c r="AJ161" s="242"/>
      <c r="AK161" s="242"/>
      <c r="AL161" s="242"/>
      <c r="AM161" s="242"/>
      <c r="AN161" s="242"/>
      <c r="AO161" s="242"/>
      <c r="AP161" s="242"/>
      <c r="AQ161" s="242"/>
      <c r="AR161" s="242"/>
      <c r="AS161" s="242"/>
      <c r="AT161" s="242"/>
      <c r="AU161" s="242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  <c r="BJ161" s="153"/>
      <c r="BK161" s="153"/>
      <c r="BL161" s="153"/>
      <c r="BM161" s="153"/>
      <c r="BN161" s="153"/>
      <c r="BO161" s="153"/>
      <c r="BP161" s="153"/>
      <c r="BQ161" s="153"/>
      <c r="BR161" s="153"/>
      <c r="BS161" s="153"/>
      <c r="BT161" s="153"/>
      <c r="BU161" s="153"/>
      <c r="BV161" s="153"/>
      <c r="BW161" s="153"/>
      <c r="BX161" s="153"/>
      <c r="BY161" s="153"/>
      <c r="BZ161" s="153"/>
      <c r="CA161" s="153"/>
      <c r="CB161" s="153"/>
      <c r="CC161" s="153"/>
      <c r="CD161" s="153"/>
      <c r="CE161" s="153"/>
      <c r="CF161" s="153"/>
      <c r="CG161" s="153"/>
      <c r="CH161" s="153"/>
      <c r="CI161" s="153"/>
      <c r="CJ161" s="153"/>
      <c r="CK161" s="153"/>
      <c r="CL161" s="153"/>
      <c r="CM161" s="153"/>
      <c r="CN161" s="153"/>
      <c r="CO161" s="153"/>
      <c r="CP161" s="153"/>
      <c r="CQ161" s="153"/>
      <c r="CR161" s="153"/>
      <c r="CS161" s="153"/>
      <c r="CT161" s="153"/>
      <c r="CU161" s="153"/>
      <c r="CV161" s="153"/>
      <c r="CW161" s="153"/>
      <c r="CX161" s="153"/>
      <c r="CY161" s="153"/>
      <c r="CZ161" s="153"/>
      <c r="DA161" s="153"/>
      <c r="DB161" s="153"/>
      <c r="DC161" s="153"/>
      <c r="DD161" s="153"/>
      <c r="DE161" s="153"/>
      <c r="DF161" s="153"/>
      <c r="DG161" s="153"/>
      <c r="DH161" s="153"/>
      <c r="DI161" s="153"/>
      <c r="DJ161" s="153"/>
      <c r="DK161" s="153"/>
      <c r="DL161" s="153"/>
      <c r="DM161" s="153"/>
      <c r="DN161" s="153"/>
      <c r="DO161" s="153"/>
      <c r="DP161" s="153"/>
      <c r="DQ161" s="153"/>
      <c r="DR161" s="153"/>
      <c r="DS161" s="153"/>
      <c r="DT161" s="153"/>
      <c r="DU161" s="153"/>
      <c r="DV161" s="153"/>
      <c r="DW161" s="153"/>
      <c r="DX161" s="153"/>
      <c r="DY161" s="153"/>
      <c r="JG161" s="64"/>
      <c r="JH161" s="64"/>
      <c r="JI161" s="64"/>
      <c r="JJ161" s="64"/>
      <c r="JK161" s="64" t="str">
        <f>CONCATENATE(V19,W19,"@",W36)</f>
        <v>RB9@0.25</v>
      </c>
      <c r="JL161" s="64"/>
      <c r="JM161" s="64"/>
      <c r="JN161" s="64"/>
      <c r="JO161" s="64"/>
      <c r="JP161" s="64"/>
      <c r="JQ161" s="64"/>
      <c r="JR161" s="64"/>
      <c r="JS161" s="64"/>
      <c r="JT161" s="64"/>
      <c r="JU161" s="64"/>
      <c r="JV161" s="64"/>
      <c r="JW161" s="64"/>
      <c r="JX161" s="64"/>
    </row>
    <row r="162" spans="1:284" ht="14.1" customHeight="1" x14ac:dyDescent="0.2">
      <c r="A162" s="242"/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  <c r="X162" s="242"/>
      <c r="Y162" s="242"/>
      <c r="Z162" s="289"/>
      <c r="AA162" s="242"/>
      <c r="AB162" s="242"/>
      <c r="AC162" s="290"/>
      <c r="AD162" s="214"/>
      <c r="AE162" s="214"/>
      <c r="AF162" s="214"/>
      <c r="AG162" s="242"/>
      <c r="AH162" s="242"/>
      <c r="AI162" s="242"/>
      <c r="AJ162" s="242"/>
      <c r="AK162" s="242"/>
      <c r="AL162" s="242"/>
      <c r="AM162" s="242"/>
      <c r="AN162" s="242"/>
      <c r="AO162" s="242"/>
      <c r="AP162" s="242"/>
      <c r="AQ162" s="242"/>
      <c r="AR162" s="242"/>
      <c r="AS162" s="242"/>
      <c r="AT162" s="242"/>
      <c r="AU162" s="242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JG162" s="64"/>
      <c r="JH162" s="64"/>
      <c r="JI162" s="64"/>
      <c r="JJ162" s="64"/>
      <c r="JK162" s="64">
        <f>0</f>
        <v>0</v>
      </c>
      <c r="JL162" s="64"/>
      <c r="JM162" s="64"/>
      <c r="JN162" s="64"/>
      <c r="JO162" s="64"/>
      <c r="JP162" s="64"/>
      <c r="JQ162" s="64"/>
      <c r="JR162" s="64"/>
      <c r="JS162" s="64"/>
      <c r="JT162" s="64"/>
      <c r="JU162" s="64"/>
      <c r="JV162" s="64"/>
      <c r="JW162" s="64"/>
      <c r="JX162" s="64"/>
    </row>
    <row r="163" spans="1:284" ht="14.1" customHeight="1" x14ac:dyDescent="0.2">
      <c r="A163" s="242"/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  <c r="X163" s="242"/>
      <c r="Y163" s="242"/>
      <c r="Z163" s="289"/>
      <c r="AA163" s="242"/>
      <c r="AB163" s="242"/>
      <c r="AC163" s="290"/>
      <c r="AD163" s="214"/>
      <c r="AE163" s="214"/>
      <c r="AF163" s="214"/>
      <c r="AG163" s="242"/>
      <c r="AH163" s="242"/>
      <c r="AI163" s="242"/>
      <c r="AJ163" s="242"/>
      <c r="AK163" s="242"/>
      <c r="AL163" s="242"/>
      <c r="AM163" s="242"/>
      <c r="AN163" s="242"/>
      <c r="AO163" s="242"/>
      <c r="AP163" s="242"/>
      <c r="AQ163" s="242"/>
      <c r="AR163" s="242"/>
      <c r="AS163" s="242"/>
      <c r="AT163" s="242"/>
      <c r="AU163" s="242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  <c r="BJ163" s="153"/>
      <c r="BK163" s="153"/>
      <c r="BL163" s="153"/>
      <c r="BM163" s="153"/>
      <c r="BN163" s="153"/>
      <c r="BO163" s="153"/>
      <c r="BP163" s="153"/>
      <c r="BQ163" s="153"/>
      <c r="BR163" s="153"/>
      <c r="BS163" s="153"/>
      <c r="BT163" s="153"/>
      <c r="BU163" s="153"/>
      <c r="BV163" s="153"/>
      <c r="BW163" s="153"/>
      <c r="BX163" s="153"/>
      <c r="BY163" s="153"/>
      <c r="BZ163" s="153"/>
      <c r="CA163" s="153"/>
      <c r="CB163" s="153"/>
      <c r="CC163" s="153"/>
      <c r="CD163" s="153"/>
      <c r="CE163" s="153"/>
      <c r="CF163" s="153"/>
      <c r="CG163" s="153"/>
      <c r="CH163" s="153"/>
      <c r="CI163" s="153"/>
      <c r="CJ163" s="153"/>
      <c r="CK163" s="153"/>
      <c r="CL163" s="153"/>
      <c r="CM163" s="153"/>
      <c r="CN163" s="153"/>
      <c r="CO163" s="153"/>
      <c r="CP163" s="153"/>
      <c r="CQ163" s="153"/>
      <c r="CR163" s="153"/>
      <c r="CS163" s="153"/>
      <c r="CT163" s="153"/>
      <c r="CU163" s="153"/>
      <c r="CV163" s="153"/>
      <c r="CW163" s="153"/>
      <c r="CX163" s="153"/>
      <c r="CY163" s="153"/>
      <c r="CZ163" s="153"/>
      <c r="DA163" s="153"/>
      <c r="DB163" s="153"/>
      <c r="DC163" s="153"/>
      <c r="DD163" s="153"/>
      <c r="DE163" s="153"/>
      <c r="DF163" s="153"/>
      <c r="DG163" s="153"/>
      <c r="DH163" s="153"/>
      <c r="DI163" s="153"/>
      <c r="DJ163" s="153"/>
      <c r="DK163" s="153"/>
      <c r="DL163" s="153"/>
      <c r="DM163" s="153"/>
      <c r="DN163" s="153"/>
      <c r="DO163" s="153"/>
      <c r="DP163" s="153"/>
      <c r="DQ163" s="153"/>
      <c r="DR163" s="153"/>
      <c r="DS163" s="153"/>
      <c r="DT163" s="153"/>
      <c r="DU163" s="153"/>
      <c r="DV163" s="153"/>
      <c r="DW163" s="153"/>
      <c r="DX163" s="153"/>
      <c r="DY163" s="153"/>
      <c r="JG163" s="64"/>
      <c r="JH163" s="64"/>
      <c r="JI163" s="64"/>
      <c r="JJ163" s="64"/>
      <c r="JK163" s="64">
        <v>0.75</v>
      </c>
      <c r="JL163" s="64"/>
      <c r="JM163" s="64"/>
      <c r="JN163" s="64"/>
      <c r="JO163" s="64"/>
      <c r="JP163" s="64"/>
      <c r="JQ163" s="64"/>
      <c r="JR163" s="64"/>
      <c r="JS163" s="64"/>
      <c r="JT163" s="64"/>
      <c r="JU163" s="64"/>
      <c r="JV163" s="64"/>
      <c r="JW163" s="64"/>
      <c r="JX163" s="64"/>
    </row>
    <row r="164" spans="1:284" ht="14.1" customHeight="1" x14ac:dyDescent="0.2">
      <c r="A164" s="242"/>
      <c r="B164" s="291"/>
      <c r="C164" s="291"/>
      <c r="D164" s="291"/>
      <c r="E164" s="291"/>
      <c r="F164" s="291"/>
      <c r="G164" s="291"/>
      <c r="H164" s="291"/>
      <c r="I164" s="291"/>
      <c r="J164" s="291"/>
      <c r="K164" s="291"/>
      <c r="L164" s="291"/>
      <c r="M164" s="291"/>
      <c r="N164" s="291"/>
      <c r="O164" s="291"/>
      <c r="P164" s="291"/>
      <c r="Q164" s="291"/>
      <c r="R164" s="291"/>
      <c r="S164" s="291"/>
      <c r="T164" s="291"/>
      <c r="U164" s="291"/>
      <c r="V164" s="291"/>
      <c r="W164" s="291"/>
      <c r="X164" s="291"/>
      <c r="Y164" s="291"/>
      <c r="Z164" s="291"/>
      <c r="AA164" s="291"/>
      <c r="AB164" s="291"/>
      <c r="AC164" s="291"/>
      <c r="AD164" s="291"/>
      <c r="AE164" s="291"/>
      <c r="AF164" s="291"/>
      <c r="AG164" s="242"/>
      <c r="AH164" s="242"/>
      <c r="AI164" s="242"/>
      <c r="AJ164" s="242"/>
      <c r="AK164" s="242"/>
      <c r="AL164" s="242"/>
      <c r="AM164" s="242"/>
      <c r="AN164" s="242"/>
      <c r="AO164" s="242"/>
      <c r="AP164" s="242"/>
      <c r="AQ164" s="242"/>
      <c r="AR164" s="242"/>
      <c r="AS164" s="242"/>
      <c r="AT164" s="242"/>
      <c r="AU164" s="242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  <c r="BJ164" s="153"/>
      <c r="BK164" s="153"/>
      <c r="BL164" s="153"/>
      <c r="BM164" s="153"/>
      <c r="BN164" s="153"/>
      <c r="BO164" s="153"/>
      <c r="BP164" s="153"/>
      <c r="BQ164" s="153"/>
      <c r="BR164" s="153"/>
      <c r="BS164" s="153"/>
      <c r="BT164" s="153"/>
      <c r="BU164" s="153"/>
      <c r="BV164" s="153"/>
      <c r="BW164" s="153"/>
      <c r="BX164" s="153"/>
      <c r="BY164" s="153"/>
      <c r="BZ164" s="153"/>
      <c r="CA164" s="153"/>
      <c r="CB164" s="153"/>
      <c r="CC164" s="153"/>
      <c r="CD164" s="153"/>
      <c r="CE164" s="153"/>
      <c r="CF164" s="153"/>
      <c r="CG164" s="153"/>
      <c r="CH164" s="153"/>
      <c r="CI164" s="153"/>
      <c r="CJ164" s="153"/>
      <c r="CK164" s="153"/>
      <c r="CL164" s="153"/>
      <c r="CM164" s="153"/>
      <c r="CN164" s="153"/>
      <c r="CO164" s="153"/>
      <c r="CP164" s="153"/>
      <c r="CQ164" s="153"/>
      <c r="CR164" s="153"/>
      <c r="CS164" s="153"/>
      <c r="CT164" s="153"/>
      <c r="CU164" s="153"/>
      <c r="CV164" s="153"/>
      <c r="CW164" s="153"/>
      <c r="CX164" s="153"/>
      <c r="CY164" s="153"/>
      <c r="CZ164" s="153"/>
      <c r="DA164" s="153"/>
      <c r="DB164" s="153"/>
      <c r="DC164" s="153"/>
      <c r="DD164" s="153"/>
      <c r="DE164" s="153"/>
      <c r="DF164" s="153"/>
      <c r="DG164" s="153"/>
      <c r="DH164" s="153"/>
      <c r="DI164" s="153"/>
      <c r="DJ164" s="153"/>
      <c r="DK164" s="153"/>
      <c r="DL164" s="153"/>
      <c r="DM164" s="153"/>
      <c r="DN164" s="153"/>
      <c r="DO164" s="153"/>
      <c r="DP164" s="153"/>
      <c r="DQ164" s="153"/>
      <c r="DR164" s="153"/>
      <c r="DS164" s="153"/>
      <c r="DT164" s="153"/>
      <c r="DU164" s="153"/>
      <c r="DV164" s="153"/>
      <c r="DW164" s="153"/>
      <c r="DX164" s="153"/>
      <c r="DY164" s="153"/>
      <c r="JG164" s="64"/>
      <c r="JH164" s="64"/>
      <c r="JI164" s="64"/>
      <c r="JJ164" s="64"/>
      <c r="JK164" s="64"/>
      <c r="JL164" s="64"/>
      <c r="JM164" s="64"/>
      <c r="JN164" s="64"/>
      <c r="JO164" s="64"/>
      <c r="JP164" s="64"/>
      <c r="JQ164" s="64"/>
      <c r="JR164" s="64"/>
      <c r="JS164" s="64"/>
      <c r="JT164" s="64"/>
      <c r="JU164" s="64"/>
      <c r="JV164" s="64"/>
      <c r="JW164" s="64"/>
      <c r="JX164" s="64"/>
    </row>
    <row r="165" spans="1:284" ht="14.1" customHeight="1" x14ac:dyDescent="0.2">
      <c r="A165" s="242"/>
      <c r="B165" s="291"/>
      <c r="C165" s="291"/>
      <c r="D165" s="291"/>
      <c r="E165" s="291"/>
      <c r="F165" s="291"/>
      <c r="G165" s="291"/>
      <c r="H165" s="291"/>
      <c r="I165" s="291"/>
      <c r="J165" s="291"/>
      <c r="K165" s="291"/>
      <c r="L165" s="291"/>
      <c r="M165" s="291"/>
      <c r="N165" s="291"/>
      <c r="O165" s="291"/>
      <c r="P165" s="291"/>
      <c r="Q165" s="291"/>
      <c r="R165" s="291"/>
      <c r="S165" s="291"/>
      <c r="T165" s="291"/>
      <c r="U165" s="291"/>
      <c r="V165" s="291"/>
      <c r="W165" s="291"/>
      <c r="X165" s="291"/>
      <c r="Y165" s="291"/>
      <c r="Z165" s="291"/>
      <c r="AA165" s="291"/>
      <c r="AB165" s="291"/>
      <c r="AC165" s="291"/>
      <c r="AD165" s="291"/>
      <c r="AE165" s="291"/>
      <c r="AF165" s="291"/>
      <c r="AG165" s="242"/>
      <c r="AH165" s="242"/>
      <c r="AI165" s="242"/>
      <c r="AJ165" s="242"/>
      <c r="AK165" s="242"/>
      <c r="AL165" s="242"/>
      <c r="AM165" s="242"/>
      <c r="AN165" s="242"/>
      <c r="AO165" s="242"/>
      <c r="AP165" s="242"/>
      <c r="AQ165" s="242"/>
      <c r="AR165" s="242"/>
      <c r="AS165" s="242"/>
      <c r="AT165" s="242"/>
      <c r="AU165" s="242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  <c r="BJ165" s="153"/>
      <c r="BK165" s="153"/>
      <c r="BL165" s="153"/>
      <c r="BM165" s="153"/>
      <c r="BN165" s="153"/>
      <c r="BO165" s="153"/>
      <c r="BP165" s="153"/>
      <c r="BQ165" s="153"/>
      <c r="BR165" s="153"/>
      <c r="BS165" s="153"/>
      <c r="BT165" s="153"/>
      <c r="BU165" s="153"/>
      <c r="BV165" s="153"/>
      <c r="BW165" s="153"/>
      <c r="BX165" s="153"/>
      <c r="BY165" s="153"/>
      <c r="BZ165" s="153"/>
      <c r="CA165" s="153"/>
      <c r="CB165" s="153"/>
      <c r="CC165" s="153"/>
      <c r="CD165" s="153"/>
      <c r="CE165" s="153"/>
      <c r="CF165" s="153"/>
      <c r="CG165" s="153"/>
      <c r="CH165" s="153"/>
      <c r="CI165" s="153"/>
      <c r="CJ165" s="153"/>
      <c r="CK165" s="153"/>
      <c r="CL165" s="153"/>
      <c r="CM165" s="153"/>
      <c r="CN165" s="153"/>
      <c r="CO165" s="153"/>
      <c r="CP165" s="153"/>
      <c r="CQ165" s="153"/>
      <c r="CR165" s="153"/>
      <c r="CS165" s="153"/>
      <c r="CT165" s="153"/>
      <c r="CU165" s="153"/>
      <c r="CV165" s="153"/>
      <c r="CW165" s="153"/>
      <c r="CX165" s="153"/>
      <c r="CY165" s="153"/>
      <c r="CZ165" s="153"/>
      <c r="DA165" s="153"/>
      <c r="DB165" s="153"/>
      <c r="DC165" s="153"/>
      <c r="DD165" s="153"/>
      <c r="DE165" s="153"/>
      <c r="DF165" s="153"/>
      <c r="DG165" s="153"/>
      <c r="DH165" s="153"/>
      <c r="DI165" s="153"/>
      <c r="DJ165" s="153"/>
      <c r="DK165" s="153"/>
      <c r="DL165" s="153"/>
      <c r="DM165" s="153"/>
      <c r="DN165" s="153"/>
      <c r="DO165" s="153"/>
      <c r="DP165" s="153"/>
      <c r="DQ165" s="153"/>
      <c r="DR165" s="153"/>
      <c r="DS165" s="153"/>
      <c r="DT165" s="153"/>
      <c r="DU165" s="153"/>
      <c r="DV165" s="153"/>
      <c r="DW165" s="153"/>
      <c r="DX165" s="153"/>
      <c r="DY165" s="153"/>
      <c r="JG165" s="64" t="s">
        <v>232</v>
      </c>
      <c r="JH165" s="64"/>
      <c r="JI165" s="64"/>
      <c r="JJ165" s="64"/>
      <c r="JK165" s="64" t="s">
        <v>233</v>
      </c>
      <c r="JL165" s="64"/>
      <c r="JM165" s="64"/>
      <c r="JN165" s="64"/>
      <c r="JO165" s="64"/>
      <c r="JP165" s="64"/>
      <c r="JQ165" s="64"/>
      <c r="JR165" s="64"/>
      <c r="JS165" s="64"/>
      <c r="JT165" s="64"/>
      <c r="JU165" s="64"/>
      <c r="JV165" s="64"/>
      <c r="JW165" s="64"/>
      <c r="JX165" s="64"/>
    </row>
    <row r="166" spans="1:284" ht="14.1" customHeight="1" x14ac:dyDescent="0.2">
      <c r="A166" s="242"/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  <c r="X166" s="242"/>
      <c r="Y166" s="242"/>
      <c r="Z166" s="242"/>
      <c r="AA166" s="242"/>
      <c r="AB166" s="242"/>
      <c r="AC166" s="242"/>
      <c r="AD166" s="242"/>
      <c r="AE166" s="242"/>
      <c r="AF166" s="242"/>
      <c r="AG166" s="242"/>
      <c r="AH166" s="242"/>
      <c r="AI166" s="242"/>
      <c r="AJ166" s="242"/>
      <c r="AK166" s="242"/>
      <c r="AL166" s="242"/>
      <c r="AM166" s="242"/>
      <c r="AN166" s="242"/>
      <c r="AO166" s="242"/>
      <c r="AP166" s="242"/>
      <c r="AQ166" s="242"/>
      <c r="AR166" s="242"/>
      <c r="AS166" s="242"/>
      <c r="AT166" s="242"/>
      <c r="AU166" s="242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  <c r="BJ166" s="153"/>
      <c r="BK166" s="153"/>
      <c r="BL166" s="153"/>
      <c r="BM166" s="153"/>
      <c r="BN166" s="153"/>
      <c r="BO166" s="153"/>
      <c r="BP166" s="153"/>
      <c r="BQ166" s="153"/>
      <c r="BR166" s="153"/>
      <c r="BS166" s="153"/>
      <c r="BT166" s="153"/>
      <c r="BU166" s="153"/>
      <c r="BV166" s="153"/>
      <c r="BW166" s="153"/>
      <c r="BX166" s="153"/>
      <c r="BY166" s="153"/>
      <c r="BZ166" s="153"/>
      <c r="CA166" s="153"/>
      <c r="CB166" s="153"/>
      <c r="CC166" s="153"/>
      <c r="CD166" s="153"/>
      <c r="CE166" s="153"/>
      <c r="CF166" s="153"/>
      <c r="CG166" s="153"/>
      <c r="CH166" s="153"/>
      <c r="CI166" s="153"/>
      <c r="CJ166" s="153"/>
      <c r="CK166" s="153"/>
      <c r="CL166" s="153"/>
      <c r="CM166" s="153"/>
      <c r="CN166" s="153"/>
      <c r="CO166" s="153"/>
      <c r="CP166" s="153"/>
      <c r="CQ166" s="153"/>
      <c r="CR166" s="153"/>
      <c r="CS166" s="153"/>
      <c r="CT166" s="153"/>
      <c r="CU166" s="153"/>
      <c r="CV166" s="153"/>
      <c r="CW166" s="153"/>
      <c r="CX166" s="153"/>
      <c r="CY166" s="153"/>
      <c r="CZ166" s="153"/>
      <c r="DA166" s="153"/>
      <c r="DB166" s="153"/>
      <c r="DC166" s="153"/>
      <c r="DD166" s="153"/>
      <c r="DE166" s="153"/>
      <c r="DF166" s="153"/>
      <c r="DG166" s="153"/>
      <c r="DH166" s="153"/>
      <c r="DI166" s="153"/>
      <c r="DJ166" s="153"/>
      <c r="DK166" s="153"/>
      <c r="DL166" s="153"/>
      <c r="DM166" s="153"/>
      <c r="DN166" s="153"/>
      <c r="DO166" s="153"/>
      <c r="DP166" s="153"/>
      <c r="DQ166" s="153"/>
      <c r="DR166" s="153"/>
      <c r="DS166" s="153"/>
      <c r="DT166" s="153"/>
      <c r="DU166" s="153"/>
      <c r="DV166" s="153"/>
      <c r="DW166" s="153"/>
      <c r="DX166" s="153"/>
      <c r="DY166" s="153"/>
      <c r="JG166" s="64" t="s">
        <v>23</v>
      </c>
      <c r="JH166" s="64">
        <v>1</v>
      </c>
      <c r="JI166" s="64">
        <v>1</v>
      </c>
      <c r="JJ166" s="64"/>
      <c r="JK166" s="64">
        <v>-0.1</v>
      </c>
      <c r="JL166" s="64">
        <v>2.1</v>
      </c>
      <c r="JM166" s="64"/>
      <c r="JN166" s="64"/>
      <c r="JO166" s="64">
        <v>0.2</v>
      </c>
      <c r="JP166" s="64">
        <v>0.2</v>
      </c>
      <c r="JQ166" s="64"/>
      <c r="JR166" s="64">
        <v>0.2</v>
      </c>
      <c r="JS166" s="64"/>
      <c r="JT166" s="64"/>
      <c r="JU166" s="64"/>
      <c r="JV166" s="64"/>
      <c r="JW166" s="64"/>
      <c r="JX166" s="64"/>
    </row>
    <row r="167" spans="1:284" ht="14.1" customHeight="1" x14ac:dyDescent="0.2">
      <c r="A167" s="242"/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  <c r="X167" s="242"/>
      <c r="Y167" s="242"/>
      <c r="Z167" s="242"/>
      <c r="AA167" s="242"/>
      <c r="AB167" s="242"/>
      <c r="AC167" s="242"/>
      <c r="AD167" s="242"/>
      <c r="AE167" s="242"/>
      <c r="AF167" s="242"/>
      <c r="AG167" s="242"/>
      <c r="AH167" s="242"/>
      <c r="AI167" s="242"/>
      <c r="AJ167" s="242"/>
      <c r="AK167" s="242"/>
      <c r="AL167" s="242"/>
      <c r="AM167" s="242"/>
      <c r="AN167" s="242"/>
      <c r="AO167" s="242"/>
      <c r="AP167" s="242"/>
      <c r="AQ167" s="242"/>
      <c r="AR167" s="242"/>
      <c r="AS167" s="242"/>
      <c r="AT167" s="242"/>
      <c r="AU167" s="242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  <c r="BJ167" s="153"/>
      <c r="BK167" s="153"/>
      <c r="BL167" s="153"/>
      <c r="BM167" s="153"/>
      <c r="BN167" s="153"/>
      <c r="BO167" s="153"/>
      <c r="BP167" s="153"/>
      <c r="BQ167" s="153"/>
      <c r="BR167" s="153"/>
      <c r="BS167" s="153"/>
      <c r="BT167" s="153"/>
      <c r="BU167" s="153"/>
      <c r="BV167" s="153"/>
      <c r="BW167" s="153"/>
      <c r="BX167" s="153"/>
      <c r="BY167" s="153"/>
      <c r="BZ167" s="153"/>
      <c r="CA167" s="153"/>
      <c r="CB167" s="153"/>
      <c r="CC167" s="153"/>
      <c r="CD167" s="153"/>
      <c r="CE167" s="153"/>
      <c r="CF167" s="153"/>
      <c r="CG167" s="153"/>
      <c r="CH167" s="153"/>
      <c r="CI167" s="153"/>
      <c r="CJ167" s="153"/>
      <c r="CK167" s="153"/>
      <c r="CL167" s="153"/>
      <c r="CM167" s="153"/>
      <c r="CN167" s="153"/>
      <c r="CO167" s="153"/>
      <c r="CP167" s="153"/>
      <c r="CQ167" s="153"/>
      <c r="CR167" s="153"/>
      <c r="CS167" s="153"/>
      <c r="CT167" s="153"/>
      <c r="CU167" s="153"/>
      <c r="CV167" s="153"/>
      <c r="CW167" s="153"/>
      <c r="CX167" s="153"/>
      <c r="CY167" s="153"/>
      <c r="CZ167" s="153"/>
      <c r="DA167" s="153"/>
      <c r="DB167" s="153"/>
      <c r="DC167" s="153"/>
      <c r="DD167" s="153"/>
      <c r="DE167" s="153"/>
      <c r="DF167" s="153"/>
      <c r="DG167" s="153"/>
      <c r="DH167" s="153"/>
      <c r="DI167" s="153"/>
      <c r="DJ167" s="153"/>
      <c r="DK167" s="153"/>
      <c r="DL167" s="153"/>
      <c r="DM167" s="153"/>
      <c r="DN167" s="153"/>
      <c r="DO167" s="153"/>
      <c r="DP167" s="153"/>
      <c r="DQ167" s="153"/>
      <c r="DR167" s="153"/>
      <c r="DS167" s="153"/>
      <c r="DT167" s="153"/>
      <c r="DU167" s="153"/>
      <c r="DV167" s="153"/>
      <c r="DW167" s="153"/>
      <c r="DX167" s="153"/>
      <c r="DY167" s="153"/>
      <c r="JG167" s="64" t="s">
        <v>24</v>
      </c>
      <c r="JH167" s="64">
        <v>-0.1</v>
      </c>
      <c r="JI167" s="64">
        <v>1.1000000000000001</v>
      </c>
      <c r="JJ167" s="64"/>
      <c r="JK167" s="64">
        <v>0.5</v>
      </c>
      <c r="JL167" s="64">
        <v>0.5</v>
      </c>
      <c r="JM167" s="64"/>
      <c r="JN167" s="64"/>
      <c r="JO167" s="64">
        <v>-0.1</v>
      </c>
      <c r="JP167" s="64">
        <v>1.1000000000000001</v>
      </c>
      <c r="JQ167" s="64"/>
      <c r="JR167" s="64">
        <v>0.5</v>
      </c>
      <c r="JS167" s="64"/>
      <c r="JT167" s="64"/>
      <c r="JU167" s="64"/>
      <c r="JV167" s="64"/>
      <c r="JW167" s="64"/>
      <c r="JX167" s="64"/>
    </row>
    <row r="168" spans="1:284" ht="14.1" customHeight="1" x14ac:dyDescent="0.2">
      <c r="A168" s="242"/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  <c r="X168" s="242"/>
      <c r="Y168" s="242"/>
      <c r="Z168" s="242"/>
      <c r="AA168" s="242"/>
      <c r="AB168" s="242"/>
      <c r="AC168" s="242"/>
      <c r="AD168" s="242"/>
      <c r="AE168" s="242"/>
      <c r="AF168" s="242"/>
      <c r="AG168" s="242"/>
      <c r="AH168" s="242"/>
      <c r="AI168" s="242"/>
      <c r="AJ168" s="242"/>
      <c r="AK168" s="242"/>
      <c r="AL168" s="242"/>
      <c r="AM168" s="242"/>
      <c r="AN168" s="242"/>
      <c r="AO168" s="242"/>
      <c r="AP168" s="242"/>
      <c r="AQ168" s="242"/>
      <c r="AR168" s="242"/>
      <c r="AS168" s="242"/>
      <c r="AT168" s="242"/>
      <c r="AU168" s="242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  <c r="BJ168" s="153"/>
      <c r="BK168" s="153"/>
      <c r="BL168" s="153"/>
      <c r="BM168" s="153"/>
      <c r="BN168" s="153"/>
      <c r="BO168" s="153"/>
      <c r="BP168" s="153"/>
      <c r="BQ168" s="153"/>
      <c r="BR168" s="153"/>
      <c r="BS168" s="153"/>
      <c r="BT168" s="153"/>
      <c r="BU168" s="153"/>
      <c r="BV168" s="153"/>
      <c r="BW168" s="153"/>
      <c r="BX168" s="153"/>
      <c r="BY168" s="153"/>
      <c r="BZ168" s="153"/>
      <c r="CA168" s="153"/>
      <c r="CB168" s="153"/>
      <c r="CC168" s="153"/>
      <c r="CD168" s="153"/>
      <c r="CE168" s="153"/>
      <c r="CF168" s="153"/>
      <c r="CG168" s="153"/>
      <c r="CH168" s="153"/>
      <c r="CI168" s="153"/>
      <c r="CJ168" s="153"/>
      <c r="CK168" s="153"/>
      <c r="CL168" s="153"/>
      <c r="CM168" s="153"/>
      <c r="CN168" s="153"/>
      <c r="CO168" s="153"/>
      <c r="CP168" s="153"/>
      <c r="CQ168" s="153"/>
      <c r="CR168" s="153"/>
      <c r="CS168" s="153"/>
      <c r="CT168" s="153"/>
      <c r="CU168" s="153"/>
      <c r="CV168" s="153"/>
      <c r="CW168" s="153"/>
      <c r="CX168" s="153"/>
      <c r="CY168" s="153"/>
      <c r="CZ168" s="153"/>
      <c r="DA168" s="153"/>
      <c r="DB168" s="153"/>
      <c r="DC168" s="153"/>
      <c r="DD168" s="153"/>
      <c r="DE168" s="153"/>
      <c r="DF168" s="153"/>
      <c r="DG168" s="153"/>
      <c r="DH168" s="153"/>
      <c r="DI168" s="153"/>
      <c r="DJ168" s="153"/>
      <c r="DK168" s="153"/>
      <c r="DL168" s="153"/>
      <c r="DM168" s="153"/>
      <c r="DN168" s="153"/>
      <c r="DO168" s="153"/>
      <c r="DP168" s="153"/>
      <c r="DQ168" s="153"/>
      <c r="DR168" s="153"/>
      <c r="DS168" s="153"/>
      <c r="DT168" s="153"/>
      <c r="DU168" s="153"/>
      <c r="DV168" s="153"/>
      <c r="DW168" s="153"/>
      <c r="DX168" s="153"/>
      <c r="DY168" s="153"/>
    </row>
    <row r="169" spans="1:284" ht="14.1" customHeight="1" x14ac:dyDescent="0.2">
      <c r="A169" s="242"/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  <c r="X169" s="242"/>
      <c r="Y169" s="242"/>
      <c r="Z169" s="242"/>
      <c r="AA169" s="242"/>
      <c r="AB169" s="242"/>
      <c r="AC169" s="242"/>
      <c r="AD169" s="242"/>
      <c r="AE169" s="242"/>
      <c r="AF169" s="242"/>
      <c r="AG169" s="242"/>
      <c r="AH169" s="242"/>
      <c r="AI169" s="242"/>
      <c r="AJ169" s="242"/>
      <c r="AK169" s="242"/>
      <c r="AL169" s="242"/>
      <c r="AM169" s="242"/>
      <c r="AN169" s="242"/>
      <c r="AO169" s="242"/>
      <c r="AP169" s="242"/>
      <c r="AQ169" s="242"/>
      <c r="AR169" s="242"/>
      <c r="AS169" s="242"/>
      <c r="AT169" s="242"/>
      <c r="AU169" s="242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  <c r="BJ169" s="153"/>
      <c r="BK169" s="153"/>
      <c r="BL169" s="153"/>
      <c r="BM169" s="153"/>
      <c r="BN169" s="153"/>
      <c r="BO169" s="153"/>
      <c r="BP169" s="153"/>
      <c r="BQ169" s="153"/>
      <c r="BR169" s="153"/>
      <c r="BS169" s="153"/>
      <c r="BT169" s="153"/>
      <c r="BU169" s="153"/>
      <c r="BV169" s="153"/>
      <c r="BW169" s="153"/>
      <c r="BX169" s="153"/>
      <c r="BY169" s="153"/>
      <c r="BZ169" s="153"/>
      <c r="CA169" s="153"/>
      <c r="CB169" s="153"/>
      <c r="CC169" s="153"/>
      <c r="CD169" s="153"/>
      <c r="CE169" s="153"/>
      <c r="CF169" s="153"/>
      <c r="CG169" s="153"/>
      <c r="CH169" s="153"/>
      <c r="CI169" s="153"/>
      <c r="CJ169" s="153"/>
      <c r="CK169" s="153"/>
      <c r="CL169" s="153"/>
      <c r="CM169" s="153"/>
      <c r="CN169" s="153"/>
      <c r="CO169" s="153"/>
      <c r="CP169" s="153"/>
      <c r="CQ169" s="153"/>
      <c r="CR169" s="153"/>
      <c r="CS169" s="153"/>
      <c r="CT169" s="153"/>
      <c r="CU169" s="153"/>
      <c r="CV169" s="153"/>
      <c r="CW169" s="153"/>
      <c r="CX169" s="153"/>
      <c r="CY169" s="153"/>
      <c r="CZ169" s="153"/>
      <c r="DA169" s="153"/>
      <c r="DB169" s="153"/>
      <c r="DC169" s="153"/>
      <c r="DD169" s="153"/>
      <c r="DE169" s="153"/>
      <c r="DF169" s="153"/>
      <c r="DG169" s="153"/>
      <c r="DH169" s="153"/>
      <c r="DI169" s="153"/>
      <c r="DJ169" s="153"/>
      <c r="DK169" s="153"/>
      <c r="DL169" s="153"/>
      <c r="DM169" s="153"/>
      <c r="DN169" s="153"/>
      <c r="DO169" s="153"/>
      <c r="DP169" s="153"/>
      <c r="DQ169" s="153"/>
      <c r="DR169" s="153"/>
      <c r="DS169" s="153"/>
      <c r="DT169" s="153"/>
      <c r="DU169" s="153"/>
      <c r="DV169" s="153"/>
      <c r="DW169" s="153"/>
      <c r="DX169" s="153"/>
      <c r="DY169" s="153"/>
    </row>
    <row r="170" spans="1:284" ht="14.1" customHeight="1" x14ac:dyDescent="0.2">
      <c r="A170" s="242"/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  <c r="X170" s="242"/>
      <c r="Y170" s="242"/>
      <c r="Z170" s="242"/>
      <c r="AA170" s="242"/>
      <c r="AB170" s="242"/>
      <c r="AC170" s="242"/>
      <c r="AD170" s="242"/>
      <c r="AE170" s="242"/>
      <c r="AF170" s="242"/>
      <c r="AG170" s="242"/>
      <c r="AH170" s="242"/>
      <c r="AI170" s="242"/>
      <c r="AJ170" s="242"/>
      <c r="AK170" s="242"/>
      <c r="AL170" s="242"/>
      <c r="AM170" s="242"/>
      <c r="AN170" s="242"/>
      <c r="AO170" s="242"/>
      <c r="AP170" s="242"/>
      <c r="AQ170" s="242"/>
      <c r="AR170" s="242"/>
      <c r="AS170" s="242"/>
      <c r="AT170" s="242"/>
      <c r="AU170" s="242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  <c r="BJ170" s="153"/>
      <c r="BK170" s="153"/>
      <c r="BL170" s="153"/>
      <c r="BM170" s="153"/>
      <c r="BN170" s="153"/>
      <c r="BO170" s="153"/>
      <c r="BP170" s="153"/>
      <c r="BQ170" s="153"/>
      <c r="BR170" s="153"/>
      <c r="BS170" s="153"/>
      <c r="BT170" s="153"/>
      <c r="BU170" s="153"/>
      <c r="BV170" s="153"/>
      <c r="BW170" s="153"/>
      <c r="BX170" s="153"/>
      <c r="BY170" s="153"/>
      <c r="BZ170" s="153"/>
      <c r="CA170" s="153"/>
      <c r="CB170" s="153"/>
      <c r="CC170" s="153"/>
      <c r="CD170" s="153"/>
      <c r="CE170" s="153"/>
      <c r="CF170" s="153"/>
      <c r="CG170" s="153"/>
      <c r="CH170" s="153"/>
      <c r="CI170" s="153"/>
      <c r="CJ170" s="153"/>
      <c r="CK170" s="153"/>
      <c r="CL170" s="153"/>
      <c r="CM170" s="153"/>
      <c r="CN170" s="153"/>
      <c r="CO170" s="153"/>
      <c r="CP170" s="153"/>
      <c r="CQ170" s="153"/>
      <c r="CR170" s="153"/>
      <c r="CS170" s="153"/>
      <c r="CT170" s="153"/>
      <c r="CU170" s="153"/>
      <c r="CV170" s="153"/>
      <c r="CW170" s="153"/>
      <c r="CX170" s="153"/>
      <c r="CY170" s="153"/>
      <c r="CZ170" s="153"/>
      <c r="DA170" s="153"/>
      <c r="DB170" s="153"/>
      <c r="DC170" s="153"/>
      <c r="DD170" s="153"/>
      <c r="DE170" s="153"/>
      <c r="DF170" s="153"/>
      <c r="DG170" s="153"/>
      <c r="DH170" s="153"/>
      <c r="DI170" s="153"/>
      <c r="DJ170" s="153"/>
      <c r="DK170" s="153"/>
      <c r="DL170" s="153"/>
      <c r="DM170" s="153"/>
      <c r="DN170" s="153"/>
      <c r="DO170" s="153"/>
      <c r="DP170" s="153"/>
      <c r="DQ170" s="153"/>
      <c r="DR170" s="153"/>
      <c r="DS170" s="153"/>
      <c r="DT170" s="153"/>
      <c r="DU170" s="153"/>
      <c r="DV170" s="153"/>
      <c r="DW170" s="153"/>
      <c r="DX170" s="153"/>
      <c r="DY170" s="153"/>
    </row>
    <row r="171" spans="1:284" ht="14.1" customHeight="1" x14ac:dyDescent="0.2">
      <c r="A171" s="242"/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  <c r="X171" s="242"/>
      <c r="Y171" s="242"/>
      <c r="Z171" s="242"/>
      <c r="AA171" s="242"/>
      <c r="AB171" s="242"/>
      <c r="AC171" s="242"/>
      <c r="AD171" s="242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2"/>
      <c r="AT171" s="242"/>
      <c r="AU171" s="242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  <c r="BJ171" s="153"/>
      <c r="BK171" s="153"/>
      <c r="BL171" s="153"/>
      <c r="BM171" s="153"/>
      <c r="BN171" s="153"/>
      <c r="BO171" s="153"/>
      <c r="BP171" s="153"/>
      <c r="BQ171" s="153"/>
      <c r="BR171" s="153"/>
      <c r="BS171" s="153"/>
      <c r="BT171" s="153"/>
      <c r="BU171" s="153"/>
      <c r="BV171" s="153"/>
      <c r="BW171" s="153"/>
      <c r="BX171" s="153"/>
      <c r="BY171" s="153"/>
      <c r="BZ171" s="153"/>
      <c r="CA171" s="153"/>
      <c r="CB171" s="153"/>
      <c r="CC171" s="153"/>
      <c r="CD171" s="153"/>
      <c r="CE171" s="153"/>
      <c r="CF171" s="153"/>
      <c r="CG171" s="153"/>
      <c r="CH171" s="153"/>
      <c r="CI171" s="153"/>
      <c r="CJ171" s="153"/>
      <c r="CK171" s="153"/>
      <c r="CL171" s="153"/>
      <c r="CM171" s="153"/>
      <c r="CN171" s="153"/>
      <c r="CO171" s="153"/>
      <c r="CP171" s="153"/>
      <c r="CQ171" s="153"/>
      <c r="CR171" s="153"/>
      <c r="CS171" s="153"/>
      <c r="CT171" s="153"/>
      <c r="CU171" s="153"/>
      <c r="CV171" s="153"/>
      <c r="CW171" s="153"/>
      <c r="CX171" s="153"/>
      <c r="CY171" s="153"/>
      <c r="CZ171" s="153"/>
      <c r="DA171" s="153"/>
      <c r="DB171" s="153"/>
      <c r="DC171" s="153"/>
      <c r="DD171" s="153"/>
      <c r="DE171" s="153"/>
      <c r="DF171" s="153"/>
      <c r="DG171" s="153"/>
      <c r="DH171" s="153"/>
      <c r="DI171" s="153"/>
      <c r="DJ171" s="153"/>
      <c r="DK171" s="153"/>
      <c r="DL171" s="153"/>
      <c r="DM171" s="153"/>
      <c r="DN171" s="153"/>
      <c r="DO171" s="153"/>
      <c r="DP171" s="153"/>
      <c r="DQ171" s="153"/>
      <c r="DR171" s="153"/>
      <c r="DS171" s="153"/>
      <c r="DT171" s="153"/>
      <c r="DU171" s="153"/>
      <c r="DV171" s="153"/>
      <c r="DW171" s="153"/>
      <c r="DX171" s="153"/>
      <c r="DY171" s="153"/>
    </row>
    <row r="172" spans="1:284" ht="14.1" customHeight="1" x14ac:dyDescent="0.2">
      <c r="A172" s="242"/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  <c r="X172" s="242"/>
      <c r="Y172" s="242"/>
      <c r="Z172" s="242"/>
      <c r="AA172" s="242"/>
      <c r="AB172" s="242"/>
      <c r="AC172" s="242"/>
      <c r="AD172" s="242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2"/>
      <c r="AT172" s="242"/>
      <c r="AU172" s="242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  <c r="BJ172" s="153"/>
      <c r="BK172" s="153"/>
      <c r="BL172" s="153"/>
      <c r="BM172" s="153"/>
      <c r="BN172" s="153"/>
      <c r="BO172" s="153"/>
      <c r="BP172" s="153"/>
      <c r="BQ172" s="153"/>
      <c r="BR172" s="153"/>
      <c r="BS172" s="153"/>
      <c r="BT172" s="153"/>
      <c r="BU172" s="153"/>
      <c r="BV172" s="153"/>
      <c r="BW172" s="153"/>
      <c r="BX172" s="153"/>
      <c r="BY172" s="153"/>
      <c r="BZ172" s="153"/>
      <c r="CA172" s="153"/>
      <c r="CB172" s="153"/>
      <c r="CC172" s="153"/>
      <c r="CD172" s="153"/>
      <c r="CE172" s="153"/>
      <c r="CF172" s="153"/>
      <c r="CG172" s="153"/>
      <c r="CH172" s="153"/>
      <c r="CI172" s="153"/>
      <c r="CJ172" s="153"/>
      <c r="CK172" s="153"/>
      <c r="CL172" s="153"/>
      <c r="CM172" s="153"/>
      <c r="CN172" s="153"/>
      <c r="CO172" s="153"/>
      <c r="CP172" s="153"/>
      <c r="CQ172" s="153"/>
      <c r="CR172" s="153"/>
      <c r="CS172" s="153"/>
      <c r="CT172" s="153"/>
      <c r="CU172" s="153"/>
      <c r="CV172" s="153"/>
      <c r="CW172" s="153"/>
      <c r="CX172" s="153"/>
      <c r="CY172" s="153"/>
      <c r="CZ172" s="153"/>
      <c r="DA172" s="153"/>
      <c r="DB172" s="153"/>
      <c r="DC172" s="153"/>
      <c r="DD172" s="153"/>
      <c r="DE172" s="153"/>
      <c r="DF172" s="153"/>
      <c r="DG172" s="153"/>
      <c r="DH172" s="153"/>
      <c r="DI172" s="153"/>
      <c r="DJ172" s="153"/>
      <c r="DK172" s="153"/>
      <c r="DL172" s="153"/>
      <c r="DM172" s="153"/>
      <c r="DN172" s="153"/>
      <c r="DO172" s="153"/>
      <c r="DP172" s="153"/>
      <c r="DQ172" s="153"/>
      <c r="DR172" s="153"/>
      <c r="DS172" s="153"/>
      <c r="DT172" s="153"/>
      <c r="DU172" s="153"/>
      <c r="DV172" s="153"/>
      <c r="DW172" s="153"/>
      <c r="DX172" s="153"/>
      <c r="DY172" s="153"/>
    </row>
    <row r="173" spans="1:284" ht="14.1" customHeight="1" x14ac:dyDescent="0.2">
      <c r="A173" s="242"/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  <c r="X173" s="242"/>
      <c r="Y173" s="242"/>
      <c r="Z173" s="242"/>
      <c r="AA173" s="242"/>
      <c r="AB173" s="242"/>
      <c r="AC173" s="242"/>
      <c r="AD173" s="242"/>
      <c r="AE173" s="242"/>
      <c r="AF173" s="242"/>
      <c r="AG173" s="242"/>
      <c r="AH173" s="242"/>
      <c r="AI173" s="242"/>
      <c r="AJ173" s="242"/>
      <c r="AK173" s="242"/>
      <c r="AL173" s="242"/>
      <c r="AM173" s="242"/>
      <c r="AN173" s="242"/>
      <c r="AO173" s="242"/>
      <c r="AP173" s="242"/>
      <c r="AQ173" s="242"/>
      <c r="AR173" s="242"/>
      <c r="AS173" s="242"/>
      <c r="AT173" s="242"/>
      <c r="AU173" s="242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  <c r="BI173" s="153"/>
      <c r="BJ173" s="153"/>
      <c r="BK173" s="153"/>
      <c r="BL173" s="153"/>
      <c r="BM173" s="153"/>
      <c r="BN173" s="153"/>
      <c r="BO173" s="153"/>
      <c r="BP173" s="153"/>
      <c r="BQ173" s="153"/>
      <c r="BR173" s="153"/>
      <c r="BS173" s="153"/>
      <c r="BT173" s="153"/>
      <c r="BU173" s="153"/>
      <c r="BV173" s="153"/>
      <c r="BW173" s="153"/>
      <c r="BX173" s="153"/>
      <c r="BY173" s="153"/>
      <c r="BZ173" s="153"/>
      <c r="CA173" s="153"/>
      <c r="CB173" s="153"/>
      <c r="CC173" s="153"/>
      <c r="CD173" s="153"/>
      <c r="CE173" s="153"/>
      <c r="CF173" s="153"/>
      <c r="CG173" s="153"/>
      <c r="CH173" s="153"/>
      <c r="CI173" s="153"/>
      <c r="CJ173" s="153"/>
      <c r="CK173" s="153"/>
      <c r="CL173" s="153"/>
      <c r="CM173" s="153"/>
      <c r="CN173" s="153"/>
      <c r="CO173" s="153"/>
      <c r="CP173" s="153"/>
      <c r="CQ173" s="153"/>
      <c r="CR173" s="153"/>
      <c r="CS173" s="153"/>
      <c r="CT173" s="153"/>
      <c r="CU173" s="153"/>
      <c r="CV173" s="153"/>
      <c r="CW173" s="153"/>
      <c r="CX173" s="153"/>
      <c r="CY173" s="153"/>
      <c r="CZ173" s="153"/>
      <c r="DA173" s="153"/>
      <c r="DB173" s="153"/>
      <c r="DC173" s="153"/>
      <c r="DD173" s="153"/>
      <c r="DE173" s="153"/>
      <c r="DF173" s="153"/>
      <c r="DG173" s="153"/>
      <c r="DH173" s="153"/>
      <c r="DI173" s="153"/>
      <c r="DJ173" s="153"/>
      <c r="DK173" s="153"/>
      <c r="DL173" s="153"/>
      <c r="DM173" s="153"/>
      <c r="DN173" s="153"/>
      <c r="DO173" s="153"/>
      <c r="DP173" s="153"/>
      <c r="DQ173" s="153"/>
      <c r="DR173" s="153"/>
      <c r="DS173" s="153"/>
      <c r="DT173" s="153"/>
      <c r="DU173" s="153"/>
      <c r="DV173" s="153"/>
      <c r="DW173" s="153"/>
      <c r="DX173" s="153"/>
      <c r="DY173" s="153"/>
    </row>
    <row r="174" spans="1:284" ht="14.1" customHeight="1" x14ac:dyDescent="0.2">
      <c r="A174" s="242"/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  <c r="X174" s="242"/>
      <c r="Y174" s="242"/>
      <c r="Z174" s="242"/>
      <c r="AA174" s="242"/>
      <c r="AB174" s="242"/>
      <c r="AC174" s="242"/>
      <c r="AD174" s="242"/>
      <c r="AE174" s="242"/>
      <c r="AF174" s="242"/>
      <c r="AG174" s="242"/>
      <c r="AH174" s="242"/>
      <c r="AI174" s="242"/>
      <c r="AJ174" s="242"/>
      <c r="AK174" s="242"/>
      <c r="AL174" s="242"/>
      <c r="AM174" s="242"/>
      <c r="AN174" s="242"/>
      <c r="AO174" s="242"/>
      <c r="AP174" s="242"/>
      <c r="AQ174" s="242"/>
      <c r="AR174" s="242"/>
      <c r="AS174" s="242"/>
      <c r="AT174" s="242"/>
      <c r="AU174" s="242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  <c r="BI174" s="153"/>
      <c r="BJ174" s="153"/>
      <c r="BK174" s="153"/>
      <c r="BL174" s="153"/>
      <c r="BM174" s="153"/>
      <c r="BN174" s="153"/>
      <c r="BO174" s="153"/>
      <c r="BP174" s="153"/>
      <c r="BQ174" s="153"/>
      <c r="BR174" s="153"/>
      <c r="BS174" s="153"/>
      <c r="BT174" s="153"/>
      <c r="BU174" s="153"/>
      <c r="BV174" s="153"/>
      <c r="BW174" s="153"/>
      <c r="BX174" s="153"/>
      <c r="BY174" s="153"/>
      <c r="BZ174" s="153"/>
      <c r="CA174" s="153"/>
      <c r="CB174" s="153"/>
      <c r="CC174" s="153"/>
      <c r="CD174" s="153"/>
      <c r="CE174" s="153"/>
      <c r="CF174" s="153"/>
      <c r="CG174" s="153"/>
      <c r="CH174" s="153"/>
      <c r="CI174" s="153"/>
      <c r="CJ174" s="153"/>
      <c r="CK174" s="153"/>
      <c r="CL174" s="153"/>
      <c r="CM174" s="153"/>
      <c r="CN174" s="153"/>
      <c r="CO174" s="153"/>
      <c r="CP174" s="153"/>
      <c r="CQ174" s="153"/>
      <c r="CR174" s="153"/>
      <c r="CS174" s="153"/>
      <c r="CT174" s="153"/>
      <c r="CU174" s="153"/>
      <c r="CV174" s="153"/>
      <c r="CW174" s="153"/>
      <c r="CX174" s="153"/>
      <c r="CY174" s="153"/>
      <c r="CZ174" s="153"/>
      <c r="DA174" s="153"/>
      <c r="DB174" s="153"/>
      <c r="DC174" s="153"/>
      <c r="DD174" s="153"/>
      <c r="DE174" s="153"/>
      <c r="DF174" s="153"/>
      <c r="DG174" s="153"/>
      <c r="DH174" s="153"/>
      <c r="DI174" s="153"/>
      <c r="DJ174" s="153"/>
      <c r="DK174" s="153"/>
      <c r="DL174" s="153"/>
      <c r="DM174" s="153"/>
      <c r="DN174" s="153"/>
      <c r="DO174" s="153"/>
      <c r="DP174" s="153"/>
      <c r="DQ174" s="153"/>
      <c r="DR174" s="153"/>
      <c r="DS174" s="153"/>
      <c r="DT174" s="153"/>
      <c r="DU174" s="153"/>
      <c r="DV174" s="153"/>
      <c r="DW174" s="153"/>
      <c r="DX174" s="153"/>
      <c r="DY174" s="153"/>
    </row>
    <row r="175" spans="1:284" ht="14.1" customHeight="1" x14ac:dyDescent="0.2">
      <c r="A175" s="242"/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  <c r="X175" s="242"/>
      <c r="Y175" s="242"/>
      <c r="Z175" s="242"/>
      <c r="AA175" s="289"/>
      <c r="AB175" s="242"/>
      <c r="AC175" s="242"/>
      <c r="AD175" s="290"/>
      <c r="AE175" s="214"/>
      <c r="AF175" s="214"/>
      <c r="AG175" s="242"/>
      <c r="AH175" s="242"/>
      <c r="AI175" s="242"/>
      <c r="AJ175" s="242"/>
      <c r="AK175" s="242"/>
      <c r="AL175" s="242"/>
      <c r="AM175" s="242"/>
      <c r="AN175" s="242"/>
      <c r="AO175" s="242"/>
      <c r="AP175" s="242"/>
      <c r="AQ175" s="242"/>
      <c r="AR175" s="242"/>
      <c r="AS175" s="242"/>
      <c r="AT175" s="242"/>
      <c r="AU175" s="242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  <c r="BI175" s="153"/>
      <c r="BJ175" s="153"/>
      <c r="BK175" s="153"/>
      <c r="BL175" s="153"/>
      <c r="BM175" s="153"/>
      <c r="BN175" s="153"/>
      <c r="BO175" s="153"/>
      <c r="BP175" s="153"/>
      <c r="BQ175" s="153"/>
      <c r="BR175" s="153"/>
      <c r="BS175" s="153"/>
      <c r="BT175" s="153"/>
      <c r="BU175" s="153"/>
      <c r="BV175" s="153"/>
      <c r="BW175" s="153"/>
      <c r="BX175" s="153"/>
      <c r="BY175" s="153"/>
      <c r="BZ175" s="153"/>
      <c r="CA175" s="153"/>
      <c r="CB175" s="153"/>
      <c r="CC175" s="153"/>
      <c r="CD175" s="153"/>
      <c r="CE175" s="153"/>
      <c r="CF175" s="153"/>
      <c r="CG175" s="153"/>
      <c r="CH175" s="153"/>
      <c r="CI175" s="153"/>
      <c r="CJ175" s="153"/>
      <c r="CK175" s="153"/>
      <c r="CL175" s="153"/>
      <c r="CM175" s="153"/>
      <c r="CN175" s="153"/>
      <c r="CO175" s="153"/>
      <c r="CP175" s="153"/>
      <c r="CQ175" s="153"/>
      <c r="CR175" s="153"/>
      <c r="CS175" s="153"/>
      <c r="CT175" s="153"/>
      <c r="CU175" s="153"/>
      <c r="CV175" s="153"/>
      <c r="CW175" s="153"/>
      <c r="CX175" s="153"/>
      <c r="CY175" s="153"/>
      <c r="CZ175" s="153"/>
      <c r="DA175" s="153"/>
      <c r="DB175" s="153"/>
      <c r="DC175" s="153"/>
      <c r="DD175" s="153"/>
      <c r="DE175" s="153"/>
      <c r="DF175" s="153"/>
      <c r="DG175" s="153"/>
      <c r="DH175" s="153"/>
      <c r="DI175" s="153"/>
      <c r="DJ175" s="153"/>
      <c r="DK175" s="153"/>
      <c r="DL175" s="153"/>
      <c r="DM175" s="153"/>
      <c r="DN175" s="153"/>
      <c r="DO175" s="153"/>
      <c r="DP175" s="153"/>
      <c r="DQ175" s="153"/>
      <c r="DR175" s="153"/>
      <c r="DS175" s="153"/>
      <c r="DT175" s="153"/>
      <c r="DU175" s="153"/>
      <c r="DV175" s="153"/>
      <c r="DW175" s="153"/>
      <c r="DX175" s="153"/>
      <c r="DY175" s="153"/>
    </row>
    <row r="176" spans="1:284" ht="14.1" customHeight="1" x14ac:dyDescent="0.2">
      <c r="A176" s="242"/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  <c r="X176" s="242"/>
      <c r="Y176" s="242"/>
      <c r="Z176" s="242"/>
      <c r="AA176" s="289"/>
      <c r="AB176" s="242"/>
      <c r="AC176" s="242"/>
      <c r="AD176" s="290"/>
      <c r="AE176" s="214"/>
      <c r="AF176" s="214"/>
      <c r="AG176" s="242"/>
      <c r="AH176" s="242"/>
      <c r="AI176" s="242"/>
      <c r="AJ176" s="242"/>
      <c r="AK176" s="242"/>
      <c r="AL176" s="242"/>
      <c r="AM176" s="242"/>
      <c r="AN176" s="242"/>
      <c r="AO176" s="242"/>
      <c r="AP176" s="242"/>
      <c r="AQ176" s="242"/>
      <c r="AR176" s="242"/>
      <c r="AS176" s="242"/>
      <c r="AT176" s="242"/>
      <c r="AU176" s="242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  <c r="BI176" s="153"/>
      <c r="BJ176" s="153"/>
      <c r="BK176" s="153"/>
      <c r="BL176" s="153"/>
      <c r="BM176" s="153"/>
      <c r="BN176" s="153"/>
      <c r="BO176" s="153"/>
      <c r="BP176" s="153"/>
      <c r="BQ176" s="153"/>
      <c r="BR176" s="153"/>
      <c r="BS176" s="153"/>
      <c r="BT176" s="153"/>
      <c r="BU176" s="153"/>
      <c r="BV176" s="153"/>
      <c r="BW176" s="153"/>
      <c r="BX176" s="153"/>
      <c r="BY176" s="153"/>
      <c r="BZ176" s="153"/>
      <c r="CA176" s="153"/>
      <c r="CB176" s="153"/>
      <c r="CC176" s="153"/>
      <c r="CD176" s="153"/>
      <c r="CE176" s="153"/>
      <c r="CF176" s="153"/>
      <c r="CG176" s="153"/>
      <c r="CH176" s="153"/>
      <c r="CI176" s="153"/>
      <c r="CJ176" s="153"/>
      <c r="CK176" s="153"/>
      <c r="CL176" s="153"/>
      <c r="CM176" s="153"/>
      <c r="CN176" s="153"/>
      <c r="CO176" s="153"/>
      <c r="CP176" s="153"/>
      <c r="CQ176" s="153"/>
      <c r="CR176" s="153"/>
      <c r="CS176" s="153"/>
      <c r="CT176" s="153"/>
      <c r="CU176" s="153"/>
      <c r="CV176" s="153"/>
      <c r="CW176" s="153"/>
      <c r="CX176" s="153"/>
      <c r="CY176" s="153"/>
      <c r="CZ176" s="153"/>
      <c r="DA176" s="153"/>
      <c r="DB176" s="153"/>
      <c r="DC176" s="153"/>
      <c r="DD176" s="153"/>
      <c r="DE176" s="153"/>
      <c r="DF176" s="153"/>
      <c r="DG176" s="153"/>
      <c r="DH176" s="153"/>
      <c r="DI176" s="153"/>
      <c r="DJ176" s="153"/>
      <c r="DK176" s="153"/>
      <c r="DL176" s="153"/>
      <c r="DM176" s="153"/>
      <c r="DN176" s="153"/>
      <c r="DO176" s="153"/>
      <c r="DP176" s="153"/>
      <c r="DQ176" s="153"/>
      <c r="DR176" s="153"/>
      <c r="DS176" s="153"/>
      <c r="DT176" s="153"/>
      <c r="DU176" s="153"/>
      <c r="DV176" s="153"/>
      <c r="DW176" s="153"/>
      <c r="DX176" s="153"/>
      <c r="DY176" s="153"/>
    </row>
    <row r="177" spans="1:129" ht="14.1" customHeight="1" x14ac:dyDescent="0.2">
      <c r="A177" s="242"/>
      <c r="B177" s="291"/>
      <c r="C177" s="291"/>
      <c r="D177" s="291"/>
      <c r="E177" s="291"/>
      <c r="F177" s="291"/>
      <c r="G177" s="291"/>
      <c r="H177" s="291"/>
      <c r="I177" s="291"/>
      <c r="J177" s="291"/>
      <c r="K177" s="291"/>
      <c r="L177" s="291"/>
      <c r="M177" s="291"/>
      <c r="N177" s="291"/>
      <c r="O177" s="291"/>
      <c r="P177" s="291"/>
      <c r="Q177" s="291"/>
      <c r="R177" s="291"/>
      <c r="S177" s="291"/>
      <c r="T177" s="291"/>
      <c r="U177" s="291"/>
      <c r="V177" s="291"/>
      <c r="W177" s="291"/>
      <c r="X177" s="291"/>
      <c r="Y177" s="291"/>
      <c r="Z177" s="291"/>
      <c r="AA177" s="291"/>
      <c r="AB177" s="291"/>
      <c r="AC177" s="291"/>
      <c r="AD177" s="291"/>
      <c r="AE177" s="291"/>
      <c r="AF177" s="291"/>
      <c r="AG177" s="242"/>
      <c r="AH177" s="242"/>
      <c r="AI177" s="242"/>
      <c r="AJ177" s="242"/>
      <c r="AK177" s="242"/>
      <c r="AL177" s="242"/>
      <c r="AM177" s="242"/>
      <c r="AN177" s="242"/>
      <c r="AO177" s="242"/>
      <c r="AP177" s="242"/>
      <c r="AQ177" s="242"/>
      <c r="AR177" s="242"/>
      <c r="AS177" s="242"/>
      <c r="AT177" s="242"/>
      <c r="AU177" s="242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3"/>
      <c r="BN177" s="153"/>
      <c r="BO177" s="153"/>
      <c r="BP177" s="153"/>
      <c r="BQ177" s="153"/>
      <c r="BR177" s="153"/>
      <c r="BS177" s="153"/>
      <c r="BT177" s="153"/>
      <c r="BU177" s="153"/>
      <c r="BV177" s="153"/>
      <c r="BW177" s="153"/>
      <c r="BX177" s="153"/>
      <c r="BY177" s="153"/>
      <c r="BZ177" s="153"/>
      <c r="CA177" s="153"/>
      <c r="CB177" s="153"/>
      <c r="CC177" s="153"/>
      <c r="CD177" s="153"/>
      <c r="CE177" s="153"/>
      <c r="CF177" s="153"/>
      <c r="CG177" s="153"/>
      <c r="CH177" s="153"/>
      <c r="CI177" s="153"/>
      <c r="CJ177" s="153"/>
      <c r="CK177" s="153"/>
      <c r="CL177" s="153"/>
      <c r="CM177" s="153"/>
      <c r="CN177" s="153"/>
      <c r="CO177" s="153"/>
      <c r="CP177" s="153"/>
      <c r="CQ177" s="153"/>
      <c r="CR177" s="153"/>
      <c r="CS177" s="153"/>
      <c r="CT177" s="153"/>
      <c r="CU177" s="153"/>
      <c r="CV177" s="153"/>
      <c r="CW177" s="153"/>
      <c r="CX177" s="153"/>
      <c r="CY177" s="153"/>
      <c r="CZ177" s="153"/>
      <c r="DA177" s="153"/>
      <c r="DB177" s="153"/>
      <c r="DC177" s="153"/>
      <c r="DD177" s="153"/>
      <c r="DE177" s="153"/>
      <c r="DF177" s="153"/>
      <c r="DG177" s="153"/>
      <c r="DH177" s="153"/>
      <c r="DI177" s="153"/>
      <c r="DJ177" s="153"/>
      <c r="DK177" s="153"/>
      <c r="DL177" s="153"/>
      <c r="DM177" s="153"/>
      <c r="DN177" s="153"/>
      <c r="DO177" s="153"/>
      <c r="DP177" s="153"/>
      <c r="DQ177" s="153"/>
      <c r="DR177" s="153"/>
      <c r="DS177" s="153"/>
      <c r="DT177" s="153"/>
      <c r="DU177" s="153"/>
      <c r="DV177" s="153"/>
      <c r="DW177" s="153"/>
      <c r="DX177" s="153"/>
      <c r="DY177" s="153"/>
    </row>
    <row r="178" spans="1:129" ht="14.1" customHeight="1" x14ac:dyDescent="0.2">
      <c r="A178" s="242"/>
      <c r="B178" s="291"/>
      <c r="C178" s="291"/>
      <c r="D178" s="291"/>
      <c r="E178" s="291"/>
      <c r="F178" s="291"/>
      <c r="G178" s="291"/>
      <c r="H178" s="291"/>
      <c r="I178" s="291"/>
      <c r="J178" s="291"/>
      <c r="K178" s="291"/>
      <c r="L178" s="291"/>
      <c r="M178" s="291"/>
      <c r="N178" s="291"/>
      <c r="O178" s="291"/>
      <c r="P178" s="291"/>
      <c r="Q178" s="291"/>
      <c r="R178" s="291"/>
      <c r="S178" s="291"/>
      <c r="T178" s="291"/>
      <c r="U178" s="291"/>
      <c r="V178" s="291"/>
      <c r="W178" s="291"/>
      <c r="X178" s="291"/>
      <c r="Y178" s="291"/>
      <c r="Z178" s="291"/>
      <c r="AA178" s="291"/>
      <c r="AB178" s="291"/>
      <c r="AC178" s="291"/>
      <c r="AD178" s="291"/>
      <c r="AE178" s="291"/>
      <c r="AF178" s="291"/>
      <c r="AG178" s="242"/>
      <c r="AH178" s="242"/>
      <c r="AI178" s="242"/>
      <c r="AJ178" s="242"/>
      <c r="AK178" s="242"/>
      <c r="AL178" s="242"/>
      <c r="AM178" s="242"/>
      <c r="AN178" s="242"/>
      <c r="AO178" s="242"/>
      <c r="AP178" s="242"/>
      <c r="AQ178" s="242"/>
      <c r="AR178" s="242"/>
      <c r="AS178" s="242"/>
      <c r="AT178" s="242"/>
      <c r="AU178" s="242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  <c r="BI178" s="153"/>
      <c r="BJ178" s="153"/>
      <c r="BK178" s="153"/>
      <c r="BL178" s="153"/>
      <c r="BM178" s="153"/>
      <c r="BN178" s="153"/>
      <c r="BO178" s="153"/>
      <c r="BP178" s="153"/>
      <c r="BQ178" s="153"/>
      <c r="BR178" s="153"/>
      <c r="BS178" s="153"/>
      <c r="BT178" s="153"/>
      <c r="BU178" s="153"/>
      <c r="BV178" s="153"/>
      <c r="BW178" s="153"/>
      <c r="BX178" s="153"/>
      <c r="BY178" s="153"/>
      <c r="BZ178" s="153"/>
      <c r="CA178" s="153"/>
      <c r="CB178" s="153"/>
      <c r="CC178" s="153"/>
      <c r="CD178" s="153"/>
      <c r="CE178" s="153"/>
      <c r="CF178" s="153"/>
      <c r="CG178" s="153"/>
      <c r="CH178" s="153"/>
      <c r="CI178" s="153"/>
      <c r="CJ178" s="153"/>
      <c r="CK178" s="153"/>
      <c r="CL178" s="153"/>
      <c r="CM178" s="153"/>
      <c r="CN178" s="153"/>
      <c r="CO178" s="153"/>
      <c r="CP178" s="153"/>
      <c r="CQ178" s="153"/>
      <c r="CR178" s="153"/>
      <c r="CS178" s="153"/>
      <c r="CT178" s="153"/>
      <c r="CU178" s="153"/>
      <c r="CV178" s="153"/>
      <c r="CW178" s="153"/>
      <c r="CX178" s="153"/>
      <c r="CY178" s="153"/>
      <c r="CZ178" s="153"/>
      <c r="DA178" s="153"/>
      <c r="DB178" s="153"/>
      <c r="DC178" s="153"/>
      <c r="DD178" s="153"/>
      <c r="DE178" s="153"/>
      <c r="DF178" s="153"/>
      <c r="DG178" s="153"/>
      <c r="DH178" s="153"/>
      <c r="DI178" s="153"/>
      <c r="DJ178" s="153"/>
      <c r="DK178" s="153"/>
      <c r="DL178" s="153"/>
      <c r="DM178" s="153"/>
      <c r="DN178" s="153"/>
      <c r="DO178" s="153"/>
      <c r="DP178" s="153"/>
      <c r="DQ178" s="153"/>
      <c r="DR178" s="153"/>
      <c r="DS178" s="153"/>
      <c r="DT178" s="153"/>
      <c r="DU178" s="153"/>
      <c r="DV178" s="153"/>
      <c r="DW178" s="153"/>
      <c r="DX178" s="153"/>
      <c r="DY178" s="153"/>
    </row>
    <row r="179" spans="1:129" ht="14.1" customHeight="1" x14ac:dyDescent="0.2">
      <c r="A179" s="242"/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  <c r="X179" s="242"/>
      <c r="Y179" s="242"/>
      <c r="Z179" s="242"/>
      <c r="AA179" s="242"/>
      <c r="AB179" s="242"/>
      <c r="AC179" s="242"/>
      <c r="AD179" s="242"/>
      <c r="AE179" s="242"/>
      <c r="AF179" s="242"/>
      <c r="AG179" s="242"/>
      <c r="AH179" s="242"/>
      <c r="AI179" s="242"/>
      <c r="AJ179" s="242"/>
      <c r="AK179" s="242"/>
      <c r="AL179" s="242"/>
      <c r="AM179" s="242"/>
      <c r="AN179" s="242"/>
      <c r="AO179" s="242"/>
      <c r="AP179" s="242"/>
      <c r="AQ179" s="242"/>
      <c r="AR179" s="242"/>
      <c r="AS179" s="242"/>
      <c r="AT179" s="242"/>
      <c r="AU179" s="242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  <c r="BI179" s="153"/>
      <c r="BJ179" s="153"/>
      <c r="BK179" s="153"/>
      <c r="BL179" s="153"/>
      <c r="BM179" s="153"/>
      <c r="BN179" s="153"/>
      <c r="BO179" s="153"/>
      <c r="BP179" s="153"/>
      <c r="BQ179" s="153"/>
      <c r="BR179" s="153"/>
      <c r="BS179" s="153"/>
      <c r="BT179" s="153"/>
      <c r="BU179" s="153"/>
      <c r="BV179" s="153"/>
      <c r="BW179" s="153"/>
      <c r="BX179" s="153"/>
      <c r="BY179" s="153"/>
      <c r="BZ179" s="153"/>
      <c r="CA179" s="153"/>
      <c r="CB179" s="153"/>
      <c r="CC179" s="153"/>
      <c r="CD179" s="153"/>
      <c r="CE179" s="153"/>
      <c r="CF179" s="153"/>
      <c r="CG179" s="153"/>
      <c r="CH179" s="153"/>
      <c r="CI179" s="153"/>
      <c r="CJ179" s="153"/>
      <c r="CK179" s="153"/>
      <c r="CL179" s="153"/>
      <c r="CM179" s="153"/>
      <c r="CN179" s="153"/>
      <c r="CO179" s="153"/>
      <c r="CP179" s="153"/>
      <c r="CQ179" s="153"/>
      <c r="CR179" s="153"/>
      <c r="CS179" s="153"/>
      <c r="CT179" s="153"/>
      <c r="CU179" s="153"/>
      <c r="CV179" s="153"/>
      <c r="CW179" s="153"/>
      <c r="CX179" s="153"/>
      <c r="CY179" s="153"/>
      <c r="CZ179" s="153"/>
      <c r="DA179" s="153"/>
      <c r="DB179" s="153"/>
      <c r="DC179" s="153"/>
      <c r="DD179" s="153"/>
      <c r="DE179" s="153"/>
      <c r="DF179" s="153"/>
      <c r="DG179" s="153"/>
      <c r="DH179" s="153"/>
      <c r="DI179" s="153"/>
      <c r="DJ179" s="153"/>
      <c r="DK179" s="153"/>
      <c r="DL179" s="153"/>
      <c r="DM179" s="153"/>
      <c r="DN179" s="153"/>
      <c r="DO179" s="153"/>
      <c r="DP179" s="153"/>
      <c r="DQ179" s="153"/>
      <c r="DR179" s="153"/>
      <c r="DS179" s="153"/>
      <c r="DT179" s="153"/>
      <c r="DU179" s="153"/>
      <c r="DV179" s="153"/>
      <c r="DW179" s="153"/>
      <c r="DX179" s="153"/>
      <c r="DY179" s="153"/>
    </row>
    <row r="180" spans="1:129" ht="14.1" customHeight="1" x14ac:dyDescent="0.2">
      <c r="A180" s="242"/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  <c r="X180" s="242"/>
      <c r="Y180" s="242"/>
      <c r="Z180" s="242"/>
      <c r="AA180" s="242"/>
      <c r="AB180" s="242"/>
      <c r="AC180" s="242"/>
      <c r="AD180" s="242"/>
      <c r="AE180" s="242"/>
      <c r="AF180" s="242"/>
      <c r="AG180" s="242"/>
      <c r="AH180" s="242"/>
      <c r="AI180" s="242"/>
      <c r="AJ180" s="242"/>
      <c r="AK180" s="242"/>
      <c r="AL180" s="242"/>
      <c r="AM180" s="242"/>
      <c r="AN180" s="242"/>
      <c r="AO180" s="242"/>
      <c r="AP180" s="242"/>
      <c r="AQ180" s="242"/>
      <c r="AR180" s="242"/>
      <c r="AS180" s="242"/>
      <c r="AT180" s="242"/>
      <c r="AU180" s="242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  <c r="BI180" s="153"/>
      <c r="BJ180" s="153"/>
      <c r="BK180" s="153"/>
      <c r="BL180" s="153"/>
      <c r="BM180" s="153"/>
      <c r="BN180" s="153"/>
      <c r="BO180" s="153"/>
      <c r="BP180" s="153"/>
      <c r="BQ180" s="153"/>
      <c r="BR180" s="153"/>
      <c r="BS180" s="153"/>
      <c r="BT180" s="153"/>
      <c r="BU180" s="153"/>
      <c r="BV180" s="153"/>
      <c r="BW180" s="153"/>
      <c r="BX180" s="153"/>
      <c r="BY180" s="153"/>
      <c r="BZ180" s="153"/>
      <c r="CA180" s="153"/>
      <c r="CB180" s="153"/>
      <c r="CC180" s="153"/>
      <c r="CD180" s="153"/>
      <c r="CE180" s="153"/>
      <c r="CF180" s="153"/>
      <c r="CG180" s="153"/>
      <c r="CH180" s="153"/>
      <c r="CI180" s="153"/>
      <c r="CJ180" s="153"/>
      <c r="CK180" s="153"/>
      <c r="CL180" s="153"/>
      <c r="CM180" s="153"/>
      <c r="CN180" s="153"/>
      <c r="CO180" s="153"/>
      <c r="CP180" s="153"/>
      <c r="CQ180" s="153"/>
      <c r="CR180" s="153"/>
      <c r="CS180" s="153"/>
      <c r="CT180" s="153"/>
      <c r="CU180" s="153"/>
      <c r="CV180" s="153"/>
      <c r="CW180" s="153"/>
      <c r="CX180" s="153"/>
      <c r="CY180" s="153"/>
      <c r="CZ180" s="153"/>
      <c r="DA180" s="153"/>
      <c r="DB180" s="153"/>
      <c r="DC180" s="153"/>
      <c r="DD180" s="153"/>
      <c r="DE180" s="153"/>
      <c r="DF180" s="153"/>
      <c r="DG180" s="153"/>
      <c r="DH180" s="153"/>
      <c r="DI180" s="153"/>
      <c r="DJ180" s="153"/>
      <c r="DK180" s="153"/>
      <c r="DL180" s="153"/>
      <c r="DM180" s="153"/>
      <c r="DN180" s="153"/>
      <c r="DO180" s="153"/>
      <c r="DP180" s="153"/>
      <c r="DQ180" s="153"/>
      <c r="DR180" s="153"/>
      <c r="DS180" s="153"/>
      <c r="DT180" s="153"/>
      <c r="DU180" s="153"/>
      <c r="DV180" s="153"/>
      <c r="DW180" s="153"/>
      <c r="DX180" s="153"/>
      <c r="DY180" s="153"/>
    </row>
    <row r="181" spans="1:129" ht="14.1" customHeight="1" x14ac:dyDescent="0.2">
      <c r="A181" s="242"/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  <c r="X181" s="242"/>
      <c r="Y181" s="242"/>
      <c r="Z181" s="242"/>
      <c r="AA181" s="242"/>
      <c r="AB181" s="242"/>
      <c r="AC181" s="242"/>
      <c r="AD181" s="242"/>
      <c r="AE181" s="242"/>
      <c r="AF181" s="242"/>
      <c r="AG181" s="242"/>
      <c r="AH181" s="242"/>
      <c r="AI181" s="242"/>
      <c r="AJ181" s="242"/>
      <c r="AK181" s="242"/>
      <c r="AL181" s="242"/>
      <c r="AM181" s="242"/>
      <c r="AN181" s="242"/>
      <c r="AO181" s="242"/>
      <c r="AP181" s="242"/>
      <c r="AQ181" s="242"/>
      <c r="AR181" s="242"/>
      <c r="AS181" s="242"/>
      <c r="AT181" s="242"/>
      <c r="AU181" s="242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  <c r="BI181" s="153"/>
      <c r="BJ181" s="153"/>
      <c r="BK181" s="153"/>
      <c r="BL181" s="153"/>
      <c r="BM181" s="153"/>
      <c r="BN181" s="153"/>
      <c r="BO181" s="153"/>
      <c r="BP181" s="153"/>
      <c r="BQ181" s="153"/>
      <c r="BR181" s="153"/>
      <c r="BS181" s="153"/>
      <c r="BT181" s="153"/>
      <c r="BU181" s="153"/>
      <c r="BV181" s="153"/>
      <c r="BW181" s="153"/>
      <c r="BX181" s="153"/>
      <c r="BY181" s="153"/>
      <c r="BZ181" s="153"/>
      <c r="CA181" s="153"/>
      <c r="CB181" s="153"/>
      <c r="CC181" s="153"/>
      <c r="CD181" s="153"/>
      <c r="CE181" s="153"/>
      <c r="CF181" s="153"/>
      <c r="CG181" s="153"/>
      <c r="CH181" s="153"/>
      <c r="CI181" s="153"/>
      <c r="CJ181" s="153"/>
      <c r="CK181" s="153"/>
      <c r="CL181" s="153"/>
      <c r="CM181" s="153"/>
      <c r="CN181" s="153"/>
      <c r="CO181" s="153"/>
      <c r="CP181" s="153"/>
      <c r="CQ181" s="153"/>
      <c r="CR181" s="153"/>
      <c r="CS181" s="153"/>
      <c r="CT181" s="153"/>
      <c r="CU181" s="153"/>
      <c r="CV181" s="153"/>
      <c r="CW181" s="153"/>
      <c r="CX181" s="153"/>
      <c r="CY181" s="153"/>
      <c r="CZ181" s="153"/>
      <c r="DA181" s="153"/>
      <c r="DB181" s="153"/>
      <c r="DC181" s="153"/>
      <c r="DD181" s="153"/>
      <c r="DE181" s="153"/>
      <c r="DF181" s="153"/>
      <c r="DG181" s="153"/>
      <c r="DH181" s="153"/>
      <c r="DI181" s="153"/>
      <c r="DJ181" s="153"/>
      <c r="DK181" s="153"/>
      <c r="DL181" s="153"/>
      <c r="DM181" s="153"/>
      <c r="DN181" s="153"/>
      <c r="DO181" s="153"/>
      <c r="DP181" s="153"/>
      <c r="DQ181" s="153"/>
      <c r="DR181" s="153"/>
      <c r="DS181" s="153"/>
      <c r="DT181" s="153"/>
      <c r="DU181" s="153"/>
      <c r="DV181" s="153"/>
      <c r="DW181" s="153"/>
      <c r="DX181" s="153"/>
      <c r="DY181" s="153"/>
    </row>
    <row r="182" spans="1:129" ht="14.1" customHeight="1" x14ac:dyDescent="0.2">
      <c r="A182" s="242"/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  <c r="X182" s="242"/>
      <c r="Y182" s="242"/>
      <c r="Z182" s="242"/>
      <c r="AA182" s="242"/>
      <c r="AB182" s="242"/>
      <c r="AC182" s="242"/>
      <c r="AD182" s="242"/>
      <c r="AE182" s="242"/>
      <c r="AF182" s="242"/>
      <c r="AG182" s="242"/>
      <c r="AH182" s="242"/>
      <c r="AI182" s="242"/>
      <c r="AJ182" s="242"/>
      <c r="AK182" s="242"/>
      <c r="AL182" s="242"/>
      <c r="AM182" s="242"/>
      <c r="AN182" s="242"/>
      <c r="AO182" s="242"/>
      <c r="AP182" s="242"/>
      <c r="AQ182" s="242"/>
      <c r="AR182" s="242"/>
      <c r="AS182" s="242"/>
      <c r="AT182" s="242"/>
      <c r="AU182" s="242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  <c r="BI182" s="153"/>
      <c r="BJ182" s="153"/>
      <c r="BK182" s="153"/>
      <c r="BL182" s="153"/>
      <c r="BM182" s="153"/>
      <c r="BN182" s="153"/>
      <c r="BO182" s="153"/>
      <c r="BP182" s="153"/>
      <c r="BQ182" s="153"/>
      <c r="BR182" s="153"/>
      <c r="BS182" s="153"/>
      <c r="BT182" s="153"/>
      <c r="BU182" s="153"/>
      <c r="BV182" s="153"/>
      <c r="BW182" s="153"/>
      <c r="BX182" s="153"/>
      <c r="BY182" s="153"/>
      <c r="BZ182" s="153"/>
      <c r="CA182" s="153"/>
      <c r="CB182" s="153"/>
      <c r="CC182" s="153"/>
      <c r="CD182" s="153"/>
      <c r="CE182" s="153"/>
      <c r="CF182" s="153"/>
      <c r="CG182" s="153"/>
      <c r="CH182" s="153"/>
      <c r="CI182" s="153"/>
      <c r="CJ182" s="153"/>
      <c r="CK182" s="153"/>
      <c r="CL182" s="153"/>
      <c r="CM182" s="153"/>
      <c r="CN182" s="153"/>
      <c r="CO182" s="153"/>
      <c r="CP182" s="153"/>
      <c r="CQ182" s="153"/>
      <c r="CR182" s="153"/>
      <c r="CS182" s="153"/>
      <c r="CT182" s="153"/>
      <c r="CU182" s="153"/>
      <c r="CV182" s="153"/>
      <c r="CW182" s="153"/>
      <c r="CX182" s="153"/>
      <c r="CY182" s="153"/>
      <c r="CZ182" s="153"/>
      <c r="DA182" s="153"/>
      <c r="DB182" s="153"/>
      <c r="DC182" s="153"/>
      <c r="DD182" s="153"/>
      <c r="DE182" s="153"/>
      <c r="DF182" s="153"/>
      <c r="DG182" s="153"/>
      <c r="DH182" s="153"/>
      <c r="DI182" s="153"/>
      <c r="DJ182" s="153"/>
      <c r="DK182" s="153"/>
      <c r="DL182" s="153"/>
      <c r="DM182" s="153"/>
      <c r="DN182" s="153"/>
      <c r="DO182" s="153"/>
      <c r="DP182" s="153"/>
      <c r="DQ182" s="153"/>
      <c r="DR182" s="153"/>
      <c r="DS182" s="153"/>
      <c r="DT182" s="153"/>
      <c r="DU182" s="153"/>
      <c r="DV182" s="153"/>
      <c r="DW182" s="153"/>
      <c r="DX182" s="153"/>
      <c r="DY182" s="153"/>
    </row>
    <row r="183" spans="1:129" ht="14.1" customHeight="1" x14ac:dyDescent="0.2">
      <c r="A183" s="242"/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  <c r="X183" s="242"/>
      <c r="Y183" s="242"/>
      <c r="Z183" s="242"/>
      <c r="AA183" s="242"/>
      <c r="AB183" s="242"/>
      <c r="AC183" s="242"/>
      <c r="AD183" s="242"/>
      <c r="AE183" s="242"/>
      <c r="AF183" s="242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242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  <c r="BI183" s="153"/>
      <c r="BJ183" s="153"/>
      <c r="BK183" s="153"/>
      <c r="BL183" s="153"/>
      <c r="BM183" s="153"/>
      <c r="BN183" s="153"/>
      <c r="BO183" s="153"/>
      <c r="BP183" s="153"/>
      <c r="BQ183" s="153"/>
      <c r="BR183" s="153"/>
      <c r="BS183" s="153"/>
      <c r="BT183" s="153"/>
      <c r="BU183" s="153"/>
      <c r="BV183" s="153"/>
      <c r="BW183" s="153"/>
      <c r="BX183" s="153"/>
      <c r="BY183" s="153"/>
      <c r="BZ183" s="153"/>
      <c r="CA183" s="153"/>
      <c r="CB183" s="153"/>
      <c r="CC183" s="153"/>
      <c r="CD183" s="153"/>
      <c r="CE183" s="153"/>
      <c r="CF183" s="153"/>
      <c r="CG183" s="153"/>
      <c r="CH183" s="153"/>
      <c r="CI183" s="153"/>
      <c r="CJ183" s="153"/>
      <c r="CK183" s="153"/>
      <c r="CL183" s="153"/>
      <c r="CM183" s="153"/>
      <c r="CN183" s="153"/>
      <c r="CO183" s="153"/>
      <c r="CP183" s="153"/>
      <c r="CQ183" s="153"/>
      <c r="CR183" s="153"/>
      <c r="CS183" s="153"/>
      <c r="CT183" s="153"/>
      <c r="CU183" s="153"/>
      <c r="CV183" s="153"/>
      <c r="CW183" s="153"/>
      <c r="CX183" s="153"/>
      <c r="CY183" s="153"/>
      <c r="CZ183" s="153"/>
      <c r="DA183" s="153"/>
      <c r="DB183" s="153"/>
      <c r="DC183" s="153"/>
      <c r="DD183" s="153"/>
      <c r="DE183" s="153"/>
      <c r="DF183" s="153"/>
      <c r="DG183" s="153"/>
      <c r="DH183" s="153"/>
      <c r="DI183" s="153"/>
      <c r="DJ183" s="153"/>
      <c r="DK183" s="153"/>
      <c r="DL183" s="153"/>
      <c r="DM183" s="153"/>
      <c r="DN183" s="153"/>
      <c r="DO183" s="153"/>
      <c r="DP183" s="153"/>
      <c r="DQ183" s="153"/>
      <c r="DR183" s="153"/>
      <c r="DS183" s="153"/>
      <c r="DT183" s="153"/>
      <c r="DU183" s="153"/>
      <c r="DV183" s="153"/>
      <c r="DW183" s="153"/>
      <c r="DX183" s="153"/>
      <c r="DY183" s="153"/>
    </row>
    <row r="184" spans="1:129" ht="14.1" customHeight="1" x14ac:dyDescent="0.2">
      <c r="A184" s="242"/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  <c r="X184" s="242"/>
      <c r="Y184" s="242"/>
      <c r="Z184" s="242"/>
      <c r="AA184" s="242"/>
      <c r="AB184" s="242"/>
      <c r="AC184" s="242"/>
      <c r="AD184" s="242"/>
      <c r="AE184" s="242"/>
      <c r="AF184" s="242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242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  <c r="BI184" s="153"/>
      <c r="BJ184" s="153"/>
      <c r="BK184" s="153"/>
      <c r="BL184" s="153"/>
      <c r="BM184" s="153"/>
      <c r="BN184" s="153"/>
      <c r="BO184" s="153"/>
      <c r="BP184" s="153"/>
      <c r="BQ184" s="153"/>
      <c r="BR184" s="153"/>
      <c r="BS184" s="153"/>
      <c r="BT184" s="153"/>
      <c r="BU184" s="153"/>
      <c r="BV184" s="153"/>
      <c r="BW184" s="153"/>
      <c r="BX184" s="153"/>
      <c r="BY184" s="153"/>
      <c r="BZ184" s="153"/>
      <c r="CA184" s="153"/>
      <c r="CB184" s="153"/>
      <c r="CC184" s="153"/>
      <c r="CD184" s="153"/>
      <c r="CE184" s="153"/>
      <c r="CF184" s="153"/>
      <c r="CG184" s="153"/>
      <c r="CH184" s="153"/>
      <c r="CI184" s="153"/>
      <c r="CJ184" s="153"/>
      <c r="CK184" s="153"/>
      <c r="CL184" s="153"/>
      <c r="CM184" s="153"/>
      <c r="CN184" s="153"/>
      <c r="CO184" s="153"/>
      <c r="CP184" s="153"/>
      <c r="CQ184" s="153"/>
      <c r="CR184" s="153"/>
      <c r="CS184" s="153"/>
      <c r="CT184" s="153"/>
      <c r="CU184" s="153"/>
      <c r="CV184" s="153"/>
      <c r="CW184" s="153"/>
      <c r="CX184" s="153"/>
      <c r="CY184" s="153"/>
      <c r="CZ184" s="153"/>
      <c r="DA184" s="153"/>
      <c r="DB184" s="153"/>
      <c r="DC184" s="153"/>
      <c r="DD184" s="153"/>
      <c r="DE184" s="153"/>
      <c r="DF184" s="153"/>
      <c r="DG184" s="153"/>
      <c r="DH184" s="153"/>
      <c r="DI184" s="153"/>
      <c r="DJ184" s="153"/>
      <c r="DK184" s="153"/>
      <c r="DL184" s="153"/>
      <c r="DM184" s="153"/>
      <c r="DN184" s="153"/>
      <c r="DO184" s="153"/>
      <c r="DP184" s="153"/>
      <c r="DQ184" s="153"/>
      <c r="DR184" s="153"/>
      <c r="DS184" s="153"/>
      <c r="DT184" s="153"/>
      <c r="DU184" s="153"/>
      <c r="DV184" s="153"/>
      <c r="DW184" s="153"/>
      <c r="DX184" s="153"/>
      <c r="DY184" s="153"/>
    </row>
    <row r="185" spans="1:129" ht="14.1" customHeight="1" x14ac:dyDescent="0.2">
      <c r="A185" s="153"/>
      <c r="B185" s="153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3"/>
      <c r="T185" s="153"/>
      <c r="U185" s="15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  <c r="BI185" s="153"/>
      <c r="BJ185" s="153"/>
      <c r="BK185" s="153"/>
      <c r="BL185" s="153"/>
      <c r="BM185" s="153"/>
      <c r="BN185" s="153"/>
      <c r="BO185" s="153"/>
      <c r="BP185" s="153"/>
      <c r="BQ185" s="153"/>
      <c r="BR185" s="153"/>
      <c r="BS185" s="153"/>
      <c r="BT185" s="153"/>
      <c r="BU185" s="153"/>
      <c r="BV185" s="153"/>
      <c r="BW185" s="153"/>
      <c r="BX185" s="153"/>
      <c r="BY185" s="153"/>
      <c r="BZ185" s="153"/>
      <c r="CA185" s="153"/>
      <c r="CB185" s="153"/>
      <c r="CC185" s="153"/>
      <c r="CD185" s="153"/>
      <c r="CE185" s="153"/>
      <c r="CF185" s="153"/>
      <c r="CG185" s="153"/>
      <c r="CH185" s="153"/>
      <c r="CI185" s="153"/>
      <c r="CJ185" s="153"/>
      <c r="CK185" s="153"/>
      <c r="CL185" s="153"/>
      <c r="CM185" s="153"/>
      <c r="CN185" s="153"/>
      <c r="CO185" s="153"/>
      <c r="CP185" s="153"/>
      <c r="CQ185" s="153"/>
      <c r="CR185" s="153"/>
      <c r="CS185" s="153"/>
      <c r="CT185" s="153"/>
      <c r="CU185" s="153"/>
      <c r="CV185" s="153"/>
      <c r="CW185" s="153"/>
      <c r="CX185" s="153"/>
      <c r="CY185" s="153"/>
      <c r="CZ185" s="153"/>
      <c r="DA185" s="153"/>
      <c r="DB185" s="153"/>
      <c r="DC185" s="153"/>
      <c r="DD185" s="153"/>
      <c r="DE185" s="153"/>
      <c r="DF185" s="153"/>
      <c r="DG185" s="153"/>
      <c r="DH185" s="153"/>
      <c r="DI185" s="153"/>
      <c r="DJ185" s="153"/>
      <c r="DK185" s="153"/>
      <c r="DL185" s="153"/>
      <c r="DM185" s="153"/>
      <c r="DN185" s="153"/>
      <c r="DO185" s="153"/>
      <c r="DP185" s="153"/>
      <c r="DQ185" s="153"/>
      <c r="DR185" s="153"/>
      <c r="DS185" s="153"/>
      <c r="DT185" s="153"/>
      <c r="DU185" s="153"/>
      <c r="DV185" s="153"/>
      <c r="DW185" s="153"/>
      <c r="DX185" s="153"/>
      <c r="DY185" s="153"/>
    </row>
    <row r="186" spans="1:129" ht="14.1" customHeight="1" x14ac:dyDescent="0.2">
      <c r="A186" s="153"/>
      <c r="B186" s="153"/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  <c r="BJ186" s="153"/>
      <c r="BK186" s="153"/>
      <c r="BL186" s="153"/>
      <c r="BM186" s="153"/>
      <c r="BN186" s="153"/>
      <c r="BO186" s="153"/>
      <c r="BP186" s="153"/>
      <c r="BQ186" s="153"/>
      <c r="BR186" s="153"/>
      <c r="BS186" s="153"/>
      <c r="BT186" s="153"/>
      <c r="BU186" s="153"/>
      <c r="BV186" s="153"/>
      <c r="BW186" s="153"/>
      <c r="BX186" s="153"/>
      <c r="BY186" s="153"/>
      <c r="BZ186" s="153"/>
      <c r="CA186" s="153"/>
      <c r="CB186" s="153"/>
      <c r="CC186" s="153"/>
      <c r="CD186" s="153"/>
      <c r="CE186" s="153"/>
      <c r="CF186" s="153"/>
      <c r="CG186" s="153"/>
      <c r="CH186" s="153"/>
      <c r="CI186" s="153"/>
      <c r="CJ186" s="153"/>
      <c r="CK186" s="153"/>
      <c r="CL186" s="153"/>
      <c r="CM186" s="153"/>
      <c r="CN186" s="153"/>
      <c r="CO186" s="153"/>
      <c r="CP186" s="153"/>
      <c r="CQ186" s="153"/>
      <c r="CR186" s="153"/>
      <c r="CS186" s="153"/>
      <c r="CT186" s="153"/>
      <c r="CU186" s="153"/>
      <c r="CV186" s="153"/>
      <c r="CW186" s="153"/>
      <c r="CX186" s="153"/>
      <c r="CY186" s="153"/>
      <c r="CZ186" s="153"/>
      <c r="DA186" s="153"/>
      <c r="DB186" s="153"/>
      <c r="DC186" s="153"/>
      <c r="DD186" s="153"/>
      <c r="DE186" s="153"/>
      <c r="DF186" s="153"/>
      <c r="DG186" s="153"/>
      <c r="DH186" s="153"/>
      <c r="DI186" s="153"/>
      <c r="DJ186" s="153"/>
      <c r="DK186" s="153"/>
      <c r="DL186" s="153"/>
      <c r="DM186" s="153"/>
      <c r="DN186" s="153"/>
      <c r="DO186" s="153"/>
      <c r="DP186" s="153"/>
      <c r="DQ186" s="153"/>
      <c r="DR186" s="153"/>
      <c r="DS186" s="153"/>
      <c r="DT186" s="153"/>
      <c r="DU186" s="153"/>
      <c r="DV186" s="153"/>
      <c r="DW186" s="153"/>
      <c r="DX186" s="153"/>
      <c r="DY186" s="153"/>
    </row>
    <row r="187" spans="1:129" ht="14.1" customHeight="1" x14ac:dyDescent="0.2">
      <c r="A187" s="153"/>
      <c r="B187" s="153"/>
      <c r="C187" s="153"/>
      <c r="D187" s="153"/>
      <c r="E187" s="153"/>
      <c r="F187" s="153"/>
      <c r="G187" s="153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/>
      <c r="R187" s="153"/>
      <c r="S187" s="153"/>
      <c r="T187" s="153"/>
      <c r="U187" s="15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  <c r="BI187" s="153"/>
      <c r="BJ187" s="153"/>
      <c r="BK187" s="153"/>
      <c r="BL187" s="153"/>
      <c r="BM187" s="153"/>
      <c r="BN187" s="153"/>
      <c r="BO187" s="153"/>
      <c r="BP187" s="153"/>
      <c r="BQ187" s="153"/>
      <c r="BR187" s="153"/>
      <c r="BS187" s="153"/>
      <c r="BT187" s="153"/>
      <c r="BU187" s="153"/>
      <c r="BV187" s="153"/>
      <c r="BW187" s="153"/>
      <c r="BX187" s="153"/>
      <c r="BY187" s="153"/>
      <c r="BZ187" s="153"/>
      <c r="CA187" s="153"/>
      <c r="CB187" s="153"/>
      <c r="CC187" s="153"/>
      <c r="CD187" s="153"/>
      <c r="CE187" s="153"/>
      <c r="CF187" s="153"/>
      <c r="CG187" s="153"/>
      <c r="CH187" s="153"/>
      <c r="CI187" s="153"/>
      <c r="CJ187" s="153"/>
      <c r="CK187" s="153"/>
      <c r="CL187" s="153"/>
      <c r="CM187" s="153"/>
      <c r="CN187" s="153"/>
      <c r="CO187" s="153"/>
      <c r="CP187" s="153"/>
      <c r="CQ187" s="153"/>
      <c r="CR187" s="153"/>
      <c r="CS187" s="153"/>
      <c r="CT187" s="153"/>
      <c r="CU187" s="153"/>
      <c r="CV187" s="153"/>
      <c r="CW187" s="153"/>
      <c r="CX187" s="153"/>
      <c r="CY187" s="153"/>
      <c r="CZ187" s="153"/>
      <c r="DA187" s="153"/>
      <c r="DB187" s="153"/>
      <c r="DC187" s="153"/>
      <c r="DD187" s="153"/>
      <c r="DE187" s="153"/>
      <c r="DF187" s="153"/>
      <c r="DG187" s="153"/>
      <c r="DH187" s="153"/>
      <c r="DI187" s="153"/>
      <c r="DJ187" s="153"/>
      <c r="DK187" s="153"/>
      <c r="DL187" s="153"/>
      <c r="DM187" s="153"/>
      <c r="DN187" s="153"/>
      <c r="DO187" s="153"/>
      <c r="DP187" s="153"/>
      <c r="DQ187" s="153"/>
      <c r="DR187" s="153"/>
      <c r="DS187" s="153"/>
      <c r="DT187" s="153"/>
      <c r="DU187" s="153"/>
      <c r="DV187" s="153"/>
      <c r="DW187" s="153"/>
      <c r="DX187" s="153"/>
      <c r="DY187" s="153"/>
    </row>
    <row r="188" spans="1:129" ht="14.1" customHeight="1" x14ac:dyDescent="0.2">
      <c r="A188" s="153"/>
      <c r="B188" s="153"/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  <c r="T188" s="153"/>
      <c r="U188" s="15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  <c r="BI188" s="153"/>
      <c r="BJ188" s="153"/>
      <c r="BK188" s="153"/>
      <c r="BL188" s="153"/>
      <c r="BM188" s="153"/>
      <c r="BN188" s="153"/>
      <c r="BO188" s="153"/>
      <c r="BP188" s="153"/>
      <c r="BQ188" s="153"/>
      <c r="BR188" s="153"/>
      <c r="BS188" s="153"/>
      <c r="BT188" s="153"/>
      <c r="BU188" s="153"/>
      <c r="BV188" s="153"/>
      <c r="BW188" s="153"/>
      <c r="BX188" s="153"/>
      <c r="BY188" s="153"/>
      <c r="BZ188" s="153"/>
      <c r="CA188" s="153"/>
      <c r="CB188" s="153"/>
      <c r="CC188" s="153"/>
      <c r="CD188" s="153"/>
      <c r="CE188" s="153"/>
      <c r="CF188" s="153"/>
      <c r="CG188" s="153"/>
      <c r="CH188" s="153"/>
      <c r="CI188" s="153"/>
      <c r="CJ188" s="153"/>
      <c r="CK188" s="153"/>
      <c r="CL188" s="153"/>
      <c r="CM188" s="153"/>
      <c r="CN188" s="153"/>
      <c r="CO188" s="153"/>
      <c r="CP188" s="153"/>
      <c r="CQ188" s="153"/>
      <c r="CR188" s="153"/>
      <c r="CS188" s="153"/>
      <c r="CT188" s="153"/>
      <c r="CU188" s="153"/>
      <c r="CV188" s="153"/>
      <c r="CW188" s="153"/>
      <c r="CX188" s="153"/>
      <c r="CY188" s="153"/>
      <c r="CZ188" s="153"/>
      <c r="DA188" s="153"/>
      <c r="DB188" s="153"/>
      <c r="DC188" s="153"/>
      <c r="DD188" s="153"/>
      <c r="DE188" s="153"/>
      <c r="DF188" s="153"/>
      <c r="DG188" s="153"/>
      <c r="DH188" s="153"/>
      <c r="DI188" s="153"/>
      <c r="DJ188" s="153"/>
      <c r="DK188" s="153"/>
      <c r="DL188" s="153"/>
      <c r="DM188" s="153"/>
      <c r="DN188" s="153"/>
      <c r="DO188" s="153"/>
      <c r="DP188" s="153"/>
      <c r="DQ188" s="153"/>
      <c r="DR188" s="153"/>
      <c r="DS188" s="153"/>
      <c r="DT188" s="153"/>
      <c r="DU188" s="153"/>
      <c r="DV188" s="153"/>
      <c r="DW188" s="153"/>
      <c r="DX188" s="153"/>
      <c r="DY188" s="153"/>
    </row>
    <row r="189" spans="1:129" ht="14.1" customHeight="1" x14ac:dyDescent="0.2">
      <c r="A189" s="153"/>
      <c r="B189" s="153"/>
      <c r="C189" s="153"/>
      <c r="D189" s="153"/>
      <c r="E189" s="153"/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  <c r="T189" s="153"/>
      <c r="U189" s="15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  <c r="BI189" s="153"/>
      <c r="BJ189" s="153"/>
      <c r="BK189" s="153"/>
      <c r="BL189" s="153"/>
      <c r="BM189" s="153"/>
      <c r="BN189" s="153"/>
      <c r="BO189" s="153"/>
      <c r="BP189" s="153"/>
      <c r="BQ189" s="153"/>
      <c r="BR189" s="153"/>
      <c r="BS189" s="153"/>
      <c r="BT189" s="153"/>
      <c r="BU189" s="153"/>
      <c r="BV189" s="153"/>
      <c r="BW189" s="153"/>
      <c r="BX189" s="153"/>
      <c r="BY189" s="153"/>
      <c r="BZ189" s="153"/>
      <c r="CA189" s="153"/>
      <c r="CB189" s="153"/>
      <c r="CC189" s="153"/>
      <c r="CD189" s="153"/>
      <c r="CE189" s="153"/>
      <c r="CF189" s="153"/>
      <c r="CG189" s="153"/>
      <c r="CH189" s="153"/>
      <c r="CI189" s="153"/>
      <c r="CJ189" s="153"/>
      <c r="CK189" s="153"/>
      <c r="CL189" s="153"/>
      <c r="CM189" s="153"/>
      <c r="CN189" s="153"/>
      <c r="CO189" s="153"/>
      <c r="CP189" s="153"/>
      <c r="CQ189" s="153"/>
      <c r="CR189" s="153"/>
      <c r="CS189" s="153"/>
      <c r="CT189" s="153"/>
      <c r="CU189" s="153"/>
      <c r="CV189" s="153"/>
      <c r="CW189" s="153"/>
      <c r="CX189" s="153"/>
      <c r="CY189" s="153"/>
      <c r="CZ189" s="153"/>
      <c r="DA189" s="153"/>
      <c r="DB189" s="153"/>
      <c r="DC189" s="153"/>
      <c r="DD189" s="153"/>
      <c r="DE189" s="153"/>
      <c r="DF189" s="153"/>
      <c r="DG189" s="153"/>
      <c r="DH189" s="153"/>
      <c r="DI189" s="153"/>
      <c r="DJ189" s="153"/>
      <c r="DK189" s="153"/>
      <c r="DL189" s="153"/>
      <c r="DM189" s="153"/>
      <c r="DN189" s="153"/>
      <c r="DO189" s="153"/>
      <c r="DP189" s="153"/>
      <c r="DQ189" s="153"/>
      <c r="DR189" s="153"/>
      <c r="DS189" s="153"/>
      <c r="DT189" s="153"/>
      <c r="DU189" s="153"/>
      <c r="DV189" s="153"/>
      <c r="DW189" s="153"/>
      <c r="DX189" s="153"/>
      <c r="DY189" s="153"/>
    </row>
    <row r="190" spans="1:129" ht="14.1" customHeight="1" x14ac:dyDescent="0.2">
      <c r="A190" s="153"/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  <c r="T190" s="153"/>
      <c r="U190" s="15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  <c r="BI190" s="153"/>
      <c r="BJ190" s="153"/>
      <c r="BK190" s="153"/>
      <c r="BL190" s="153"/>
      <c r="BM190" s="153"/>
      <c r="BN190" s="153"/>
      <c r="BO190" s="153"/>
      <c r="BP190" s="153"/>
      <c r="BQ190" s="153"/>
      <c r="BR190" s="153"/>
      <c r="BS190" s="153"/>
      <c r="BT190" s="153"/>
      <c r="BU190" s="153"/>
      <c r="BV190" s="153"/>
      <c r="BW190" s="153"/>
      <c r="BX190" s="153"/>
      <c r="BY190" s="153"/>
      <c r="BZ190" s="153"/>
      <c r="CA190" s="153"/>
      <c r="CB190" s="153"/>
      <c r="CC190" s="153"/>
      <c r="CD190" s="153"/>
      <c r="CE190" s="153"/>
      <c r="CF190" s="153"/>
      <c r="CG190" s="153"/>
      <c r="CH190" s="153"/>
      <c r="CI190" s="153"/>
      <c r="CJ190" s="153"/>
      <c r="CK190" s="153"/>
      <c r="CL190" s="153"/>
      <c r="CM190" s="153"/>
      <c r="CN190" s="153"/>
      <c r="CO190" s="153"/>
      <c r="CP190" s="153"/>
      <c r="CQ190" s="153"/>
      <c r="CR190" s="153"/>
      <c r="CS190" s="153"/>
      <c r="CT190" s="153"/>
      <c r="CU190" s="153"/>
      <c r="CV190" s="153"/>
      <c r="CW190" s="153"/>
      <c r="CX190" s="153"/>
      <c r="CY190" s="153"/>
      <c r="CZ190" s="153"/>
      <c r="DA190" s="153"/>
      <c r="DB190" s="153"/>
      <c r="DC190" s="153"/>
      <c r="DD190" s="153"/>
      <c r="DE190" s="153"/>
      <c r="DF190" s="153"/>
      <c r="DG190" s="153"/>
      <c r="DH190" s="153"/>
      <c r="DI190" s="153"/>
      <c r="DJ190" s="153"/>
      <c r="DK190" s="153"/>
      <c r="DL190" s="153"/>
      <c r="DM190" s="153"/>
      <c r="DN190" s="153"/>
      <c r="DO190" s="153"/>
      <c r="DP190" s="153"/>
      <c r="DQ190" s="153"/>
      <c r="DR190" s="153"/>
      <c r="DS190" s="153"/>
      <c r="DT190" s="153"/>
      <c r="DU190" s="153"/>
      <c r="DV190" s="153"/>
      <c r="DW190" s="153"/>
      <c r="DX190" s="153"/>
      <c r="DY190" s="153"/>
    </row>
    <row r="191" spans="1:129" ht="14.1" customHeight="1" x14ac:dyDescent="0.2">
      <c r="A191" s="153"/>
      <c r="B191" s="153"/>
      <c r="C191" s="153"/>
      <c r="D191" s="153"/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  <c r="T191" s="153"/>
      <c r="U191" s="15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  <c r="BI191" s="153"/>
      <c r="BJ191" s="153"/>
      <c r="BK191" s="153"/>
      <c r="BL191" s="153"/>
      <c r="BM191" s="153"/>
      <c r="BN191" s="153"/>
      <c r="BO191" s="153"/>
      <c r="BP191" s="153"/>
      <c r="BQ191" s="153"/>
      <c r="BR191" s="153"/>
      <c r="BS191" s="153"/>
      <c r="BT191" s="153"/>
      <c r="BU191" s="153"/>
      <c r="BV191" s="153"/>
      <c r="BW191" s="153"/>
      <c r="BX191" s="153"/>
      <c r="BY191" s="153"/>
      <c r="BZ191" s="153"/>
      <c r="CA191" s="153"/>
      <c r="CB191" s="153"/>
      <c r="CC191" s="153"/>
      <c r="CD191" s="153"/>
      <c r="CE191" s="153"/>
      <c r="CF191" s="153"/>
      <c r="CG191" s="153"/>
      <c r="CH191" s="153"/>
      <c r="CI191" s="153"/>
      <c r="CJ191" s="153"/>
      <c r="CK191" s="153"/>
      <c r="CL191" s="153"/>
      <c r="CM191" s="153"/>
      <c r="CN191" s="153"/>
      <c r="CO191" s="153"/>
      <c r="CP191" s="153"/>
      <c r="CQ191" s="153"/>
      <c r="CR191" s="153"/>
      <c r="CS191" s="153"/>
      <c r="CT191" s="153"/>
      <c r="CU191" s="153"/>
      <c r="CV191" s="153"/>
      <c r="CW191" s="153"/>
      <c r="CX191" s="153"/>
      <c r="CY191" s="153"/>
      <c r="CZ191" s="153"/>
      <c r="DA191" s="153"/>
      <c r="DB191" s="153"/>
      <c r="DC191" s="153"/>
      <c r="DD191" s="153"/>
      <c r="DE191" s="153"/>
      <c r="DF191" s="153"/>
      <c r="DG191" s="153"/>
      <c r="DH191" s="153"/>
      <c r="DI191" s="153"/>
      <c r="DJ191" s="153"/>
      <c r="DK191" s="153"/>
      <c r="DL191" s="153"/>
      <c r="DM191" s="153"/>
      <c r="DN191" s="153"/>
      <c r="DO191" s="153"/>
      <c r="DP191" s="153"/>
      <c r="DQ191" s="153"/>
      <c r="DR191" s="153"/>
      <c r="DS191" s="153"/>
      <c r="DT191" s="153"/>
      <c r="DU191" s="153"/>
      <c r="DV191" s="153"/>
      <c r="DW191" s="153"/>
      <c r="DX191" s="153"/>
      <c r="DY191" s="153"/>
    </row>
    <row r="192" spans="1:129" ht="14.1" customHeight="1" x14ac:dyDescent="0.2">
      <c r="A192" s="153"/>
      <c r="B192" s="153"/>
      <c r="C192" s="153"/>
      <c r="D192" s="153"/>
      <c r="E192" s="153"/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15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  <c r="BI192" s="153"/>
      <c r="BJ192" s="153"/>
      <c r="BK192" s="153"/>
      <c r="BL192" s="153"/>
      <c r="BM192" s="153"/>
      <c r="BN192" s="153"/>
      <c r="BO192" s="153"/>
      <c r="BP192" s="153"/>
      <c r="BQ192" s="153"/>
      <c r="BR192" s="153"/>
      <c r="BS192" s="153"/>
      <c r="BT192" s="153"/>
      <c r="BU192" s="153"/>
      <c r="BV192" s="153"/>
      <c r="BW192" s="153"/>
      <c r="BX192" s="153"/>
      <c r="BY192" s="153"/>
      <c r="BZ192" s="153"/>
      <c r="CA192" s="153"/>
      <c r="CB192" s="153"/>
      <c r="CC192" s="153"/>
      <c r="CD192" s="153"/>
      <c r="CE192" s="153"/>
      <c r="CF192" s="153"/>
      <c r="CG192" s="153"/>
      <c r="CH192" s="153"/>
      <c r="CI192" s="153"/>
      <c r="CJ192" s="153"/>
      <c r="CK192" s="153"/>
      <c r="CL192" s="153"/>
      <c r="CM192" s="153"/>
      <c r="CN192" s="153"/>
      <c r="CO192" s="153"/>
      <c r="CP192" s="153"/>
      <c r="CQ192" s="153"/>
      <c r="CR192" s="153"/>
      <c r="CS192" s="153"/>
      <c r="CT192" s="153"/>
      <c r="CU192" s="153"/>
      <c r="CV192" s="153"/>
      <c r="CW192" s="153"/>
      <c r="CX192" s="153"/>
      <c r="CY192" s="153"/>
      <c r="CZ192" s="153"/>
      <c r="DA192" s="153"/>
      <c r="DB192" s="153"/>
      <c r="DC192" s="153"/>
      <c r="DD192" s="153"/>
      <c r="DE192" s="153"/>
      <c r="DF192" s="153"/>
      <c r="DG192" s="153"/>
      <c r="DH192" s="153"/>
      <c r="DI192" s="153"/>
      <c r="DJ192" s="153"/>
      <c r="DK192" s="153"/>
      <c r="DL192" s="153"/>
      <c r="DM192" s="153"/>
      <c r="DN192" s="153"/>
      <c r="DO192" s="153"/>
      <c r="DP192" s="153"/>
      <c r="DQ192" s="153"/>
      <c r="DR192" s="153"/>
      <c r="DS192" s="153"/>
      <c r="DT192" s="153"/>
      <c r="DU192" s="153"/>
      <c r="DV192" s="153"/>
      <c r="DW192" s="153"/>
      <c r="DX192" s="153"/>
      <c r="DY192" s="153"/>
    </row>
    <row r="193" spans="1:129" ht="14.1" customHeight="1" x14ac:dyDescent="0.2">
      <c r="A193" s="153"/>
      <c r="B193" s="153"/>
      <c r="C193" s="153"/>
      <c r="D193" s="153"/>
      <c r="E193" s="153"/>
      <c r="F193" s="153"/>
      <c r="G193" s="153"/>
      <c r="H193" s="153"/>
      <c r="I193" s="153"/>
      <c r="J193" s="153"/>
      <c r="K193" s="153"/>
      <c r="L193" s="153"/>
      <c r="M193" s="153"/>
      <c r="N193" s="153"/>
      <c r="O193" s="153"/>
      <c r="P193" s="153"/>
      <c r="Q193" s="153"/>
      <c r="R193" s="153"/>
      <c r="S193" s="153"/>
      <c r="T193" s="153"/>
      <c r="U193" s="15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  <c r="BI193" s="153"/>
      <c r="BJ193" s="153"/>
      <c r="BK193" s="153"/>
      <c r="BL193" s="153"/>
      <c r="BM193" s="153"/>
      <c r="BN193" s="153"/>
      <c r="BO193" s="153"/>
      <c r="BP193" s="153"/>
      <c r="BQ193" s="153"/>
      <c r="BR193" s="153"/>
      <c r="BS193" s="153"/>
      <c r="BT193" s="153"/>
      <c r="BU193" s="153"/>
      <c r="BV193" s="153"/>
      <c r="BW193" s="153"/>
      <c r="BX193" s="153"/>
      <c r="BY193" s="153"/>
      <c r="BZ193" s="153"/>
      <c r="CA193" s="153"/>
      <c r="CB193" s="153"/>
      <c r="CC193" s="153"/>
      <c r="CD193" s="153"/>
      <c r="CE193" s="153"/>
      <c r="CF193" s="153"/>
      <c r="CG193" s="153"/>
      <c r="CH193" s="153"/>
      <c r="CI193" s="153"/>
      <c r="CJ193" s="153"/>
      <c r="CK193" s="153"/>
      <c r="CL193" s="153"/>
      <c r="CM193" s="153"/>
      <c r="CN193" s="153"/>
      <c r="CO193" s="153"/>
      <c r="CP193" s="153"/>
      <c r="CQ193" s="153"/>
      <c r="CR193" s="153"/>
      <c r="CS193" s="153"/>
      <c r="CT193" s="153"/>
      <c r="CU193" s="153"/>
      <c r="CV193" s="153"/>
      <c r="CW193" s="153"/>
      <c r="CX193" s="153"/>
      <c r="CY193" s="153"/>
      <c r="CZ193" s="153"/>
      <c r="DA193" s="153"/>
      <c r="DB193" s="153"/>
      <c r="DC193" s="153"/>
      <c r="DD193" s="153"/>
      <c r="DE193" s="153"/>
      <c r="DF193" s="153"/>
      <c r="DG193" s="153"/>
      <c r="DH193" s="153"/>
      <c r="DI193" s="153"/>
      <c r="DJ193" s="153"/>
      <c r="DK193" s="153"/>
      <c r="DL193" s="153"/>
      <c r="DM193" s="153"/>
      <c r="DN193" s="153"/>
      <c r="DO193" s="153"/>
      <c r="DP193" s="153"/>
      <c r="DQ193" s="153"/>
      <c r="DR193" s="153"/>
      <c r="DS193" s="153"/>
      <c r="DT193" s="153"/>
      <c r="DU193" s="153"/>
      <c r="DV193" s="153"/>
      <c r="DW193" s="153"/>
      <c r="DX193" s="153"/>
      <c r="DY193" s="153"/>
    </row>
    <row r="194" spans="1:129" ht="14.1" customHeight="1" x14ac:dyDescent="0.2">
      <c r="A194" s="153"/>
      <c r="B194" s="153"/>
      <c r="C194" s="153"/>
      <c r="D194" s="153"/>
      <c r="E194" s="153"/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  <c r="T194" s="153"/>
      <c r="U194" s="15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  <c r="BI194" s="153"/>
      <c r="BJ194" s="153"/>
      <c r="BK194" s="153"/>
      <c r="BL194" s="153"/>
      <c r="BM194" s="153"/>
      <c r="BN194" s="153"/>
      <c r="BO194" s="153"/>
      <c r="BP194" s="153"/>
      <c r="BQ194" s="153"/>
      <c r="BR194" s="153"/>
      <c r="BS194" s="153"/>
      <c r="BT194" s="153"/>
      <c r="BU194" s="153"/>
      <c r="BV194" s="153"/>
      <c r="BW194" s="153"/>
      <c r="BX194" s="153"/>
      <c r="BY194" s="153"/>
      <c r="BZ194" s="153"/>
      <c r="CA194" s="153"/>
      <c r="CB194" s="153"/>
      <c r="CC194" s="153"/>
      <c r="CD194" s="153"/>
      <c r="CE194" s="153"/>
      <c r="CF194" s="153"/>
      <c r="CG194" s="153"/>
      <c r="CH194" s="153"/>
      <c r="CI194" s="153"/>
      <c r="CJ194" s="153"/>
      <c r="CK194" s="153"/>
      <c r="CL194" s="153"/>
      <c r="CM194" s="153"/>
      <c r="CN194" s="153"/>
      <c r="CO194" s="153"/>
      <c r="CP194" s="153"/>
      <c r="CQ194" s="153"/>
      <c r="CR194" s="153"/>
      <c r="CS194" s="153"/>
      <c r="CT194" s="153"/>
      <c r="CU194" s="153"/>
      <c r="CV194" s="153"/>
      <c r="CW194" s="153"/>
      <c r="CX194" s="153"/>
      <c r="CY194" s="153"/>
      <c r="CZ194" s="153"/>
      <c r="DA194" s="153"/>
      <c r="DB194" s="153"/>
      <c r="DC194" s="153"/>
      <c r="DD194" s="153"/>
      <c r="DE194" s="153"/>
      <c r="DF194" s="153"/>
      <c r="DG194" s="153"/>
      <c r="DH194" s="153"/>
      <c r="DI194" s="153"/>
      <c r="DJ194" s="153"/>
      <c r="DK194" s="153"/>
      <c r="DL194" s="153"/>
      <c r="DM194" s="153"/>
      <c r="DN194" s="153"/>
      <c r="DO194" s="153"/>
      <c r="DP194" s="153"/>
      <c r="DQ194" s="153"/>
      <c r="DR194" s="153"/>
      <c r="DS194" s="153"/>
      <c r="DT194" s="153"/>
      <c r="DU194" s="153"/>
      <c r="DV194" s="153"/>
      <c r="DW194" s="153"/>
      <c r="DX194" s="153"/>
      <c r="DY194" s="153"/>
    </row>
    <row r="195" spans="1:129" ht="14.1" customHeight="1" x14ac:dyDescent="0.2">
      <c r="A195" s="153"/>
      <c r="B195" s="153"/>
      <c r="C195" s="153"/>
      <c r="D195" s="153"/>
      <c r="E195" s="153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  <c r="T195" s="153"/>
      <c r="U195" s="15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  <c r="BI195" s="153"/>
      <c r="BJ195" s="153"/>
      <c r="BK195" s="153"/>
      <c r="BL195" s="153"/>
      <c r="BM195" s="153"/>
      <c r="BN195" s="153"/>
      <c r="BO195" s="153"/>
      <c r="BP195" s="153"/>
      <c r="BQ195" s="153"/>
      <c r="BR195" s="153"/>
      <c r="BS195" s="153"/>
      <c r="BT195" s="153"/>
      <c r="BU195" s="153"/>
      <c r="BV195" s="153"/>
      <c r="BW195" s="153"/>
      <c r="BX195" s="153"/>
      <c r="BY195" s="153"/>
      <c r="BZ195" s="153"/>
      <c r="CA195" s="153"/>
      <c r="CB195" s="153"/>
      <c r="CC195" s="153"/>
      <c r="CD195" s="153"/>
      <c r="CE195" s="153"/>
      <c r="CF195" s="153"/>
      <c r="CG195" s="153"/>
      <c r="CH195" s="153"/>
      <c r="CI195" s="153"/>
      <c r="CJ195" s="153"/>
      <c r="CK195" s="153"/>
      <c r="CL195" s="153"/>
      <c r="CM195" s="153"/>
      <c r="CN195" s="153"/>
      <c r="CO195" s="153"/>
      <c r="CP195" s="153"/>
      <c r="CQ195" s="153"/>
      <c r="CR195" s="153"/>
      <c r="CS195" s="153"/>
      <c r="CT195" s="153"/>
      <c r="CU195" s="153"/>
      <c r="CV195" s="153"/>
      <c r="CW195" s="153"/>
      <c r="CX195" s="153"/>
      <c r="CY195" s="153"/>
      <c r="CZ195" s="153"/>
      <c r="DA195" s="153"/>
      <c r="DB195" s="153"/>
      <c r="DC195" s="153"/>
      <c r="DD195" s="153"/>
      <c r="DE195" s="153"/>
      <c r="DF195" s="153"/>
      <c r="DG195" s="153"/>
      <c r="DH195" s="153"/>
      <c r="DI195" s="153"/>
      <c r="DJ195" s="153"/>
      <c r="DK195" s="153"/>
      <c r="DL195" s="153"/>
      <c r="DM195" s="153"/>
      <c r="DN195" s="153"/>
      <c r="DO195" s="153"/>
      <c r="DP195" s="153"/>
      <c r="DQ195" s="153"/>
      <c r="DR195" s="153"/>
      <c r="DS195" s="153"/>
      <c r="DT195" s="153"/>
      <c r="DU195" s="153"/>
      <c r="DV195" s="153"/>
      <c r="DW195" s="153"/>
      <c r="DX195" s="153"/>
      <c r="DY195" s="153"/>
    </row>
    <row r="196" spans="1:129" ht="14.1" customHeight="1" x14ac:dyDescent="0.2">
      <c r="A196" s="153"/>
      <c r="B196" s="153"/>
      <c r="C196" s="153"/>
      <c r="D196" s="153"/>
      <c r="E196" s="153"/>
      <c r="F196" s="153"/>
      <c r="G196" s="153"/>
      <c r="H196" s="153"/>
      <c r="I196" s="153"/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  <c r="T196" s="153"/>
      <c r="U196" s="15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  <c r="BI196" s="153"/>
      <c r="BJ196" s="153"/>
      <c r="BK196" s="153"/>
      <c r="BL196" s="153"/>
      <c r="BM196" s="153"/>
      <c r="BN196" s="153"/>
      <c r="BO196" s="153"/>
      <c r="BP196" s="153"/>
      <c r="BQ196" s="153"/>
      <c r="BR196" s="153"/>
      <c r="BS196" s="153"/>
      <c r="BT196" s="153"/>
      <c r="BU196" s="153"/>
      <c r="BV196" s="153"/>
      <c r="BW196" s="153"/>
      <c r="BX196" s="153"/>
      <c r="BY196" s="153"/>
      <c r="BZ196" s="153"/>
      <c r="CA196" s="153"/>
      <c r="CB196" s="153"/>
      <c r="CC196" s="153"/>
      <c r="CD196" s="153"/>
      <c r="CE196" s="153"/>
      <c r="CF196" s="153"/>
      <c r="CG196" s="153"/>
      <c r="CH196" s="153"/>
      <c r="CI196" s="153"/>
      <c r="CJ196" s="153"/>
      <c r="CK196" s="153"/>
      <c r="CL196" s="153"/>
      <c r="CM196" s="153"/>
      <c r="CN196" s="153"/>
      <c r="CO196" s="153"/>
      <c r="CP196" s="153"/>
      <c r="CQ196" s="153"/>
      <c r="CR196" s="153"/>
      <c r="CS196" s="153"/>
      <c r="CT196" s="153"/>
      <c r="CU196" s="153"/>
      <c r="CV196" s="153"/>
      <c r="CW196" s="153"/>
      <c r="CX196" s="153"/>
      <c r="CY196" s="153"/>
      <c r="CZ196" s="153"/>
      <c r="DA196" s="153"/>
      <c r="DB196" s="153"/>
      <c r="DC196" s="153"/>
      <c r="DD196" s="153"/>
      <c r="DE196" s="153"/>
      <c r="DF196" s="153"/>
      <c r="DG196" s="153"/>
      <c r="DH196" s="153"/>
      <c r="DI196" s="153"/>
      <c r="DJ196" s="153"/>
      <c r="DK196" s="153"/>
      <c r="DL196" s="153"/>
      <c r="DM196" s="153"/>
      <c r="DN196" s="153"/>
      <c r="DO196" s="153"/>
      <c r="DP196" s="153"/>
      <c r="DQ196" s="153"/>
      <c r="DR196" s="153"/>
      <c r="DS196" s="153"/>
      <c r="DT196" s="153"/>
      <c r="DU196" s="153"/>
      <c r="DV196" s="153"/>
      <c r="DW196" s="153"/>
      <c r="DX196" s="153"/>
      <c r="DY196" s="153"/>
    </row>
    <row r="197" spans="1:129" ht="14.1" customHeight="1" x14ac:dyDescent="0.2">
      <c r="A197" s="153"/>
      <c r="B197" s="153"/>
      <c r="C197" s="153"/>
      <c r="D197" s="153"/>
      <c r="E197" s="153"/>
      <c r="F197" s="153"/>
      <c r="G197" s="153"/>
      <c r="H197" s="153"/>
      <c r="I197" s="153"/>
      <c r="J197" s="153"/>
      <c r="K197" s="153"/>
      <c r="L197" s="153"/>
      <c r="M197" s="153"/>
      <c r="N197" s="153"/>
      <c r="O197" s="153"/>
      <c r="P197" s="153"/>
      <c r="Q197" s="153"/>
      <c r="R197" s="153"/>
      <c r="S197" s="153"/>
      <c r="T197" s="153"/>
      <c r="U197" s="15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  <c r="BI197" s="153"/>
      <c r="BJ197" s="153"/>
      <c r="BK197" s="153"/>
      <c r="BL197" s="153"/>
      <c r="BM197" s="153"/>
      <c r="BN197" s="153"/>
      <c r="BO197" s="153"/>
      <c r="BP197" s="153"/>
      <c r="BQ197" s="153"/>
      <c r="BR197" s="153"/>
      <c r="BS197" s="153"/>
      <c r="BT197" s="153"/>
      <c r="BU197" s="153"/>
      <c r="BV197" s="153"/>
      <c r="BW197" s="153"/>
      <c r="BX197" s="153"/>
      <c r="BY197" s="153"/>
      <c r="BZ197" s="153"/>
      <c r="CA197" s="153"/>
      <c r="CB197" s="153"/>
      <c r="CC197" s="153"/>
      <c r="CD197" s="153"/>
      <c r="CE197" s="153"/>
      <c r="CF197" s="153"/>
      <c r="CG197" s="153"/>
      <c r="CH197" s="153"/>
      <c r="CI197" s="153"/>
      <c r="CJ197" s="153"/>
      <c r="CK197" s="153"/>
      <c r="CL197" s="153"/>
      <c r="CM197" s="153"/>
      <c r="CN197" s="153"/>
      <c r="CO197" s="153"/>
      <c r="CP197" s="153"/>
      <c r="CQ197" s="153"/>
      <c r="CR197" s="153"/>
      <c r="CS197" s="153"/>
      <c r="CT197" s="153"/>
      <c r="CU197" s="153"/>
      <c r="CV197" s="153"/>
      <c r="CW197" s="153"/>
      <c r="CX197" s="153"/>
      <c r="CY197" s="153"/>
      <c r="CZ197" s="153"/>
      <c r="DA197" s="153"/>
      <c r="DB197" s="153"/>
      <c r="DC197" s="153"/>
      <c r="DD197" s="153"/>
      <c r="DE197" s="153"/>
      <c r="DF197" s="153"/>
      <c r="DG197" s="153"/>
      <c r="DH197" s="153"/>
      <c r="DI197" s="153"/>
      <c r="DJ197" s="153"/>
      <c r="DK197" s="153"/>
      <c r="DL197" s="153"/>
      <c r="DM197" s="153"/>
      <c r="DN197" s="153"/>
      <c r="DO197" s="153"/>
      <c r="DP197" s="153"/>
      <c r="DQ197" s="153"/>
      <c r="DR197" s="153"/>
      <c r="DS197" s="153"/>
      <c r="DT197" s="153"/>
      <c r="DU197" s="153"/>
      <c r="DV197" s="153"/>
      <c r="DW197" s="153"/>
      <c r="DX197" s="153"/>
      <c r="DY197" s="153"/>
    </row>
    <row r="198" spans="1:129" ht="14.1" customHeight="1" x14ac:dyDescent="0.2">
      <c r="A198" s="153"/>
      <c r="B198" s="153"/>
      <c r="C198" s="153"/>
      <c r="D198" s="153"/>
      <c r="E198" s="153"/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  <c r="BI198" s="153"/>
      <c r="BJ198" s="153"/>
      <c r="BK198" s="153"/>
      <c r="BL198" s="153"/>
      <c r="BM198" s="153"/>
      <c r="BN198" s="153"/>
      <c r="BO198" s="153"/>
      <c r="BP198" s="153"/>
      <c r="BQ198" s="153"/>
      <c r="BR198" s="153"/>
      <c r="BS198" s="153"/>
      <c r="BT198" s="153"/>
      <c r="BU198" s="153"/>
      <c r="BV198" s="153"/>
      <c r="BW198" s="153"/>
      <c r="BX198" s="153"/>
      <c r="BY198" s="153"/>
      <c r="BZ198" s="153"/>
      <c r="CA198" s="153"/>
      <c r="CB198" s="153"/>
      <c r="CC198" s="153"/>
      <c r="CD198" s="153"/>
      <c r="CE198" s="153"/>
      <c r="CF198" s="153"/>
      <c r="CG198" s="153"/>
      <c r="CH198" s="153"/>
      <c r="CI198" s="153"/>
      <c r="CJ198" s="153"/>
      <c r="CK198" s="153"/>
      <c r="CL198" s="153"/>
      <c r="CM198" s="153"/>
      <c r="CN198" s="153"/>
      <c r="CO198" s="153"/>
      <c r="CP198" s="153"/>
      <c r="CQ198" s="153"/>
      <c r="CR198" s="153"/>
      <c r="CS198" s="153"/>
      <c r="CT198" s="153"/>
      <c r="CU198" s="153"/>
      <c r="CV198" s="153"/>
      <c r="CW198" s="153"/>
      <c r="CX198" s="153"/>
      <c r="CY198" s="153"/>
      <c r="CZ198" s="153"/>
      <c r="DA198" s="153"/>
      <c r="DB198" s="153"/>
      <c r="DC198" s="153"/>
      <c r="DD198" s="153"/>
      <c r="DE198" s="153"/>
      <c r="DF198" s="153"/>
      <c r="DG198" s="153"/>
      <c r="DH198" s="153"/>
      <c r="DI198" s="153"/>
      <c r="DJ198" s="153"/>
      <c r="DK198" s="153"/>
      <c r="DL198" s="153"/>
      <c r="DM198" s="153"/>
      <c r="DN198" s="153"/>
      <c r="DO198" s="153"/>
      <c r="DP198" s="153"/>
      <c r="DQ198" s="153"/>
      <c r="DR198" s="153"/>
      <c r="DS198" s="153"/>
      <c r="DT198" s="153"/>
      <c r="DU198" s="153"/>
      <c r="DV198" s="153"/>
      <c r="DW198" s="153"/>
      <c r="DX198" s="153"/>
      <c r="DY198" s="153"/>
    </row>
    <row r="199" spans="1:129" ht="14.1" customHeight="1" x14ac:dyDescent="0.2">
      <c r="A199" s="153"/>
      <c r="B199" s="153"/>
      <c r="C199" s="153"/>
      <c r="D199" s="153"/>
      <c r="E199" s="153"/>
      <c r="F199" s="153"/>
      <c r="G199" s="153"/>
      <c r="H199" s="153"/>
      <c r="I199" s="153"/>
      <c r="J199" s="153"/>
      <c r="K199" s="153"/>
      <c r="L199" s="153"/>
      <c r="M199" s="153"/>
      <c r="N199" s="153"/>
      <c r="O199" s="153"/>
      <c r="P199" s="153"/>
      <c r="Q199" s="153"/>
      <c r="R199" s="153"/>
      <c r="S199" s="153"/>
      <c r="T199" s="153"/>
      <c r="U199" s="15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  <c r="BI199" s="153"/>
      <c r="BJ199" s="153"/>
      <c r="BK199" s="153"/>
      <c r="BL199" s="153"/>
      <c r="BM199" s="153"/>
      <c r="BN199" s="153"/>
      <c r="BO199" s="153"/>
      <c r="BP199" s="153"/>
      <c r="BQ199" s="153"/>
      <c r="BR199" s="153"/>
      <c r="BS199" s="153"/>
      <c r="BT199" s="153"/>
      <c r="BU199" s="153"/>
      <c r="BV199" s="153"/>
      <c r="BW199" s="153"/>
      <c r="BX199" s="153"/>
      <c r="BY199" s="153"/>
      <c r="BZ199" s="153"/>
      <c r="CA199" s="153"/>
      <c r="CB199" s="153"/>
      <c r="CC199" s="153"/>
      <c r="CD199" s="153"/>
      <c r="CE199" s="153"/>
      <c r="CF199" s="153"/>
      <c r="CG199" s="153"/>
      <c r="CH199" s="153"/>
      <c r="CI199" s="153"/>
      <c r="CJ199" s="153"/>
      <c r="CK199" s="153"/>
      <c r="CL199" s="153"/>
      <c r="CM199" s="153"/>
      <c r="CN199" s="153"/>
      <c r="CO199" s="153"/>
      <c r="CP199" s="153"/>
      <c r="CQ199" s="153"/>
      <c r="CR199" s="153"/>
      <c r="CS199" s="153"/>
      <c r="CT199" s="153"/>
      <c r="CU199" s="153"/>
      <c r="CV199" s="153"/>
      <c r="CW199" s="153"/>
      <c r="CX199" s="153"/>
      <c r="CY199" s="153"/>
      <c r="CZ199" s="153"/>
      <c r="DA199" s="153"/>
      <c r="DB199" s="153"/>
      <c r="DC199" s="153"/>
      <c r="DD199" s="153"/>
      <c r="DE199" s="153"/>
      <c r="DF199" s="153"/>
      <c r="DG199" s="153"/>
      <c r="DH199" s="153"/>
      <c r="DI199" s="153"/>
      <c r="DJ199" s="153"/>
      <c r="DK199" s="153"/>
      <c r="DL199" s="153"/>
      <c r="DM199" s="153"/>
      <c r="DN199" s="153"/>
      <c r="DO199" s="153"/>
      <c r="DP199" s="153"/>
      <c r="DQ199" s="153"/>
      <c r="DR199" s="153"/>
      <c r="DS199" s="153"/>
      <c r="DT199" s="153"/>
      <c r="DU199" s="153"/>
      <c r="DV199" s="153"/>
      <c r="DW199" s="153"/>
      <c r="DX199" s="153"/>
      <c r="DY199" s="153"/>
    </row>
    <row r="200" spans="1:129" ht="14.1" customHeight="1" x14ac:dyDescent="0.2">
      <c r="A200" s="153"/>
      <c r="B200" s="153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  <c r="BJ200" s="153"/>
      <c r="BK200" s="153"/>
      <c r="BL200" s="153"/>
      <c r="BM200" s="153"/>
      <c r="BN200" s="153"/>
      <c r="BO200" s="153"/>
      <c r="BP200" s="153"/>
      <c r="BQ200" s="153"/>
      <c r="BR200" s="153"/>
      <c r="BS200" s="153"/>
      <c r="BT200" s="153"/>
      <c r="BU200" s="153"/>
      <c r="BV200" s="153"/>
      <c r="BW200" s="153"/>
      <c r="BX200" s="153"/>
      <c r="BY200" s="153"/>
      <c r="BZ200" s="153"/>
      <c r="CA200" s="153"/>
      <c r="CB200" s="153"/>
      <c r="CC200" s="153"/>
      <c r="CD200" s="153"/>
      <c r="CE200" s="153"/>
      <c r="CF200" s="153"/>
      <c r="CG200" s="153"/>
      <c r="CH200" s="153"/>
      <c r="CI200" s="153"/>
      <c r="CJ200" s="153"/>
      <c r="CK200" s="153"/>
      <c r="CL200" s="153"/>
      <c r="CM200" s="153"/>
      <c r="CN200" s="153"/>
      <c r="CO200" s="153"/>
      <c r="CP200" s="153"/>
      <c r="CQ200" s="153"/>
      <c r="CR200" s="153"/>
      <c r="CS200" s="153"/>
      <c r="CT200" s="153"/>
      <c r="CU200" s="153"/>
      <c r="CV200" s="153"/>
      <c r="CW200" s="153"/>
      <c r="CX200" s="153"/>
      <c r="CY200" s="153"/>
      <c r="CZ200" s="153"/>
      <c r="DA200" s="153"/>
      <c r="DB200" s="153"/>
      <c r="DC200" s="153"/>
      <c r="DD200" s="153"/>
      <c r="DE200" s="153"/>
      <c r="DF200" s="153"/>
      <c r="DG200" s="153"/>
      <c r="DH200" s="153"/>
      <c r="DI200" s="153"/>
      <c r="DJ200" s="153"/>
      <c r="DK200" s="153"/>
      <c r="DL200" s="153"/>
      <c r="DM200" s="153"/>
      <c r="DN200" s="153"/>
      <c r="DO200" s="153"/>
      <c r="DP200" s="153"/>
      <c r="DQ200" s="153"/>
      <c r="DR200" s="153"/>
      <c r="DS200" s="153"/>
      <c r="DT200" s="153"/>
      <c r="DU200" s="153"/>
      <c r="DV200" s="153"/>
      <c r="DW200" s="153"/>
      <c r="DX200" s="153"/>
      <c r="DY200" s="153"/>
    </row>
    <row r="201" spans="1:129" ht="14.1" customHeight="1" x14ac:dyDescent="0.2">
      <c r="A201" s="153"/>
      <c r="B201" s="153"/>
      <c r="C201" s="153"/>
      <c r="D201" s="153"/>
      <c r="E201" s="153"/>
      <c r="F201" s="153"/>
      <c r="G201" s="153"/>
      <c r="H201" s="153"/>
      <c r="I201" s="153"/>
      <c r="J201" s="153"/>
      <c r="K201" s="153"/>
      <c r="L201" s="153"/>
      <c r="M201" s="153"/>
      <c r="N201" s="153"/>
      <c r="O201" s="153"/>
      <c r="P201" s="153"/>
      <c r="Q201" s="153"/>
      <c r="R201" s="153"/>
      <c r="S201" s="153"/>
      <c r="T201" s="153"/>
      <c r="U201" s="15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  <c r="BI201" s="153"/>
      <c r="BJ201" s="153"/>
      <c r="BK201" s="153"/>
      <c r="BL201" s="153"/>
      <c r="BM201" s="153"/>
      <c r="BN201" s="153"/>
      <c r="BO201" s="153"/>
      <c r="BP201" s="153"/>
      <c r="BQ201" s="153"/>
      <c r="BR201" s="153"/>
      <c r="BS201" s="153"/>
      <c r="BT201" s="153"/>
      <c r="BU201" s="153"/>
      <c r="BV201" s="153"/>
      <c r="BW201" s="153"/>
      <c r="BX201" s="153"/>
      <c r="BY201" s="153"/>
      <c r="BZ201" s="153"/>
      <c r="CA201" s="153"/>
      <c r="CB201" s="153"/>
      <c r="CC201" s="153"/>
      <c r="CD201" s="153"/>
      <c r="CE201" s="153"/>
      <c r="CF201" s="153"/>
      <c r="CG201" s="153"/>
      <c r="CH201" s="153"/>
      <c r="CI201" s="153"/>
      <c r="CJ201" s="153"/>
      <c r="CK201" s="153"/>
      <c r="CL201" s="153"/>
      <c r="CM201" s="153"/>
      <c r="CN201" s="153"/>
      <c r="CO201" s="153"/>
      <c r="CP201" s="153"/>
      <c r="CQ201" s="153"/>
      <c r="CR201" s="153"/>
      <c r="CS201" s="153"/>
      <c r="CT201" s="153"/>
      <c r="CU201" s="153"/>
      <c r="CV201" s="153"/>
      <c r="CW201" s="153"/>
      <c r="CX201" s="153"/>
      <c r="CY201" s="153"/>
      <c r="CZ201" s="153"/>
      <c r="DA201" s="153"/>
      <c r="DB201" s="153"/>
      <c r="DC201" s="153"/>
      <c r="DD201" s="153"/>
      <c r="DE201" s="153"/>
      <c r="DF201" s="153"/>
      <c r="DG201" s="153"/>
      <c r="DH201" s="153"/>
      <c r="DI201" s="153"/>
      <c r="DJ201" s="153"/>
      <c r="DK201" s="153"/>
      <c r="DL201" s="153"/>
      <c r="DM201" s="153"/>
      <c r="DN201" s="153"/>
      <c r="DO201" s="153"/>
      <c r="DP201" s="153"/>
      <c r="DQ201" s="153"/>
      <c r="DR201" s="153"/>
      <c r="DS201" s="153"/>
      <c r="DT201" s="153"/>
      <c r="DU201" s="153"/>
      <c r="DV201" s="153"/>
      <c r="DW201" s="153"/>
      <c r="DX201" s="153"/>
      <c r="DY201" s="153"/>
    </row>
    <row r="202" spans="1:129" ht="14.1" customHeight="1" x14ac:dyDescent="0.2">
      <c r="A202" s="153"/>
      <c r="B202" s="153"/>
      <c r="C202" s="153"/>
      <c r="D202" s="153"/>
      <c r="E202" s="153"/>
      <c r="F202" s="153"/>
      <c r="G202" s="153"/>
      <c r="H202" s="153"/>
      <c r="I202" s="153"/>
      <c r="J202" s="153"/>
      <c r="K202" s="153"/>
      <c r="L202" s="153"/>
      <c r="M202" s="153"/>
      <c r="N202" s="153"/>
      <c r="O202" s="153"/>
      <c r="P202" s="153"/>
      <c r="Q202" s="153"/>
      <c r="R202" s="153"/>
      <c r="S202" s="153"/>
      <c r="T202" s="153"/>
      <c r="U202" s="15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  <c r="BI202" s="153"/>
      <c r="BJ202" s="153"/>
      <c r="BK202" s="153"/>
      <c r="BL202" s="153"/>
      <c r="BM202" s="153"/>
      <c r="BN202" s="153"/>
      <c r="BO202" s="153"/>
      <c r="BP202" s="153"/>
      <c r="BQ202" s="153"/>
      <c r="BR202" s="153"/>
      <c r="BS202" s="153"/>
      <c r="BT202" s="153"/>
      <c r="BU202" s="153"/>
      <c r="BV202" s="153"/>
      <c r="BW202" s="153"/>
      <c r="BX202" s="153"/>
      <c r="BY202" s="153"/>
      <c r="BZ202" s="153"/>
      <c r="CA202" s="153"/>
      <c r="CB202" s="153"/>
      <c r="CC202" s="153"/>
      <c r="CD202" s="153"/>
      <c r="CE202" s="153"/>
      <c r="CF202" s="153"/>
      <c r="CG202" s="153"/>
      <c r="CH202" s="153"/>
      <c r="CI202" s="153"/>
      <c r="CJ202" s="153"/>
      <c r="CK202" s="153"/>
      <c r="CL202" s="153"/>
      <c r="CM202" s="153"/>
      <c r="CN202" s="153"/>
      <c r="CO202" s="153"/>
      <c r="CP202" s="153"/>
      <c r="CQ202" s="153"/>
      <c r="CR202" s="153"/>
      <c r="CS202" s="153"/>
      <c r="CT202" s="153"/>
      <c r="CU202" s="153"/>
      <c r="CV202" s="153"/>
      <c r="CW202" s="153"/>
      <c r="CX202" s="153"/>
      <c r="CY202" s="153"/>
      <c r="CZ202" s="153"/>
      <c r="DA202" s="153"/>
      <c r="DB202" s="153"/>
      <c r="DC202" s="153"/>
      <c r="DD202" s="153"/>
      <c r="DE202" s="153"/>
      <c r="DF202" s="153"/>
      <c r="DG202" s="153"/>
      <c r="DH202" s="153"/>
      <c r="DI202" s="153"/>
      <c r="DJ202" s="153"/>
      <c r="DK202" s="153"/>
      <c r="DL202" s="153"/>
      <c r="DM202" s="153"/>
      <c r="DN202" s="153"/>
      <c r="DO202" s="153"/>
      <c r="DP202" s="153"/>
      <c r="DQ202" s="153"/>
      <c r="DR202" s="153"/>
      <c r="DS202" s="153"/>
      <c r="DT202" s="153"/>
      <c r="DU202" s="153"/>
      <c r="DV202" s="153"/>
      <c r="DW202" s="153"/>
      <c r="DX202" s="153"/>
      <c r="DY202" s="153"/>
    </row>
    <row r="203" spans="1:129" ht="14.1" customHeight="1" x14ac:dyDescent="0.2">
      <c r="A203" s="153"/>
      <c r="B203" s="153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  <c r="BI203" s="153"/>
      <c r="BJ203" s="153"/>
      <c r="BK203" s="153"/>
      <c r="BL203" s="153"/>
      <c r="BM203" s="153"/>
      <c r="BN203" s="153"/>
      <c r="BO203" s="153"/>
      <c r="BP203" s="153"/>
      <c r="BQ203" s="153"/>
      <c r="BR203" s="153"/>
      <c r="BS203" s="153"/>
      <c r="BT203" s="153"/>
      <c r="BU203" s="153"/>
      <c r="BV203" s="153"/>
      <c r="BW203" s="153"/>
      <c r="BX203" s="153"/>
      <c r="BY203" s="153"/>
      <c r="BZ203" s="153"/>
      <c r="CA203" s="153"/>
      <c r="CB203" s="153"/>
      <c r="CC203" s="153"/>
      <c r="CD203" s="153"/>
      <c r="CE203" s="153"/>
      <c r="CF203" s="153"/>
      <c r="CG203" s="153"/>
      <c r="CH203" s="153"/>
      <c r="CI203" s="153"/>
      <c r="CJ203" s="153"/>
      <c r="CK203" s="153"/>
      <c r="CL203" s="153"/>
      <c r="CM203" s="153"/>
      <c r="CN203" s="153"/>
      <c r="CO203" s="153"/>
      <c r="CP203" s="153"/>
      <c r="CQ203" s="153"/>
      <c r="CR203" s="153"/>
      <c r="CS203" s="153"/>
      <c r="CT203" s="153"/>
      <c r="CU203" s="153"/>
      <c r="CV203" s="153"/>
      <c r="CW203" s="153"/>
      <c r="CX203" s="153"/>
      <c r="CY203" s="153"/>
      <c r="CZ203" s="153"/>
      <c r="DA203" s="153"/>
      <c r="DB203" s="153"/>
      <c r="DC203" s="153"/>
      <c r="DD203" s="153"/>
      <c r="DE203" s="153"/>
      <c r="DF203" s="153"/>
      <c r="DG203" s="153"/>
      <c r="DH203" s="153"/>
      <c r="DI203" s="153"/>
      <c r="DJ203" s="153"/>
      <c r="DK203" s="153"/>
      <c r="DL203" s="153"/>
      <c r="DM203" s="153"/>
      <c r="DN203" s="153"/>
      <c r="DO203" s="153"/>
      <c r="DP203" s="153"/>
      <c r="DQ203" s="153"/>
      <c r="DR203" s="153"/>
      <c r="DS203" s="153"/>
      <c r="DT203" s="153"/>
      <c r="DU203" s="153"/>
      <c r="DV203" s="153"/>
      <c r="DW203" s="153"/>
      <c r="DX203" s="153"/>
      <c r="DY203" s="153"/>
    </row>
    <row r="204" spans="1:129" ht="14.1" customHeight="1" x14ac:dyDescent="0.2">
      <c r="A204" s="153"/>
      <c r="B204" s="153"/>
      <c r="C204" s="153"/>
      <c r="D204" s="153"/>
      <c r="E204" s="153"/>
      <c r="F204" s="153"/>
      <c r="G204" s="153"/>
      <c r="H204" s="153"/>
      <c r="I204" s="153"/>
      <c r="J204" s="153"/>
      <c r="K204" s="153"/>
      <c r="L204" s="153"/>
      <c r="M204" s="153"/>
      <c r="N204" s="153"/>
      <c r="O204" s="153"/>
      <c r="P204" s="153"/>
      <c r="Q204" s="153"/>
      <c r="R204" s="153"/>
      <c r="S204" s="153"/>
      <c r="T204" s="153"/>
      <c r="U204" s="15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  <c r="BI204" s="153"/>
      <c r="BJ204" s="153"/>
      <c r="BK204" s="153"/>
      <c r="BL204" s="153"/>
      <c r="BM204" s="153"/>
      <c r="BN204" s="153"/>
      <c r="BO204" s="153"/>
      <c r="BP204" s="153"/>
      <c r="BQ204" s="153"/>
      <c r="BR204" s="153"/>
      <c r="BS204" s="153"/>
      <c r="BT204" s="153"/>
      <c r="BU204" s="153"/>
      <c r="BV204" s="153"/>
      <c r="BW204" s="153"/>
      <c r="BX204" s="153"/>
      <c r="BY204" s="153"/>
      <c r="BZ204" s="153"/>
      <c r="CA204" s="153"/>
      <c r="CB204" s="153"/>
      <c r="CC204" s="153"/>
      <c r="CD204" s="153"/>
      <c r="CE204" s="153"/>
      <c r="CF204" s="153"/>
      <c r="CG204" s="153"/>
      <c r="CH204" s="153"/>
      <c r="CI204" s="153"/>
      <c r="CJ204" s="153"/>
      <c r="CK204" s="153"/>
      <c r="CL204" s="153"/>
      <c r="CM204" s="153"/>
      <c r="CN204" s="153"/>
      <c r="CO204" s="153"/>
      <c r="CP204" s="153"/>
      <c r="CQ204" s="153"/>
      <c r="CR204" s="153"/>
      <c r="CS204" s="153"/>
      <c r="CT204" s="153"/>
      <c r="CU204" s="153"/>
      <c r="CV204" s="153"/>
      <c r="CW204" s="153"/>
      <c r="CX204" s="153"/>
      <c r="CY204" s="153"/>
      <c r="CZ204" s="153"/>
      <c r="DA204" s="153"/>
      <c r="DB204" s="153"/>
      <c r="DC204" s="153"/>
      <c r="DD204" s="153"/>
      <c r="DE204" s="153"/>
      <c r="DF204" s="153"/>
      <c r="DG204" s="153"/>
      <c r="DH204" s="153"/>
      <c r="DI204" s="153"/>
      <c r="DJ204" s="153"/>
      <c r="DK204" s="153"/>
      <c r="DL204" s="153"/>
      <c r="DM204" s="153"/>
      <c r="DN204" s="153"/>
      <c r="DO204" s="153"/>
      <c r="DP204" s="153"/>
      <c r="DQ204" s="153"/>
      <c r="DR204" s="153"/>
      <c r="DS204" s="153"/>
      <c r="DT204" s="153"/>
      <c r="DU204" s="153"/>
      <c r="DV204" s="153"/>
      <c r="DW204" s="153"/>
      <c r="DX204" s="153"/>
      <c r="DY204" s="153"/>
    </row>
    <row r="205" spans="1:129" ht="14.1" customHeight="1" x14ac:dyDescent="0.2">
      <c r="A205" s="153"/>
      <c r="B205" s="153"/>
      <c r="C205" s="153"/>
      <c r="D205" s="153"/>
      <c r="E205" s="153"/>
      <c r="F205" s="153"/>
      <c r="G205" s="153"/>
      <c r="H205" s="153"/>
      <c r="I205" s="153"/>
      <c r="J205" s="153"/>
      <c r="K205" s="153"/>
      <c r="L205" s="153"/>
      <c r="M205" s="153"/>
      <c r="N205" s="153"/>
      <c r="O205" s="153"/>
      <c r="P205" s="153"/>
      <c r="Q205" s="153"/>
      <c r="R205" s="153"/>
      <c r="S205" s="153"/>
      <c r="T205" s="153"/>
      <c r="U205" s="15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  <c r="BI205" s="153"/>
      <c r="BJ205" s="153"/>
      <c r="BK205" s="153"/>
      <c r="BL205" s="153"/>
      <c r="BM205" s="153"/>
      <c r="BN205" s="153"/>
      <c r="BO205" s="153"/>
      <c r="BP205" s="153"/>
      <c r="BQ205" s="153"/>
      <c r="BR205" s="153"/>
      <c r="BS205" s="153"/>
      <c r="BT205" s="153"/>
      <c r="BU205" s="153"/>
      <c r="BV205" s="153"/>
      <c r="BW205" s="153"/>
      <c r="BX205" s="153"/>
      <c r="BY205" s="153"/>
      <c r="BZ205" s="153"/>
      <c r="CA205" s="153"/>
      <c r="CB205" s="153"/>
      <c r="CC205" s="153"/>
      <c r="CD205" s="153"/>
      <c r="CE205" s="153"/>
      <c r="CF205" s="153"/>
      <c r="CG205" s="153"/>
      <c r="CH205" s="153"/>
      <c r="CI205" s="153"/>
      <c r="CJ205" s="153"/>
      <c r="CK205" s="153"/>
      <c r="CL205" s="153"/>
      <c r="CM205" s="153"/>
      <c r="CN205" s="153"/>
      <c r="CO205" s="153"/>
      <c r="CP205" s="153"/>
      <c r="CQ205" s="153"/>
      <c r="CR205" s="153"/>
      <c r="CS205" s="153"/>
      <c r="CT205" s="153"/>
      <c r="CU205" s="153"/>
      <c r="CV205" s="153"/>
      <c r="CW205" s="153"/>
      <c r="CX205" s="153"/>
      <c r="CY205" s="153"/>
      <c r="CZ205" s="153"/>
      <c r="DA205" s="153"/>
      <c r="DB205" s="153"/>
      <c r="DC205" s="153"/>
      <c r="DD205" s="153"/>
      <c r="DE205" s="153"/>
      <c r="DF205" s="153"/>
      <c r="DG205" s="153"/>
      <c r="DH205" s="153"/>
      <c r="DI205" s="153"/>
      <c r="DJ205" s="153"/>
      <c r="DK205" s="153"/>
      <c r="DL205" s="153"/>
      <c r="DM205" s="153"/>
      <c r="DN205" s="153"/>
      <c r="DO205" s="153"/>
      <c r="DP205" s="153"/>
      <c r="DQ205" s="153"/>
      <c r="DR205" s="153"/>
      <c r="DS205" s="153"/>
      <c r="DT205" s="153"/>
      <c r="DU205" s="153"/>
      <c r="DV205" s="153"/>
      <c r="DW205" s="153"/>
      <c r="DX205" s="153"/>
      <c r="DY205" s="153"/>
    </row>
    <row r="206" spans="1:129" ht="14.1" customHeight="1" x14ac:dyDescent="0.2">
      <c r="A206" s="153"/>
      <c r="B206" s="153"/>
      <c r="C206" s="153"/>
      <c r="D206" s="153"/>
      <c r="E206" s="153"/>
      <c r="F206" s="153"/>
      <c r="G206" s="153"/>
      <c r="H206" s="153"/>
      <c r="I206" s="153"/>
      <c r="J206" s="153"/>
      <c r="K206" s="153"/>
      <c r="L206" s="153"/>
      <c r="M206" s="153"/>
      <c r="N206" s="153"/>
      <c r="O206" s="153"/>
      <c r="P206" s="153"/>
      <c r="Q206" s="153"/>
      <c r="R206" s="153"/>
      <c r="S206" s="153"/>
      <c r="T206" s="153"/>
      <c r="U206" s="15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  <c r="BI206" s="153"/>
      <c r="BJ206" s="153"/>
      <c r="BK206" s="153"/>
      <c r="BL206" s="153"/>
      <c r="BM206" s="153"/>
      <c r="BN206" s="153"/>
      <c r="BO206" s="153"/>
      <c r="BP206" s="153"/>
      <c r="BQ206" s="153"/>
      <c r="BR206" s="153"/>
      <c r="BS206" s="153"/>
      <c r="BT206" s="153"/>
      <c r="BU206" s="153"/>
      <c r="BV206" s="153"/>
      <c r="BW206" s="153"/>
      <c r="BX206" s="153"/>
      <c r="BY206" s="153"/>
      <c r="BZ206" s="153"/>
      <c r="CA206" s="153"/>
      <c r="CB206" s="153"/>
      <c r="CC206" s="153"/>
      <c r="CD206" s="153"/>
      <c r="CE206" s="153"/>
      <c r="CF206" s="153"/>
      <c r="CG206" s="153"/>
      <c r="CH206" s="153"/>
      <c r="CI206" s="153"/>
      <c r="CJ206" s="153"/>
      <c r="CK206" s="153"/>
      <c r="CL206" s="153"/>
      <c r="CM206" s="153"/>
      <c r="CN206" s="153"/>
      <c r="CO206" s="153"/>
      <c r="CP206" s="153"/>
      <c r="CQ206" s="153"/>
      <c r="CR206" s="153"/>
      <c r="CS206" s="153"/>
      <c r="CT206" s="153"/>
      <c r="CU206" s="153"/>
      <c r="CV206" s="153"/>
      <c r="CW206" s="153"/>
      <c r="CX206" s="153"/>
      <c r="CY206" s="153"/>
      <c r="CZ206" s="153"/>
      <c r="DA206" s="153"/>
      <c r="DB206" s="153"/>
      <c r="DC206" s="153"/>
      <c r="DD206" s="153"/>
      <c r="DE206" s="153"/>
      <c r="DF206" s="153"/>
      <c r="DG206" s="153"/>
      <c r="DH206" s="153"/>
      <c r="DI206" s="153"/>
      <c r="DJ206" s="153"/>
      <c r="DK206" s="153"/>
      <c r="DL206" s="153"/>
      <c r="DM206" s="153"/>
      <c r="DN206" s="153"/>
      <c r="DO206" s="153"/>
      <c r="DP206" s="153"/>
      <c r="DQ206" s="153"/>
      <c r="DR206" s="153"/>
      <c r="DS206" s="153"/>
      <c r="DT206" s="153"/>
      <c r="DU206" s="153"/>
      <c r="DV206" s="153"/>
      <c r="DW206" s="153"/>
      <c r="DX206" s="153"/>
      <c r="DY206" s="153"/>
    </row>
    <row r="207" spans="1:129" ht="14.1" customHeight="1" x14ac:dyDescent="0.2">
      <c r="A207" s="153"/>
      <c r="B207" s="153"/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  <c r="N207" s="153"/>
      <c r="O207" s="153"/>
      <c r="P207" s="153"/>
      <c r="Q207" s="153"/>
      <c r="R207" s="153"/>
      <c r="S207" s="153"/>
      <c r="T207" s="153"/>
      <c r="U207" s="15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  <c r="BI207" s="153"/>
      <c r="BJ207" s="153"/>
      <c r="BK207" s="153"/>
      <c r="BL207" s="153"/>
      <c r="BM207" s="153"/>
      <c r="BN207" s="153"/>
      <c r="BO207" s="153"/>
      <c r="BP207" s="153"/>
      <c r="BQ207" s="153"/>
      <c r="BR207" s="153"/>
      <c r="BS207" s="153"/>
      <c r="BT207" s="153"/>
      <c r="BU207" s="153"/>
      <c r="BV207" s="153"/>
      <c r="BW207" s="153"/>
      <c r="BX207" s="153"/>
      <c r="BY207" s="153"/>
      <c r="BZ207" s="153"/>
      <c r="CA207" s="153"/>
      <c r="CB207" s="153"/>
      <c r="CC207" s="153"/>
      <c r="CD207" s="153"/>
      <c r="CE207" s="153"/>
      <c r="CF207" s="153"/>
      <c r="CG207" s="153"/>
      <c r="CH207" s="153"/>
      <c r="CI207" s="153"/>
      <c r="CJ207" s="153"/>
      <c r="CK207" s="153"/>
      <c r="CL207" s="153"/>
      <c r="CM207" s="153"/>
      <c r="CN207" s="153"/>
      <c r="CO207" s="153"/>
      <c r="CP207" s="153"/>
      <c r="CQ207" s="153"/>
      <c r="CR207" s="153"/>
      <c r="CS207" s="153"/>
      <c r="CT207" s="153"/>
      <c r="CU207" s="153"/>
      <c r="CV207" s="153"/>
      <c r="CW207" s="153"/>
      <c r="CX207" s="153"/>
      <c r="CY207" s="153"/>
      <c r="CZ207" s="153"/>
      <c r="DA207" s="153"/>
      <c r="DB207" s="153"/>
      <c r="DC207" s="153"/>
      <c r="DD207" s="153"/>
      <c r="DE207" s="153"/>
      <c r="DF207" s="153"/>
      <c r="DG207" s="153"/>
      <c r="DH207" s="153"/>
      <c r="DI207" s="153"/>
      <c r="DJ207" s="153"/>
      <c r="DK207" s="153"/>
      <c r="DL207" s="153"/>
      <c r="DM207" s="153"/>
      <c r="DN207" s="153"/>
      <c r="DO207" s="153"/>
      <c r="DP207" s="153"/>
      <c r="DQ207" s="153"/>
      <c r="DR207" s="153"/>
      <c r="DS207" s="153"/>
      <c r="DT207" s="153"/>
      <c r="DU207" s="153"/>
      <c r="DV207" s="153"/>
      <c r="DW207" s="153"/>
      <c r="DX207" s="153"/>
      <c r="DY207" s="153"/>
    </row>
    <row r="208" spans="1:129" ht="14.1" customHeight="1" x14ac:dyDescent="0.2">
      <c r="A208" s="153"/>
      <c r="B208" s="153"/>
      <c r="C208" s="153"/>
      <c r="D208" s="153"/>
      <c r="E208" s="153"/>
      <c r="F208" s="153"/>
      <c r="G208" s="153"/>
      <c r="H208" s="153"/>
      <c r="I208" s="153"/>
      <c r="J208" s="153"/>
      <c r="K208" s="153"/>
      <c r="L208" s="153"/>
      <c r="M208" s="153"/>
      <c r="N208" s="153"/>
      <c r="O208" s="153"/>
      <c r="P208" s="153"/>
      <c r="Q208" s="153"/>
      <c r="R208" s="153"/>
      <c r="S208" s="153"/>
      <c r="T208" s="153"/>
      <c r="U208" s="15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  <c r="BI208" s="153"/>
      <c r="BJ208" s="153"/>
      <c r="BK208" s="153"/>
      <c r="BL208" s="153"/>
      <c r="BM208" s="153"/>
      <c r="BN208" s="153"/>
      <c r="BO208" s="153"/>
      <c r="BP208" s="153"/>
      <c r="BQ208" s="153"/>
      <c r="BR208" s="153"/>
      <c r="BS208" s="153"/>
      <c r="BT208" s="153"/>
      <c r="BU208" s="153"/>
      <c r="BV208" s="153"/>
      <c r="BW208" s="153"/>
      <c r="BX208" s="153"/>
      <c r="BY208" s="153"/>
      <c r="BZ208" s="153"/>
      <c r="CA208" s="153"/>
      <c r="CB208" s="153"/>
      <c r="CC208" s="153"/>
      <c r="CD208" s="153"/>
      <c r="CE208" s="153"/>
      <c r="CF208" s="153"/>
      <c r="CG208" s="153"/>
      <c r="CH208" s="153"/>
      <c r="CI208" s="153"/>
      <c r="CJ208" s="153"/>
      <c r="CK208" s="153"/>
      <c r="CL208" s="153"/>
      <c r="CM208" s="153"/>
      <c r="CN208" s="153"/>
      <c r="CO208" s="153"/>
      <c r="CP208" s="153"/>
      <c r="CQ208" s="153"/>
      <c r="CR208" s="153"/>
      <c r="CS208" s="153"/>
      <c r="CT208" s="153"/>
      <c r="CU208" s="153"/>
      <c r="CV208" s="153"/>
      <c r="CW208" s="153"/>
      <c r="CX208" s="153"/>
      <c r="CY208" s="153"/>
      <c r="CZ208" s="153"/>
      <c r="DA208" s="153"/>
      <c r="DB208" s="153"/>
      <c r="DC208" s="153"/>
      <c r="DD208" s="153"/>
      <c r="DE208" s="153"/>
      <c r="DF208" s="153"/>
      <c r="DG208" s="153"/>
      <c r="DH208" s="153"/>
      <c r="DI208" s="153"/>
      <c r="DJ208" s="153"/>
      <c r="DK208" s="153"/>
      <c r="DL208" s="153"/>
      <c r="DM208" s="153"/>
      <c r="DN208" s="153"/>
      <c r="DO208" s="153"/>
      <c r="DP208" s="153"/>
      <c r="DQ208" s="153"/>
      <c r="DR208" s="153"/>
      <c r="DS208" s="153"/>
      <c r="DT208" s="153"/>
      <c r="DU208" s="153"/>
      <c r="DV208" s="153"/>
      <c r="DW208" s="153"/>
      <c r="DX208" s="153"/>
      <c r="DY208" s="153"/>
    </row>
    <row r="209" spans="1:129" ht="14.1" customHeight="1" x14ac:dyDescent="0.2">
      <c r="A209" s="153"/>
      <c r="B209" s="153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  <c r="M209" s="153"/>
      <c r="N209" s="153"/>
      <c r="O209" s="153"/>
      <c r="P209" s="153"/>
      <c r="Q209" s="153"/>
      <c r="R209" s="153"/>
      <c r="S209" s="153"/>
      <c r="T209" s="153"/>
      <c r="U209" s="15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  <c r="BI209" s="153"/>
      <c r="BJ209" s="153"/>
      <c r="BK209" s="153"/>
      <c r="BL209" s="153"/>
      <c r="BM209" s="153"/>
      <c r="BN209" s="153"/>
      <c r="BO209" s="153"/>
      <c r="BP209" s="153"/>
      <c r="BQ209" s="153"/>
      <c r="BR209" s="153"/>
      <c r="BS209" s="153"/>
      <c r="BT209" s="153"/>
      <c r="BU209" s="153"/>
      <c r="BV209" s="153"/>
      <c r="BW209" s="153"/>
      <c r="BX209" s="153"/>
      <c r="BY209" s="153"/>
      <c r="BZ209" s="153"/>
      <c r="CA209" s="153"/>
      <c r="CB209" s="153"/>
      <c r="CC209" s="153"/>
      <c r="CD209" s="153"/>
      <c r="CE209" s="153"/>
      <c r="CF209" s="153"/>
      <c r="CG209" s="153"/>
      <c r="CH209" s="153"/>
      <c r="CI209" s="153"/>
      <c r="CJ209" s="153"/>
      <c r="CK209" s="153"/>
      <c r="CL209" s="153"/>
      <c r="CM209" s="153"/>
      <c r="CN209" s="153"/>
      <c r="CO209" s="153"/>
      <c r="CP209" s="153"/>
      <c r="CQ209" s="153"/>
      <c r="CR209" s="153"/>
      <c r="CS209" s="153"/>
      <c r="CT209" s="153"/>
      <c r="CU209" s="153"/>
      <c r="CV209" s="153"/>
      <c r="CW209" s="153"/>
      <c r="CX209" s="153"/>
      <c r="CY209" s="153"/>
      <c r="CZ209" s="153"/>
      <c r="DA209" s="153"/>
      <c r="DB209" s="153"/>
      <c r="DC209" s="153"/>
      <c r="DD209" s="153"/>
      <c r="DE209" s="153"/>
      <c r="DF209" s="153"/>
      <c r="DG209" s="153"/>
      <c r="DH209" s="153"/>
      <c r="DI209" s="153"/>
      <c r="DJ209" s="153"/>
      <c r="DK209" s="153"/>
      <c r="DL209" s="153"/>
      <c r="DM209" s="153"/>
      <c r="DN209" s="153"/>
      <c r="DO209" s="153"/>
      <c r="DP209" s="153"/>
      <c r="DQ209" s="153"/>
      <c r="DR209" s="153"/>
      <c r="DS209" s="153"/>
      <c r="DT209" s="153"/>
      <c r="DU209" s="153"/>
      <c r="DV209" s="153"/>
      <c r="DW209" s="153"/>
      <c r="DX209" s="153"/>
      <c r="DY209" s="153"/>
    </row>
    <row r="210" spans="1:129" ht="14.1" customHeight="1" x14ac:dyDescent="0.2">
      <c r="A210" s="153"/>
      <c r="B210" s="153"/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  <c r="M210" s="153"/>
      <c r="N210" s="153"/>
      <c r="O210" s="153"/>
      <c r="P210" s="153"/>
      <c r="Q210" s="153"/>
      <c r="R210" s="153"/>
      <c r="S210" s="153"/>
      <c r="T210" s="153"/>
      <c r="U210" s="15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  <c r="BJ210" s="153"/>
      <c r="BK210" s="153"/>
      <c r="BL210" s="153"/>
      <c r="BM210" s="153"/>
      <c r="BN210" s="153"/>
      <c r="BO210" s="153"/>
      <c r="BP210" s="153"/>
      <c r="BQ210" s="153"/>
      <c r="BR210" s="153"/>
      <c r="BS210" s="153"/>
      <c r="BT210" s="153"/>
      <c r="BU210" s="153"/>
      <c r="BV210" s="153"/>
      <c r="BW210" s="153"/>
      <c r="BX210" s="153"/>
      <c r="BY210" s="153"/>
      <c r="BZ210" s="153"/>
      <c r="CA210" s="153"/>
      <c r="CB210" s="153"/>
      <c r="CC210" s="153"/>
      <c r="CD210" s="153"/>
      <c r="CE210" s="153"/>
      <c r="CF210" s="153"/>
      <c r="CG210" s="153"/>
      <c r="CH210" s="153"/>
      <c r="CI210" s="153"/>
      <c r="CJ210" s="153"/>
      <c r="CK210" s="153"/>
      <c r="CL210" s="153"/>
      <c r="CM210" s="153"/>
      <c r="CN210" s="153"/>
      <c r="CO210" s="153"/>
      <c r="CP210" s="153"/>
      <c r="CQ210" s="153"/>
      <c r="CR210" s="153"/>
      <c r="CS210" s="153"/>
      <c r="CT210" s="153"/>
      <c r="CU210" s="153"/>
      <c r="CV210" s="153"/>
      <c r="CW210" s="153"/>
      <c r="CX210" s="153"/>
      <c r="CY210" s="153"/>
      <c r="CZ210" s="153"/>
      <c r="DA210" s="153"/>
      <c r="DB210" s="153"/>
      <c r="DC210" s="153"/>
      <c r="DD210" s="153"/>
      <c r="DE210" s="153"/>
      <c r="DF210" s="153"/>
      <c r="DG210" s="153"/>
      <c r="DH210" s="153"/>
      <c r="DI210" s="153"/>
      <c r="DJ210" s="153"/>
      <c r="DK210" s="153"/>
      <c r="DL210" s="153"/>
      <c r="DM210" s="153"/>
      <c r="DN210" s="153"/>
      <c r="DO210" s="153"/>
      <c r="DP210" s="153"/>
      <c r="DQ210" s="153"/>
      <c r="DR210" s="153"/>
      <c r="DS210" s="153"/>
      <c r="DT210" s="153"/>
      <c r="DU210" s="153"/>
      <c r="DV210" s="153"/>
      <c r="DW210" s="153"/>
      <c r="DX210" s="153"/>
      <c r="DY210" s="153"/>
    </row>
    <row r="211" spans="1:129" ht="14.1" customHeight="1" x14ac:dyDescent="0.2">
      <c r="A211" s="153"/>
      <c r="B211" s="153"/>
      <c r="C211" s="153"/>
      <c r="D211" s="153"/>
      <c r="E211" s="153"/>
      <c r="F211" s="153"/>
      <c r="G211" s="153"/>
      <c r="H211" s="153"/>
      <c r="I211" s="153"/>
      <c r="J211" s="153"/>
      <c r="K211" s="153"/>
      <c r="L211" s="153"/>
      <c r="M211" s="153"/>
      <c r="N211" s="153"/>
      <c r="O211" s="153"/>
      <c r="P211" s="153"/>
      <c r="Q211" s="153"/>
      <c r="R211" s="153"/>
      <c r="S211" s="153"/>
      <c r="T211" s="153"/>
      <c r="U211" s="15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  <c r="BI211" s="153"/>
      <c r="BJ211" s="153"/>
      <c r="BK211" s="153"/>
      <c r="BL211" s="153"/>
      <c r="BM211" s="153"/>
      <c r="BN211" s="153"/>
      <c r="BO211" s="153"/>
      <c r="BP211" s="153"/>
      <c r="BQ211" s="153"/>
      <c r="BR211" s="153"/>
      <c r="BS211" s="153"/>
      <c r="BT211" s="153"/>
      <c r="BU211" s="153"/>
      <c r="BV211" s="153"/>
      <c r="BW211" s="153"/>
      <c r="BX211" s="153"/>
      <c r="BY211" s="153"/>
      <c r="BZ211" s="153"/>
      <c r="CA211" s="153"/>
      <c r="CB211" s="153"/>
      <c r="CC211" s="153"/>
      <c r="CD211" s="153"/>
      <c r="CE211" s="153"/>
      <c r="CF211" s="153"/>
      <c r="CG211" s="153"/>
      <c r="CH211" s="153"/>
      <c r="CI211" s="153"/>
      <c r="CJ211" s="153"/>
      <c r="CK211" s="153"/>
      <c r="CL211" s="153"/>
      <c r="CM211" s="153"/>
      <c r="CN211" s="153"/>
      <c r="CO211" s="153"/>
      <c r="CP211" s="153"/>
      <c r="CQ211" s="153"/>
      <c r="CR211" s="153"/>
      <c r="CS211" s="153"/>
      <c r="CT211" s="153"/>
      <c r="CU211" s="153"/>
      <c r="CV211" s="153"/>
      <c r="CW211" s="153"/>
      <c r="CX211" s="153"/>
      <c r="CY211" s="153"/>
      <c r="CZ211" s="153"/>
      <c r="DA211" s="153"/>
      <c r="DB211" s="153"/>
      <c r="DC211" s="153"/>
      <c r="DD211" s="153"/>
      <c r="DE211" s="153"/>
      <c r="DF211" s="153"/>
      <c r="DG211" s="153"/>
      <c r="DH211" s="153"/>
      <c r="DI211" s="153"/>
      <c r="DJ211" s="153"/>
      <c r="DK211" s="153"/>
      <c r="DL211" s="153"/>
      <c r="DM211" s="153"/>
      <c r="DN211" s="153"/>
      <c r="DO211" s="153"/>
      <c r="DP211" s="153"/>
      <c r="DQ211" s="153"/>
      <c r="DR211" s="153"/>
      <c r="DS211" s="153"/>
      <c r="DT211" s="153"/>
      <c r="DU211" s="153"/>
      <c r="DV211" s="153"/>
      <c r="DW211" s="153"/>
      <c r="DX211" s="153"/>
      <c r="DY211" s="153"/>
    </row>
    <row r="212" spans="1:129" ht="14.1" customHeight="1" x14ac:dyDescent="0.2">
      <c r="A212" s="153"/>
      <c r="B212" s="153"/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  <c r="M212" s="153"/>
      <c r="N212" s="153"/>
      <c r="O212" s="153"/>
      <c r="P212" s="153"/>
      <c r="Q212" s="153"/>
      <c r="R212" s="153"/>
      <c r="S212" s="153"/>
      <c r="T212" s="153"/>
      <c r="U212" s="15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  <c r="BI212" s="153"/>
      <c r="BJ212" s="153"/>
      <c r="BK212" s="153"/>
      <c r="BL212" s="153"/>
      <c r="BM212" s="153"/>
      <c r="BN212" s="153"/>
      <c r="BO212" s="153"/>
      <c r="BP212" s="153"/>
      <c r="BQ212" s="153"/>
      <c r="BR212" s="153"/>
      <c r="BS212" s="153"/>
      <c r="BT212" s="153"/>
      <c r="BU212" s="153"/>
      <c r="BV212" s="153"/>
      <c r="BW212" s="153"/>
      <c r="BX212" s="153"/>
      <c r="BY212" s="153"/>
      <c r="BZ212" s="153"/>
      <c r="CA212" s="153"/>
      <c r="CB212" s="153"/>
      <c r="CC212" s="153"/>
      <c r="CD212" s="153"/>
      <c r="CE212" s="153"/>
      <c r="CF212" s="153"/>
      <c r="CG212" s="153"/>
      <c r="CH212" s="153"/>
      <c r="CI212" s="153"/>
      <c r="CJ212" s="153"/>
      <c r="CK212" s="153"/>
      <c r="CL212" s="153"/>
      <c r="CM212" s="153"/>
      <c r="CN212" s="153"/>
      <c r="CO212" s="153"/>
      <c r="CP212" s="153"/>
      <c r="CQ212" s="153"/>
      <c r="CR212" s="153"/>
      <c r="CS212" s="153"/>
      <c r="CT212" s="153"/>
      <c r="CU212" s="153"/>
      <c r="CV212" s="153"/>
      <c r="CW212" s="153"/>
      <c r="CX212" s="153"/>
      <c r="CY212" s="153"/>
      <c r="CZ212" s="153"/>
      <c r="DA212" s="153"/>
      <c r="DB212" s="153"/>
      <c r="DC212" s="153"/>
      <c r="DD212" s="153"/>
      <c r="DE212" s="153"/>
      <c r="DF212" s="153"/>
      <c r="DG212" s="153"/>
      <c r="DH212" s="153"/>
      <c r="DI212" s="153"/>
      <c r="DJ212" s="153"/>
      <c r="DK212" s="153"/>
      <c r="DL212" s="153"/>
      <c r="DM212" s="153"/>
      <c r="DN212" s="153"/>
      <c r="DO212" s="153"/>
      <c r="DP212" s="153"/>
      <c r="DQ212" s="153"/>
      <c r="DR212" s="153"/>
      <c r="DS212" s="153"/>
      <c r="DT212" s="153"/>
      <c r="DU212" s="153"/>
      <c r="DV212" s="153"/>
      <c r="DW212" s="153"/>
      <c r="DX212" s="153"/>
      <c r="DY212" s="153"/>
    </row>
    <row r="213" spans="1:129" ht="14.1" customHeight="1" x14ac:dyDescent="0.2">
      <c r="A213" s="153"/>
      <c r="B213" s="153"/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  <c r="M213" s="153"/>
      <c r="N213" s="153"/>
      <c r="O213" s="153"/>
      <c r="P213" s="153"/>
      <c r="Q213" s="153"/>
      <c r="R213" s="153"/>
      <c r="S213" s="153"/>
      <c r="T213" s="153"/>
      <c r="U213" s="15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  <c r="BI213" s="153"/>
      <c r="BJ213" s="153"/>
      <c r="BK213" s="153"/>
      <c r="BL213" s="153"/>
      <c r="BM213" s="153"/>
      <c r="BN213" s="153"/>
      <c r="BO213" s="153"/>
      <c r="BP213" s="153"/>
      <c r="BQ213" s="153"/>
      <c r="BR213" s="153"/>
      <c r="BS213" s="153"/>
      <c r="BT213" s="153"/>
      <c r="BU213" s="153"/>
      <c r="BV213" s="153"/>
      <c r="BW213" s="153"/>
      <c r="BX213" s="153"/>
      <c r="BY213" s="153"/>
      <c r="BZ213" s="153"/>
      <c r="CA213" s="153"/>
      <c r="CB213" s="153"/>
      <c r="CC213" s="153"/>
      <c r="CD213" s="153"/>
      <c r="CE213" s="153"/>
      <c r="CF213" s="153"/>
      <c r="CG213" s="153"/>
      <c r="CH213" s="153"/>
      <c r="CI213" s="153"/>
      <c r="CJ213" s="153"/>
      <c r="CK213" s="153"/>
      <c r="CL213" s="153"/>
      <c r="CM213" s="153"/>
      <c r="CN213" s="153"/>
      <c r="CO213" s="153"/>
      <c r="CP213" s="153"/>
      <c r="CQ213" s="153"/>
      <c r="CR213" s="153"/>
      <c r="CS213" s="153"/>
      <c r="CT213" s="153"/>
      <c r="CU213" s="153"/>
      <c r="CV213" s="153"/>
      <c r="CW213" s="153"/>
      <c r="CX213" s="153"/>
      <c r="CY213" s="153"/>
      <c r="CZ213" s="153"/>
      <c r="DA213" s="153"/>
      <c r="DB213" s="153"/>
      <c r="DC213" s="153"/>
      <c r="DD213" s="153"/>
      <c r="DE213" s="153"/>
      <c r="DF213" s="153"/>
      <c r="DG213" s="153"/>
      <c r="DH213" s="153"/>
      <c r="DI213" s="153"/>
      <c r="DJ213" s="153"/>
      <c r="DK213" s="153"/>
      <c r="DL213" s="153"/>
      <c r="DM213" s="153"/>
      <c r="DN213" s="153"/>
      <c r="DO213" s="153"/>
      <c r="DP213" s="153"/>
      <c r="DQ213" s="153"/>
      <c r="DR213" s="153"/>
      <c r="DS213" s="153"/>
      <c r="DT213" s="153"/>
      <c r="DU213" s="153"/>
      <c r="DV213" s="153"/>
      <c r="DW213" s="153"/>
      <c r="DX213" s="153"/>
      <c r="DY213" s="153"/>
    </row>
    <row r="214" spans="1:129" ht="14.1" customHeight="1" x14ac:dyDescent="0.2">
      <c r="A214" s="153"/>
      <c r="B214" s="153"/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  <c r="R214" s="153"/>
      <c r="S214" s="153"/>
      <c r="T214" s="153"/>
      <c r="U214" s="15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  <c r="BI214" s="153"/>
      <c r="BJ214" s="153"/>
      <c r="BK214" s="153"/>
      <c r="BL214" s="153"/>
      <c r="BM214" s="153"/>
      <c r="BN214" s="153"/>
      <c r="BO214" s="153"/>
      <c r="BP214" s="153"/>
      <c r="BQ214" s="153"/>
      <c r="BR214" s="153"/>
      <c r="BS214" s="153"/>
      <c r="BT214" s="153"/>
      <c r="BU214" s="153"/>
      <c r="BV214" s="153"/>
      <c r="BW214" s="153"/>
      <c r="BX214" s="153"/>
      <c r="BY214" s="153"/>
      <c r="BZ214" s="153"/>
      <c r="CA214" s="153"/>
      <c r="CB214" s="153"/>
      <c r="CC214" s="153"/>
      <c r="CD214" s="153"/>
      <c r="CE214" s="153"/>
      <c r="CF214" s="153"/>
      <c r="CG214" s="153"/>
      <c r="CH214" s="153"/>
      <c r="CI214" s="153"/>
      <c r="CJ214" s="153"/>
      <c r="CK214" s="153"/>
      <c r="CL214" s="153"/>
      <c r="CM214" s="153"/>
      <c r="CN214" s="153"/>
      <c r="CO214" s="153"/>
      <c r="CP214" s="153"/>
      <c r="CQ214" s="153"/>
      <c r="CR214" s="153"/>
      <c r="CS214" s="153"/>
      <c r="CT214" s="153"/>
      <c r="CU214" s="153"/>
      <c r="CV214" s="153"/>
      <c r="CW214" s="153"/>
      <c r="CX214" s="153"/>
      <c r="CY214" s="153"/>
      <c r="CZ214" s="153"/>
      <c r="DA214" s="153"/>
      <c r="DB214" s="153"/>
      <c r="DC214" s="153"/>
      <c r="DD214" s="153"/>
      <c r="DE214" s="153"/>
      <c r="DF214" s="153"/>
      <c r="DG214" s="153"/>
      <c r="DH214" s="153"/>
      <c r="DI214" s="153"/>
      <c r="DJ214" s="153"/>
      <c r="DK214" s="153"/>
      <c r="DL214" s="153"/>
      <c r="DM214" s="153"/>
      <c r="DN214" s="153"/>
      <c r="DO214" s="153"/>
      <c r="DP214" s="153"/>
      <c r="DQ214" s="153"/>
      <c r="DR214" s="153"/>
      <c r="DS214" s="153"/>
      <c r="DT214" s="153"/>
      <c r="DU214" s="153"/>
      <c r="DV214" s="153"/>
      <c r="DW214" s="153"/>
      <c r="DX214" s="153"/>
      <c r="DY214" s="153"/>
    </row>
    <row r="215" spans="1:129" ht="14.1" customHeight="1" x14ac:dyDescent="0.2">
      <c r="A215" s="153"/>
      <c r="B215" s="153"/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53"/>
      <c r="Q215" s="153"/>
      <c r="R215" s="153"/>
      <c r="S215" s="153"/>
      <c r="T215" s="153"/>
      <c r="U215" s="15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  <c r="BI215" s="153"/>
      <c r="BJ215" s="153"/>
      <c r="BK215" s="153"/>
      <c r="BL215" s="153"/>
      <c r="BM215" s="153"/>
      <c r="BN215" s="153"/>
      <c r="BO215" s="153"/>
      <c r="BP215" s="153"/>
      <c r="BQ215" s="153"/>
      <c r="BR215" s="153"/>
      <c r="BS215" s="153"/>
      <c r="BT215" s="153"/>
      <c r="BU215" s="153"/>
      <c r="BV215" s="153"/>
      <c r="BW215" s="153"/>
      <c r="BX215" s="153"/>
      <c r="BY215" s="153"/>
      <c r="BZ215" s="153"/>
      <c r="CA215" s="153"/>
      <c r="CB215" s="153"/>
      <c r="CC215" s="153"/>
      <c r="CD215" s="153"/>
      <c r="CE215" s="153"/>
      <c r="CF215" s="153"/>
      <c r="CG215" s="153"/>
      <c r="CH215" s="153"/>
      <c r="CI215" s="153"/>
      <c r="CJ215" s="153"/>
      <c r="CK215" s="153"/>
      <c r="CL215" s="153"/>
      <c r="CM215" s="153"/>
      <c r="CN215" s="153"/>
      <c r="CO215" s="153"/>
      <c r="CP215" s="153"/>
      <c r="CQ215" s="153"/>
      <c r="CR215" s="153"/>
      <c r="CS215" s="153"/>
      <c r="CT215" s="153"/>
      <c r="CU215" s="153"/>
      <c r="CV215" s="153"/>
      <c r="CW215" s="153"/>
      <c r="CX215" s="153"/>
      <c r="CY215" s="153"/>
      <c r="CZ215" s="153"/>
      <c r="DA215" s="153"/>
      <c r="DB215" s="153"/>
      <c r="DC215" s="153"/>
      <c r="DD215" s="153"/>
      <c r="DE215" s="153"/>
      <c r="DF215" s="153"/>
      <c r="DG215" s="153"/>
      <c r="DH215" s="153"/>
      <c r="DI215" s="153"/>
      <c r="DJ215" s="153"/>
      <c r="DK215" s="153"/>
      <c r="DL215" s="153"/>
      <c r="DM215" s="153"/>
      <c r="DN215" s="153"/>
      <c r="DO215" s="153"/>
      <c r="DP215" s="153"/>
      <c r="DQ215" s="153"/>
      <c r="DR215" s="153"/>
      <c r="DS215" s="153"/>
      <c r="DT215" s="153"/>
      <c r="DU215" s="153"/>
      <c r="DV215" s="153"/>
      <c r="DW215" s="153"/>
      <c r="DX215" s="153"/>
      <c r="DY215" s="153"/>
    </row>
    <row r="216" spans="1:129" ht="14.1" customHeight="1" x14ac:dyDescent="0.2">
      <c r="A216" s="153"/>
      <c r="B216" s="153"/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153"/>
      <c r="Q216" s="153"/>
      <c r="R216" s="153"/>
      <c r="S216" s="153"/>
      <c r="T216" s="153"/>
      <c r="U216" s="15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  <c r="BI216" s="153"/>
      <c r="BJ216" s="153"/>
      <c r="BK216" s="153"/>
      <c r="BL216" s="153"/>
      <c r="BM216" s="153"/>
      <c r="BN216" s="153"/>
      <c r="BO216" s="153"/>
      <c r="BP216" s="153"/>
      <c r="BQ216" s="153"/>
      <c r="BR216" s="153"/>
      <c r="BS216" s="153"/>
      <c r="BT216" s="153"/>
      <c r="BU216" s="153"/>
      <c r="BV216" s="153"/>
      <c r="BW216" s="153"/>
      <c r="BX216" s="153"/>
      <c r="BY216" s="153"/>
      <c r="BZ216" s="153"/>
      <c r="CA216" s="153"/>
      <c r="CB216" s="153"/>
      <c r="CC216" s="153"/>
      <c r="CD216" s="153"/>
      <c r="CE216" s="153"/>
      <c r="CF216" s="153"/>
      <c r="CG216" s="153"/>
      <c r="CH216" s="153"/>
      <c r="CI216" s="153"/>
      <c r="CJ216" s="153"/>
      <c r="CK216" s="153"/>
      <c r="CL216" s="153"/>
      <c r="CM216" s="153"/>
      <c r="CN216" s="153"/>
      <c r="CO216" s="153"/>
      <c r="CP216" s="153"/>
      <c r="CQ216" s="153"/>
      <c r="CR216" s="153"/>
      <c r="CS216" s="153"/>
      <c r="CT216" s="153"/>
      <c r="CU216" s="153"/>
      <c r="CV216" s="153"/>
      <c r="CW216" s="153"/>
      <c r="CX216" s="153"/>
      <c r="CY216" s="153"/>
      <c r="CZ216" s="153"/>
      <c r="DA216" s="153"/>
      <c r="DB216" s="153"/>
      <c r="DC216" s="153"/>
      <c r="DD216" s="153"/>
      <c r="DE216" s="153"/>
      <c r="DF216" s="153"/>
      <c r="DG216" s="153"/>
      <c r="DH216" s="153"/>
      <c r="DI216" s="153"/>
      <c r="DJ216" s="153"/>
      <c r="DK216" s="153"/>
      <c r="DL216" s="153"/>
      <c r="DM216" s="153"/>
      <c r="DN216" s="153"/>
      <c r="DO216" s="153"/>
      <c r="DP216" s="153"/>
      <c r="DQ216" s="153"/>
      <c r="DR216" s="153"/>
      <c r="DS216" s="153"/>
      <c r="DT216" s="153"/>
      <c r="DU216" s="153"/>
      <c r="DV216" s="153"/>
      <c r="DW216" s="153"/>
      <c r="DX216" s="153"/>
      <c r="DY216" s="153"/>
    </row>
    <row r="217" spans="1:129" ht="14.1" customHeight="1" x14ac:dyDescent="0.2">
      <c r="A217" s="153"/>
      <c r="B217" s="153"/>
      <c r="C217" s="153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  <c r="P217" s="153"/>
      <c r="Q217" s="153"/>
      <c r="R217" s="153"/>
      <c r="S217" s="153"/>
      <c r="T217" s="153"/>
      <c r="U217" s="15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  <c r="BI217" s="153"/>
      <c r="BJ217" s="153"/>
      <c r="BK217" s="153"/>
      <c r="BL217" s="153"/>
      <c r="BM217" s="153"/>
      <c r="BN217" s="153"/>
      <c r="BO217" s="153"/>
      <c r="BP217" s="153"/>
      <c r="BQ217" s="153"/>
      <c r="BR217" s="153"/>
      <c r="BS217" s="153"/>
      <c r="BT217" s="153"/>
      <c r="BU217" s="153"/>
      <c r="BV217" s="153"/>
      <c r="BW217" s="153"/>
      <c r="BX217" s="153"/>
      <c r="BY217" s="153"/>
      <c r="BZ217" s="153"/>
      <c r="CA217" s="153"/>
      <c r="CB217" s="153"/>
      <c r="CC217" s="153"/>
      <c r="CD217" s="153"/>
      <c r="CE217" s="153"/>
      <c r="CF217" s="153"/>
      <c r="CG217" s="153"/>
      <c r="CH217" s="153"/>
      <c r="CI217" s="153"/>
      <c r="CJ217" s="153"/>
      <c r="CK217" s="153"/>
      <c r="CL217" s="153"/>
      <c r="CM217" s="153"/>
      <c r="CN217" s="153"/>
      <c r="CO217" s="153"/>
      <c r="CP217" s="153"/>
      <c r="CQ217" s="153"/>
      <c r="CR217" s="153"/>
      <c r="CS217" s="153"/>
      <c r="CT217" s="153"/>
      <c r="CU217" s="153"/>
      <c r="CV217" s="153"/>
      <c r="CW217" s="153"/>
      <c r="CX217" s="153"/>
      <c r="CY217" s="153"/>
      <c r="CZ217" s="153"/>
      <c r="DA217" s="153"/>
      <c r="DB217" s="153"/>
      <c r="DC217" s="153"/>
      <c r="DD217" s="153"/>
      <c r="DE217" s="153"/>
      <c r="DF217" s="153"/>
      <c r="DG217" s="153"/>
      <c r="DH217" s="153"/>
      <c r="DI217" s="153"/>
      <c r="DJ217" s="153"/>
      <c r="DK217" s="153"/>
      <c r="DL217" s="153"/>
      <c r="DM217" s="153"/>
      <c r="DN217" s="153"/>
      <c r="DO217" s="153"/>
      <c r="DP217" s="153"/>
      <c r="DQ217" s="153"/>
      <c r="DR217" s="153"/>
      <c r="DS217" s="153"/>
      <c r="DT217" s="153"/>
      <c r="DU217" s="153"/>
      <c r="DV217" s="153"/>
      <c r="DW217" s="153"/>
      <c r="DX217" s="153"/>
      <c r="DY217" s="153"/>
    </row>
    <row r="218" spans="1:129" ht="14.1" customHeight="1" x14ac:dyDescent="0.2">
      <c r="A218" s="153"/>
      <c r="B218" s="153"/>
      <c r="C218" s="153"/>
      <c r="D218" s="153"/>
      <c r="E218" s="153"/>
      <c r="F218" s="153"/>
      <c r="G218" s="153"/>
      <c r="H218" s="153"/>
      <c r="I218" s="153"/>
      <c r="J218" s="153"/>
      <c r="K218" s="153"/>
      <c r="L218" s="153"/>
      <c r="M218" s="153"/>
      <c r="N218" s="153"/>
      <c r="O218" s="153"/>
      <c r="P218" s="153"/>
      <c r="Q218" s="153"/>
      <c r="R218" s="153"/>
      <c r="S218" s="153"/>
      <c r="T218" s="153"/>
      <c r="U218" s="15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  <c r="BI218" s="153"/>
      <c r="BJ218" s="153"/>
      <c r="BK218" s="153"/>
      <c r="BL218" s="153"/>
      <c r="BM218" s="153"/>
      <c r="BN218" s="153"/>
      <c r="BO218" s="153"/>
      <c r="BP218" s="153"/>
      <c r="BQ218" s="153"/>
      <c r="BR218" s="153"/>
      <c r="BS218" s="153"/>
      <c r="BT218" s="153"/>
      <c r="BU218" s="153"/>
      <c r="BV218" s="153"/>
      <c r="BW218" s="153"/>
      <c r="BX218" s="153"/>
      <c r="BY218" s="153"/>
      <c r="BZ218" s="153"/>
      <c r="CA218" s="153"/>
      <c r="CB218" s="153"/>
      <c r="CC218" s="153"/>
      <c r="CD218" s="153"/>
      <c r="CE218" s="153"/>
      <c r="CF218" s="153"/>
      <c r="CG218" s="153"/>
      <c r="CH218" s="153"/>
      <c r="CI218" s="153"/>
      <c r="CJ218" s="153"/>
      <c r="CK218" s="153"/>
      <c r="CL218" s="153"/>
      <c r="CM218" s="153"/>
      <c r="CN218" s="153"/>
      <c r="CO218" s="153"/>
      <c r="CP218" s="153"/>
      <c r="CQ218" s="153"/>
      <c r="CR218" s="153"/>
      <c r="CS218" s="153"/>
      <c r="CT218" s="153"/>
      <c r="CU218" s="153"/>
      <c r="CV218" s="153"/>
      <c r="CW218" s="153"/>
      <c r="CX218" s="153"/>
      <c r="CY218" s="153"/>
      <c r="CZ218" s="153"/>
      <c r="DA218" s="153"/>
      <c r="DB218" s="153"/>
      <c r="DC218" s="153"/>
      <c r="DD218" s="153"/>
      <c r="DE218" s="153"/>
      <c r="DF218" s="153"/>
      <c r="DG218" s="153"/>
      <c r="DH218" s="153"/>
      <c r="DI218" s="153"/>
      <c r="DJ218" s="153"/>
      <c r="DK218" s="153"/>
      <c r="DL218" s="153"/>
      <c r="DM218" s="153"/>
      <c r="DN218" s="153"/>
      <c r="DO218" s="153"/>
      <c r="DP218" s="153"/>
      <c r="DQ218" s="153"/>
      <c r="DR218" s="153"/>
      <c r="DS218" s="153"/>
      <c r="DT218" s="153"/>
      <c r="DU218" s="153"/>
      <c r="DV218" s="153"/>
      <c r="DW218" s="153"/>
      <c r="DX218" s="153"/>
      <c r="DY218" s="153"/>
    </row>
    <row r="219" spans="1:129" ht="14.1" customHeight="1" x14ac:dyDescent="0.2">
      <c r="A219" s="153"/>
      <c r="B219" s="153"/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  <c r="M219" s="153"/>
      <c r="N219" s="153"/>
      <c r="O219" s="153"/>
      <c r="P219" s="153"/>
      <c r="Q219" s="153"/>
      <c r="R219" s="153"/>
      <c r="S219" s="153"/>
      <c r="T219" s="153"/>
      <c r="U219" s="15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  <c r="BI219" s="153"/>
      <c r="BJ219" s="153"/>
      <c r="BK219" s="153"/>
      <c r="BL219" s="153"/>
      <c r="BM219" s="153"/>
      <c r="BN219" s="153"/>
      <c r="BO219" s="153"/>
      <c r="BP219" s="153"/>
      <c r="BQ219" s="153"/>
      <c r="BR219" s="153"/>
      <c r="BS219" s="153"/>
      <c r="BT219" s="153"/>
      <c r="BU219" s="153"/>
      <c r="BV219" s="153"/>
      <c r="BW219" s="153"/>
      <c r="BX219" s="153"/>
      <c r="BY219" s="153"/>
      <c r="BZ219" s="153"/>
      <c r="CA219" s="153"/>
      <c r="CB219" s="153"/>
      <c r="CC219" s="153"/>
      <c r="CD219" s="153"/>
      <c r="CE219" s="153"/>
      <c r="CF219" s="153"/>
      <c r="CG219" s="153"/>
      <c r="CH219" s="153"/>
      <c r="CI219" s="153"/>
      <c r="CJ219" s="153"/>
      <c r="CK219" s="153"/>
      <c r="CL219" s="153"/>
      <c r="CM219" s="153"/>
      <c r="CN219" s="153"/>
      <c r="CO219" s="153"/>
      <c r="CP219" s="153"/>
      <c r="CQ219" s="153"/>
      <c r="CR219" s="153"/>
      <c r="CS219" s="153"/>
      <c r="CT219" s="153"/>
      <c r="CU219" s="153"/>
      <c r="CV219" s="153"/>
      <c r="CW219" s="153"/>
      <c r="CX219" s="153"/>
      <c r="CY219" s="153"/>
      <c r="CZ219" s="153"/>
      <c r="DA219" s="153"/>
      <c r="DB219" s="153"/>
      <c r="DC219" s="153"/>
      <c r="DD219" s="153"/>
      <c r="DE219" s="153"/>
      <c r="DF219" s="153"/>
      <c r="DG219" s="153"/>
      <c r="DH219" s="153"/>
      <c r="DI219" s="153"/>
      <c r="DJ219" s="153"/>
      <c r="DK219" s="153"/>
      <c r="DL219" s="153"/>
      <c r="DM219" s="153"/>
      <c r="DN219" s="153"/>
      <c r="DO219" s="153"/>
      <c r="DP219" s="153"/>
      <c r="DQ219" s="153"/>
      <c r="DR219" s="153"/>
      <c r="DS219" s="153"/>
      <c r="DT219" s="153"/>
      <c r="DU219" s="153"/>
      <c r="DV219" s="153"/>
      <c r="DW219" s="153"/>
      <c r="DX219" s="153"/>
      <c r="DY219" s="153"/>
    </row>
    <row r="220" spans="1:129" ht="14.1" customHeight="1" x14ac:dyDescent="0.2">
      <c r="A220" s="153"/>
      <c r="B220" s="153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  <c r="M220" s="153"/>
      <c r="N220" s="153"/>
      <c r="O220" s="153"/>
      <c r="P220" s="153"/>
      <c r="Q220" s="153"/>
      <c r="R220" s="153"/>
      <c r="S220" s="153"/>
      <c r="T220" s="153"/>
      <c r="U220" s="15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  <c r="BI220" s="153"/>
      <c r="BJ220" s="153"/>
      <c r="BK220" s="153"/>
      <c r="BL220" s="153"/>
      <c r="BM220" s="153"/>
      <c r="BN220" s="153"/>
      <c r="BO220" s="153"/>
      <c r="BP220" s="153"/>
      <c r="BQ220" s="153"/>
      <c r="BR220" s="153"/>
      <c r="BS220" s="153"/>
      <c r="BT220" s="153"/>
      <c r="BU220" s="153"/>
      <c r="BV220" s="153"/>
      <c r="BW220" s="153"/>
      <c r="BX220" s="153"/>
      <c r="BY220" s="153"/>
      <c r="BZ220" s="153"/>
      <c r="CA220" s="153"/>
      <c r="CB220" s="153"/>
      <c r="CC220" s="153"/>
      <c r="CD220" s="153"/>
      <c r="CE220" s="153"/>
      <c r="CF220" s="153"/>
      <c r="CG220" s="153"/>
      <c r="CH220" s="153"/>
      <c r="CI220" s="153"/>
      <c r="CJ220" s="153"/>
      <c r="CK220" s="153"/>
      <c r="CL220" s="153"/>
      <c r="CM220" s="153"/>
      <c r="CN220" s="153"/>
      <c r="CO220" s="153"/>
      <c r="CP220" s="153"/>
      <c r="CQ220" s="153"/>
      <c r="CR220" s="153"/>
      <c r="CS220" s="153"/>
      <c r="CT220" s="153"/>
      <c r="CU220" s="153"/>
      <c r="CV220" s="153"/>
      <c r="CW220" s="153"/>
      <c r="CX220" s="153"/>
      <c r="CY220" s="153"/>
      <c r="CZ220" s="153"/>
      <c r="DA220" s="153"/>
      <c r="DB220" s="153"/>
      <c r="DC220" s="153"/>
      <c r="DD220" s="153"/>
      <c r="DE220" s="153"/>
      <c r="DF220" s="153"/>
      <c r="DG220" s="153"/>
      <c r="DH220" s="153"/>
      <c r="DI220" s="153"/>
      <c r="DJ220" s="153"/>
      <c r="DK220" s="153"/>
      <c r="DL220" s="153"/>
      <c r="DM220" s="153"/>
      <c r="DN220" s="153"/>
      <c r="DO220" s="153"/>
      <c r="DP220" s="153"/>
      <c r="DQ220" s="153"/>
      <c r="DR220" s="153"/>
      <c r="DS220" s="153"/>
      <c r="DT220" s="153"/>
      <c r="DU220" s="153"/>
      <c r="DV220" s="153"/>
      <c r="DW220" s="153"/>
      <c r="DX220" s="153"/>
      <c r="DY220" s="153"/>
    </row>
    <row r="221" spans="1:129" ht="14.1" customHeight="1" x14ac:dyDescent="0.2">
      <c r="A221" s="153"/>
      <c r="B221" s="153"/>
      <c r="C221" s="153"/>
      <c r="D221" s="153"/>
      <c r="E221" s="153"/>
      <c r="F221" s="153"/>
      <c r="G221" s="153"/>
      <c r="H221" s="153"/>
      <c r="I221" s="153"/>
      <c r="J221" s="153"/>
      <c r="K221" s="153"/>
      <c r="L221" s="153"/>
      <c r="M221" s="153"/>
      <c r="N221" s="153"/>
      <c r="O221" s="153"/>
      <c r="P221" s="153"/>
      <c r="Q221" s="153"/>
      <c r="R221" s="153"/>
      <c r="S221" s="153"/>
      <c r="T221" s="153"/>
      <c r="U221" s="15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  <c r="BI221" s="153"/>
      <c r="BJ221" s="153"/>
      <c r="BK221" s="153"/>
      <c r="BL221" s="153"/>
      <c r="BM221" s="153"/>
      <c r="BN221" s="153"/>
      <c r="BO221" s="153"/>
      <c r="BP221" s="153"/>
      <c r="BQ221" s="153"/>
      <c r="BR221" s="153"/>
      <c r="BS221" s="153"/>
      <c r="BT221" s="153"/>
      <c r="BU221" s="153"/>
      <c r="BV221" s="153"/>
      <c r="BW221" s="153"/>
      <c r="BX221" s="153"/>
      <c r="BY221" s="153"/>
      <c r="BZ221" s="153"/>
      <c r="CA221" s="153"/>
      <c r="CB221" s="153"/>
      <c r="CC221" s="153"/>
      <c r="CD221" s="153"/>
      <c r="CE221" s="153"/>
      <c r="CF221" s="153"/>
      <c r="CG221" s="153"/>
      <c r="CH221" s="153"/>
      <c r="CI221" s="153"/>
      <c r="CJ221" s="153"/>
      <c r="CK221" s="153"/>
      <c r="CL221" s="153"/>
      <c r="CM221" s="153"/>
      <c r="CN221" s="153"/>
      <c r="CO221" s="153"/>
      <c r="CP221" s="153"/>
      <c r="CQ221" s="153"/>
      <c r="CR221" s="153"/>
      <c r="CS221" s="153"/>
      <c r="CT221" s="153"/>
      <c r="CU221" s="153"/>
      <c r="CV221" s="153"/>
      <c r="CW221" s="153"/>
      <c r="CX221" s="153"/>
      <c r="CY221" s="153"/>
      <c r="CZ221" s="153"/>
      <c r="DA221" s="153"/>
      <c r="DB221" s="153"/>
      <c r="DC221" s="153"/>
      <c r="DD221" s="153"/>
      <c r="DE221" s="153"/>
      <c r="DF221" s="153"/>
      <c r="DG221" s="153"/>
      <c r="DH221" s="153"/>
      <c r="DI221" s="153"/>
      <c r="DJ221" s="153"/>
      <c r="DK221" s="153"/>
      <c r="DL221" s="153"/>
      <c r="DM221" s="153"/>
      <c r="DN221" s="153"/>
      <c r="DO221" s="153"/>
      <c r="DP221" s="153"/>
      <c r="DQ221" s="153"/>
      <c r="DR221" s="153"/>
      <c r="DS221" s="153"/>
      <c r="DT221" s="153"/>
      <c r="DU221" s="153"/>
      <c r="DV221" s="153"/>
      <c r="DW221" s="153"/>
      <c r="DX221" s="153"/>
      <c r="DY221" s="153"/>
    </row>
    <row r="222" spans="1:129" ht="14.1" customHeight="1" x14ac:dyDescent="0.2">
      <c r="A222" s="153"/>
      <c r="B222" s="153"/>
      <c r="C222" s="153"/>
      <c r="D222" s="153"/>
      <c r="E222" s="153"/>
      <c r="F222" s="153"/>
      <c r="G222" s="153"/>
      <c r="H222" s="153"/>
      <c r="I222" s="153"/>
      <c r="J222" s="153"/>
      <c r="K222" s="153"/>
      <c r="L222" s="153"/>
      <c r="M222" s="153"/>
      <c r="N222" s="153"/>
      <c r="O222" s="153"/>
      <c r="P222" s="153"/>
      <c r="Q222" s="153"/>
      <c r="R222" s="153"/>
      <c r="S222" s="153"/>
      <c r="T222" s="153"/>
      <c r="U222" s="15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  <c r="BI222" s="153"/>
      <c r="BJ222" s="153"/>
      <c r="BK222" s="153"/>
      <c r="BL222" s="153"/>
      <c r="BM222" s="153"/>
      <c r="BN222" s="153"/>
      <c r="BO222" s="153"/>
      <c r="BP222" s="153"/>
      <c r="BQ222" s="153"/>
      <c r="BR222" s="153"/>
      <c r="BS222" s="153"/>
      <c r="BT222" s="153"/>
      <c r="BU222" s="153"/>
      <c r="BV222" s="153"/>
      <c r="BW222" s="153"/>
      <c r="BX222" s="153"/>
      <c r="BY222" s="153"/>
      <c r="BZ222" s="153"/>
      <c r="CA222" s="153"/>
      <c r="CB222" s="153"/>
      <c r="CC222" s="153"/>
      <c r="CD222" s="153"/>
      <c r="CE222" s="153"/>
      <c r="CF222" s="153"/>
      <c r="CG222" s="153"/>
      <c r="CH222" s="153"/>
      <c r="CI222" s="153"/>
      <c r="CJ222" s="153"/>
      <c r="CK222" s="153"/>
      <c r="CL222" s="153"/>
      <c r="CM222" s="153"/>
      <c r="CN222" s="153"/>
      <c r="CO222" s="153"/>
      <c r="CP222" s="153"/>
      <c r="CQ222" s="153"/>
      <c r="CR222" s="153"/>
      <c r="CS222" s="153"/>
      <c r="CT222" s="153"/>
      <c r="CU222" s="153"/>
      <c r="CV222" s="153"/>
      <c r="CW222" s="153"/>
      <c r="CX222" s="153"/>
      <c r="CY222" s="153"/>
      <c r="CZ222" s="153"/>
      <c r="DA222" s="153"/>
      <c r="DB222" s="153"/>
      <c r="DC222" s="153"/>
      <c r="DD222" s="153"/>
      <c r="DE222" s="153"/>
      <c r="DF222" s="153"/>
      <c r="DG222" s="153"/>
      <c r="DH222" s="153"/>
      <c r="DI222" s="153"/>
      <c r="DJ222" s="153"/>
      <c r="DK222" s="153"/>
      <c r="DL222" s="153"/>
      <c r="DM222" s="153"/>
      <c r="DN222" s="153"/>
      <c r="DO222" s="153"/>
      <c r="DP222" s="153"/>
      <c r="DQ222" s="153"/>
      <c r="DR222" s="153"/>
      <c r="DS222" s="153"/>
      <c r="DT222" s="153"/>
      <c r="DU222" s="153"/>
      <c r="DV222" s="153"/>
      <c r="DW222" s="153"/>
      <c r="DX222" s="153"/>
      <c r="DY222" s="153"/>
    </row>
    <row r="223" spans="1:129" ht="14.1" customHeight="1" x14ac:dyDescent="0.2">
      <c r="A223" s="153"/>
      <c r="B223" s="153"/>
      <c r="C223" s="153"/>
      <c r="D223" s="153"/>
      <c r="E223" s="153"/>
      <c r="F223" s="153"/>
      <c r="G223" s="153"/>
      <c r="H223" s="153"/>
      <c r="I223" s="153"/>
      <c r="J223" s="153"/>
      <c r="K223" s="153"/>
      <c r="L223" s="153"/>
      <c r="M223" s="153"/>
      <c r="N223" s="153"/>
      <c r="O223" s="153"/>
      <c r="P223" s="153"/>
      <c r="Q223" s="153"/>
      <c r="R223" s="153"/>
      <c r="S223" s="153"/>
      <c r="T223" s="153"/>
      <c r="U223" s="15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  <c r="BI223" s="153"/>
      <c r="BJ223" s="153"/>
      <c r="BK223" s="153"/>
      <c r="BL223" s="153"/>
      <c r="BM223" s="153"/>
      <c r="BN223" s="153"/>
      <c r="BO223" s="153"/>
      <c r="BP223" s="153"/>
      <c r="BQ223" s="153"/>
      <c r="BR223" s="153"/>
      <c r="BS223" s="153"/>
      <c r="BT223" s="153"/>
      <c r="BU223" s="153"/>
      <c r="BV223" s="153"/>
      <c r="BW223" s="153"/>
      <c r="BX223" s="153"/>
      <c r="BY223" s="153"/>
      <c r="BZ223" s="153"/>
      <c r="CA223" s="153"/>
      <c r="CB223" s="153"/>
      <c r="CC223" s="153"/>
      <c r="CD223" s="153"/>
      <c r="CE223" s="153"/>
      <c r="CF223" s="153"/>
      <c r="CG223" s="153"/>
      <c r="CH223" s="153"/>
      <c r="CI223" s="153"/>
      <c r="CJ223" s="153"/>
      <c r="CK223" s="153"/>
      <c r="CL223" s="153"/>
      <c r="CM223" s="153"/>
      <c r="CN223" s="153"/>
      <c r="CO223" s="153"/>
      <c r="CP223" s="153"/>
      <c r="CQ223" s="153"/>
      <c r="CR223" s="153"/>
      <c r="CS223" s="153"/>
      <c r="CT223" s="153"/>
      <c r="CU223" s="153"/>
      <c r="CV223" s="153"/>
      <c r="CW223" s="153"/>
      <c r="CX223" s="153"/>
      <c r="CY223" s="153"/>
      <c r="CZ223" s="153"/>
      <c r="DA223" s="153"/>
      <c r="DB223" s="153"/>
      <c r="DC223" s="153"/>
      <c r="DD223" s="153"/>
      <c r="DE223" s="153"/>
      <c r="DF223" s="153"/>
      <c r="DG223" s="153"/>
      <c r="DH223" s="153"/>
      <c r="DI223" s="153"/>
      <c r="DJ223" s="153"/>
      <c r="DK223" s="153"/>
      <c r="DL223" s="153"/>
      <c r="DM223" s="153"/>
      <c r="DN223" s="153"/>
      <c r="DO223" s="153"/>
      <c r="DP223" s="153"/>
      <c r="DQ223" s="153"/>
      <c r="DR223" s="153"/>
      <c r="DS223" s="153"/>
      <c r="DT223" s="153"/>
      <c r="DU223" s="153"/>
      <c r="DV223" s="153"/>
      <c r="DW223" s="153"/>
      <c r="DX223" s="153"/>
      <c r="DY223" s="153"/>
    </row>
    <row r="224" spans="1:129" ht="14.1" customHeight="1" x14ac:dyDescent="0.2">
      <c r="A224" s="153"/>
      <c r="B224" s="153"/>
      <c r="C224" s="153"/>
      <c r="D224" s="153"/>
      <c r="E224" s="153"/>
      <c r="F224" s="153"/>
      <c r="G224" s="153"/>
      <c r="H224" s="153"/>
      <c r="I224" s="153"/>
      <c r="J224" s="153"/>
      <c r="K224" s="153"/>
      <c r="L224" s="153"/>
      <c r="M224" s="153"/>
      <c r="N224" s="153"/>
      <c r="O224" s="153"/>
      <c r="P224" s="153"/>
      <c r="Q224" s="153"/>
      <c r="R224" s="153"/>
      <c r="S224" s="153"/>
      <c r="T224" s="153"/>
      <c r="U224" s="15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  <c r="BI224" s="153"/>
      <c r="BJ224" s="153"/>
      <c r="BK224" s="153"/>
      <c r="BL224" s="153"/>
      <c r="BM224" s="153"/>
      <c r="BN224" s="153"/>
      <c r="BO224" s="153"/>
      <c r="BP224" s="153"/>
      <c r="BQ224" s="153"/>
      <c r="BR224" s="153"/>
      <c r="BS224" s="153"/>
      <c r="BT224" s="153"/>
      <c r="BU224" s="153"/>
      <c r="BV224" s="153"/>
      <c r="BW224" s="153"/>
      <c r="BX224" s="153"/>
      <c r="BY224" s="153"/>
      <c r="BZ224" s="153"/>
      <c r="CA224" s="153"/>
      <c r="CB224" s="153"/>
      <c r="CC224" s="153"/>
      <c r="CD224" s="153"/>
      <c r="CE224" s="153"/>
      <c r="CF224" s="153"/>
      <c r="CG224" s="153"/>
      <c r="CH224" s="153"/>
      <c r="CI224" s="153"/>
      <c r="CJ224" s="153"/>
      <c r="CK224" s="153"/>
      <c r="CL224" s="153"/>
      <c r="CM224" s="153"/>
      <c r="CN224" s="153"/>
      <c r="CO224" s="153"/>
      <c r="CP224" s="153"/>
      <c r="CQ224" s="153"/>
      <c r="CR224" s="153"/>
      <c r="CS224" s="153"/>
      <c r="CT224" s="153"/>
      <c r="CU224" s="153"/>
      <c r="CV224" s="153"/>
      <c r="CW224" s="153"/>
      <c r="CX224" s="153"/>
      <c r="CY224" s="153"/>
      <c r="CZ224" s="153"/>
      <c r="DA224" s="153"/>
      <c r="DB224" s="153"/>
      <c r="DC224" s="153"/>
      <c r="DD224" s="153"/>
      <c r="DE224" s="153"/>
      <c r="DF224" s="153"/>
      <c r="DG224" s="153"/>
      <c r="DH224" s="153"/>
      <c r="DI224" s="153"/>
      <c r="DJ224" s="153"/>
      <c r="DK224" s="153"/>
      <c r="DL224" s="153"/>
      <c r="DM224" s="153"/>
      <c r="DN224" s="153"/>
      <c r="DO224" s="153"/>
      <c r="DP224" s="153"/>
      <c r="DQ224" s="153"/>
      <c r="DR224" s="153"/>
      <c r="DS224" s="153"/>
      <c r="DT224" s="153"/>
      <c r="DU224" s="153"/>
      <c r="DV224" s="153"/>
      <c r="DW224" s="153"/>
      <c r="DX224" s="153"/>
      <c r="DY224" s="153"/>
    </row>
    <row r="225" spans="1:129" ht="14.1" customHeight="1" x14ac:dyDescent="0.2">
      <c r="A225" s="153"/>
      <c r="B225" s="153"/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  <c r="BI225" s="153"/>
      <c r="BJ225" s="153"/>
      <c r="BK225" s="153"/>
      <c r="BL225" s="153"/>
      <c r="BM225" s="153"/>
      <c r="BN225" s="153"/>
      <c r="BO225" s="153"/>
      <c r="BP225" s="153"/>
      <c r="BQ225" s="153"/>
      <c r="BR225" s="153"/>
      <c r="BS225" s="153"/>
      <c r="BT225" s="153"/>
      <c r="BU225" s="153"/>
      <c r="BV225" s="153"/>
      <c r="BW225" s="153"/>
      <c r="BX225" s="153"/>
      <c r="BY225" s="153"/>
      <c r="BZ225" s="153"/>
      <c r="CA225" s="153"/>
      <c r="CB225" s="153"/>
      <c r="CC225" s="153"/>
      <c r="CD225" s="153"/>
      <c r="CE225" s="153"/>
      <c r="CF225" s="153"/>
      <c r="CG225" s="153"/>
      <c r="CH225" s="153"/>
      <c r="CI225" s="153"/>
      <c r="CJ225" s="153"/>
      <c r="CK225" s="153"/>
      <c r="CL225" s="153"/>
      <c r="CM225" s="153"/>
      <c r="CN225" s="153"/>
      <c r="CO225" s="153"/>
      <c r="CP225" s="153"/>
      <c r="CQ225" s="153"/>
      <c r="CR225" s="153"/>
      <c r="CS225" s="153"/>
      <c r="CT225" s="153"/>
      <c r="CU225" s="153"/>
      <c r="CV225" s="153"/>
      <c r="CW225" s="153"/>
      <c r="CX225" s="153"/>
      <c r="CY225" s="153"/>
      <c r="CZ225" s="153"/>
      <c r="DA225" s="153"/>
      <c r="DB225" s="153"/>
      <c r="DC225" s="153"/>
      <c r="DD225" s="153"/>
      <c r="DE225" s="153"/>
      <c r="DF225" s="153"/>
      <c r="DG225" s="153"/>
      <c r="DH225" s="153"/>
      <c r="DI225" s="153"/>
      <c r="DJ225" s="153"/>
      <c r="DK225" s="153"/>
      <c r="DL225" s="153"/>
      <c r="DM225" s="153"/>
      <c r="DN225" s="153"/>
      <c r="DO225" s="153"/>
      <c r="DP225" s="153"/>
      <c r="DQ225" s="153"/>
      <c r="DR225" s="153"/>
      <c r="DS225" s="153"/>
      <c r="DT225" s="153"/>
      <c r="DU225" s="153"/>
      <c r="DV225" s="153"/>
      <c r="DW225" s="153"/>
      <c r="DX225" s="153"/>
      <c r="DY225" s="153"/>
    </row>
    <row r="226" spans="1:129" ht="14.1" customHeight="1" x14ac:dyDescent="0.2">
      <c r="A226" s="153"/>
      <c r="B226" s="153"/>
      <c r="C226" s="153"/>
      <c r="D226" s="153"/>
      <c r="E226" s="153"/>
      <c r="F226" s="153"/>
      <c r="G226" s="153"/>
      <c r="H226" s="153"/>
      <c r="I226" s="153"/>
      <c r="J226" s="153"/>
      <c r="K226" s="153"/>
      <c r="L226" s="153"/>
      <c r="M226" s="153"/>
      <c r="N226" s="153"/>
      <c r="O226" s="153"/>
      <c r="P226" s="153"/>
      <c r="Q226" s="153"/>
      <c r="R226" s="153"/>
      <c r="S226" s="153"/>
      <c r="T226" s="153"/>
      <c r="U226" s="15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  <c r="BI226" s="153"/>
      <c r="BJ226" s="153"/>
      <c r="BK226" s="153"/>
      <c r="BL226" s="153"/>
      <c r="BM226" s="153"/>
      <c r="BN226" s="153"/>
      <c r="BO226" s="153"/>
      <c r="BP226" s="153"/>
      <c r="BQ226" s="153"/>
      <c r="BR226" s="153"/>
      <c r="BS226" s="153"/>
      <c r="BT226" s="153"/>
      <c r="BU226" s="153"/>
      <c r="BV226" s="153"/>
      <c r="BW226" s="153"/>
      <c r="BX226" s="153"/>
      <c r="BY226" s="153"/>
      <c r="BZ226" s="153"/>
      <c r="CA226" s="153"/>
      <c r="CB226" s="153"/>
      <c r="CC226" s="153"/>
      <c r="CD226" s="153"/>
      <c r="CE226" s="153"/>
      <c r="CF226" s="153"/>
      <c r="CG226" s="153"/>
      <c r="CH226" s="153"/>
      <c r="CI226" s="153"/>
      <c r="CJ226" s="153"/>
      <c r="CK226" s="153"/>
      <c r="CL226" s="153"/>
      <c r="CM226" s="153"/>
      <c r="CN226" s="153"/>
      <c r="CO226" s="153"/>
      <c r="CP226" s="153"/>
      <c r="CQ226" s="153"/>
      <c r="CR226" s="153"/>
      <c r="CS226" s="153"/>
      <c r="CT226" s="153"/>
      <c r="CU226" s="153"/>
      <c r="CV226" s="153"/>
      <c r="CW226" s="153"/>
      <c r="CX226" s="153"/>
      <c r="CY226" s="153"/>
      <c r="CZ226" s="153"/>
      <c r="DA226" s="153"/>
      <c r="DB226" s="153"/>
      <c r="DC226" s="153"/>
      <c r="DD226" s="153"/>
      <c r="DE226" s="153"/>
      <c r="DF226" s="153"/>
      <c r="DG226" s="153"/>
      <c r="DH226" s="153"/>
      <c r="DI226" s="153"/>
      <c r="DJ226" s="153"/>
      <c r="DK226" s="153"/>
      <c r="DL226" s="153"/>
      <c r="DM226" s="153"/>
      <c r="DN226" s="153"/>
      <c r="DO226" s="153"/>
      <c r="DP226" s="153"/>
      <c r="DQ226" s="153"/>
      <c r="DR226" s="153"/>
      <c r="DS226" s="153"/>
      <c r="DT226" s="153"/>
      <c r="DU226" s="153"/>
      <c r="DV226" s="153"/>
      <c r="DW226" s="153"/>
      <c r="DX226" s="153"/>
      <c r="DY226" s="153"/>
    </row>
    <row r="227" spans="1:129" ht="14.1" customHeight="1" x14ac:dyDescent="0.2">
      <c r="A227" s="153"/>
      <c r="B227" s="153"/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  <c r="O227" s="153"/>
      <c r="P227" s="153"/>
      <c r="Q227" s="153"/>
      <c r="R227" s="153"/>
      <c r="S227" s="153"/>
      <c r="T227" s="153"/>
      <c r="U227" s="15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  <c r="BI227" s="153"/>
      <c r="BJ227" s="153"/>
      <c r="BK227" s="153"/>
      <c r="BL227" s="153"/>
      <c r="BM227" s="153"/>
      <c r="BN227" s="153"/>
      <c r="BO227" s="153"/>
      <c r="BP227" s="153"/>
      <c r="BQ227" s="153"/>
      <c r="BR227" s="153"/>
      <c r="BS227" s="153"/>
      <c r="BT227" s="153"/>
      <c r="BU227" s="153"/>
      <c r="BV227" s="153"/>
      <c r="BW227" s="153"/>
      <c r="BX227" s="153"/>
      <c r="BY227" s="153"/>
      <c r="BZ227" s="153"/>
      <c r="CA227" s="153"/>
      <c r="CB227" s="153"/>
      <c r="CC227" s="153"/>
      <c r="CD227" s="153"/>
      <c r="CE227" s="153"/>
      <c r="CF227" s="153"/>
      <c r="CG227" s="153"/>
      <c r="CH227" s="153"/>
      <c r="CI227" s="153"/>
      <c r="CJ227" s="153"/>
      <c r="CK227" s="153"/>
      <c r="CL227" s="153"/>
      <c r="CM227" s="153"/>
      <c r="CN227" s="153"/>
      <c r="CO227" s="153"/>
      <c r="CP227" s="153"/>
      <c r="CQ227" s="153"/>
      <c r="CR227" s="153"/>
      <c r="CS227" s="153"/>
      <c r="CT227" s="153"/>
      <c r="CU227" s="153"/>
      <c r="CV227" s="153"/>
      <c r="CW227" s="153"/>
      <c r="CX227" s="153"/>
      <c r="CY227" s="153"/>
      <c r="CZ227" s="153"/>
      <c r="DA227" s="153"/>
      <c r="DB227" s="153"/>
      <c r="DC227" s="153"/>
      <c r="DD227" s="153"/>
      <c r="DE227" s="153"/>
      <c r="DF227" s="153"/>
      <c r="DG227" s="153"/>
      <c r="DH227" s="153"/>
      <c r="DI227" s="153"/>
      <c r="DJ227" s="153"/>
      <c r="DK227" s="153"/>
      <c r="DL227" s="153"/>
      <c r="DM227" s="153"/>
      <c r="DN227" s="153"/>
      <c r="DO227" s="153"/>
      <c r="DP227" s="153"/>
      <c r="DQ227" s="153"/>
      <c r="DR227" s="153"/>
      <c r="DS227" s="153"/>
      <c r="DT227" s="153"/>
      <c r="DU227" s="153"/>
      <c r="DV227" s="153"/>
      <c r="DW227" s="153"/>
      <c r="DX227" s="153"/>
      <c r="DY227" s="153"/>
    </row>
    <row r="228" spans="1:129" ht="14.1" customHeight="1" x14ac:dyDescent="0.2">
      <c r="A228" s="153"/>
      <c r="B228" s="153"/>
      <c r="C228" s="153"/>
      <c r="D228" s="153"/>
      <c r="E228" s="153"/>
      <c r="F228" s="153"/>
      <c r="G228" s="153"/>
      <c r="H228" s="153"/>
      <c r="I228" s="153"/>
      <c r="J228" s="153"/>
      <c r="K228" s="153"/>
      <c r="L228" s="153"/>
      <c r="M228" s="153"/>
      <c r="N228" s="153"/>
      <c r="O228" s="153"/>
      <c r="P228" s="153"/>
      <c r="Q228" s="153"/>
      <c r="R228" s="153"/>
      <c r="S228" s="153"/>
      <c r="T228" s="153"/>
      <c r="U228" s="15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  <c r="BI228" s="153"/>
      <c r="BJ228" s="153"/>
      <c r="BK228" s="153"/>
      <c r="BL228" s="153"/>
      <c r="BM228" s="153"/>
      <c r="BN228" s="153"/>
      <c r="BO228" s="153"/>
      <c r="BP228" s="153"/>
      <c r="BQ228" s="153"/>
      <c r="BR228" s="153"/>
      <c r="BS228" s="153"/>
      <c r="BT228" s="153"/>
      <c r="BU228" s="153"/>
      <c r="BV228" s="153"/>
      <c r="BW228" s="153"/>
      <c r="BX228" s="153"/>
      <c r="BY228" s="153"/>
      <c r="BZ228" s="153"/>
      <c r="CA228" s="153"/>
      <c r="CB228" s="153"/>
      <c r="CC228" s="153"/>
      <c r="CD228" s="153"/>
      <c r="CE228" s="153"/>
      <c r="CF228" s="153"/>
      <c r="CG228" s="153"/>
      <c r="CH228" s="153"/>
      <c r="CI228" s="153"/>
      <c r="CJ228" s="153"/>
      <c r="CK228" s="153"/>
      <c r="CL228" s="153"/>
      <c r="CM228" s="153"/>
      <c r="CN228" s="153"/>
      <c r="CO228" s="153"/>
      <c r="CP228" s="153"/>
      <c r="CQ228" s="153"/>
      <c r="CR228" s="153"/>
      <c r="CS228" s="153"/>
      <c r="CT228" s="153"/>
      <c r="CU228" s="153"/>
      <c r="CV228" s="153"/>
      <c r="CW228" s="153"/>
      <c r="CX228" s="153"/>
      <c r="CY228" s="153"/>
      <c r="CZ228" s="153"/>
      <c r="DA228" s="153"/>
      <c r="DB228" s="153"/>
      <c r="DC228" s="153"/>
      <c r="DD228" s="153"/>
      <c r="DE228" s="153"/>
      <c r="DF228" s="153"/>
      <c r="DG228" s="153"/>
      <c r="DH228" s="153"/>
      <c r="DI228" s="153"/>
      <c r="DJ228" s="153"/>
      <c r="DK228" s="153"/>
      <c r="DL228" s="153"/>
      <c r="DM228" s="153"/>
      <c r="DN228" s="153"/>
      <c r="DO228" s="153"/>
      <c r="DP228" s="153"/>
      <c r="DQ228" s="153"/>
      <c r="DR228" s="153"/>
      <c r="DS228" s="153"/>
      <c r="DT228" s="153"/>
      <c r="DU228" s="153"/>
      <c r="DV228" s="153"/>
      <c r="DW228" s="153"/>
      <c r="DX228" s="153"/>
      <c r="DY228" s="153"/>
    </row>
    <row r="229" spans="1:129" ht="14.1" customHeight="1" x14ac:dyDescent="0.2">
      <c r="A229" s="153"/>
      <c r="B229" s="153"/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  <c r="BI229" s="153"/>
      <c r="BJ229" s="153"/>
      <c r="BK229" s="153"/>
      <c r="BL229" s="153"/>
      <c r="BM229" s="153"/>
      <c r="BN229" s="153"/>
      <c r="BO229" s="153"/>
      <c r="BP229" s="153"/>
      <c r="BQ229" s="153"/>
      <c r="BR229" s="153"/>
      <c r="BS229" s="153"/>
      <c r="BT229" s="153"/>
      <c r="BU229" s="153"/>
      <c r="BV229" s="153"/>
      <c r="BW229" s="153"/>
      <c r="BX229" s="153"/>
      <c r="BY229" s="153"/>
      <c r="BZ229" s="153"/>
      <c r="CA229" s="153"/>
      <c r="CB229" s="153"/>
      <c r="CC229" s="153"/>
      <c r="CD229" s="153"/>
      <c r="CE229" s="153"/>
      <c r="CF229" s="153"/>
      <c r="CG229" s="153"/>
      <c r="CH229" s="153"/>
      <c r="CI229" s="153"/>
      <c r="CJ229" s="153"/>
      <c r="CK229" s="153"/>
      <c r="CL229" s="153"/>
      <c r="CM229" s="153"/>
      <c r="CN229" s="153"/>
      <c r="CO229" s="153"/>
      <c r="CP229" s="153"/>
      <c r="CQ229" s="153"/>
      <c r="CR229" s="153"/>
      <c r="CS229" s="153"/>
      <c r="CT229" s="153"/>
      <c r="CU229" s="153"/>
      <c r="CV229" s="153"/>
      <c r="CW229" s="153"/>
      <c r="CX229" s="153"/>
      <c r="CY229" s="153"/>
      <c r="CZ229" s="153"/>
      <c r="DA229" s="153"/>
      <c r="DB229" s="153"/>
      <c r="DC229" s="153"/>
      <c r="DD229" s="153"/>
      <c r="DE229" s="153"/>
      <c r="DF229" s="153"/>
      <c r="DG229" s="153"/>
      <c r="DH229" s="153"/>
      <c r="DI229" s="153"/>
      <c r="DJ229" s="153"/>
      <c r="DK229" s="153"/>
      <c r="DL229" s="153"/>
      <c r="DM229" s="153"/>
      <c r="DN229" s="153"/>
      <c r="DO229" s="153"/>
      <c r="DP229" s="153"/>
      <c r="DQ229" s="153"/>
      <c r="DR229" s="153"/>
      <c r="DS229" s="153"/>
      <c r="DT229" s="153"/>
      <c r="DU229" s="153"/>
      <c r="DV229" s="153"/>
      <c r="DW229" s="153"/>
      <c r="DX229" s="153"/>
      <c r="DY229" s="153"/>
    </row>
    <row r="230" spans="1:129" ht="14.1" customHeight="1" x14ac:dyDescent="0.2">
      <c r="A230" s="153"/>
      <c r="B230" s="153"/>
      <c r="C230" s="153"/>
      <c r="D230" s="153"/>
      <c r="E230" s="153"/>
      <c r="F230" s="153"/>
      <c r="G230" s="153"/>
      <c r="H230" s="153"/>
      <c r="I230" s="153"/>
      <c r="J230" s="153"/>
      <c r="K230" s="153"/>
      <c r="L230" s="153"/>
      <c r="M230" s="153"/>
      <c r="N230" s="153"/>
      <c r="O230" s="153"/>
      <c r="P230" s="153"/>
      <c r="Q230" s="153"/>
      <c r="R230" s="153"/>
      <c r="S230" s="153"/>
      <c r="T230" s="153"/>
      <c r="U230" s="15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  <c r="BI230" s="153"/>
      <c r="BJ230" s="153"/>
      <c r="BK230" s="153"/>
      <c r="BL230" s="153"/>
      <c r="BM230" s="153"/>
      <c r="BN230" s="153"/>
      <c r="BO230" s="153"/>
      <c r="BP230" s="153"/>
      <c r="BQ230" s="153"/>
      <c r="BR230" s="153"/>
      <c r="BS230" s="153"/>
      <c r="BT230" s="153"/>
      <c r="BU230" s="153"/>
      <c r="BV230" s="153"/>
      <c r="BW230" s="153"/>
      <c r="BX230" s="153"/>
      <c r="BY230" s="153"/>
      <c r="BZ230" s="153"/>
      <c r="CA230" s="153"/>
      <c r="CB230" s="153"/>
      <c r="CC230" s="153"/>
      <c r="CD230" s="153"/>
      <c r="CE230" s="153"/>
      <c r="CF230" s="153"/>
      <c r="CG230" s="153"/>
      <c r="CH230" s="153"/>
      <c r="CI230" s="153"/>
      <c r="CJ230" s="153"/>
      <c r="CK230" s="153"/>
      <c r="CL230" s="153"/>
      <c r="CM230" s="153"/>
      <c r="CN230" s="153"/>
      <c r="CO230" s="153"/>
      <c r="CP230" s="153"/>
      <c r="CQ230" s="153"/>
      <c r="CR230" s="153"/>
      <c r="CS230" s="153"/>
      <c r="CT230" s="153"/>
      <c r="CU230" s="153"/>
      <c r="CV230" s="153"/>
      <c r="CW230" s="153"/>
      <c r="CX230" s="153"/>
      <c r="CY230" s="153"/>
      <c r="CZ230" s="153"/>
      <c r="DA230" s="153"/>
      <c r="DB230" s="153"/>
      <c r="DC230" s="153"/>
      <c r="DD230" s="153"/>
      <c r="DE230" s="153"/>
      <c r="DF230" s="153"/>
      <c r="DG230" s="153"/>
      <c r="DH230" s="153"/>
      <c r="DI230" s="153"/>
      <c r="DJ230" s="153"/>
      <c r="DK230" s="153"/>
      <c r="DL230" s="153"/>
      <c r="DM230" s="153"/>
      <c r="DN230" s="153"/>
      <c r="DO230" s="153"/>
      <c r="DP230" s="153"/>
      <c r="DQ230" s="153"/>
      <c r="DR230" s="153"/>
      <c r="DS230" s="153"/>
      <c r="DT230" s="153"/>
      <c r="DU230" s="153"/>
      <c r="DV230" s="153"/>
      <c r="DW230" s="153"/>
      <c r="DX230" s="153"/>
      <c r="DY230" s="153"/>
    </row>
    <row r="231" spans="1:129" ht="14.1" customHeight="1" x14ac:dyDescent="0.2">
      <c r="A231" s="153"/>
      <c r="B231" s="153"/>
      <c r="C231" s="153"/>
      <c r="D231" s="153"/>
      <c r="E231" s="153"/>
      <c r="F231" s="153"/>
      <c r="G231" s="153"/>
      <c r="H231" s="153"/>
      <c r="I231" s="153"/>
      <c r="J231" s="153"/>
      <c r="K231" s="153"/>
      <c r="L231" s="153"/>
      <c r="M231" s="153"/>
      <c r="N231" s="153"/>
      <c r="O231" s="153"/>
      <c r="P231" s="153"/>
      <c r="Q231" s="153"/>
      <c r="R231" s="153"/>
      <c r="S231" s="153"/>
      <c r="T231" s="153"/>
      <c r="U231" s="15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  <c r="BI231" s="153"/>
      <c r="BJ231" s="153"/>
      <c r="BK231" s="153"/>
      <c r="BL231" s="153"/>
      <c r="BM231" s="153"/>
      <c r="BN231" s="153"/>
      <c r="BO231" s="153"/>
      <c r="BP231" s="153"/>
      <c r="BQ231" s="153"/>
      <c r="BR231" s="153"/>
      <c r="BS231" s="153"/>
      <c r="BT231" s="153"/>
      <c r="BU231" s="153"/>
      <c r="BV231" s="153"/>
      <c r="BW231" s="153"/>
      <c r="BX231" s="153"/>
      <c r="BY231" s="153"/>
      <c r="BZ231" s="153"/>
      <c r="CA231" s="153"/>
      <c r="CB231" s="153"/>
      <c r="CC231" s="153"/>
      <c r="CD231" s="153"/>
      <c r="CE231" s="153"/>
      <c r="CF231" s="153"/>
      <c r="CG231" s="153"/>
      <c r="CH231" s="153"/>
      <c r="CI231" s="153"/>
      <c r="CJ231" s="153"/>
      <c r="CK231" s="153"/>
      <c r="CL231" s="153"/>
      <c r="CM231" s="153"/>
      <c r="CN231" s="153"/>
      <c r="CO231" s="153"/>
      <c r="CP231" s="153"/>
      <c r="CQ231" s="153"/>
      <c r="CR231" s="153"/>
      <c r="CS231" s="153"/>
      <c r="CT231" s="153"/>
      <c r="CU231" s="153"/>
      <c r="CV231" s="153"/>
      <c r="CW231" s="153"/>
      <c r="CX231" s="153"/>
      <c r="CY231" s="153"/>
      <c r="CZ231" s="153"/>
      <c r="DA231" s="153"/>
      <c r="DB231" s="153"/>
      <c r="DC231" s="153"/>
      <c r="DD231" s="153"/>
      <c r="DE231" s="153"/>
      <c r="DF231" s="153"/>
      <c r="DG231" s="153"/>
      <c r="DH231" s="153"/>
      <c r="DI231" s="153"/>
      <c r="DJ231" s="153"/>
      <c r="DK231" s="153"/>
      <c r="DL231" s="153"/>
      <c r="DM231" s="153"/>
      <c r="DN231" s="153"/>
      <c r="DO231" s="153"/>
      <c r="DP231" s="153"/>
      <c r="DQ231" s="153"/>
      <c r="DR231" s="153"/>
      <c r="DS231" s="153"/>
      <c r="DT231" s="153"/>
      <c r="DU231" s="153"/>
      <c r="DV231" s="153"/>
      <c r="DW231" s="153"/>
      <c r="DX231" s="153"/>
      <c r="DY231" s="153"/>
    </row>
    <row r="232" spans="1:129" ht="14.1" customHeight="1" x14ac:dyDescent="0.2">
      <c r="A232" s="153"/>
      <c r="B232" s="153"/>
      <c r="C232" s="153"/>
      <c r="D232" s="153"/>
      <c r="E232" s="153"/>
      <c r="F232" s="153"/>
      <c r="G232" s="153"/>
      <c r="H232" s="153"/>
      <c r="I232" s="153"/>
      <c r="J232" s="153"/>
      <c r="K232" s="153"/>
      <c r="L232" s="153"/>
      <c r="M232" s="153"/>
      <c r="N232" s="153"/>
      <c r="O232" s="153"/>
      <c r="P232" s="153"/>
      <c r="Q232" s="153"/>
      <c r="R232" s="153"/>
      <c r="S232" s="153"/>
      <c r="T232" s="153"/>
      <c r="U232" s="15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  <c r="BI232" s="153"/>
      <c r="BJ232" s="153"/>
      <c r="BK232" s="153"/>
      <c r="BL232" s="153"/>
      <c r="BM232" s="153"/>
      <c r="BN232" s="153"/>
      <c r="BO232" s="153"/>
      <c r="BP232" s="153"/>
      <c r="BQ232" s="153"/>
      <c r="BR232" s="153"/>
      <c r="BS232" s="153"/>
      <c r="BT232" s="153"/>
      <c r="BU232" s="153"/>
      <c r="BV232" s="153"/>
      <c r="BW232" s="153"/>
      <c r="BX232" s="153"/>
      <c r="BY232" s="153"/>
      <c r="BZ232" s="153"/>
      <c r="CA232" s="153"/>
      <c r="CB232" s="153"/>
      <c r="CC232" s="153"/>
      <c r="CD232" s="153"/>
      <c r="CE232" s="153"/>
      <c r="CF232" s="153"/>
      <c r="CG232" s="153"/>
      <c r="CH232" s="153"/>
      <c r="CI232" s="153"/>
      <c r="CJ232" s="153"/>
      <c r="CK232" s="153"/>
      <c r="CL232" s="153"/>
      <c r="CM232" s="153"/>
      <c r="CN232" s="153"/>
      <c r="CO232" s="153"/>
      <c r="CP232" s="153"/>
      <c r="CQ232" s="153"/>
      <c r="CR232" s="153"/>
      <c r="CS232" s="153"/>
      <c r="CT232" s="153"/>
      <c r="CU232" s="153"/>
      <c r="CV232" s="153"/>
      <c r="CW232" s="153"/>
      <c r="CX232" s="153"/>
      <c r="CY232" s="153"/>
      <c r="CZ232" s="153"/>
      <c r="DA232" s="153"/>
      <c r="DB232" s="153"/>
      <c r="DC232" s="153"/>
      <c r="DD232" s="153"/>
      <c r="DE232" s="153"/>
      <c r="DF232" s="153"/>
      <c r="DG232" s="153"/>
      <c r="DH232" s="153"/>
      <c r="DI232" s="153"/>
      <c r="DJ232" s="153"/>
      <c r="DK232" s="153"/>
      <c r="DL232" s="153"/>
      <c r="DM232" s="153"/>
      <c r="DN232" s="153"/>
      <c r="DO232" s="153"/>
      <c r="DP232" s="153"/>
      <c r="DQ232" s="153"/>
      <c r="DR232" s="153"/>
      <c r="DS232" s="153"/>
      <c r="DT232" s="153"/>
      <c r="DU232" s="153"/>
      <c r="DV232" s="153"/>
      <c r="DW232" s="153"/>
      <c r="DX232" s="153"/>
      <c r="DY232" s="153"/>
    </row>
    <row r="233" spans="1:129" ht="14.1" customHeight="1" x14ac:dyDescent="0.2">
      <c r="A233" s="153"/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3"/>
      <c r="R233" s="153"/>
      <c r="S233" s="153"/>
      <c r="T233" s="153"/>
      <c r="U233" s="15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  <c r="BI233" s="153"/>
      <c r="BJ233" s="153"/>
      <c r="BK233" s="153"/>
      <c r="BL233" s="153"/>
      <c r="BM233" s="153"/>
      <c r="BN233" s="153"/>
      <c r="BO233" s="153"/>
      <c r="BP233" s="153"/>
      <c r="BQ233" s="153"/>
      <c r="BR233" s="153"/>
      <c r="BS233" s="153"/>
      <c r="BT233" s="153"/>
      <c r="BU233" s="153"/>
      <c r="BV233" s="153"/>
      <c r="BW233" s="153"/>
      <c r="BX233" s="153"/>
      <c r="BY233" s="153"/>
      <c r="BZ233" s="153"/>
      <c r="CA233" s="153"/>
      <c r="CB233" s="153"/>
      <c r="CC233" s="153"/>
      <c r="CD233" s="153"/>
      <c r="CE233" s="153"/>
      <c r="CF233" s="153"/>
      <c r="CG233" s="153"/>
      <c r="CH233" s="153"/>
      <c r="CI233" s="153"/>
      <c r="CJ233" s="153"/>
      <c r="CK233" s="153"/>
      <c r="CL233" s="153"/>
      <c r="CM233" s="153"/>
      <c r="CN233" s="153"/>
      <c r="CO233" s="153"/>
      <c r="CP233" s="153"/>
      <c r="CQ233" s="153"/>
      <c r="CR233" s="153"/>
      <c r="CS233" s="153"/>
      <c r="CT233" s="153"/>
      <c r="CU233" s="153"/>
      <c r="CV233" s="153"/>
      <c r="CW233" s="153"/>
      <c r="CX233" s="153"/>
      <c r="CY233" s="153"/>
      <c r="CZ233" s="153"/>
      <c r="DA233" s="153"/>
      <c r="DB233" s="153"/>
      <c r="DC233" s="153"/>
      <c r="DD233" s="153"/>
      <c r="DE233" s="153"/>
      <c r="DF233" s="153"/>
      <c r="DG233" s="153"/>
      <c r="DH233" s="153"/>
      <c r="DI233" s="153"/>
      <c r="DJ233" s="153"/>
      <c r="DK233" s="153"/>
      <c r="DL233" s="153"/>
      <c r="DM233" s="153"/>
      <c r="DN233" s="153"/>
      <c r="DO233" s="153"/>
      <c r="DP233" s="153"/>
      <c r="DQ233" s="153"/>
      <c r="DR233" s="153"/>
      <c r="DS233" s="153"/>
      <c r="DT233" s="153"/>
      <c r="DU233" s="153"/>
      <c r="DV233" s="153"/>
      <c r="DW233" s="153"/>
      <c r="DX233" s="153"/>
      <c r="DY233" s="153"/>
    </row>
    <row r="234" spans="1:129" ht="14.1" customHeight="1" x14ac:dyDescent="0.2">
      <c r="A234" s="153"/>
      <c r="B234" s="153"/>
      <c r="C234" s="153"/>
      <c r="D234" s="153"/>
      <c r="E234" s="153"/>
      <c r="F234" s="153"/>
      <c r="G234" s="153"/>
      <c r="H234" s="153"/>
      <c r="I234" s="153"/>
      <c r="J234" s="153"/>
      <c r="K234" s="153"/>
      <c r="L234" s="153"/>
      <c r="M234" s="153"/>
      <c r="N234" s="153"/>
      <c r="O234" s="153"/>
      <c r="P234" s="153"/>
      <c r="Q234" s="153"/>
      <c r="R234" s="153"/>
      <c r="S234" s="153"/>
      <c r="T234" s="153"/>
      <c r="U234" s="15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  <c r="BI234" s="153"/>
      <c r="BJ234" s="153"/>
      <c r="BK234" s="153"/>
      <c r="BL234" s="153"/>
      <c r="BM234" s="153"/>
      <c r="BN234" s="153"/>
      <c r="BO234" s="153"/>
      <c r="BP234" s="153"/>
      <c r="BQ234" s="153"/>
      <c r="BR234" s="153"/>
      <c r="BS234" s="153"/>
      <c r="BT234" s="153"/>
      <c r="BU234" s="153"/>
      <c r="BV234" s="153"/>
      <c r="BW234" s="153"/>
      <c r="BX234" s="153"/>
      <c r="BY234" s="153"/>
      <c r="BZ234" s="153"/>
      <c r="CA234" s="153"/>
      <c r="CB234" s="153"/>
      <c r="CC234" s="153"/>
      <c r="CD234" s="153"/>
      <c r="CE234" s="153"/>
      <c r="CF234" s="153"/>
      <c r="CG234" s="153"/>
      <c r="CH234" s="153"/>
      <c r="CI234" s="153"/>
      <c r="CJ234" s="153"/>
      <c r="CK234" s="153"/>
      <c r="CL234" s="153"/>
      <c r="CM234" s="153"/>
      <c r="CN234" s="153"/>
      <c r="CO234" s="153"/>
      <c r="CP234" s="153"/>
      <c r="CQ234" s="153"/>
      <c r="CR234" s="153"/>
      <c r="CS234" s="153"/>
      <c r="CT234" s="153"/>
      <c r="CU234" s="153"/>
      <c r="CV234" s="153"/>
      <c r="CW234" s="153"/>
      <c r="CX234" s="153"/>
      <c r="CY234" s="153"/>
      <c r="CZ234" s="153"/>
      <c r="DA234" s="153"/>
      <c r="DB234" s="153"/>
      <c r="DC234" s="153"/>
      <c r="DD234" s="153"/>
      <c r="DE234" s="153"/>
      <c r="DF234" s="153"/>
      <c r="DG234" s="153"/>
      <c r="DH234" s="153"/>
      <c r="DI234" s="153"/>
      <c r="DJ234" s="153"/>
      <c r="DK234" s="153"/>
      <c r="DL234" s="153"/>
      <c r="DM234" s="153"/>
      <c r="DN234" s="153"/>
      <c r="DO234" s="153"/>
      <c r="DP234" s="153"/>
      <c r="DQ234" s="153"/>
      <c r="DR234" s="153"/>
      <c r="DS234" s="153"/>
      <c r="DT234" s="153"/>
      <c r="DU234" s="153"/>
      <c r="DV234" s="153"/>
      <c r="DW234" s="153"/>
      <c r="DX234" s="153"/>
      <c r="DY234" s="153"/>
    </row>
    <row r="235" spans="1:129" ht="14.1" customHeight="1" x14ac:dyDescent="0.2">
      <c r="A235" s="153"/>
      <c r="B235" s="153"/>
      <c r="C235" s="153"/>
      <c r="D235" s="153"/>
      <c r="E235" s="153"/>
      <c r="F235" s="153"/>
      <c r="G235" s="153"/>
      <c r="H235" s="153"/>
      <c r="I235" s="153"/>
      <c r="J235" s="153"/>
      <c r="K235" s="153"/>
      <c r="L235" s="153"/>
      <c r="M235" s="153"/>
      <c r="N235" s="153"/>
      <c r="O235" s="153"/>
      <c r="P235" s="153"/>
      <c r="Q235" s="153"/>
      <c r="R235" s="153"/>
      <c r="S235" s="153"/>
      <c r="T235" s="153"/>
      <c r="U235" s="15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  <c r="BI235" s="153"/>
      <c r="BJ235" s="153"/>
      <c r="BK235" s="153"/>
      <c r="BL235" s="153"/>
      <c r="BM235" s="153"/>
      <c r="BN235" s="153"/>
      <c r="BO235" s="153"/>
      <c r="BP235" s="153"/>
      <c r="BQ235" s="153"/>
      <c r="BR235" s="153"/>
      <c r="BS235" s="153"/>
      <c r="BT235" s="153"/>
      <c r="BU235" s="153"/>
      <c r="BV235" s="153"/>
      <c r="BW235" s="153"/>
      <c r="BX235" s="153"/>
      <c r="BY235" s="153"/>
      <c r="BZ235" s="153"/>
      <c r="CA235" s="153"/>
      <c r="CB235" s="153"/>
      <c r="CC235" s="153"/>
      <c r="CD235" s="153"/>
      <c r="CE235" s="153"/>
      <c r="CF235" s="153"/>
      <c r="CG235" s="153"/>
      <c r="CH235" s="153"/>
      <c r="CI235" s="153"/>
      <c r="CJ235" s="153"/>
      <c r="CK235" s="153"/>
      <c r="CL235" s="153"/>
      <c r="CM235" s="153"/>
      <c r="CN235" s="153"/>
      <c r="CO235" s="153"/>
      <c r="CP235" s="153"/>
      <c r="CQ235" s="153"/>
      <c r="CR235" s="153"/>
      <c r="CS235" s="153"/>
      <c r="CT235" s="153"/>
      <c r="CU235" s="153"/>
      <c r="CV235" s="153"/>
      <c r="CW235" s="153"/>
      <c r="CX235" s="153"/>
      <c r="CY235" s="153"/>
      <c r="CZ235" s="153"/>
      <c r="DA235" s="153"/>
      <c r="DB235" s="153"/>
      <c r="DC235" s="153"/>
      <c r="DD235" s="153"/>
      <c r="DE235" s="153"/>
      <c r="DF235" s="153"/>
      <c r="DG235" s="153"/>
      <c r="DH235" s="153"/>
      <c r="DI235" s="153"/>
      <c r="DJ235" s="153"/>
      <c r="DK235" s="153"/>
      <c r="DL235" s="153"/>
      <c r="DM235" s="153"/>
      <c r="DN235" s="153"/>
      <c r="DO235" s="153"/>
      <c r="DP235" s="153"/>
      <c r="DQ235" s="153"/>
      <c r="DR235" s="153"/>
      <c r="DS235" s="153"/>
      <c r="DT235" s="153"/>
      <c r="DU235" s="153"/>
      <c r="DV235" s="153"/>
      <c r="DW235" s="153"/>
      <c r="DX235" s="153"/>
      <c r="DY235" s="153"/>
    </row>
    <row r="236" spans="1:129" ht="14.1" customHeight="1" x14ac:dyDescent="0.2">
      <c r="A236" s="153"/>
      <c r="B236" s="153"/>
      <c r="C236" s="153"/>
      <c r="D236" s="153"/>
      <c r="E236" s="153"/>
      <c r="F236" s="153"/>
      <c r="G236" s="153"/>
      <c r="H236" s="153"/>
      <c r="I236" s="153"/>
      <c r="J236" s="153"/>
      <c r="K236" s="153"/>
      <c r="L236" s="153"/>
      <c r="M236" s="153"/>
      <c r="N236" s="153"/>
      <c r="O236" s="153"/>
      <c r="P236" s="153"/>
      <c r="Q236" s="153"/>
      <c r="R236" s="153"/>
      <c r="S236" s="153"/>
      <c r="T236" s="153"/>
      <c r="U236" s="15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  <c r="BI236" s="153"/>
      <c r="BJ236" s="153"/>
      <c r="BK236" s="153"/>
      <c r="BL236" s="153"/>
      <c r="BM236" s="153"/>
      <c r="BN236" s="153"/>
      <c r="BO236" s="153"/>
      <c r="BP236" s="153"/>
      <c r="BQ236" s="153"/>
      <c r="BR236" s="153"/>
      <c r="BS236" s="153"/>
      <c r="BT236" s="153"/>
      <c r="BU236" s="153"/>
      <c r="BV236" s="153"/>
      <c r="BW236" s="153"/>
      <c r="BX236" s="153"/>
      <c r="BY236" s="153"/>
      <c r="BZ236" s="153"/>
      <c r="CA236" s="153"/>
      <c r="CB236" s="153"/>
      <c r="CC236" s="153"/>
      <c r="CD236" s="153"/>
      <c r="CE236" s="153"/>
      <c r="CF236" s="153"/>
      <c r="CG236" s="153"/>
      <c r="CH236" s="153"/>
      <c r="CI236" s="153"/>
      <c r="CJ236" s="153"/>
      <c r="CK236" s="153"/>
      <c r="CL236" s="153"/>
      <c r="CM236" s="153"/>
      <c r="CN236" s="153"/>
      <c r="CO236" s="153"/>
      <c r="CP236" s="153"/>
      <c r="CQ236" s="153"/>
      <c r="CR236" s="153"/>
      <c r="CS236" s="153"/>
      <c r="CT236" s="153"/>
      <c r="CU236" s="153"/>
      <c r="CV236" s="153"/>
      <c r="CW236" s="153"/>
      <c r="CX236" s="153"/>
      <c r="CY236" s="153"/>
      <c r="CZ236" s="153"/>
      <c r="DA236" s="153"/>
      <c r="DB236" s="153"/>
      <c r="DC236" s="153"/>
      <c r="DD236" s="153"/>
      <c r="DE236" s="153"/>
      <c r="DF236" s="153"/>
      <c r="DG236" s="153"/>
      <c r="DH236" s="153"/>
      <c r="DI236" s="153"/>
      <c r="DJ236" s="153"/>
      <c r="DK236" s="153"/>
      <c r="DL236" s="153"/>
      <c r="DM236" s="153"/>
      <c r="DN236" s="153"/>
      <c r="DO236" s="153"/>
      <c r="DP236" s="153"/>
      <c r="DQ236" s="153"/>
      <c r="DR236" s="153"/>
      <c r="DS236" s="153"/>
      <c r="DT236" s="153"/>
      <c r="DU236" s="153"/>
      <c r="DV236" s="153"/>
      <c r="DW236" s="153"/>
      <c r="DX236" s="153"/>
      <c r="DY236" s="153"/>
    </row>
    <row r="237" spans="1:129" ht="14.1" customHeight="1" x14ac:dyDescent="0.2">
      <c r="A237" s="153"/>
      <c r="B237" s="153"/>
      <c r="C237" s="153"/>
      <c r="D237" s="153"/>
      <c r="E237" s="153"/>
      <c r="F237" s="153"/>
      <c r="G237" s="153"/>
      <c r="H237" s="153"/>
      <c r="I237" s="153"/>
      <c r="J237" s="153"/>
      <c r="K237" s="153"/>
      <c r="L237" s="153"/>
      <c r="M237" s="153"/>
      <c r="N237" s="153"/>
      <c r="O237" s="153"/>
      <c r="P237" s="153"/>
      <c r="Q237" s="153"/>
      <c r="R237" s="153"/>
      <c r="S237" s="153"/>
      <c r="T237" s="153"/>
      <c r="U237" s="15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  <c r="BI237" s="153"/>
      <c r="BJ237" s="153"/>
      <c r="BK237" s="153"/>
      <c r="BL237" s="153"/>
      <c r="BM237" s="153"/>
      <c r="BN237" s="153"/>
      <c r="BO237" s="153"/>
      <c r="BP237" s="153"/>
      <c r="BQ237" s="153"/>
      <c r="BR237" s="153"/>
      <c r="BS237" s="153"/>
      <c r="BT237" s="153"/>
      <c r="BU237" s="153"/>
      <c r="BV237" s="153"/>
      <c r="BW237" s="153"/>
      <c r="BX237" s="153"/>
      <c r="BY237" s="153"/>
      <c r="BZ237" s="153"/>
      <c r="CA237" s="153"/>
      <c r="CB237" s="153"/>
      <c r="CC237" s="153"/>
      <c r="CD237" s="153"/>
      <c r="CE237" s="153"/>
      <c r="CF237" s="153"/>
      <c r="CG237" s="153"/>
      <c r="CH237" s="153"/>
      <c r="CI237" s="153"/>
      <c r="CJ237" s="153"/>
      <c r="CK237" s="153"/>
      <c r="CL237" s="153"/>
      <c r="CM237" s="153"/>
      <c r="CN237" s="153"/>
      <c r="CO237" s="153"/>
      <c r="CP237" s="153"/>
      <c r="CQ237" s="153"/>
      <c r="CR237" s="153"/>
      <c r="CS237" s="153"/>
      <c r="CT237" s="153"/>
      <c r="CU237" s="153"/>
      <c r="CV237" s="153"/>
      <c r="CW237" s="153"/>
      <c r="CX237" s="153"/>
      <c r="CY237" s="153"/>
      <c r="CZ237" s="153"/>
      <c r="DA237" s="153"/>
      <c r="DB237" s="153"/>
      <c r="DC237" s="153"/>
      <c r="DD237" s="153"/>
      <c r="DE237" s="153"/>
      <c r="DF237" s="153"/>
      <c r="DG237" s="153"/>
      <c r="DH237" s="153"/>
      <c r="DI237" s="153"/>
      <c r="DJ237" s="153"/>
      <c r="DK237" s="153"/>
      <c r="DL237" s="153"/>
      <c r="DM237" s="153"/>
      <c r="DN237" s="153"/>
      <c r="DO237" s="153"/>
      <c r="DP237" s="153"/>
      <c r="DQ237" s="153"/>
      <c r="DR237" s="153"/>
      <c r="DS237" s="153"/>
      <c r="DT237" s="153"/>
      <c r="DU237" s="153"/>
      <c r="DV237" s="153"/>
      <c r="DW237" s="153"/>
      <c r="DX237" s="153"/>
      <c r="DY237" s="153"/>
    </row>
    <row r="238" spans="1:129" ht="14.1" customHeight="1" x14ac:dyDescent="0.2">
      <c r="A238" s="153"/>
      <c r="B238" s="153"/>
      <c r="C238" s="153"/>
      <c r="D238" s="153"/>
      <c r="E238" s="153"/>
      <c r="F238" s="153"/>
      <c r="G238" s="153"/>
      <c r="H238" s="153"/>
      <c r="I238" s="153"/>
      <c r="J238" s="153"/>
      <c r="K238" s="153"/>
      <c r="L238" s="153"/>
      <c r="M238" s="153"/>
      <c r="N238" s="153"/>
      <c r="O238" s="153"/>
      <c r="P238" s="153"/>
      <c r="Q238" s="153"/>
      <c r="R238" s="153"/>
      <c r="S238" s="153"/>
      <c r="T238" s="153"/>
      <c r="U238" s="15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  <c r="BI238" s="153"/>
      <c r="BJ238" s="153"/>
      <c r="BK238" s="153"/>
      <c r="BL238" s="153"/>
      <c r="BM238" s="153"/>
      <c r="BN238" s="153"/>
      <c r="BO238" s="153"/>
      <c r="BP238" s="153"/>
      <c r="BQ238" s="153"/>
      <c r="BR238" s="153"/>
      <c r="BS238" s="153"/>
      <c r="BT238" s="153"/>
      <c r="BU238" s="153"/>
      <c r="BV238" s="153"/>
      <c r="BW238" s="153"/>
      <c r="BX238" s="153"/>
      <c r="BY238" s="153"/>
      <c r="BZ238" s="153"/>
      <c r="CA238" s="153"/>
      <c r="CB238" s="153"/>
      <c r="CC238" s="153"/>
      <c r="CD238" s="153"/>
      <c r="CE238" s="153"/>
      <c r="CF238" s="153"/>
      <c r="CG238" s="153"/>
      <c r="CH238" s="153"/>
      <c r="CI238" s="153"/>
      <c r="CJ238" s="153"/>
      <c r="CK238" s="153"/>
      <c r="CL238" s="153"/>
      <c r="CM238" s="153"/>
      <c r="CN238" s="153"/>
      <c r="CO238" s="153"/>
      <c r="CP238" s="153"/>
      <c r="CQ238" s="153"/>
      <c r="CR238" s="153"/>
      <c r="CS238" s="153"/>
      <c r="CT238" s="153"/>
      <c r="CU238" s="153"/>
      <c r="CV238" s="153"/>
      <c r="CW238" s="153"/>
      <c r="CX238" s="153"/>
      <c r="CY238" s="153"/>
      <c r="CZ238" s="153"/>
      <c r="DA238" s="153"/>
      <c r="DB238" s="153"/>
      <c r="DC238" s="153"/>
      <c r="DD238" s="153"/>
      <c r="DE238" s="153"/>
      <c r="DF238" s="153"/>
      <c r="DG238" s="153"/>
      <c r="DH238" s="153"/>
      <c r="DI238" s="153"/>
      <c r="DJ238" s="153"/>
      <c r="DK238" s="153"/>
      <c r="DL238" s="153"/>
      <c r="DM238" s="153"/>
      <c r="DN238" s="153"/>
      <c r="DO238" s="153"/>
      <c r="DP238" s="153"/>
      <c r="DQ238" s="153"/>
      <c r="DR238" s="153"/>
      <c r="DS238" s="153"/>
      <c r="DT238" s="153"/>
      <c r="DU238" s="153"/>
      <c r="DV238" s="153"/>
      <c r="DW238" s="153"/>
      <c r="DX238" s="153"/>
      <c r="DY238" s="153"/>
    </row>
    <row r="239" spans="1:129" ht="14.1" customHeight="1" x14ac:dyDescent="0.2">
      <c r="A239" s="153"/>
      <c r="B239" s="153"/>
      <c r="C239" s="153"/>
      <c r="D239" s="153"/>
      <c r="E239" s="153"/>
      <c r="F239" s="153"/>
      <c r="G239" s="153"/>
      <c r="H239" s="153"/>
      <c r="I239" s="153"/>
      <c r="J239" s="153"/>
      <c r="K239" s="153"/>
      <c r="L239" s="153"/>
      <c r="M239" s="153"/>
      <c r="N239" s="153"/>
      <c r="O239" s="153"/>
      <c r="P239" s="153"/>
      <c r="Q239" s="153"/>
      <c r="R239" s="153"/>
      <c r="S239" s="153"/>
      <c r="T239" s="153"/>
      <c r="U239" s="15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  <c r="BI239" s="153"/>
      <c r="BJ239" s="153"/>
      <c r="BK239" s="153"/>
      <c r="BL239" s="153"/>
      <c r="BM239" s="153"/>
      <c r="BN239" s="153"/>
      <c r="BO239" s="153"/>
      <c r="BP239" s="153"/>
      <c r="BQ239" s="153"/>
      <c r="BR239" s="153"/>
      <c r="BS239" s="153"/>
      <c r="BT239" s="153"/>
      <c r="BU239" s="153"/>
      <c r="BV239" s="153"/>
      <c r="BW239" s="153"/>
      <c r="BX239" s="153"/>
      <c r="BY239" s="153"/>
      <c r="BZ239" s="153"/>
      <c r="CA239" s="153"/>
      <c r="CB239" s="153"/>
      <c r="CC239" s="153"/>
      <c r="CD239" s="153"/>
      <c r="CE239" s="153"/>
      <c r="CF239" s="153"/>
      <c r="CG239" s="153"/>
      <c r="CH239" s="153"/>
      <c r="CI239" s="153"/>
      <c r="CJ239" s="153"/>
      <c r="CK239" s="153"/>
      <c r="CL239" s="153"/>
      <c r="CM239" s="153"/>
      <c r="CN239" s="153"/>
      <c r="CO239" s="153"/>
      <c r="CP239" s="153"/>
      <c r="CQ239" s="153"/>
      <c r="CR239" s="153"/>
      <c r="CS239" s="153"/>
      <c r="CT239" s="153"/>
      <c r="CU239" s="153"/>
      <c r="CV239" s="153"/>
      <c r="CW239" s="153"/>
      <c r="CX239" s="153"/>
      <c r="CY239" s="153"/>
      <c r="CZ239" s="153"/>
      <c r="DA239" s="153"/>
      <c r="DB239" s="153"/>
      <c r="DC239" s="153"/>
      <c r="DD239" s="153"/>
      <c r="DE239" s="153"/>
      <c r="DF239" s="153"/>
      <c r="DG239" s="153"/>
      <c r="DH239" s="153"/>
      <c r="DI239" s="153"/>
      <c r="DJ239" s="153"/>
      <c r="DK239" s="153"/>
      <c r="DL239" s="153"/>
      <c r="DM239" s="153"/>
      <c r="DN239" s="153"/>
      <c r="DO239" s="153"/>
      <c r="DP239" s="153"/>
      <c r="DQ239" s="153"/>
      <c r="DR239" s="153"/>
      <c r="DS239" s="153"/>
      <c r="DT239" s="153"/>
      <c r="DU239" s="153"/>
      <c r="DV239" s="153"/>
      <c r="DW239" s="153"/>
      <c r="DX239" s="153"/>
      <c r="DY239" s="153"/>
    </row>
    <row r="240" spans="1:129" ht="14.1" customHeight="1" x14ac:dyDescent="0.2">
      <c r="A240" s="153"/>
      <c r="B240" s="153"/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  <c r="O240" s="153"/>
      <c r="P240" s="153"/>
      <c r="Q240" s="153"/>
      <c r="R240" s="153"/>
      <c r="S240" s="153"/>
      <c r="T240" s="153"/>
      <c r="U240" s="15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  <c r="BI240" s="153"/>
      <c r="BJ240" s="153"/>
      <c r="BK240" s="153"/>
      <c r="BL240" s="153"/>
      <c r="BM240" s="153"/>
      <c r="BN240" s="153"/>
      <c r="BO240" s="153"/>
      <c r="BP240" s="153"/>
      <c r="BQ240" s="153"/>
      <c r="BR240" s="153"/>
      <c r="BS240" s="153"/>
      <c r="BT240" s="153"/>
      <c r="BU240" s="153"/>
      <c r="BV240" s="153"/>
      <c r="BW240" s="153"/>
      <c r="BX240" s="153"/>
      <c r="BY240" s="153"/>
      <c r="BZ240" s="153"/>
      <c r="CA240" s="153"/>
      <c r="CB240" s="153"/>
      <c r="CC240" s="153"/>
      <c r="CD240" s="153"/>
      <c r="CE240" s="153"/>
      <c r="CF240" s="153"/>
      <c r="CG240" s="153"/>
      <c r="CH240" s="153"/>
      <c r="CI240" s="153"/>
      <c r="CJ240" s="153"/>
      <c r="CK240" s="153"/>
      <c r="CL240" s="153"/>
      <c r="CM240" s="153"/>
      <c r="CN240" s="153"/>
      <c r="CO240" s="153"/>
      <c r="CP240" s="153"/>
      <c r="CQ240" s="153"/>
      <c r="CR240" s="153"/>
      <c r="CS240" s="153"/>
      <c r="CT240" s="153"/>
      <c r="CU240" s="153"/>
      <c r="CV240" s="153"/>
      <c r="CW240" s="153"/>
      <c r="CX240" s="153"/>
      <c r="CY240" s="153"/>
      <c r="CZ240" s="153"/>
      <c r="DA240" s="153"/>
      <c r="DB240" s="153"/>
      <c r="DC240" s="153"/>
      <c r="DD240" s="153"/>
      <c r="DE240" s="153"/>
      <c r="DF240" s="153"/>
      <c r="DG240" s="153"/>
      <c r="DH240" s="153"/>
      <c r="DI240" s="153"/>
      <c r="DJ240" s="153"/>
      <c r="DK240" s="153"/>
      <c r="DL240" s="153"/>
      <c r="DM240" s="153"/>
      <c r="DN240" s="153"/>
      <c r="DO240" s="153"/>
      <c r="DP240" s="153"/>
      <c r="DQ240" s="153"/>
      <c r="DR240" s="153"/>
      <c r="DS240" s="153"/>
      <c r="DT240" s="153"/>
      <c r="DU240" s="153"/>
      <c r="DV240" s="153"/>
      <c r="DW240" s="153"/>
      <c r="DX240" s="153"/>
      <c r="DY240" s="153"/>
    </row>
    <row r="241" spans="1:129" ht="14.1" customHeight="1" x14ac:dyDescent="0.2">
      <c r="A241" s="153"/>
      <c r="B241" s="153"/>
      <c r="C241" s="153"/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3"/>
      <c r="O241" s="153"/>
      <c r="P241" s="153"/>
      <c r="Q241" s="153"/>
      <c r="R241" s="153"/>
      <c r="S241" s="153"/>
      <c r="T241" s="153"/>
      <c r="U241" s="15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  <c r="BI241" s="153"/>
      <c r="BJ241" s="153"/>
      <c r="BK241" s="153"/>
      <c r="BL241" s="153"/>
      <c r="BM241" s="153"/>
      <c r="BN241" s="153"/>
      <c r="BO241" s="153"/>
      <c r="BP241" s="153"/>
      <c r="BQ241" s="153"/>
      <c r="BR241" s="153"/>
      <c r="BS241" s="153"/>
      <c r="BT241" s="153"/>
      <c r="BU241" s="153"/>
      <c r="BV241" s="153"/>
      <c r="BW241" s="153"/>
      <c r="BX241" s="153"/>
      <c r="BY241" s="153"/>
      <c r="BZ241" s="153"/>
      <c r="CA241" s="153"/>
      <c r="CB241" s="153"/>
      <c r="CC241" s="153"/>
      <c r="CD241" s="153"/>
      <c r="CE241" s="153"/>
      <c r="CF241" s="153"/>
      <c r="CG241" s="153"/>
      <c r="CH241" s="153"/>
      <c r="CI241" s="153"/>
      <c r="CJ241" s="153"/>
      <c r="CK241" s="153"/>
      <c r="CL241" s="153"/>
      <c r="CM241" s="153"/>
      <c r="CN241" s="153"/>
      <c r="CO241" s="153"/>
      <c r="CP241" s="153"/>
      <c r="CQ241" s="153"/>
      <c r="CR241" s="153"/>
      <c r="CS241" s="153"/>
      <c r="CT241" s="153"/>
      <c r="CU241" s="153"/>
      <c r="CV241" s="153"/>
      <c r="CW241" s="153"/>
      <c r="CX241" s="153"/>
      <c r="CY241" s="153"/>
      <c r="CZ241" s="153"/>
      <c r="DA241" s="153"/>
      <c r="DB241" s="153"/>
      <c r="DC241" s="153"/>
      <c r="DD241" s="153"/>
      <c r="DE241" s="153"/>
      <c r="DF241" s="153"/>
      <c r="DG241" s="153"/>
      <c r="DH241" s="153"/>
      <c r="DI241" s="153"/>
      <c r="DJ241" s="153"/>
      <c r="DK241" s="153"/>
      <c r="DL241" s="153"/>
      <c r="DM241" s="153"/>
      <c r="DN241" s="153"/>
      <c r="DO241" s="153"/>
      <c r="DP241" s="153"/>
      <c r="DQ241" s="153"/>
      <c r="DR241" s="153"/>
      <c r="DS241" s="153"/>
      <c r="DT241" s="153"/>
      <c r="DU241" s="153"/>
      <c r="DV241" s="153"/>
      <c r="DW241" s="153"/>
      <c r="DX241" s="153"/>
      <c r="DY241" s="153"/>
    </row>
    <row r="242" spans="1:129" ht="14.1" customHeight="1" x14ac:dyDescent="0.2">
      <c r="A242" s="153"/>
      <c r="B242" s="153"/>
      <c r="C242" s="153"/>
      <c r="D242" s="153"/>
      <c r="E242" s="153"/>
      <c r="F242" s="153"/>
      <c r="G242" s="153"/>
      <c r="H242" s="153"/>
      <c r="I242" s="153"/>
      <c r="J242" s="153"/>
      <c r="K242" s="153"/>
      <c r="L242" s="153"/>
      <c r="M242" s="153"/>
      <c r="N242" s="153"/>
      <c r="O242" s="153"/>
      <c r="P242" s="153"/>
      <c r="Q242" s="153"/>
      <c r="R242" s="153"/>
      <c r="S242" s="153"/>
      <c r="T242" s="153"/>
      <c r="U242" s="15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  <c r="BI242" s="153"/>
      <c r="BJ242" s="153"/>
      <c r="BK242" s="153"/>
      <c r="BL242" s="153"/>
      <c r="BM242" s="153"/>
      <c r="BN242" s="153"/>
      <c r="BO242" s="153"/>
      <c r="BP242" s="153"/>
      <c r="BQ242" s="153"/>
      <c r="BR242" s="153"/>
      <c r="BS242" s="153"/>
      <c r="BT242" s="153"/>
      <c r="BU242" s="153"/>
      <c r="BV242" s="153"/>
      <c r="BW242" s="153"/>
      <c r="BX242" s="153"/>
      <c r="BY242" s="153"/>
      <c r="BZ242" s="153"/>
      <c r="CA242" s="153"/>
      <c r="CB242" s="153"/>
      <c r="CC242" s="153"/>
      <c r="CD242" s="153"/>
      <c r="CE242" s="153"/>
      <c r="CF242" s="153"/>
      <c r="CG242" s="153"/>
      <c r="CH242" s="153"/>
      <c r="CI242" s="153"/>
      <c r="CJ242" s="153"/>
      <c r="CK242" s="153"/>
      <c r="CL242" s="153"/>
      <c r="CM242" s="153"/>
      <c r="CN242" s="153"/>
      <c r="CO242" s="153"/>
      <c r="CP242" s="153"/>
      <c r="CQ242" s="153"/>
      <c r="CR242" s="153"/>
      <c r="CS242" s="153"/>
      <c r="CT242" s="153"/>
      <c r="CU242" s="153"/>
      <c r="CV242" s="153"/>
      <c r="CW242" s="153"/>
      <c r="CX242" s="153"/>
      <c r="CY242" s="153"/>
      <c r="CZ242" s="153"/>
      <c r="DA242" s="153"/>
      <c r="DB242" s="153"/>
      <c r="DC242" s="153"/>
      <c r="DD242" s="153"/>
      <c r="DE242" s="153"/>
      <c r="DF242" s="153"/>
      <c r="DG242" s="153"/>
      <c r="DH242" s="153"/>
      <c r="DI242" s="153"/>
      <c r="DJ242" s="153"/>
      <c r="DK242" s="153"/>
      <c r="DL242" s="153"/>
      <c r="DM242" s="153"/>
      <c r="DN242" s="153"/>
      <c r="DO242" s="153"/>
      <c r="DP242" s="153"/>
      <c r="DQ242" s="153"/>
      <c r="DR242" s="153"/>
      <c r="DS242" s="153"/>
      <c r="DT242" s="153"/>
      <c r="DU242" s="153"/>
      <c r="DV242" s="153"/>
      <c r="DW242" s="153"/>
      <c r="DX242" s="153"/>
      <c r="DY242" s="153"/>
    </row>
    <row r="243" spans="1:129" ht="14.1" customHeight="1" x14ac:dyDescent="0.2">
      <c r="A243" s="153"/>
      <c r="B243" s="153"/>
      <c r="C243" s="153"/>
      <c r="D243" s="153"/>
      <c r="E243" s="153"/>
      <c r="F243" s="153"/>
      <c r="G243" s="153"/>
      <c r="H243" s="153"/>
      <c r="I243" s="153"/>
      <c r="J243" s="153"/>
      <c r="K243" s="153"/>
      <c r="L243" s="153"/>
      <c r="M243" s="153"/>
      <c r="N243" s="153"/>
      <c r="O243" s="153"/>
      <c r="P243" s="153"/>
      <c r="Q243" s="153"/>
      <c r="R243" s="153"/>
      <c r="S243" s="153"/>
      <c r="T243" s="153"/>
      <c r="U243" s="15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  <c r="BI243" s="153"/>
      <c r="BJ243" s="153"/>
      <c r="BK243" s="153"/>
      <c r="BL243" s="153"/>
      <c r="BM243" s="153"/>
      <c r="BN243" s="153"/>
      <c r="BO243" s="153"/>
      <c r="BP243" s="153"/>
      <c r="BQ243" s="153"/>
      <c r="BR243" s="153"/>
      <c r="BS243" s="153"/>
      <c r="BT243" s="153"/>
      <c r="BU243" s="153"/>
      <c r="BV243" s="153"/>
      <c r="BW243" s="153"/>
      <c r="BX243" s="153"/>
      <c r="BY243" s="153"/>
      <c r="BZ243" s="153"/>
      <c r="CA243" s="153"/>
      <c r="CB243" s="153"/>
      <c r="CC243" s="153"/>
      <c r="CD243" s="153"/>
      <c r="CE243" s="153"/>
      <c r="CF243" s="153"/>
      <c r="CG243" s="153"/>
      <c r="CH243" s="153"/>
      <c r="CI243" s="153"/>
      <c r="CJ243" s="153"/>
      <c r="CK243" s="153"/>
      <c r="CL243" s="153"/>
      <c r="CM243" s="153"/>
      <c r="CN243" s="153"/>
      <c r="CO243" s="153"/>
      <c r="CP243" s="153"/>
      <c r="CQ243" s="153"/>
      <c r="CR243" s="153"/>
      <c r="CS243" s="153"/>
      <c r="CT243" s="153"/>
      <c r="CU243" s="153"/>
      <c r="CV243" s="153"/>
      <c r="CW243" s="153"/>
      <c r="CX243" s="153"/>
      <c r="CY243" s="153"/>
      <c r="CZ243" s="153"/>
      <c r="DA243" s="153"/>
      <c r="DB243" s="153"/>
      <c r="DC243" s="153"/>
      <c r="DD243" s="153"/>
      <c r="DE243" s="153"/>
      <c r="DF243" s="153"/>
      <c r="DG243" s="153"/>
      <c r="DH243" s="153"/>
      <c r="DI243" s="153"/>
      <c r="DJ243" s="153"/>
      <c r="DK243" s="153"/>
      <c r="DL243" s="153"/>
      <c r="DM243" s="153"/>
      <c r="DN243" s="153"/>
      <c r="DO243" s="153"/>
      <c r="DP243" s="153"/>
      <c r="DQ243" s="153"/>
      <c r="DR243" s="153"/>
      <c r="DS243" s="153"/>
      <c r="DT243" s="153"/>
      <c r="DU243" s="153"/>
      <c r="DV243" s="153"/>
      <c r="DW243" s="153"/>
      <c r="DX243" s="153"/>
      <c r="DY243" s="153"/>
    </row>
    <row r="244" spans="1:129" ht="14.1" customHeight="1" x14ac:dyDescent="0.2">
      <c r="A244" s="153"/>
      <c r="B244" s="153"/>
      <c r="C244" s="153"/>
      <c r="D244" s="153"/>
      <c r="E244" s="153"/>
      <c r="F244" s="153"/>
      <c r="G244" s="153"/>
      <c r="H244" s="153"/>
      <c r="I244" s="153"/>
      <c r="J244" s="153"/>
      <c r="K244" s="153"/>
      <c r="L244" s="153"/>
      <c r="M244" s="153"/>
      <c r="N244" s="153"/>
      <c r="O244" s="153"/>
      <c r="P244" s="153"/>
      <c r="Q244" s="153"/>
      <c r="R244" s="153"/>
      <c r="S244" s="153"/>
      <c r="T244" s="153"/>
      <c r="U244" s="15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  <c r="BI244" s="153"/>
      <c r="BJ244" s="153"/>
      <c r="BK244" s="153"/>
      <c r="BL244" s="153"/>
      <c r="BM244" s="153"/>
      <c r="BN244" s="153"/>
      <c r="BO244" s="153"/>
      <c r="BP244" s="153"/>
      <c r="BQ244" s="153"/>
      <c r="BR244" s="153"/>
      <c r="BS244" s="153"/>
      <c r="BT244" s="153"/>
      <c r="BU244" s="153"/>
      <c r="BV244" s="153"/>
      <c r="BW244" s="153"/>
      <c r="BX244" s="153"/>
      <c r="BY244" s="153"/>
      <c r="BZ244" s="153"/>
      <c r="CA244" s="153"/>
      <c r="CB244" s="153"/>
      <c r="CC244" s="153"/>
      <c r="CD244" s="153"/>
      <c r="CE244" s="153"/>
      <c r="CF244" s="153"/>
      <c r="CG244" s="153"/>
      <c r="CH244" s="153"/>
      <c r="CI244" s="153"/>
      <c r="CJ244" s="153"/>
      <c r="CK244" s="153"/>
      <c r="CL244" s="153"/>
      <c r="CM244" s="153"/>
      <c r="CN244" s="153"/>
      <c r="CO244" s="153"/>
      <c r="CP244" s="153"/>
      <c r="CQ244" s="153"/>
      <c r="CR244" s="153"/>
      <c r="CS244" s="153"/>
      <c r="CT244" s="153"/>
      <c r="CU244" s="153"/>
      <c r="CV244" s="153"/>
      <c r="CW244" s="153"/>
      <c r="CX244" s="153"/>
      <c r="CY244" s="153"/>
      <c r="CZ244" s="153"/>
      <c r="DA244" s="153"/>
      <c r="DB244" s="153"/>
      <c r="DC244" s="153"/>
      <c r="DD244" s="153"/>
      <c r="DE244" s="153"/>
      <c r="DF244" s="153"/>
      <c r="DG244" s="153"/>
      <c r="DH244" s="153"/>
      <c r="DI244" s="153"/>
      <c r="DJ244" s="153"/>
      <c r="DK244" s="153"/>
      <c r="DL244" s="153"/>
      <c r="DM244" s="153"/>
      <c r="DN244" s="153"/>
      <c r="DO244" s="153"/>
      <c r="DP244" s="153"/>
      <c r="DQ244" s="153"/>
      <c r="DR244" s="153"/>
      <c r="DS244" s="153"/>
      <c r="DT244" s="153"/>
      <c r="DU244" s="153"/>
      <c r="DV244" s="153"/>
      <c r="DW244" s="153"/>
      <c r="DX244" s="153"/>
      <c r="DY244" s="153"/>
    </row>
    <row r="245" spans="1:129" ht="14.1" customHeight="1" x14ac:dyDescent="0.2">
      <c r="A245" s="153"/>
      <c r="B245" s="153"/>
      <c r="C245" s="153"/>
      <c r="D245" s="153"/>
      <c r="E245" s="153"/>
      <c r="F245" s="153"/>
      <c r="G245" s="153"/>
      <c r="H245" s="153"/>
      <c r="I245" s="153"/>
      <c r="J245" s="153"/>
      <c r="K245" s="153"/>
      <c r="L245" s="153"/>
      <c r="M245" s="153"/>
      <c r="N245" s="153"/>
      <c r="O245" s="153"/>
      <c r="P245" s="153"/>
      <c r="Q245" s="153"/>
      <c r="R245" s="153"/>
      <c r="S245" s="153"/>
      <c r="T245" s="153"/>
      <c r="U245" s="15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  <c r="BI245" s="153"/>
      <c r="BJ245" s="153"/>
      <c r="BK245" s="153"/>
      <c r="BL245" s="153"/>
      <c r="BM245" s="153"/>
      <c r="BN245" s="153"/>
      <c r="BO245" s="153"/>
      <c r="BP245" s="153"/>
      <c r="BQ245" s="153"/>
      <c r="BR245" s="153"/>
      <c r="BS245" s="153"/>
      <c r="BT245" s="153"/>
      <c r="BU245" s="153"/>
      <c r="BV245" s="153"/>
      <c r="BW245" s="153"/>
      <c r="BX245" s="153"/>
      <c r="BY245" s="153"/>
      <c r="BZ245" s="153"/>
      <c r="CA245" s="153"/>
      <c r="CB245" s="153"/>
      <c r="CC245" s="153"/>
      <c r="CD245" s="153"/>
      <c r="CE245" s="153"/>
      <c r="CF245" s="153"/>
      <c r="CG245" s="153"/>
      <c r="CH245" s="153"/>
      <c r="CI245" s="153"/>
      <c r="CJ245" s="153"/>
      <c r="CK245" s="153"/>
      <c r="CL245" s="153"/>
      <c r="CM245" s="153"/>
      <c r="CN245" s="153"/>
      <c r="CO245" s="153"/>
      <c r="CP245" s="153"/>
      <c r="CQ245" s="153"/>
      <c r="CR245" s="153"/>
      <c r="CS245" s="153"/>
      <c r="CT245" s="153"/>
      <c r="CU245" s="153"/>
      <c r="CV245" s="153"/>
      <c r="CW245" s="153"/>
      <c r="CX245" s="153"/>
      <c r="CY245" s="153"/>
      <c r="CZ245" s="153"/>
      <c r="DA245" s="153"/>
      <c r="DB245" s="153"/>
      <c r="DC245" s="153"/>
      <c r="DD245" s="153"/>
      <c r="DE245" s="153"/>
      <c r="DF245" s="153"/>
      <c r="DG245" s="153"/>
      <c r="DH245" s="153"/>
      <c r="DI245" s="153"/>
      <c r="DJ245" s="153"/>
      <c r="DK245" s="153"/>
      <c r="DL245" s="153"/>
      <c r="DM245" s="153"/>
      <c r="DN245" s="153"/>
      <c r="DO245" s="153"/>
      <c r="DP245" s="153"/>
      <c r="DQ245" s="153"/>
      <c r="DR245" s="153"/>
      <c r="DS245" s="153"/>
      <c r="DT245" s="153"/>
      <c r="DU245" s="153"/>
      <c r="DV245" s="153"/>
      <c r="DW245" s="153"/>
      <c r="DX245" s="153"/>
      <c r="DY245" s="153"/>
    </row>
    <row r="246" spans="1:129" ht="14.1" customHeight="1" x14ac:dyDescent="0.2">
      <c r="A246" s="153"/>
      <c r="B246" s="153"/>
      <c r="C246" s="153"/>
      <c r="D246" s="153"/>
      <c r="E246" s="153"/>
      <c r="F246" s="153"/>
      <c r="G246" s="153"/>
      <c r="H246" s="153"/>
      <c r="I246" s="153"/>
      <c r="J246" s="153"/>
      <c r="K246" s="153"/>
      <c r="L246" s="153"/>
      <c r="M246" s="153"/>
      <c r="N246" s="153"/>
      <c r="O246" s="153"/>
      <c r="P246" s="153"/>
      <c r="Q246" s="153"/>
      <c r="R246" s="153"/>
      <c r="S246" s="153"/>
      <c r="T246" s="153"/>
      <c r="U246" s="15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  <c r="BI246" s="153"/>
      <c r="BJ246" s="153"/>
      <c r="BK246" s="153"/>
      <c r="BL246" s="153"/>
      <c r="BM246" s="153"/>
      <c r="BN246" s="153"/>
      <c r="BO246" s="153"/>
      <c r="BP246" s="153"/>
      <c r="BQ246" s="153"/>
      <c r="BR246" s="153"/>
      <c r="BS246" s="153"/>
      <c r="BT246" s="153"/>
      <c r="BU246" s="153"/>
      <c r="BV246" s="153"/>
      <c r="BW246" s="153"/>
      <c r="BX246" s="153"/>
      <c r="BY246" s="153"/>
      <c r="BZ246" s="153"/>
      <c r="CA246" s="153"/>
      <c r="CB246" s="153"/>
      <c r="CC246" s="153"/>
      <c r="CD246" s="153"/>
      <c r="CE246" s="153"/>
      <c r="CF246" s="153"/>
      <c r="CG246" s="153"/>
      <c r="CH246" s="153"/>
      <c r="CI246" s="153"/>
      <c r="CJ246" s="153"/>
      <c r="CK246" s="153"/>
      <c r="CL246" s="153"/>
      <c r="CM246" s="153"/>
      <c r="CN246" s="153"/>
      <c r="CO246" s="153"/>
      <c r="CP246" s="153"/>
      <c r="CQ246" s="153"/>
      <c r="CR246" s="153"/>
      <c r="CS246" s="153"/>
      <c r="CT246" s="153"/>
      <c r="CU246" s="153"/>
      <c r="CV246" s="153"/>
      <c r="CW246" s="153"/>
      <c r="CX246" s="153"/>
      <c r="CY246" s="153"/>
      <c r="CZ246" s="153"/>
      <c r="DA246" s="153"/>
      <c r="DB246" s="153"/>
      <c r="DC246" s="153"/>
      <c r="DD246" s="153"/>
      <c r="DE246" s="153"/>
      <c r="DF246" s="153"/>
      <c r="DG246" s="153"/>
      <c r="DH246" s="153"/>
      <c r="DI246" s="153"/>
      <c r="DJ246" s="153"/>
      <c r="DK246" s="153"/>
      <c r="DL246" s="153"/>
      <c r="DM246" s="153"/>
      <c r="DN246" s="153"/>
      <c r="DO246" s="153"/>
      <c r="DP246" s="153"/>
      <c r="DQ246" s="153"/>
      <c r="DR246" s="153"/>
      <c r="DS246" s="153"/>
      <c r="DT246" s="153"/>
      <c r="DU246" s="153"/>
      <c r="DV246" s="153"/>
      <c r="DW246" s="153"/>
      <c r="DX246" s="153"/>
      <c r="DY246" s="153"/>
    </row>
    <row r="247" spans="1:129" ht="14.1" customHeight="1" x14ac:dyDescent="0.2">
      <c r="A247" s="153"/>
      <c r="B247" s="153"/>
      <c r="C247" s="153"/>
      <c r="D247" s="153"/>
      <c r="E247" s="153"/>
      <c r="F247" s="153"/>
      <c r="G247" s="153"/>
      <c r="H247" s="153"/>
      <c r="I247" s="153"/>
      <c r="J247" s="153"/>
      <c r="K247" s="153"/>
      <c r="L247" s="153"/>
      <c r="M247" s="153"/>
      <c r="N247" s="153"/>
      <c r="O247" s="153"/>
      <c r="P247" s="153"/>
      <c r="Q247" s="153"/>
      <c r="R247" s="153"/>
      <c r="S247" s="153"/>
      <c r="T247" s="153"/>
      <c r="U247" s="15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  <c r="BI247" s="153"/>
      <c r="BJ247" s="153"/>
      <c r="BK247" s="153"/>
      <c r="BL247" s="153"/>
      <c r="BM247" s="153"/>
      <c r="BN247" s="153"/>
      <c r="BO247" s="153"/>
      <c r="BP247" s="153"/>
      <c r="BQ247" s="153"/>
      <c r="BR247" s="153"/>
      <c r="BS247" s="153"/>
      <c r="BT247" s="153"/>
      <c r="BU247" s="153"/>
      <c r="BV247" s="153"/>
      <c r="BW247" s="153"/>
      <c r="BX247" s="153"/>
      <c r="BY247" s="153"/>
      <c r="BZ247" s="153"/>
      <c r="CA247" s="153"/>
      <c r="CB247" s="153"/>
      <c r="CC247" s="153"/>
      <c r="CD247" s="153"/>
      <c r="CE247" s="153"/>
      <c r="CF247" s="153"/>
      <c r="CG247" s="153"/>
      <c r="CH247" s="153"/>
      <c r="CI247" s="153"/>
      <c r="CJ247" s="153"/>
      <c r="CK247" s="153"/>
      <c r="CL247" s="153"/>
      <c r="CM247" s="153"/>
      <c r="CN247" s="153"/>
      <c r="CO247" s="153"/>
      <c r="CP247" s="153"/>
      <c r="CQ247" s="153"/>
      <c r="CR247" s="153"/>
      <c r="CS247" s="153"/>
      <c r="CT247" s="153"/>
      <c r="CU247" s="153"/>
      <c r="CV247" s="153"/>
      <c r="CW247" s="153"/>
      <c r="CX247" s="153"/>
      <c r="CY247" s="153"/>
      <c r="CZ247" s="153"/>
      <c r="DA247" s="153"/>
      <c r="DB247" s="153"/>
      <c r="DC247" s="153"/>
      <c r="DD247" s="153"/>
      <c r="DE247" s="153"/>
      <c r="DF247" s="153"/>
      <c r="DG247" s="153"/>
      <c r="DH247" s="153"/>
      <c r="DI247" s="153"/>
      <c r="DJ247" s="153"/>
      <c r="DK247" s="153"/>
      <c r="DL247" s="153"/>
      <c r="DM247" s="153"/>
      <c r="DN247" s="153"/>
      <c r="DO247" s="153"/>
      <c r="DP247" s="153"/>
      <c r="DQ247" s="153"/>
      <c r="DR247" s="153"/>
      <c r="DS247" s="153"/>
      <c r="DT247" s="153"/>
      <c r="DU247" s="153"/>
      <c r="DV247" s="153"/>
      <c r="DW247" s="153"/>
      <c r="DX247" s="153"/>
      <c r="DY247" s="153"/>
    </row>
    <row r="248" spans="1:129" ht="14.1" customHeight="1" x14ac:dyDescent="0.2">
      <c r="A248" s="153"/>
      <c r="B248" s="153"/>
      <c r="C248" s="153"/>
      <c r="D248" s="153"/>
      <c r="E248" s="153"/>
      <c r="F248" s="153"/>
      <c r="G248" s="153"/>
      <c r="H248" s="153"/>
      <c r="I248" s="153"/>
      <c r="J248" s="153"/>
      <c r="K248" s="153"/>
      <c r="L248" s="153"/>
      <c r="M248" s="153"/>
      <c r="N248" s="153"/>
      <c r="O248" s="153"/>
      <c r="P248" s="153"/>
      <c r="Q248" s="153"/>
      <c r="R248" s="153"/>
      <c r="S248" s="153"/>
      <c r="T248" s="153"/>
      <c r="U248" s="15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  <c r="BI248" s="153"/>
      <c r="BJ248" s="153"/>
      <c r="BK248" s="153"/>
      <c r="BL248" s="153"/>
      <c r="BM248" s="153"/>
      <c r="BN248" s="153"/>
      <c r="BO248" s="153"/>
      <c r="BP248" s="153"/>
      <c r="BQ248" s="153"/>
      <c r="BR248" s="153"/>
      <c r="BS248" s="153"/>
      <c r="BT248" s="153"/>
      <c r="BU248" s="153"/>
      <c r="BV248" s="153"/>
      <c r="BW248" s="153"/>
      <c r="BX248" s="153"/>
      <c r="BY248" s="153"/>
      <c r="BZ248" s="153"/>
      <c r="CA248" s="153"/>
      <c r="CB248" s="153"/>
      <c r="CC248" s="153"/>
      <c r="CD248" s="153"/>
      <c r="CE248" s="153"/>
      <c r="CF248" s="153"/>
      <c r="CG248" s="153"/>
      <c r="CH248" s="153"/>
      <c r="CI248" s="153"/>
      <c r="CJ248" s="153"/>
      <c r="CK248" s="153"/>
      <c r="CL248" s="153"/>
      <c r="CM248" s="153"/>
      <c r="CN248" s="153"/>
      <c r="CO248" s="153"/>
      <c r="CP248" s="153"/>
      <c r="CQ248" s="153"/>
      <c r="CR248" s="153"/>
      <c r="CS248" s="153"/>
      <c r="CT248" s="153"/>
      <c r="CU248" s="153"/>
      <c r="CV248" s="153"/>
      <c r="CW248" s="153"/>
      <c r="CX248" s="153"/>
      <c r="CY248" s="153"/>
      <c r="CZ248" s="153"/>
      <c r="DA248" s="153"/>
      <c r="DB248" s="153"/>
      <c r="DC248" s="153"/>
      <c r="DD248" s="153"/>
      <c r="DE248" s="153"/>
      <c r="DF248" s="153"/>
      <c r="DG248" s="153"/>
      <c r="DH248" s="153"/>
      <c r="DI248" s="153"/>
      <c r="DJ248" s="153"/>
      <c r="DK248" s="153"/>
      <c r="DL248" s="153"/>
      <c r="DM248" s="153"/>
      <c r="DN248" s="153"/>
      <c r="DO248" s="153"/>
      <c r="DP248" s="153"/>
      <c r="DQ248" s="153"/>
      <c r="DR248" s="153"/>
      <c r="DS248" s="153"/>
      <c r="DT248" s="153"/>
      <c r="DU248" s="153"/>
      <c r="DV248" s="153"/>
      <c r="DW248" s="153"/>
      <c r="DX248" s="153"/>
      <c r="DY248" s="153"/>
    </row>
    <row r="249" spans="1:129" ht="14.1" customHeight="1" x14ac:dyDescent="0.2">
      <c r="A249" s="153"/>
      <c r="B249" s="153"/>
      <c r="C249" s="153"/>
      <c r="D249" s="153"/>
      <c r="E249" s="153"/>
      <c r="F249" s="153"/>
      <c r="G249" s="153"/>
      <c r="H249" s="153"/>
      <c r="I249" s="153"/>
      <c r="J249" s="153"/>
      <c r="K249" s="153"/>
      <c r="L249" s="153"/>
      <c r="M249" s="153"/>
      <c r="N249" s="153"/>
      <c r="O249" s="153"/>
      <c r="P249" s="153"/>
      <c r="Q249" s="153"/>
      <c r="R249" s="153"/>
      <c r="S249" s="153"/>
      <c r="T249" s="153"/>
      <c r="U249" s="15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  <c r="BI249" s="153"/>
      <c r="BJ249" s="153"/>
      <c r="BK249" s="153"/>
      <c r="BL249" s="153"/>
      <c r="BM249" s="153"/>
      <c r="BN249" s="153"/>
      <c r="BO249" s="153"/>
      <c r="BP249" s="153"/>
      <c r="BQ249" s="153"/>
      <c r="BR249" s="153"/>
      <c r="BS249" s="153"/>
      <c r="BT249" s="153"/>
      <c r="BU249" s="153"/>
      <c r="BV249" s="153"/>
      <c r="BW249" s="153"/>
      <c r="BX249" s="153"/>
      <c r="BY249" s="153"/>
      <c r="BZ249" s="153"/>
      <c r="CA249" s="153"/>
      <c r="CB249" s="153"/>
      <c r="CC249" s="153"/>
      <c r="CD249" s="153"/>
      <c r="CE249" s="153"/>
      <c r="CF249" s="153"/>
      <c r="CG249" s="153"/>
      <c r="CH249" s="153"/>
      <c r="CI249" s="153"/>
      <c r="CJ249" s="153"/>
      <c r="CK249" s="153"/>
      <c r="CL249" s="153"/>
      <c r="CM249" s="153"/>
      <c r="CN249" s="153"/>
      <c r="CO249" s="153"/>
      <c r="CP249" s="153"/>
      <c r="CQ249" s="153"/>
      <c r="CR249" s="153"/>
      <c r="CS249" s="153"/>
      <c r="CT249" s="153"/>
      <c r="CU249" s="153"/>
      <c r="CV249" s="153"/>
      <c r="CW249" s="153"/>
      <c r="CX249" s="153"/>
      <c r="CY249" s="153"/>
      <c r="CZ249" s="153"/>
      <c r="DA249" s="153"/>
      <c r="DB249" s="153"/>
      <c r="DC249" s="153"/>
      <c r="DD249" s="153"/>
      <c r="DE249" s="153"/>
      <c r="DF249" s="153"/>
      <c r="DG249" s="153"/>
      <c r="DH249" s="153"/>
      <c r="DI249" s="153"/>
      <c r="DJ249" s="153"/>
      <c r="DK249" s="153"/>
      <c r="DL249" s="153"/>
      <c r="DM249" s="153"/>
      <c r="DN249" s="153"/>
      <c r="DO249" s="153"/>
      <c r="DP249" s="153"/>
      <c r="DQ249" s="153"/>
      <c r="DR249" s="153"/>
      <c r="DS249" s="153"/>
      <c r="DT249" s="153"/>
      <c r="DU249" s="153"/>
      <c r="DV249" s="153"/>
      <c r="DW249" s="153"/>
      <c r="DX249" s="153"/>
      <c r="DY249" s="153"/>
    </row>
    <row r="250" spans="1:129" ht="14.1" customHeight="1" x14ac:dyDescent="0.2">
      <c r="A250" s="153"/>
      <c r="B250" s="153"/>
      <c r="C250" s="153"/>
      <c r="D250" s="153"/>
      <c r="E250" s="153"/>
      <c r="F250" s="153"/>
      <c r="G250" s="153"/>
      <c r="H250" s="153"/>
      <c r="I250" s="153"/>
      <c r="J250" s="153"/>
      <c r="K250" s="153"/>
      <c r="L250" s="153"/>
      <c r="M250" s="153"/>
      <c r="N250" s="153"/>
      <c r="O250" s="153"/>
      <c r="P250" s="153"/>
      <c r="Q250" s="153"/>
      <c r="R250" s="153"/>
      <c r="S250" s="153"/>
      <c r="T250" s="153"/>
      <c r="U250" s="15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  <c r="BI250" s="153"/>
      <c r="BJ250" s="153"/>
      <c r="BK250" s="153"/>
      <c r="BL250" s="153"/>
      <c r="BM250" s="153"/>
      <c r="BN250" s="153"/>
      <c r="BO250" s="153"/>
      <c r="BP250" s="153"/>
      <c r="BQ250" s="153"/>
      <c r="BR250" s="153"/>
      <c r="BS250" s="153"/>
      <c r="BT250" s="153"/>
      <c r="BU250" s="153"/>
      <c r="BV250" s="153"/>
      <c r="BW250" s="153"/>
      <c r="BX250" s="153"/>
      <c r="BY250" s="153"/>
      <c r="BZ250" s="153"/>
      <c r="CA250" s="153"/>
      <c r="CB250" s="153"/>
      <c r="CC250" s="153"/>
      <c r="CD250" s="153"/>
      <c r="CE250" s="153"/>
      <c r="CF250" s="153"/>
      <c r="CG250" s="153"/>
      <c r="CH250" s="153"/>
      <c r="CI250" s="153"/>
      <c r="CJ250" s="153"/>
      <c r="CK250" s="153"/>
      <c r="CL250" s="153"/>
      <c r="CM250" s="153"/>
      <c r="CN250" s="153"/>
      <c r="CO250" s="153"/>
      <c r="CP250" s="153"/>
      <c r="CQ250" s="153"/>
      <c r="CR250" s="153"/>
      <c r="CS250" s="153"/>
      <c r="CT250" s="153"/>
      <c r="CU250" s="153"/>
      <c r="CV250" s="153"/>
      <c r="CW250" s="153"/>
      <c r="CX250" s="153"/>
      <c r="CY250" s="153"/>
      <c r="CZ250" s="153"/>
      <c r="DA250" s="153"/>
      <c r="DB250" s="153"/>
      <c r="DC250" s="153"/>
      <c r="DD250" s="153"/>
      <c r="DE250" s="153"/>
      <c r="DF250" s="153"/>
      <c r="DG250" s="153"/>
      <c r="DH250" s="153"/>
      <c r="DI250" s="153"/>
      <c r="DJ250" s="153"/>
      <c r="DK250" s="153"/>
      <c r="DL250" s="153"/>
      <c r="DM250" s="153"/>
      <c r="DN250" s="153"/>
      <c r="DO250" s="153"/>
      <c r="DP250" s="153"/>
      <c r="DQ250" s="153"/>
      <c r="DR250" s="153"/>
      <c r="DS250" s="153"/>
      <c r="DT250" s="153"/>
      <c r="DU250" s="153"/>
      <c r="DV250" s="153"/>
      <c r="DW250" s="153"/>
      <c r="DX250" s="153"/>
      <c r="DY250" s="153"/>
    </row>
    <row r="251" spans="1:129" ht="14.1" customHeight="1" x14ac:dyDescent="0.2">
      <c r="A251" s="153"/>
      <c r="B251" s="153"/>
      <c r="C251" s="153"/>
      <c r="D251" s="153"/>
      <c r="E251" s="153"/>
      <c r="F251" s="153"/>
      <c r="G251" s="153"/>
      <c r="H251" s="153"/>
      <c r="I251" s="153"/>
      <c r="J251" s="153"/>
      <c r="K251" s="153"/>
      <c r="L251" s="153"/>
      <c r="M251" s="153"/>
      <c r="N251" s="153"/>
      <c r="O251" s="153"/>
      <c r="P251" s="153"/>
      <c r="Q251" s="153"/>
      <c r="R251" s="153"/>
      <c r="S251" s="153"/>
      <c r="T251" s="153"/>
      <c r="U251" s="15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  <c r="BI251" s="153"/>
      <c r="BJ251" s="153"/>
      <c r="BK251" s="153"/>
      <c r="BL251" s="153"/>
      <c r="BM251" s="153"/>
      <c r="BN251" s="153"/>
      <c r="BO251" s="153"/>
      <c r="BP251" s="153"/>
      <c r="BQ251" s="153"/>
      <c r="BR251" s="153"/>
      <c r="BS251" s="153"/>
      <c r="BT251" s="153"/>
      <c r="BU251" s="153"/>
      <c r="BV251" s="153"/>
      <c r="BW251" s="153"/>
      <c r="BX251" s="153"/>
      <c r="BY251" s="153"/>
      <c r="BZ251" s="153"/>
      <c r="CA251" s="153"/>
      <c r="CB251" s="153"/>
      <c r="CC251" s="153"/>
      <c r="CD251" s="153"/>
      <c r="CE251" s="153"/>
      <c r="CF251" s="153"/>
      <c r="CG251" s="153"/>
      <c r="CH251" s="153"/>
      <c r="CI251" s="153"/>
      <c r="CJ251" s="153"/>
      <c r="CK251" s="153"/>
      <c r="CL251" s="153"/>
      <c r="CM251" s="153"/>
      <c r="CN251" s="153"/>
      <c r="CO251" s="153"/>
      <c r="CP251" s="153"/>
      <c r="CQ251" s="153"/>
      <c r="CR251" s="153"/>
      <c r="CS251" s="153"/>
      <c r="CT251" s="153"/>
      <c r="CU251" s="153"/>
      <c r="CV251" s="153"/>
      <c r="CW251" s="153"/>
      <c r="CX251" s="153"/>
      <c r="CY251" s="153"/>
      <c r="CZ251" s="153"/>
      <c r="DA251" s="153"/>
      <c r="DB251" s="153"/>
      <c r="DC251" s="153"/>
      <c r="DD251" s="153"/>
      <c r="DE251" s="153"/>
      <c r="DF251" s="153"/>
      <c r="DG251" s="153"/>
      <c r="DH251" s="153"/>
      <c r="DI251" s="153"/>
      <c r="DJ251" s="153"/>
      <c r="DK251" s="153"/>
      <c r="DL251" s="153"/>
      <c r="DM251" s="153"/>
      <c r="DN251" s="153"/>
      <c r="DO251" s="153"/>
      <c r="DP251" s="153"/>
      <c r="DQ251" s="153"/>
      <c r="DR251" s="153"/>
      <c r="DS251" s="153"/>
      <c r="DT251" s="153"/>
      <c r="DU251" s="153"/>
      <c r="DV251" s="153"/>
      <c r="DW251" s="153"/>
      <c r="DX251" s="153"/>
      <c r="DY251" s="153"/>
    </row>
    <row r="252" spans="1:129" ht="14.1" customHeight="1" x14ac:dyDescent="0.2">
      <c r="A252" s="153"/>
      <c r="B252" s="153"/>
      <c r="C252" s="153"/>
      <c r="D252" s="153"/>
      <c r="E252" s="153"/>
      <c r="F252" s="153"/>
      <c r="G252" s="153"/>
      <c r="H252" s="153"/>
      <c r="I252" s="153"/>
      <c r="J252" s="153"/>
      <c r="K252" s="153"/>
      <c r="L252" s="153"/>
      <c r="M252" s="153"/>
      <c r="N252" s="153"/>
      <c r="O252" s="153"/>
      <c r="P252" s="153"/>
      <c r="Q252" s="153"/>
      <c r="R252" s="153"/>
      <c r="S252" s="153"/>
      <c r="T252" s="153"/>
      <c r="U252" s="15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  <c r="BI252" s="153"/>
      <c r="BJ252" s="153"/>
      <c r="BK252" s="153"/>
      <c r="BL252" s="153"/>
      <c r="BM252" s="153"/>
      <c r="BN252" s="153"/>
      <c r="BO252" s="153"/>
      <c r="BP252" s="153"/>
      <c r="BQ252" s="153"/>
      <c r="BR252" s="153"/>
      <c r="BS252" s="153"/>
      <c r="BT252" s="153"/>
      <c r="BU252" s="153"/>
      <c r="BV252" s="153"/>
      <c r="BW252" s="153"/>
      <c r="BX252" s="153"/>
      <c r="BY252" s="153"/>
      <c r="BZ252" s="153"/>
      <c r="CA252" s="153"/>
      <c r="CB252" s="153"/>
      <c r="CC252" s="153"/>
      <c r="CD252" s="153"/>
      <c r="CE252" s="153"/>
      <c r="CF252" s="153"/>
      <c r="CG252" s="153"/>
      <c r="CH252" s="153"/>
      <c r="CI252" s="153"/>
      <c r="CJ252" s="153"/>
      <c r="CK252" s="153"/>
      <c r="CL252" s="153"/>
      <c r="CM252" s="153"/>
      <c r="CN252" s="153"/>
      <c r="CO252" s="153"/>
      <c r="CP252" s="153"/>
      <c r="CQ252" s="153"/>
      <c r="CR252" s="153"/>
      <c r="CS252" s="153"/>
      <c r="CT252" s="153"/>
      <c r="CU252" s="153"/>
      <c r="CV252" s="153"/>
      <c r="CW252" s="153"/>
      <c r="CX252" s="153"/>
      <c r="CY252" s="153"/>
      <c r="CZ252" s="153"/>
      <c r="DA252" s="153"/>
      <c r="DB252" s="153"/>
      <c r="DC252" s="153"/>
      <c r="DD252" s="153"/>
      <c r="DE252" s="153"/>
      <c r="DF252" s="153"/>
      <c r="DG252" s="153"/>
      <c r="DH252" s="153"/>
      <c r="DI252" s="153"/>
      <c r="DJ252" s="153"/>
      <c r="DK252" s="153"/>
      <c r="DL252" s="153"/>
      <c r="DM252" s="153"/>
      <c r="DN252" s="153"/>
      <c r="DO252" s="153"/>
      <c r="DP252" s="153"/>
      <c r="DQ252" s="153"/>
      <c r="DR252" s="153"/>
      <c r="DS252" s="153"/>
      <c r="DT252" s="153"/>
      <c r="DU252" s="153"/>
      <c r="DV252" s="153"/>
      <c r="DW252" s="153"/>
      <c r="DX252" s="153"/>
      <c r="DY252" s="153"/>
    </row>
    <row r="253" spans="1:129" ht="14.1" customHeight="1" x14ac:dyDescent="0.2">
      <c r="A253" s="153"/>
      <c r="B253" s="153"/>
      <c r="C253" s="153"/>
      <c r="D253" s="153"/>
      <c r="E253" s="153"/>
      <c r="F253" s="153"/>
      <c r="G253" s="153"/>
      <c r="H253" s="153"/>
      <c r="I253" s="153"/>
      <c r="J253" s="153"/>
      <c r="K253" s="153"/>
      <c r="L253" s="153"/>
      <c r="M253" s="153"/>
      <c r="N253" s="153"/>
      <c r="O253" s="153"/>
      <c r="P253" s="153"/>
      <c r="Q253" s="153"/>
      <c r="R253" s="153"/>
      <c r="S253" s="153"/>
      <c r="T253" s="153"/>
      <c r="U253" s="15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  <c r="BI253" s="153"/>
      <c r="BJ253" s="153"/>
      <c r="BK253" s="153"/>
      <c r="BL253" s="153"/>
      <c r="BM253" s="153"/>
      <c r="BN253" s="153"/>
      <c r="BO253" s="153"/>
      <c r="BP253" s="153"/>
      <c r="BQ253" s="153"/>
      <c r="BR253" s="153"/>
      <c r="BS253" s="153"/>
      <c r="BT253" s="153"/>
      <c r="BU253" s="153"/>
      <c r="BV253" s="153"/>
      <c r="BW253" s="153"/>
      <c r="BX253" s="153"/>
      <c r="BY253" s="153"/>
      <c r="BZ253" s="153"/>
      <c r="CA253" s="153"/>
      <c r="CB253" s="153"/>
      <c r="CC253" s="153"/>
      <c r="CD253" s="153"/>
      <c r="CE253" s="153"/>
      <c r="CF253" s="153"/>
      <c r="CG253" s="153"/>
      <c r="CH253" s="153"/>
      <c r="CI253" s="153"/>
      <c r="CJ253" s="153"/>
      <c r="CK253" s="153"/>
      <c r="CL253" s="153"/>
      <c r="CM253" s="153"/>
      <c r="CN253" s="153"/>
      <c r="CO253" s="153"/>
      <c r="CP253" s="153"/>
      <c r="CQ253" s="153"/>
      <c r="CR253" s="153"/>
      <c r="CS253" s="153"/>
      <c r="CT253" s="153"/>
      <c r="CU253" s="153"/>
      <c r="CV253" s="153"/>
      <c r="CW253" s="153"/>
      <c r="CX253" s="153"/>
      <c r="CY253" s="153"/>
      <c r="CZ253" s="153"/>
      <c r="DA253" s="153"/>
      <c r="DB253" s="153"/>
      <c r="DC253" s="153"/>
      <c r="DD253" s="153"/>
      <c r="DE253" s="153"/>
      <c r="DF253" s="153"/>
      <c r="DG253" s="153"/>
      <c r="DH253" s="153"/>
      <c r="DI253" s="153"/>
      <c r="DJ253" s="153"/>
      <c r="DK253" s="153"/>
      <c r="DL253" s="153"/>
      <c r="DM253" s="153"/>
      <c r="DN253" s="153"/>
      <c r="DO253" s="153"/>
      <c r="DP253" s="153"/>
      <c r="DQ253" s="153"/>
      <c r="DR253" s="153"/>
      <c r="DS253" s="153"/>
      <c r="DT253" s="153"/>
      <c r="DU253" s="153"/>
      <c r="DV253" s="153"/>
      <c r="DW253" s="153"/>
      <c r="DX253" s="153"/>
      <c r="DY253" s="153"/>
    </row>
    <row r="254" spans="1:129" ht="15" customHeight="1" x14ac:dyDescent="0.2">
      <c r="A254" s="153"/>
      <c r="B254" s="153"/>
      <c r="C254" s="153"/>
      <c r="D254" s="153"/>
      <c r="E254" s="153"/>
      <c r="F254" s="153"/>
      <c r="G254" s="153"/>
      <c r="H254" s="153"/>
      <c r="I254" s="153"/>
      <c r="J254" s="153"/>
      <c r="K254" s="153"/>
      <c r="L254" s="153"/>
      <c r="M254" s="153"/>
      <c r="N254" s="153"/>
      <c r="O254" s="153"/>
      <c r="P254" s="153"/>
      <c r="Q254" s="153"/>
      <c r="R254" s="153"/>
      <c r="S254" s="153"/>
      <c r="T254" s="153"/>
      <c r="U254" s="15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  <c r="BI254" s="153"/>
      <c r="BJ254" s="153"/>
      <c r="BK254" s="153"/>
      <c r="BL254" s="153"/>
      <c r="BM254" s="153"/>
      <c r="BN254" s="153"/>
      <c r="BO254" s="153"/>
      <c r="BP254" s="153"/>
      <c r="BQ254" s="153"/>
      <c r="BR254" s="153"/>
      <c r="BS254" s="153"/>
      <c r="BT254" s="153"/>
      <c r="BU254" s="153"/>
      <c r="BV254" s="153"/>
      <c r="BW254" s="153"/>
      <c r="BX254" s="153"/>
      <c r="BY254" s="153"/>
      <c r="BZ254" s="153"/>
      <c r="CA254" s="153"/>
      <c r="CB254" s="153"/>
      <c r="CC254" s="153"/>
      <c r="CD254" s="153"/>
      <c r="CE254" s="153"/>
      <c r="CF254" s="153"/>
      <c r="CG254" s="153"/>
      <c r="CH254" s="153"/>
      <c r="CI254" s="153"/>
      <c r="CJ254" s="153"/>
      <c r="CK254" s="153"/>
      <c r="CL254" s="153"/>
      <c r="CM254" s="153"/>
      <c r="CN254" s="153"/>
      <c r="CO254" s="153"/>
      <c r="CP254" s="153"/>
      <c r="CQ254" s="153"/>
      <c r="CR254" s="153"/>
      <c r="CS254" s="153"/>
      <c r="CT254" s="153"/>
      <c r="CU254" s="153"/>
      <c r="CV254" s="153"/>
      <c r="CW254" s="153"/>
      <c r="CX254" s="153"/>
      <c r="CY254" s="153"/>
      <c r="CZ254" s="153"/>
      <c r="DA254" s="153"/>
      <c r="DB254" s="153"/>
      <c r="DC254" s="153"/>
      <c r="DD254" s="153"/>
      <c r="DE254" s="153"/>
      <c r="DF254" s="153"/>
      <c r="DG254" s="153"/>
      <c r="DH254" s="153"/>
      <c r="DI254" s="153"/>
      <c r="DJ254" s="153"/>
      <c r="DK254" s="153"/>
      <c r="DL254" s="153"/>
      <c r="DM254" s="153"/>
      <c r="DN254" s="153"/>
      <c r="DO254" s="153"/>
      <c r="DP254" s="153"/>
      <c r="DQ254" s="153"/>
      <c r="DR254" s="153"/>
      <c r="DS254" s="153"/>
      <c r="DT254" s="153"/>
      <c r="DU254" s="153"/>
      <c r="DV254" s="153"/>
      <c r="DW254" s="153"/>
      <c r="DX254" s="153"/>
      <c r="DY254" s="153"/>
    </row>
    <row r="255" spans="1:129" ht="15" customHeight="1" x14ac:dyDescent="0.2">
      <c r="A255" s="153"/>
      <c r="B255" s="153"/>
      <c r="C255" s="153"/>
      <c r="D255" s="153"/>
      <c r="E255" s="153"/>
      <c r="F255" s="153"/>
      <c r="G255" s="153"/>
      <c r="H255" s="153"/>
      <c r="I255" s="153"/>
      <c r="J255" s="153"/>
      <c r="K255" s="153"/>
      <c r="L255" s="153"/>
      <c r="M255" s="153"/>
      <c r="N255" s="153"/>
      <c r="O255" s="153"/>
      <c r="P255" s="153"/>
      <c r="Q255" s="153"/>
      <c r="R255" s="153"/>
      <c r="S255" s="153"/>
      <c r="T255" s="153"/>
      <c r="U255" s="15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  <c r="BI255" s="153"/>
      <c r="BJ255" s="153"/>
      <c r="BK255" s="153"/>
      <c r="BL255" s="153"/>
      <c r="BM255" s="153"/>
      <c r="BN255" s="153"/>
      <c r="BO255" s="153"/>
      <c r="BP255" s="153"/>
      <c r="BQ255" s="153"/>
      <c r="BR255" s="153"/>
      <c r="BS255" s="153"/>
      <c r="BT255" s="153"/>
      <c r="BU255" s="153"/>
      <c r="BV255" s="153"/>
      <c r="BW255" s="153"/>
      <c r="BX255" s="153"/>
      <c r="BY255" s="153"/>
      <c r="BZ255" s="153"/>
      <c r="CA255" s="153"/>
      <c r="CB255" s="153"/>
      <c r="CC255" s="153"/>
      <c r="CD255" s="153"/>
      <c r="CE255" s="153"/>
      <c r="CF255" s="153"/>
      <c r="CG255" s="153"/>
      <c r="CH255" s="153"/>
      <c r="CI255" s="153"/>
      <c r="CJ255" s="153"/>
      <c r="CK255" s="153"/>
      <c r="CL255" s="153"/>
      <c r="CM255" s="153"/>
      <c r="CN255" s="153"/>
      <c r="CO255" s="153"/>
      <c r="CP255" s="153"/>
      <c r="CQ255" s="153"/>
      <c r="CR255" s="153"/>
      <c r="CS255" s="153"/>
      <c r="CT255" s="153"/>
      <c r="CU255" s="153"/>
      <c r="CV255" s="153"/>
      <c r="CW255" s="153"/>
      <c r="CX255" s="153"/>
      <c r="CY255" s="153"/>
      <c r="CZ255" s="153"/>
      <c r="DA255" s="153"/>
      <c r="DB255" s="153"/>
      <c r="DC255" s="153"/>
      <c r="DD255" s="153"/>
      <c r="DE255" s="153"/>
      <c r="DF255" s="153"/>
      <c r="DG255" s="153"/>
      <c r="DH255" s="153"/>
      <c r="DI255" s="153"/>
      <c r="DJ255" s="153"/>
      <c r="DK255" s="153"/>
      <c r="DL255" s="153"/>
      <c r="DM255" s="153"/>
      <c r="DN255" s="153"/>
      <c r="DO255" s="153"/>
      <c r="DP255" s="153"/>
      <c r="DQ255" s="153"/>
      <c r="DR255" s="153"/>
      <c r="DS255" s="153"/>
      <c r="DT255" s="153"/>
      <c r="DU255" s="153"/>
      <c r="DV255" s="153"/>
      <c r="DW255" s="153"/>
      <c r="DX255" s="153"/>
      <c r="DY255" s="153"/>
    </row>
    <row r="256" spans="1:129" ht="15" customHeight="1" x14ac:dyDescent="0.2">
      <c r="A256" s="153"/>
      <c r="B256" s="153"/>
      <c r="C256" s="153"/>
      <c r="D256" s="153"/>
      <c r="E256" s="153"/>
      <c r="F256" s="153"/>
      <c r="G256" s="153"/>
      <c r="H256" s="153"/>
      <c r="I256" s="153"/>
      <c r="J256" s="153"/>
      <c r="K256" s="153"/>
      <c r="L256" s="153"/>
      <c r="M256" s="153"/>
      <c r="N256" s="153"/>
      <c r="O256" s="153"/>
      <c r="P256" s="153"/>
      <c r="Q256" s="153"/>
      <c r="R256" s="153"/>
      <c r="S256" s="153"/>
      <c r="T256" s="153"/>
      <c r="U256" s="15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  <c r="BI256" s="153"/>
      <c r="BJ256" s="153"/>
      <c r="BK256" s="153"/>
      <c r="BL256" s="153"/>
      <c r="BM256" s="153"/>
      <c r="BN256" s="153"/>
      <c r="BO256" s="153"/>
      <c r="BP256" s="153"/>
      <c r="BQ256" s="153"/>
      <c r="BR256" s="153"/>
      <c r="BS256" s="153"/>
      <c r="BT256" s="153"/>
      <c r="BU256" s="153"/>
      <c r="BV256" s="153"/>
      <c r="BW256" s="153"/>
      <c r="BX256" s="153"/>
      <c r="BY256" s="153"/>
      <c r="BZ256" s="153"/>
      <c r="CA256" s="153"/>
      <c r="CB256" s="153"/>
      <c r="CC256" s="153"/>
      <c r="CD256" s="153"/>
      <c r="CE256" s="153"/>
      <c r="CF256" s="153"/>
      <c r="CG256" s="153"/>
      <c r="CH256" s="153"/>
      <c r="CI256" s="153"/>
      <c r="CJ256" s="153"/>
      <c r="CK256" s="153"/>
      <c r="CL256" s="153"/>
      <c r="CM256" s="153"/>
      <c r="CN256" s="153"/>
      <c r="CO256" s="153"/>
      <c r="CP256" s="153"/>
      <c r="CQ256" s="153"/>
      <c r="CR256" s="153"/>
      <c r="CS256" s="153"/>
      <c r="CT256" s="153"/>
      <c r="CU256" s="153"/>
      <c r="CV256" s="153"/>
      <c r="CW256" s="153"/>
      <c r="CX256" s="153"/>
      <c r="CY256" s="153"/>
      <c r="CZ256" s="153"/>
      <c r="DA256" s="153"/>
      <c r="DB256" s="153"/>
      <c r="DC256" s="153"/>
      <c r="DD256" s="153"/>
      <c r="DE256" s="153"/>
      <c r="DF256" s="153"/>
      <c r="DG256" s="153"/>
      <c r="DH256" s="153"/>
      <c r="DI256" s="153"/>
      <c r="DJ256" s="153"/>
      <c r="DK256" s="153"/>
      <c r="DL256" s="153"/>
      <c r="DM256" s="153"/>
      <c r="DN256" s="153"/>
      <c r="DO256" s="153"/>
      <c r="DP256" s="153"/>
      <c r="DQ256" s="153"/>
      <c r="DR256" s="153"/>
      <c r="DS256" s="153"/>
      <c r="DT256" s="153"/>
      <c r="DU256" s="153"/>
      <c r="DV256" s="153"/>
      <c r="DW256" s="153"/>
      <c r="DX256" s="153"/>
      <c r="DY256" s="153"/>
    </row>
    <row r="257" spans="1:129" ht="15" customHeight="1" x14ac:dyDescent="0.2">
      <c r="A257" s="153"/>
      <c r="B257" s="153"/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  <c r="O257" s="153"/>
      <c r="P257" s="153"/>
      <c r="Q257" s="153"/>
      <c r="R257" s="153"/>
      <c r="S257" s="153"/>
      <c r="T257" s="153"/>
      <c r="U257" s="15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  <c r="BI257" s="153"/>
      <c r="BJ257" s="153"/>
      <c r="BK257" s="153"/>
      <c r="BL257" s="153"/>
      <c r="BM257" s="153"/>
      <c r="BN257" s="153"/>
      <c r="BO257" s="153"/>
      <c r="BP257" s="153"/>
      <c r="BQ257" s="153"/>
      <c r="BR257" s="153"/>
      <c r="BS257" s="153"/>
      <c r="BT257" s="153"/>
      <c r="BU257" s="153"/>
      <c r="BV257" s="153"/>
      <c r="BW257" s="153"/>
      <c r="BX257" s="153"/>
      <c r="BY257" s="153"/>
      <c r="BZ257" s="153"/>
      <c r="CA257" s="153"/>
      <c r="CB257" s="153"/>
      <c r="CC257" s="153"/>
      <c r="CD257" s="153"/>
      <c r="CE257" s="153"/>
      <c r="CF257" s="153"/>
      <c r="CG257" s="153"/>
      <c r="CH257" s="153"/>
      <c r="CI257" s="153"/>
      <c r="CJ257" s="153"/>
      <c r="CK257" s="153"/>
      <c r="CL257" s="153"/>
      <c r="CM257" s="153"/>
      <c r="CN257" s="153"/>
      <c r="CO257" s="153"/>
      <c r="CP257" s="153"/>
      <c r="CQ257" s="153"/>
      <c r="CR257" s="153"/>
      <c r="CS257" s="153"/>
      <c r="CT257" s="153"/>
      <c r="CU257" s="153"/>
      <c r="CV257" s="153"/>
      <c r="CW257" s="153"/>
      <c r="CX257" s="153"/>
      <c r="CY257" s="153"/>
      <c r="CZ257" s="153"/>
      <c r="DA257" s="153"/>
      <c r="DB257" s="153"/>
      <c r="DC257" s="153"/>
      <c r="DD257" s="153"/>
      <c r="DE257" s="153"/>
      <c r="DF257" s="153"/>
      <c r="DG257" s="153"/>
      <c r="DH257" s="153"/>
      <c r="DI257" s="153"/>
      <c r="DJ257" s="153"/>
      <c r="DK257" s="153"/>
      <c r="DL257" s="153"/>
      <c r="DM257" s="153"/>
      <c r="DN257" s="153"/>
      <c r="DO257" s="153"/>
      <c r="DP257" s="153"/>
      <c r="DQ257" s="153"/>
      <c r="DR257" s="153"/>
      <c r="DS257" s="153"/>
      <c r="DT257" s="153"/>
      <c r="DU257" s="153"/>
      <c r="DV257" s="153"/>
      <c r="DW257" s="153"/>
      <c r="DX257" s="153"/>
      <c r="DY257" s="153"/>
    </row>
    <row r="258" spans="1:129" ht="15" customHeight="1" x14ac:dyDescent="0.2">
      <c r="A258" s="153"/>
      <c r="B258" s="153"/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  <c r="BI258" s="153"/>
      <c r="BJ258" s="153"/>
      <c r="BK258" s="153"/>
      <c r="BL258" s="153"/>
      <c r="BM258" s="153"/>
      <c r="BN258" s="153"/>
      <c r="BO258" s="153"/>
      <c r="BP258" s="153"/>
      <c r="BQ258" s="153"/>
      <c r="BR258" s="153"/>
      <c r="BS258" s="153"/>
      <c r="BT258" s="153"/>
      <c r="BU258" s="153"/>
      <c r="BV258" s="153"/>
      <c r="BW258" s="153"/>
      <c r="BX258" s="153"/>
      <c r="BY258" s="153"/>
      <c r="BZ258" s="153"/>
      <c r="CA258" s="153"/>
      <c r="CB258" s="153"/>
      <c r="CC258" s="153"/>
      <c r="CD258" s="153"/>
      <c r="CE258" s="153"/>
      <c r="CF258" s="153"/>
      <c r="CG258" s="153"/>
      <c r="CH258" s="153"/>
      <c r="CI258" s="153"/>
      <c r="CJ258" s="153"/>
      <c r="CK258" s="153"/>
      <c r="CL258" s="153"/>
      <c r="CM258" s="153"/>
      <c r="CN258" s="153"/>
      <c r="CO258" s="153"/>
      <c r="CP258" s="153"/>
      <c r="CQ258" s="153"/>
      <c r="CR258" s="153"/>
      <c r="CS258" s="153"/>
      <c r="CT258" s="153"/>
      <c r="CU258" s="153"/>
      <c r="CV258" s="153"/>
      <c r="CW258" s="153"/>
      <c r="CX258" s="153"/>
      <c r="CY258" s="153"/>
      <c r="CZ258" s="153"/>
      <c r="DA258" s="153"/>
      <c r="DB258" s="153"/>
      <c r="DC258" s="153"/>
      <c r="DD258" s="153"/>
      <c r="DE258" s="153"/>
      <c r="DF258" s="153"/>
      <c r="DG258" s="153"/>
      <c r="DH258" s="153"/>
      <c r="DI258" s="153"/>
      <c r="DJ258" s="153"/>
      <c r="DK258" s="153"/>
      <c r="DL258" s="153"/>
      <c r="DM258" s="153"/>
      <c r="DN258" s="153"/>
      <c r="DO258" s="153"/>
      <c r="DP258" s="153"/>
      <c r="DQ258" s="153"/>
      <c r="DR258" s="153"/>
      <c r="DS258" s="153"/>
      <c r="DT258" s="153"/>
      <c r="DU258" s="153"/>
      <c r="DV258" s="153"/>
      <c r="DW258" s="153"/>
      <c r="DX258" s="153"/>
      <c r="DY258" s="153"/>
    </row>
    <row r="259" spans="1:129" ht="15" customHeight="1" x14ac:dyDescent="0.2">
      <c r="A259" s="153"/>
      <c r="B259" s="153"/>
      <c r="C259" s="153"/>
      <c r="D259" s="153"/>
      <c r="E259" s="153"/>
      <c r="F259" s="153"/>
      <c r="G259" s="153"/>
      <c r="H259" s="153"/>
      <c r="I259" s="153"/>
      <c r="J259" s="153"/>
      <c r="K259" s="153"/>
      <c r="L259" s="153"/>
      <c r="M259" s="153"/>
      <c r="N259" s="153"/>
      <c r="O259" s="153"/>
      <c r="P259" s="153"/>
      <c r="Q259" s="153"/>
      <c r="R259" s="153"/>
      <c r="S259" s="153"/>
      <c r="T259" s="153"/>
      <c r="U259" s="15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  <c r="BI259" s="153"/>
      <c r="BJ259" s="153"/>
      <c r="BK259" s="153"/>
      <c r="BL259" s="153"/>
      <c r="BM259" s="153"/>
      <c r="BN259" s="153"/>
      <c r="BO259" s="153"/>
      <c r="BP259" s="153"/>
      <c r="BQ259" s="153"/>
      <c r="BR259" s="153"/>
      <c r="BS259" s="153"/>
      <c r="BT259" s="153"/>
      <c r="BU259" s="153"/>
      <c r="BV259" s="153"/>
      <c r="BW259" s="153"/>
      <c r="BX259" s="153"/>
      <c r="BY259" s="153"/>
      <c r="BZ259" s="153"/>
      <c r="CA259" s="153"/>
      <c r="CB259" s="153"/>
      <c r="CC259" s="153"/>
      <c r="CD259" s="153"/>
      <c r="CE259" s="153"/>
      <c r="CF259" s="153"/>
      <c r="CG259" s="153"/>
      <c r="CH259" s="153"/>
      <c r="CI259" s="153"/>
      <c r="CJ259" s="153"/>
      <c r="CK259" s="153"/>
      <c r="CL259" s="153"/>
      <c r="CM259" s="153"/>
      <c r="CN259" s="153"/>
      <c r="CO259" s="153"/>
      <c r="CP259" s="153"/>
      <c r="CQ259" s="153"/>
      <c r="CR259" s="153"/>
      <c r="CS259" s="153"/>
      <c r="CT259" s="153"/>
      <c r="CU259" s="153"/>
      <c r="CV259" s="153"/>
      <c r="CW259" s="153"/>
      <c r="CX259" s="153"/>
      <c r="CY259" s="153"/>
      <c r="CZ259" s="153"/>
      <c r="DA259" s="153"/>
      <c r="DB259" s="153"/>
      <c r="DC259" s="153"/>
      <c r="DD259" s="153"/>
      <c r="DE259" s="153"/>
      <c r="DF259" s="153"/>
      <c r="DG259" s="153"/>
      <c r="DH259" s="153"/>
      <c r="DI259" s="153"/>
      <c r="DJ259" s="153"/>
      <c r="DK259" s="153"/>
      <c r="DL259" s="153"/>
      <c r="DM259" s="153"/>
      <c r="DN259" s="153"/>
      <c r="DO259" s="153"/>
      <c r="DP259" s="153"/>
      <c r="DQ259" s="153"/>
      <c r="DR259" s="153"/>
      <c r="DS259" s="153"/>
      <c r="DT259" s="153"/>
      <c r="DU259" s="153"/>
      <c r="DV259" s="153"/>
      <c r="DW259" s="153"/>
      <c r="DX259" s="153"/>
      <c r="DY259" s="153"/>
    </row>
    <row r="260" spans="1:129" ht="15" customHeight="1" x14ac:dyDescent="0.2">
      <c r="A260" s="153"/>
      <c r="B260" s="153"/>
      <c r="C260" s="153"/>
      <c r="D260" s="153"/>
      <c r="E260" s="153"/>
      <c r="F260" s="153"/>
      <c r="G260" s="153"/>
      <c r="H260" s="153"/>
      <c r="I260" s="153"/>
      <c r="J260" s="153"/>
      <c r="K260" s="153"/>
      <c r="L260" s="153"/>
      <c r="M260" s="153"/>
      <c r="N260" s="153"/>
      <c r="O260" s="153"/>
      <c r="P260" s="153"/>
      <c r="Q260" s="153"/>
      <c r="R260" s="153"/>
      <c r="S260" s="153"/>
      <c r="T260" s="153"/>
      <c r="U260" s="15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  <c r="BI260" s="153"/>
      <c r="BJ260" s="153"/>
      <c r="BK260" s="153"/>
      <c r="BL260" s="153"/>
      <c r="BM260" s="153"/>
      <c r="BN260" s="153"/>
      <c r="BO260" s="153"/>
      <c r="BP260" s="153"/>
      <c r="BQ260" s="153"/>
      <c r="BR260" s="153"/>
      <c r="BS260" s="153"/>
      <c r="BT260" s="153"/>
      <c r="BU260" s="153"/>
      <c r="BV260" s="153"/>
      <c r="BW260" s="153"/>
      <c r="BX260" s="153"/>
      <c r="BY260" s="153"/>
      <c r="BZ260" s="153"/>
      <c r="CA260" s="153"/>
      <c r="CB260" s="153"/>
      <c r="CC260" s="153"/>
      <c r="CD260" s="153"/>
      <c r="CE260" s="153"/>
      <c r="CF260" s="153"/>
      <c r="CG260" s="153"/>
      <c r="CH260" s="153"/>
      <c r="CI260" s="153"/>
      <c r="CJ260" s="153"/>
      <c r="CK260" s="153"/>
      <c r="CL260" s="153"/>
      <c r="CM260" s="153"/>
      <c r="CN260" s="153"/>
      <c r="CO260" s="153"/>
      <c r="CP260" s="153"/>
      <c r="CQ260" s="153"/>
      <c r="CR260" s="153"/>
      <c r="CS260" s="153"/>
      <c r="CT260" s="153"/>
      <c r="CU260" s="153"/>
      <c r="CV260" s="153"/>
      <c r="CW260" s="153"/>
      <c r="CX260" s="153"/>
      <c r="CY260" s="153"/>
      <c r="CZ260" s="153"/>
      <c r="DA260" s="153"/>
      <c r="DB260" s="153"/>
      <c r="DC260" s="153"/>
      <c r="DD260" s="153"/>
      <c r="DE260" s="153"/>
      <c r="DF260" s="153"/>
      <c r="DG260" s="153"/>
      <c r="DH260" s="153"/>
      <c r="DI260" s="153"/>
      <c r="DJ260" s="153"/>
      <c r="DK260" s="153"/>
      <c r="DL260" s="153"/>
      <c r="DM260" s="153"/>
      <c r="DN260" s="153"/>
      <c r="DO260" s="153"/>
      <c r="DP260" s="153"/>
      <c r="DQ260" s="153"/>
      <c r="DR260" s="153"/>
      <c r="DS260" s="153"/>
      <c r="DT260" s="153"/>
      <c r="DU260" s="153"/>
      <c r="DV260" s="153"/>
      <c r="DW260" s="153"/>
      <c r="DX260" s="153"/>
      <c r="DY260" s="153"/>
    </row>
    <row r="261" spans="1:129" ht="15" customHeight="1" x14ac:dyDescent="0.2">
      <c r="A261" s="153"/>
      <c r="B261" s="153"/>
      <c r="C261" s="153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153"/>
      <c r="Q261" s="153"/>
      <c r="R261" s="153"/>
      <c r="S261" s="15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  <c r="BI261" s="153"/>
      <c r="BJ261" s="153"/>
      <c r="BK261" s="153"/>
      <c r="BL261" s="153"/>
      <c r="BM261" s="153"/>
      <c r="BN261" s="153"/>
      <c r="BO261" s="153"/>
      <c r="BP261" s="153"/>
      <c r="BQ261" s="153"/>
      <c r="BR261" s="153"/>
      <c r="BS261" s="153"/>
      <c r="BT261" s="153"/>
      <c r="BU261" s="153"/>
      <c r="BV261" s="153"/>
      <c r="BW261" s="153"/>
      <c r="BX261" s="153"/>
      <c r="BY261" s="153"/>
      <c r="BZ261" s="153"/>
      <c r="CA261" s="153"/>
      <c r="CB261" s="153"/>
      <c r="CC261" s="153"/>
      <c r="CD261" s="153"/>
      <c r="CE261" s="153"/>
      <c r="CF261" s="153"/>
      <c r="CG261" s="153"/>
      <c r="CH261" s="153"/>
      <c r="CI261" s="153"/>
      <c r="CJ261" s="153"/>
      <c r="CK261" s="153"/>
      <c r="CL261" s="153"/>
      <c r="CM261" s="153"/>
      <c r="CN261" s="153"/>
      <c r="CO261" s="153"/>
      <c r="CP261" s="153"/>
      <c r="CQ261" s="153"/>
      <c r="CR261" s="153"/>
      <c r="CS261" s="153"/>
      <c r="CT261" s="153"/>
      <c r="CU261" s="153"/>
      <c r="CV261" s="153"/>
      <c r="CW261" s="153"/>
      <c r="CX261" s="153"/>
      <c r="CY261" s="153"/>
      <c r="CZ261" s="153"/>
      <c r="DA261" s="153"/>
      <c r="DB261" s="153"/>
      <c r="DC261" s="153"/>
      <c r="DD261" s="153"/>
      <c r="DE261" s="153"/>
      <c r="DF261" s="153"/>
      <c r="DG261" s="153"/>
      <c r="DH261" s="153"/>
      <c r="DI261" s="153"/>
      <c r="DJ261" s="153"/>
      <c r="DK261" s="153"/>
      <c r="DL261" s="153"/>
      <c r="DM261" s="153"/>
      <c r="DN261" s="153"/>
      <c r="DO261" s="153"/>
      <c r="DP261" s="153"/>
      <c r="DQ261" s="153"/>
      <c r="DR261" s="153"/>
      <c r="DS261" s="153"/>
      <c r="DT261" s="153"/>
      <c r="DU261" s="153"/>
      <c r="DV261" s="153"/>
      <c r="DW261" s="153"/>
      <c r="DX261" s="153"/>
      <c r="DY261" s="153"/>
    </row>
    <row r="262" spans="1:129" ht="15" customHeight="1" x14ac:dyDescent="0.2">
      <c r="A262" s="153"/>
      <c r="B262" s="153"/>
      <c r="C262" s="153"/>
      <c r="D262" s="153"/>
      <c r="E262" s="153"/>
      <c r="F262" s="153"/>
      <c r="G262" s="153"/>
      <c r="H262" s="153"/>
      <c r="I262" s="153"/>
      <c r="J262" s="153"/>
      <c r="K262" s="153"/>
      <c r="L262" s="153"/>
      <c r="M262" s="153"/>
      <c r="N262" s="153"/>
      <c r="O262" s="153"/>
      <c r="P262" s="153"/>
      <c r="Q262" s="153"/>
      <c r="R262" s="153"/>
      <c r="S262" s="153"/>
      <c r="T262" s="153"/>
      <c r="U262" s="15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  <c r="BI262" s="153"/>
      <c r="BJ262" s="153"/>
      <c r="BK262" s="153"/>
      <c r="BL262" s="153"/>
      <c r="BM262" s="153"/>
      <c r="BN262" s="153"/>
      <c r="BO262" s="153"/>
      <c r="BP262" s="153"/>
      <c r="BQ262" s="153"/>
      <c r="BR262" s="153"/>
      <c r="BS262" s="153"/>
      <c r="BT262" s="153"/>
      <c r="BU262" s="153"/>
      <c r="BV262" s="153"/>
      <c r="BW262" s="153"/>
      <c r="BX262" s="153"/>
      <c r="BY262" s="153"/>
      <c r="BZ262" s="153"/>
      <c r="CA262" s="153"/>
      <c r="CB262" s="153"/>
      <c r="CC262" s="153"/>
      <c r="CD262" s="153"/>
      <c r="CE262" s="153"/>
      <c r="CF262" s="153"/>
      <c r="CG262" s="153"/>
      <c r="CH262" s="153"/>
      <c r="CI262" s="153"/>
      <c r="CJ262" s="153"/>
      <c r="CK262" s="153"/>
      <c r="CL262" s="153"/>
      <c r="CM262" s="153"/>
      <c r="CN262" s="153"/>
      <c r="CO262" s="153"/>
      <c r="CP262" s="153"/>
      <c r="CQ262" s="153"/>
      <c r="CR262" s="153"/>
      <c r="CS262" s="153"/>
      <c r="CT262" s="153"/>
      <c r="CU262" s="153"/>
      <c r="CV262" s="153"/>
      <c r="CW262" s="153"/>
      <c r="CX262" s="153"/>
      <c r="CY262" s="153"/>
      <c r="CZ262" s="153"/>
      <c r="DA262" s="153"/>
      <c r="DB262" s="153"/>
      <c r="DC262" s="153"/>
      <c r="DD262" s="153"/>
      <c r="DE262" s="153"/>
      <c r="DF262" s="153"/>
      <c r="DG262" s="153"/>
      <c r="DH262" s="153"/>
      <c r="DI262" s="153"/>
      <c r="DJ262" s="153"/>
      <c r="DK262" s="153"/>
      <c r="DL262" s="153"/>
      <c r="DM262" s="153"/>
      <c r="DN262" s="153"/>
      <c r="DO262" s="153"/>
      <c r="DP262" s="153"/>
      <c r="DQ262" s="153"/>
      <c r="DR262" s="153"/>
      <c r="DS262" s="153"/>
      <c r="DT262" s="153"/>
      <c r="DU262" s="153"/>
      <c r="DV262" s="153"/>
      <c r="DW262" s="153"/>
      <c r="DX262" s="153"/>
      <c r="DY262" s="153"/>
    </row>
    <row r="263" spans="1:129" ht="15" customHeight="1" x14ac:dyDescent="0.2">
      <c r="A263" s="153"/>
      <c r="B263" s="153"/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  <c r="BI263" s="153"/>
      <c r="BJ263" s="153"/>
      <c r="BK263" s="153"/>
      <c r="BL263" s="153"/>
      <c r="BM263" s="153"/>
      <c r="BN263" s="153"/>
      <c r="BO263" s="153"/>
      <c r="BP263" s="153"/>
      <c r="BQ263" s="153"/>
      <c r="BR263" s="153"/>
      <c r="BS263" s="153"/>
      <c r="BT263" s="153"/>
      <c r="BU263" s="153"/>
      <c r="BV263" s="153"/>
      <c r="BW263" s="153"/>
      <c r="BX263" s="153"/>
      <c r="BY263" s="153"/>
      <c r="BZ263" s="153"/>
      <c r="CA263" s="153"/>
      <c r="CB263" s="153"/>
      <c r="CC263" s="153"/>
      <c r="CD263" s="153"/>
      <c r="CE263" s="153"/>
      <c r="CF263" s="153"/>
      <c r="CG263" s="153"/>
      <c r="CH263" s="153"/>
      <c r="CI263" s="153"/>
      <c r="CJ263" s="153"/>
      <c r="CK263" s="153"/>
      <c r="CL263" s="153"/>
      <c r="CM263" s="153"/>
      <c r="CN263" s="153"/>
      <c r="CO263" s="153"/>
      <c r="CP263" s="153"/>
      <c r="CQ263" s="153"/>
      <c r="CR263" s="153"/>
      <c r="CS263" s="153"/>
      <c r="CT263" s="153"/>
      <c r="CU263" s="153"/>
      <c r="CV263" s="153"/>
      <c r="CW263" s="153"/>
      <c r="CX263" s="153"/>
      <c r="CY263" s="153"/>
      <c r="CZ263" s="153"/>
      <c r="DA263" s="153"/>
      <c r="DB263" s="153"/>
      <c r="DC263" s="153"/>
      <c r="DD263" s="153"/>
      <c r="DE263" s="153"/>
      <c r="DF263" s="153"/>
      <c r="DG263" s="153"/>
      <c r="DH263" s="153"/>
      <c r="DI263" s="153"/>
      <c r="DJ263" s="153"/>
      <c r="DK263" s="153"/>
      <c r="DL263" s="153"/>
      <c r="DM263" s="153"/>
      <c r="DN263" s="153"/>
      <c r="DO263" s="153"/>
      <c r="DP263" s="153"/>
      <c r="DQ263" s="153"/>
      <c r="DR263" s="153"/>
      <c r="DS263" s="153"/>
      <c r="DT263" s="153"/>
      <c r="DU263" s="153"/>
      <c r="DV263" s="153"/>
      <c r="DW263" s="153"/>
      <c r="DX263" s="153"/>
      <c r="DY263" s="153"/>
    </row>
    <row r="264" spans="1:129" ht="15" customHeight="1" x14ac:dyDescent="0.2">
      <c r="A264" s="153"/>
      <c r="B264" s="153"/>
      <c r="C264" s="153"/>
      <c r="D264" s="153"/>
      <c r="E264" s="153"/>
      <c r="F264" s="153"/>
      <c r="G264" s="153"/>
      <c r="H264" s="153"/>
      <c r="I264" s="153"/>
      <c r="J264" s="153"/>
      <c r="K264" s="153"/>
      <c r="L264" s="153"/>
      <c r="M264" s="153"/>
      <c r="N264" s="153"/>
      <c r="O264" s="153"/>
      <c r="P264" s="153"/>
      <c r="Q264" s="153"/>
      <c r="R264" s="153"/>
      <c r="S264" s="153"/>
      <c r="T264" s="153"/>
      <c r="U264" s="15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  <c r="BI264" s="153"/>
      <c r="BJ264" s="153"/>
      <c r="BK264" s="153"/>
      <c r="BL264" s="153"/>
      <c r="BM264" s="153"/>
      <c r="BN264" s="153"/>
      <c r="BO264" s="153"/>
      <c r="BP264" s="153"/>
      <c r="BQ264" s="153"/>
      <c r="BR264" s="153"/>
      <c r="BS264" s="153"/>
      <c r="BT264" s="153"/>
      <c r="BU264" s="153"/>
      <c r="BV264" s="153"/>
      <c r="BW264" s="153"/>
      <c r="BX264" s="153"/>
      <c r="BY264" s="153"/>
      <c r="BZ264" s="153"/>
      <c r="CA264" s="153"/>
      <c r="CB264" s="153"/>
      <c r="CC264" s="153"/>
      <c r="CD264" s="153"/>
      <c r="CE264" s="153"/>
      <c r="CF264" s="153"/>
      <c r="CG264" s="153"/>
      <c r="CH264" s="153"/>
      <c r="CI264" s="153"/>
      <c r="CJ264" s="153"/>
      <c r="CK264" s="153"/>
      <c r="CL264" s="153"/>
      <c r="CM264" s="153"/>
      <c r="CN264" s="153"/>
      <c r="CO264" s="153"/>
      <c r="CP264" s="153"/>
      <c r="CQ264" s="153"/>
      <c r="CR264" s="153"/>
      <c r="CS264" s="153"/>
      <c r="CT264" s="153"/>
      <c r="CU264" s="153"/>
      <c r="CV264" s="153"/>
      <c r="CW264" s="153"/>
      <c r="CX264" s="153"/>
      <c r="CY264" s="153"/>
      <c r="CZ264" s="153"/>
      <c r="DA264" s="153"/>
      <c r="DB264" s="153"/>
      <c r="DC264" s="153"/>
      <c r="DD264" s="153"/>
      <c r="DE264" s="153"/>
      <c r="DF264" s="153"/>
      <c r="DG264" s="153"/>
      <c r="DH264" s="153"/>
      <c r="DI264" s="153"/>
      <c r="DJ264" s="153"/>
      <c r="DK264" s="153"/>
      <c r="DL264" s="153"/>
      <c r="DM264" s="153"/>
      <c r="DN264" s="153"/>
      <c r="DO264" s="153"/>
      <c r="DP264" s="153"/>
      <c r="DQ264" s="153"/>
      <c r="DR264" s="153"/>
      <c r="DS264" s="153"/>
      <c r="DT264" s="153"/>
      <c r="DU264" s="153"/>
      <c r="DV264" s="153"/>
      <c r="DW264" s="153"/>
      <c r="DX264" s="153"/>
      <c r="DY264" s="153"/>
    </row>
    <row r="265" spans="1:129" ht="15" customHeight="1" x14ac:dyDescent="0.2">
      <c r="A265" s="153"/>
      <c r="B265" s="153"/>
      <c r="C265" s="153"/>
      <c r="D265" s="153"/>
      <c r="E265" s="153"/>
      <c r="F265" s="153"/>
      <c r="G265" s="153"/>
      <c r="H265" s="153"/>
      <c r="I265" s="153"/>
      <c r="J265" s="153"/>
      <c r="K265" s="153"/>
      <c r="L265" s="153"/>
      <c r="M265" s="153"/>
      <c r="N265" s="153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  <c r="BI265" s="153"/>
      <c r="BJ265" s="153"/>
      <c r="BK265" s="153"/>
      <c r="BL265" s="153"/>
      <c r="BM265" s="153"/>
      <c r="BN265" s="153"/>
      <c r="BO265" s="153"/>
      <c r="BP265" s="153"/>
      <c r="BQ265" s="153"/>
      <c r="BR265" s="153"/>
      <c r="BS265" s="153"/>
      <c r="BT265" s="153"/>
      <c r="BU265" s="153"/>
      <c r="BV265" s="153"/>
      <c r="BW265" s="153"/>
      <c r="BX265" s="153"/>
      <c r="BY265" s="153"/>
      <c r="BZ265" s="153"/>
      <c r="CA265" s="153"/>
      <c r="CB265" s="153"/>
      <c r="CC265" s="153"/>
      <c r="CD265" s="153"/>
      <c r="CE265" s="153"/>
      <c r="CF265" s="153"/>
      <c r="CG265" s="153"/>
      <c r="CH265" s="153"/>
      <c r="CI265" s="153"/>
      <c r="CJ265" s="153"/>
      <c r="CK265" s="153"/>
      <c r="CL265" s="153"/>
      <c r="CM265" s="153"/>
      <c r="CN265" s="153"/>
      <c r="CO265" s="153"/>
      <c r="CP265" s="153"/>
      <c r="CQ265" s="153"/>
      <c r="CR265" s="153"/>
      <c r="CS265" s="153"/>
      <c r="CT265" s="153"/>
      <c r="CU265" s="153"/>
      <c r="CV265" s="153"/>
      <c r="CW265" s="153"/>
      <c r="CX265" s="153"/>
      <c r="CY265" s="153"/>
      <c r="CZ265" s="153"/>
      <c r="DA265" s="153"/>
      <c r="DB265" s="153"/>
      <c r="DC265" s="153"/>
      <c r="DD265" s="153"/>
      <c r="DE265" s="153"/>
      <c r="DF265" s="153"/>
      <c r="DG265" s="153"/>
      <c r="DH265" s="153"/>
      <c r="DI265" s="153"/>
      <c r="DJ265" s="153"/>
      <c r="DK265" s="153"/>
      <c r="DL265" s="153"/>
      <c r="DM265" s="153"/>
      <c r="DN265" s="153"/>
      <c r="DO265" s="153"/>
      <c r="DP265" s="153"/>
      <c r="DQ265" s="153"/>
      <c r="DR265" s="153"/>
      <c r="DS265" s="153"/>
      <c r="DT265" s="153"/>
      <c r="DU265" s="153"/>
      <c r="DV265" s="153"/>
      <c r="DW265" s="153"/>
      <c r="DX265" s="153"/>
      <c r="DY265" s="153"/>
    </row>
    <row r="266" spans="1:129" ht="15" customHeight="1" x14ac:dyDescent="0.2">
      <c r="A266" s="153"/>
      <c r="B266" s="153"/>
      <c r="C266" s="153"/>
      <c r="D266" s="153"/>
      <c r="E266" s="153"/>
      <c r="F266" s="153"/>
      <c r="G266" s="153"/>
      <c r="H266" s="153"/>
      <c r="I266" s="153"/>
      <c r="J266" s="153"/>
      <c r="K266" s="153"/>
      <c r="L266" s="153"/>
      <c r="M266" s="153"/>
      <c r="N266" s="153"/>
      <c r="O266" s="153"/>
      <c r="P266" s="153"/>
      <c r="Q266" s="153"/>
      <c r="R266" s="153"/>
      <c r="S266" s="153"/>
      <c r="T266" s="153"/>
      <c r="U266" s="15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  <c r="BI266" s="153"/>
      <c r="BJ266" s="153"/>
      <c r="BK266" s="153"/>
      <c r="BL266" s="153"/>
      <c r="BM266" s="153"/>
      <c r="BN266" s="153"/>
      <c r="BO266" s="153"/>
      <c r="BP266" s="153"/>
      <c r="BQ266" s="153"/>
      <c r="BR266" s="153"/>
      <c r="BS266" s="153"/>
      <c r="BT266" s="153"/>
      <c r="BU266" s="153"/>
      <c r="BV266" s="153"/>
      <c r="BW266" s="153"/>
      <c r="BX266" s="153"/>
      <c r="BY266" s="153"/>
      <c r="BZ266" s="153"/>
      <c r="CA266" s="153"/>
      <c r="CB266" s="153"/>
      <c r="CC266" s="153"/>
      <c r="CD266" s="153"/>
      <c r="CE266" s="153"/>
      <c r="CF266" s="153"/>
      <c r="CG266" s="153"/>
      <c r="CH266" s="153"/>
      <c r="CI266" s="153"/>
      <c r="CJ266" s="153"/>
      <c r="CK266" s="153"/>
      <c r="CL266" s="153"/>
      <c r="CM266" s="153"/>
      <c r="CN266" s="153"/>
      <c r="CO266" s="153"/>
      <c r="CP266" s="153"/>
      <c r="CQ266" s="153"/>
      <c r="CR266" s="153"/>
      <c r="CS266" s="153"/>
      <c r="CT266" s="153"/>
      <c r="CU266" s="153"/>
      <c r="CV266" s="153"/>
      <c r="CW266" s="153"/>
      <c r="CX266" s="153"/>
      <c r="CY266" s="153"/>
      <c r="CZ266" s="153"/>
      <c r="DA266" s="153"/>
      <c r="DB266" s="153"/>
      <c r="DC266" s="153"/>
      <c r="DD266" s="153"/>
      <c r="DE266" s="153"/>
      <c r="DF266" s="153"/>
      <c r="DG266" s="153"/>
      <c r="DH266" s="153"/>
      <c r="DI266" s="153"/>
      <c r="DJ266" s="153"/>
      <c r="DK266" s="153"/>
      <c r="DL266" s="153"/>
      <c r="DM266" s="153"/>
      <c r="DN266" s="153"/>
      <c r="DO266" s="153"/>
      <c r="DP266" s="153"/>
      <c r="DQ266" s="153"/>
      <c r="DR266" s="153"/>
      <c r="DS266" s="153"/>
      <c r="DT266" s="153"/>
      <c r="DU266" s="153"/>
      <c r="DV266" s="153"/>
      <c r="DW266" s="153"/>
      <c r="DX266" s="153"/>
      <c r="DY266" s="153"/>
    </row>
    <row r="267" spans="1:129" ht="15" customHeight="1" x14ac:dyDescent="0.2">
      <c r="A267" s="153"/>
      <c r="B267" s="153"/>
      <c r="C267" s="153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  <c r="N267" s="153"/>
      <c r="O267" s="153"/>
      <c r="P267" s="153"/>
      <c r="Q267" s="153"/>
      <c r="R267" s="153"/>
      <c r="S267" s="153"/>
      <c r="T267" s="153"/>
      <c r="U267" s="15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  <c r="BI267" s="153"/>
      <c r="BJ267" s="153"/>
      <c r="BK267" s="153"/>
      <c r="BL267" s="153"/>
      <c r="BM267" s="153"/>
      <c r="BN267" s="153"/>
      <c r="BO267" s="153"/>
      <c r="BP267" s="153"/>
      <c r="BQ267" s="153"/>
      <c r="BR267" s="153"/>
      <c r="BS267" s="153"/>
      <c r="BT267" s="153"/>
      <c r="BU267" s="153"/>
      <c r="BV267" s="153"/>
      <c r="BW267" s="153"/>
      <c r="BX267" s="153"/>
      <c r="BY267" s="153"/>
      <c r="BZ267" s="153"/>
      <c r="CA267" s="153"/>
      <c r="CB267" s="153"/>
      <c r="CC267" s="153"/>
      <c r="CD267" s="153"/>
      <c r="CE267" s="153"/>
      <c r="CF267" s="153"/>
      <c r="CG267" s="153"/>
      <c r="CH267" s="153"/>
      <c r="CI267" s="153"/>
      <c r="CJ267" s="153"/>
      <c r="CK267" s="153"/>
      <c r="CL267" s="153"/>
      <c r="CM267" s="153"/>
      <c r="CN267" s="153"/>
      <c r="CO267" s="153"/>
      <c r="CP267" s="153"/>
      <c r="CQ267" s="153"/>
      <c r="CR267" s="153"/>
      <c r="CS267" s="153"/>
      <c r="CT267" s="153"/>
      <c r="CU267" s="153"/>
      <c r="CV267" s="153"/>
      <c r="CW267" s="153"/>
      <c r="CX267" s="153"/>
      <c r="CY267" s="153"/>
      <c r="CZ267" s="153"/>
      <c r="DA267" s="153"/>
      <c r="DB267" s="153"/>
      <c r="DC267" s="153"/>
      <c r="DD267" s="153"/>
      <c r="DE267" s="153"/>
      <c r="DF267" s="153"/>
      <c r="DG267" s="153"/>
      <c r="DH267" s="153"/>
      <c r="DI267" s="153"/>
      <c r="DJ267" s="153"/>
      <c r="DK267" s="153"/>
      <c r="DL267" s="153"/>
      <c r="DM267" s="153"/>
      <c r="DN267" s="153"/>
      <c r="DO267" s="153"/>
      <c r="DP267" s="153"/>
      <c r="DQ267" s="153"/>
      <c r="DR267" s="153"/>
      <c r="DS267" s="153"/>
      <c r="DT267" s="153"/>
      <c r="DU267" s="153"/>
      <c r="DV267" s="153"/>
      <c r="DW267" s="153"/>
      <c r="DX267" s="153"/>
      <c r="DY267" s="153"/>
    </row>
    <row r="268" spans="1:129" ht="15" customHeight="1" x14ac:dyDescent="0.2">
      <c r="A268" s="153"/>
      <c r="B268" s="153"/>
      <c r="C268" s="153"/>
      <c r="D268" s="153"/>
      <c r="E268" s="153"/>
      <c r="F268" s="153"/>
      <c r="G268" s="153"/>
      <c r="H268" s="153"/>
      <c r="I268" s="153"/>
      <c r="J268" s="153"/>
      <c r="K268" s="153"/>
      <c r="L268" s="153"/>
      <c r="M268" s="153"/>
      <c r="N268" s="153"/>
      <c r="O268" s="153"/>
      <c r="P268" s="153"/>
      <c r="Q268" s="153"/>
      <c r="R268" s="153"/>
      <c r="S268" s="153"/>
      <c r="T268" s="153"/>
      <c r="U268" s="15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  <c r="BI268" s="153"/>
      <c r="BJ268" s="153"/>
      <c r="BK268" s="153"/>
      <c r="BL268" s="153"/>
      <c r="BM268" s="153"/>
      <c r="BN268" s="153"/>
      <c r="BO268" s="153"/>
      <c r="BP268" s="153"/>
      <c r="BQ268" s="153"/>
      <c r="BR268" s="153"/>
      <c r="BS268" s="153"/>
      <c r="BT268" s="153"/>
      <c r="BU268" s="153"/>
      <c r="BV268" s="153"/>
      <c r="BW268" s="153"/>
      <c r="BX268" s="153"/>
      <c r="BY268" s="153"/>
      <c r="BZ268" s="153"/>
      <c r="CA268" s="153"/>
      <c r="CB268" s="153"/>
      <c r="CC268" s="153"/>
      <c r="CD268" s="153"/>
      <c r="CE268" s="153"/>
      <c r="CF268" s="153"/>
      <c r="CG268" s="153"/>
      <c r="CH268" s="153"/>
      <c r="CI268" s="153"/>
      <c r="CJ268" s="153"/>
      <c r="CK268" s="153"/>
      <c r="CL268" s="153"/>
      <c r="CM268" s="153"/>
      <c r="CN268" s="153"/>
      <c r="CO268" s="153"/>
      <c r="CP268" s="153"/>
      <c r="CQ268" s="153"/>
      <c r="CR268" s="153"/>
      <c r="CS268" s="153"/>
      <c r="CT268" s="153"/>
      <c r="CU268" s="153"/>
      <c r="CV268" s="153"/>
      <c r="CW268" s="153"/>
      <c r="CX268" s="153"/>
      <c r="CY268" s="153"/>
      <c r="CZ268" s="153"/>
      <c r="DA268" s="153"/>
      <c r="DB268" s="153"/>
      <c r="DC268" s="153"/>
      <c r="DD268" s="153"/>
      <c r="DE268" s="153"/>
      <c r="DF268" s="153"/>
      <c r="DG268" s="153"/>
      <c r="DH268" s="153"/>
      <c r="DI268" s="153"/>
      <c r="DJ268" s="153"/>
      <c r="DK268" s="153"/>
      <c r="DL268" s="153"/>
      <c r="DM268" s="153"/>
      <c r="DN268" s="153"/>
      <c r="DO268" s="153"/>
      <c r="DP268" s="153"/>
      <c r="DQ268" s="153"/>
      <c r="DR268" s="153"/>
      <c r="DS268" s="153"/>
      <c r="DT268" s="153"/>
      <c r="DU268" s="153"/>
      <c r="DV268" s="153"/>
      <c r="DW268" s="153"/>
      <c r="DX268" s="153"/>
      <c r="DY268" s="153"/>
    </row>
    <row r="269" spans="1:129" ht="15" customHeight="1" x14ac:dyDescent="0.2">
      <c r="A269" s="153"/>
      <c r="B269" s="153"/>
      <c r="C269" s="153"/>
      <c r="D269" s="153"/>
      <c r="E269" s="153"/>
      <c r="F269" s="153"/>
      <c r="G269" s="153"/>
      <c r="H269" s="153"/>
      <c r="I269" s="153"/>
      <c r="J269" s="153"/>
      <c r="K269" s="153"/>
      <c r="L269" s="153"/>
      <c r="M269" s="153"/>
      <c r="N269" s="153"/>
      <c r="O269" s="153"/>
      <c r="P269" s="153"/>
      <c r="Q269" s="153"/>
      <c r="R269" s="153"/>
      <c r="S269" s="153"/>
      <c r="T269" s="153"/>
      <c r="U269" s="15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  <c r="BI269" s="153"/>
      <c r="BJ269" s="153"/>
      <c r="BK269" s="153"/>
      <c r="BL269" s="153"/>
      <c r="BM269" s="153"/>
      <c r="BN269" s="153"/>
      <c r="BO269" s="153"/>
      <c r="BP269" s="153"/>
      <c r="BQ269" s="153"/>
      <c r="BR269" s="153"/>
      <c r="BS269" s="153"/>
      <c r="BT269" s="153"/>
      <c r="BU269" s="153"/>
      <c r="BV269" s="153"/>
      <c r="BW269" s="153"/>
      <c r="BX269" s="153"/>
      <c r="BY269" s="153"/>
      <c r="BZ269" s="153"/>
      <c r="CA269" s="153"/>
      <c r="CB269" s="153"/>
      <c r="CC269" s="153"/>
      <c r="CD269" s="153"/>
      <c r="CE269" s="153"/>
      <c r="CF269" s="153"/>
      <c r="CG269" s="153"/>
      <c r="CH269" s="153"/>
      <c r="CI269" s="153"/>
      <c r="CJ269" s="153"/>
      <c r="CK269" s="153"/>
      <c r="CL269" s="153"/>
      <c r="CM269" s="153"/>
      <c r="CN269" s="153"/>
      <c r="CO269" s="153"/>
      <c r="CP269" s="153"/>
      <c r="CQ269" s="153"/>
      <c r="CR269" s="153"/>
      <c r="CS269" s="153"/>
      <c r="CT269" s="153"/>
      <c r="CU269" s="153"/>
      <c r="CV269" s="153"/>
      <c r="CW269" s="153"/>
      <c r="CX269" s="153"/>
      <c r="CY269" s="153"/>
      <c r="CZ269" s="153"/>
      <c r="DA269" s="153"/>
      <c r="DB269" s="153"/>
      <c r="DC269" s="153"/>
      <c r="DD269" s="153"/>
      <c r="DE269" s="153"/>
      <c r="DF269" s="153"/>
      <c r="DG269" s="153"/>
      <c r="DH269" s="153"/>
      <c r="DI269" s="153"/>
      <c r="DJ269" s="153"/>
      <c r="DK269" s="153"/>
      <c r="DL269" s="153"/>
      <c r="DM269" s="153"/>
      <c r="DN269" s="153"/>
      <c r="DO269" s="153"/>
      <c r="DP269" s="153"/>
      <c r="DQ269" s="153"/>
      <c r="DR269" s="153"/>
      <c r="DS269" s="153"/>
      <c r="DT269" s="153"/>
      <c r="DU269" s="153"/>
      <c r="DV269" s="153"/>
      <c r="DW269" s="153"/>
      <c r="DX269" s="153"/>
      <c r="DY269" s="153"/>
    </row>
    <row r="270" spans="1:129" ht="15" customHeight="1" x14ac:dyDescent="0.2">
      <c r="A270" s="153"/>
      <c r="B270" s="153"/>
      <c r="C270" s="153"/>
      <c r="D270" s="153"/>
      <c r="E270" s="153"/>
      <c r="F270" s="153"/>
      <c r="G270" s="153"/>
      <c r="H270" s="153"/>
      <c r="I270" s="153"/>
      <c r="J270" s="153"/>
      <c r="K270" s="153"/>
      <c r="L270" s="153"/>
      <c r="M270" s="153"/>
      <c r="N270" s="153"/>
      <c r="O270" s="153"/>
      <c r="P270" s="153"/>
      <c r="Q270" s="153"/>
      <c r="R270" s="153"/>
      <c r="S270" s="153"/>
      <c r="T270" s="153"/>
      <c r="U270" s="15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  <c r="BI270" s="153"/>
      <c r="BJ270" s="153"/>
      <c r="BK270" s="153"/>
      <c r="BL270" s="153"/>
      <c r="BM270" s="153"/>
      <c r="BN270" s="153"/>
      <c r="BO270" s="153"/>
      <c r="BP270" s="153"/>
      <c r="BQ270" s="153"/>
      <c r="BR270" s="153"/>
      <c r="BS270" s="153"/>
      <c r="BT270" s="153"/>
      <c r="BU270" s="153"/>
      <c r="BV270" s="153"/>
      <c r="BW270" s="153"/>
      <c r="BX270" s="153"/>
      <c r="BY270" s="153"/>
      <c r="BZ270" s="153"/>
      <c r="CA270" s="153"/>
      <c r="CB270" s="153"/>
      <c r="CC270" s="153"/>
      <c r="CD270" s="153"/>
      <c r="CE270" s="153"/>
      <c r="CF270" s="153"/>
      <c r="CG270" s="153"/>
      <c r="CH270" s="153"/>
      <c r="CI270" s="153"/>
      <c r="CJ270" s="153"/>
      <c r="CK270" s="153"/>
      <c r="CL270" s="153"/>
      <c r="CM270" s="153"/>
      <c r="CN270" s="153"/>
      <c r="CO270" s="153"/>
      <c r="CP270" s="153"/>
      <c r="CQ270" s="153"/>
      <c r="CR270" s="153"/>
      <c r="CS270" s="153"/>
      <c r="CT270" s="153"/>
      <c r="CU270" s="153"/>
      <c r="CV270" s="153"/>
      <c r="CW270" s="153"/>
      <c r="CX270" s="153"/>
      <c r="CY270" s="153"/>
      <c r="CZ270" s="153"/>
      <c r="DA270" s="153"/>
      <c r="DB270" s="153"/>
      <c r="DC270" s="153"/>
      <c r="DD270" s="153"/>
      <c r="DE270" s="153"/>
      <c r="DF270" s="153"/>
      <c r="DG270" s="153"/>
      <c r="DH270" s="153"/>
      <c r="DI270" s="153"/>
      <c r="DJ270" s="153"/>
      <c r="DK270" s="153"/>
      <c r="DL270" s="153"/>
      <c r="DM270" s="153"/>
      <c r="DN270" s="153"/>
      <c r="DO270" s="153"/>
      <c r="DP270" s="153"/>
      <c r="DQ270" s="153"/>
      <c r="DR270" s="153"/>
      <c r="DS270" s="153"/>
      <c r="DT270" s="153"/>
      <c r="DU270" s="153"/>
      <c r="DV270" s="153"/>
      <c r="DW270" s="153"/>
      <c r="DX270" s="153"/>
      <c r="DY270" s="153"/>
    </row>
    <row r="271" spans="1:129" ht="15" customHeight="1" x14ac:dyDescent="0.2">
      <c r="A271" s="153"/>
      <c r="B271" s="153"/>
      <c r="C271" s="153"/>
      <c r="D271" s="153"/>
      <c r="E271" s="153"/>
      <c r="F271" s="153"/>
      <c r="G271" s="153"/>
      <c r="H271" s="153"/>
      <c r="I271" s="153"/>
      <c r="J271" s="153"/>
      <c r="K271" s="153"/>
      <c r="L271" s="153"/>
      <c r="M271" s="153"/>
      <c r="N271" s="153"/>
      <c r="O271" s="153"/>
      <c r="P271" s="153"/>
      <c r="Q271" s="153"/>
      <c r="R271" s="153"/>
      <c r="S271" s="153"/>
      <c r="T271" s="153"/>
      <c r="U271" s="15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/>
      <c r="AF271" s="153"/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  <c r="BI271" s="153"/>
      <c r="BJ271" s="153"/>
      <c r="BK271" s="153"/>
      <c r="BL271" s="153"/>
      <c r="BM271" s="153"/>
      <c r="BN271" s="153"/>
      <c r="BO271" s="153"/>
      <c r="BP271" s="153"/>
      <c r="BQ271" s="153"/>
      <c r="BR271" s="153"/>
      <c r="BS271" s="153"/>
      <c r="BT271" s="153"/>
      <c r="BU271" s="153"/>
      <c r="BV271" s="153"/>
      <c r="BW271" s="153"/>
      <c r="BX271" s="153"/>
      <c r="BY271" s="153"/>
      <c r="BZ271" s="153"/>
      <c r="CA271" s="153"/>
      <c r="CB271" s="153"/>
      <c r="CC271" s="153"/>
      <c r="CD271" s="153"/>
      <c r="CE271" s="153"/>
      <c r="CF271" s="153"/>
      <c r="CG271" s="153"/>
      <c r="CH271" s="153"/>
      <c r="CI271" s="153"/>
      <c r="CJ271" s="153"/>
      <c r="CK271" s="153"/>
      <c r="CL271" s="153"/>
      <c r="CM271" s="153"/>
      <c r="CN271" s="153"/>
      <c r="CO271" s="153"/>
      <c r="CP271" s="153"/>
      <c r="CQ271" s="153"/>
      <c r="CR271" s="153"/>
      <c r="CS271" s="153"/>
      <c r="CT271" s="153"/>
      <c r="CU271" s="153"/>
      <c r="CV271" s="153"/>
      <c r="CW271" s="153"/>
      <c r="CX271" s="153"/>
      <c r="CY271" s="153"/>
      <c r="CZ271" s="153"/>
      <c r="DA271" s="153"/>
      <c r="DB271" s="153"/>
      <c r="DC271" s="153"/>
      <c r="DD271" s="153"/>
      <c r="DE271" s="153"/>
      <c r="DF271" s="153"/>
      <c r="DG271" s="153"/>
      <c r="DH271" s="153"/>
      <c r="DI271" s="153"/>
      <c r="DJ271" s="153"/>
      <c r="DK271" s="153"/>
      <c r="DL271" s="153"/>
      <c r="DM271" s="153"/>
      <c r="DN271" s="153"/>
      <c r="DO271" s="153"/>
      <c r="DP271" s="153"/>
      <c r="DQ271" s="153"/>
      <c r="DR271" s="153"/>
      <c r="DS271" s="153"/>
      <c r="DT271" s="153"/>
      <c r="DU271" s="153"/>
      <c r="DV271" s="153"/>
      <c r="DW271" s="153"/>
      <c r="DX271" s="153"/>
      <c r="DY271" s="153"/>
    </row>
    <row r="272" spans="1:129" ht="15" customHeight="1" x14ac:dyDescent="0.2">
      <c r="A272" s="153"/>
      <c r="B272" s="153"/>
      <c r="C272" s="153"/>
      <c r="D272" s="153"/>
      <c r="E272" s="153"/>
      <c r="F272" s="153"/>
      <c r="G272" s="153"/>
      <c r="H272" s="153"/>
      <c r="I272" s="153"/>
      <c r="J272" s="153"/>
      <c r="K272" s="153"/>
      <c r="L272" s="153"/>
      <c r="M272" s="153"/>
      <c r="N272" s="153"/>
      <c r="O272" s="153"/>
      <c r="P272" s="153"/>
      <c r="Q272" s="153"/>
      <c r="R272" s="153"/>
      <c r="S272" s="153"/>
      <c r="T272" s="153"/>
      <c r="U272" s="15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  <c r="BI272" s="153"/>
      <c r="BJ272" s="153"/>
      <c r="BK272" s="153"/>
      <c r="BL272" s="153"/>
      <c r="BM272" s="153"/>
      <c r="BN272" s="153"/>
      <c r="BO272" s="153"/>
      <c r="BP272" s="153"/>
      <c r="BQ272" s="153"/>
      <c r="BR272" s="153"/>
      <c r="BS272" s="153"/>
      <c r="BT272" s="153"/>
      <c r="BU272" s="153"/>
      <c r="BV272" s="153"/>
      <c r="BW272" s="153"/>
      <c r="BX272" s="153"/>
      <c r="BY272" s="153"/>
      <c r="BZ272" s="153"/>
      <c r="CA272" s="153"/>
      <c r="CB272" s="153"/>
      <c r="CC272" s="153"/>
      <c r="CD272" s="153"/>
      <c r="CE272" s="153"/>
      <c r="CF272" s="153"/>
      <c r="CG272" s="153"/>
      <c r="CH272" s="153"/>
      <c r="CI272" s="153"/>
      <c r="CJ272" s="153"/>
      <c r="CK272" s="153"/>
      <c r="CL272" s="153"/>
      <c r="CM272" s="153"/>
      <c r="CN272" s="153"/>
      <c r="CO272" s="153"/>
      <c r="CP272" s="153"/>
      <c r="CQ272" s="153"/>
      <c r="CR272" s="153"/>
      <c r="CS272" s="153"/>
      <c r="CT272" s="153"/>
      <c r="CU272" s="153"/>
      <c r="CV272" s="153"/>
      <c r="CW272" s="153"/>
      <c r="CX272" s="153"/>
      <c r="CY272" s="153"/>
      <c r="CZ272" s="153"/>
      <c r="DA272" s="153"/>
      <c r="DB272" s="153"/>
      <c r="DC272" s="153"/>
      <c r="DD272" s="153"/>
      <c r="DE272" s="153"/>
      <c r="DF272" s="153"/>
      <c r="DG272" s="153"/>
      <c r="DH272" s="153"/>
      <c r="DI272" s="153"/>
      <c r="DJ272" s="153"/>
      <c r="DK272" s="153"/>
      <c r="DL272" s="153"/>
      <c r="DM272" s="153"/>
      <c r="DN272" s="153"/>
      <c r="DO272" s="153"/>
      <c r="DP272" s="153"/>
      <c r="DQ272" s="153"/>
      <c r="DR272" s="153"/>
      <c r="DS272" s="153"/>
      <c r="DT272" s="153"/>
      <c r="DU272" s="153"/>
      <c r="DV272" s="153"/>
      <c r="DW272" s="153"/>
      <c r="DX272" s="153"/>
      <c r="DY272" s="153"/>
    </row>
    <row r="273" spans="1:129" ht="15" customHeight="1" x14ac:dyDescent="0.2">
      <c r="A273" s="153"/>
      <c r="B273" s="153"/>
      <c r="C273" s="153"/>
      <c r="D273" s="153"/>
      <c r="E273" s="153"/>
      <c r="F273" s="153"/>
      <c r="G273" s="153"/>
      <c r="H273" s="153"/>
      <c r="I273" s="153"/>
      <c r="J273" s="153"/>
      <c r="K273" s="153"/>
      <c r="L273" s="153"/>
      <c r="M273" s="153"/>
      <c r="N273" s="153"/>
      <c r="O273" s="153"/>
      <c r="P273" s="153"/>
      <c r="Q273" s="153"/>
      <c r="R273" s="153"/>
      <c r="S273" s="153"/>
      <c r="T273" s="153"/>
      <c r="U273" s="15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  <c r="BI273" s="153"/>
      <c r="BJ273" s="153"/>
      <c r="BK273" s="153"/>
      <c r="BL273" s="153"/>
      <c r="BM273" s="153"/>
      <c r="BN273" s="153"/>
      <c r="BO273" s="153"/>
      <c r="BP273" s="153"/>
      <c r="BQ273" s="153"/>
      <c r="BR273" s="153"/>
      <c r="BS273" s="153"/>
      <c r="BT273" s="153"/>
      <c r="BU273" s="153"/>
      <c r="BV273" s="153"/>
      <c r="BW273" s="153"/>
      <c r="BX273" s="153"/>
      <c r="BY273" s="153"/>
      <c r="BZ273" s="153"/>
      <c r="CA273" s="153"/>
      <c r="CB273" s="153"/>
      <c r="CC273" s="153"/>
      <c r="CD273" s="153"/>
      <c r="CE273" s="153"/>
      <c r="CF273" s="153"/>
      <c r="CG273" s="153"/>
      <c r="CH273" s="153"/>
      <c r="CI273" s="153"/>
      <c r="CJ273" s="153"/>
      <c r="CK273" s="153"/>
      <c r="CL273" s="153"/>
      <c r="CM273" s="153"/>
      <c r="CN273" s="153"/>
      <c r="CO273" s="153"/>
      <c r="CP273" s="153"/>
      <c r="CQ273" s="153"/>
      <c r="CR273" s="153"/>
      <c r="CS273" s="153"/>
      <c r="CT273" s="153"/>
      <c r="CU273" s="153"/>
      <c r="CV273" s="153"/>
      <c r="CW273" s="153"/>
      <c r="CX273" s="153"/>
      <c r="CY273" s="153"/>
      <c r="CZ273" s="153"/>
      <c r="DA273" s="153"/>
      <c r="DB273" s="153"/>
      <c r="DC273" s="153"/>
      <c r="DD273" s="153"/>
      <c r="DE273" s="153"/>
      <c r="DF273" s="153"/>
      <c r="DG273" s="153"/>
      <c r="DH273" s="153"/>
      <c r="DI273" s="153"/>
      <c r="DJ273" s="153"/>
      <c r="DK273" s="153"/>
      <c r="DL273" s="153"/>
      <c r="DM273" s="153"/>
      <c r="DN273" s="153"/>
      <c r="DO273" s="153"/>
      <c r="DP273" s="153"/>
      <c r="DQ273" s="153"/>
      <c r="DR273" s="153"/>
      <c r="DS273" s="153"/>
      <c r="DT273" s="153"/>
      <c r="DU273" s="153"/>
      <c r="DV273" s="153"/>
      <c r="DW273" s="153"/>
      <c r="DX273" s="153"/>
      <c r="DY273" s="153"/>
    </row>
    <row r="274" spans="1:129" ht="15" customHeight="1" x14ac:dyDescent="0.2">
      <c r="A274" s="153"/>
      <c r="B274" s="153"/>
      <c r="C274" s="153"/>
      <c r="D274" s="153"/>
      <c r="E274" s="153"/>
      <c r="F274" s="153"/>
      <c r="G274" s="153"/>
      <c r="H274" s="153"/>
      <c r="I274" s="153"/>
      <c r="J274" s="153"/>
      <c r="K274" s="153"/>
      <c r="L274" s="153"/>
      <c r="M274" s="153"/>
      <c r="N274" s="153"/>
      <c r="O274" s="153"/>
      <c r="P274" s="153"/>
      <c r="Q274" s="153"/>
      <c r="R274" s="153"/>
      <c r="S274" s="153"/>
      <c r="T274" s="153"/>
      <c r="U274" s="15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  <c r="BI274" s="153"/>
      <c r="BJ274" s="153"/>
      <c r="BK274" s="153"/>
      <c r="BL274" s="153"/>
      <c r="BM274" s="153"/>
      <c r="BN274" s="153"/>
      <c r="BO274" s="153"/>
      <c r="BP274" s="153"/>
      <c r="BQ274" s="153"/>
      <c r="BR274" s="153"/>
      <c r="BS274" s="153"/>
      <c r="BT274" s="153"/>
      <c r="BU274" s="153"/>
      <c r="BV274" s="153"/>
      <c r="BW274" s="153"/>
      <c r="BX274" s="153"/>
      <c r="BY274" s="153"/>
      <c r="BZ274" s="153"/>
      <c r="CA274" s="153"/>
      <c r="CB274" s="153"/>
      <c r="CC274" s="153"/>
      <c r="CD274" s="153"/>
      <c r="CE274" s="153"/>
      <c r="CF274" s="153"/>
      <c r="CG274" s="153"/>
      <c r="CH274" s="153"/>
      <c r="CI274" s="153"/>
      <c r="CJ274" s="153"/>
      <c r="CK274" s="153"/>
      <c r="CL274" s="153"/>
      <c r="CM274" s="153"/>
      <c r="CN274" s="153"/>
      <c r="CO274" s="153"/>
      <c r="CP274" s="153"/>
      <c r="CQ274" s="153"/>
      <c r="CR274" s="153"/>
      <c r="CS274" s="153"/>
      <c r="CT274" s="153"/>
      <c r="CU274" s="153"/>
      <c r="CV274" s="153"/>
      <c r="CW274" s="153"/>
      <c r="CX274" s="153"/>
      <c r="CY274" s="153"/>
      <c r="CZ274" s="153"/>
      <c r="DA274" s="153"/>
      <c r="DB274" s="153"/>
      <c r="DC274" s="153"/>
      <c r="DD274" s="153"/>
      <c r="DE274" s="153"/>
      <c r="DF274" s="153"/>
      <c r="DG274" s="153"/>
      <c r="DH274" s="153"/>
      <c r="DI274" s="153"/>
      <c r="DJ274" s="153"/>
      <c r="DK274" s="153"/>
      <c r="DL274" s="153"/>
      <c r="DM274" s="153"/>
      <c r="DN274" s="153"/>
      <c r="DO274" s="153"/>
      <c r="DP274" s="153"/>
      <c r="DQ274" s="153"/>
      <c r="DR274" s="153"/>
      <c r="DS274" s="153"/>
      <c r="DT274" s="153"/>
      <c r="DU274" s="153"/>
      <c r="DV274" s="153"/>
      <c r="DW274" s="153"/>
      <c r="DX274" s="153"/>
      <c r="DY274" s="153"/>
    </row>
    <row r="275" spans="1:129" ht="15" customHeight="1" x14ac:dyDescent="0.2">
      <c r="A275" s="153"/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3"/>
      <c r="M275" s="153"/>
      <c r="N275" s="153"/>
      <c r="O275" s="153"/>
      <c r="P275" s="153"/>
      <c r="Q275" s="153"/>
      <c r="R275" s="153"/>
      <c r="S275" s="153"/>
      <c r="T275" s="153"/>
      <c r="U275" s="15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  <c r="BI275" s="153"/>
      <c r="BJ275" s="153"/>
      <c r="BK275" s="153"/>
      <c r="BL275" s="153"/>
      <c r="BM275" s="153"/>
      <c r="BN275" s="153"/>
      <c r="BO275" s="153"/>
      <c r="BP275" s="153"/>
      <c r="BQ275" s="153"/>
      <c r="BR275" s="153"/>
      <c r="BS275" s="153"/>
      <c r="BT275" s="153"/>
      <c r="BU275" s="153"/>
      <c r="BV275" s="153"/>
      <c r="BW275" s="153"/>
      <c r="BX275" s="153"/>
      <c r="BY275" s="153"/>
      <c r="BZ275" s="153"/>
      <c r="CA275" s="153"/>
      <c r="CB275" s="153"/>
      <c r="CC275" s="153"/>
      <c r="CD275" s="153"/>
      <c r="CE275" s="153"/>
      <c r="CF275" s="153"/>
      <c r="CG275" s="153"/>
      <c r="CH275" s="153"/>
      <c r="CI275" s="153"/>
      <c r="CJ275" s="153"/>
      <c r="CK275" s="153"/>
      <c r="CL275" s="153"/>
      <c r="CM275" s="153"/>
      <c r="CN275" s="153"/>
      <c r="CO275" s="153"/>
      <c r="CP275" s="153"/>
      <c r="CQ275" s="153"/>
      <c r="CR275" s="153"/>
      <c r="CS275" s="153"/>
      <c r="CT275" s="153"/>
      <c r="CU275" s="153"/>
      <c r="CV275" s="153"/>
      <c r="CW275" s="153"/>
      <c r="CX275" s="153"/>
      <c r="CY275" s="153"/>
      <c r="CZ275" s="153"/>
      <c r="DA275" s="153"/>
      <c r="DB275" s="153"/>
      <c r="DC275" s="153"/>
      <c r="DD275" s="153"/>
      <c r="DE275" s="153"/>
      <c r="DF275" s="153"/>
      <c r="DG275" s="153"/>
      <c r="DH275" s="153"/>
      <c r="DI275" s="153"/>
      <c r="DJ275" s="153"/>
      <c r="DK275" s="153"/>
      <c r="DL275" s="153"/>
      <c r="DM275" s="153"/>
      <c r="DN275" s="153"/>
      <c r="DO275" s="153"/>
      <c r="DP275" s="153"/>
      <c r="DQ275" s="153"/>
      <c r="DR275" s="153"/>
      <c r="DS275" s="153"/>
      <c r="DT275" s="153"/>
      <c r="DU275" s="153"/>
      <c r="DV275" s="153"/>
      <c r="DW275" s="153"/>
      <c r="DX275" s="153"/>
      <c r="DY275" s="153"/>
    </row>
    <row r="276" spans="1:129" ht="15" customHeight="1" x14ac:dyDescent="0.2">
      <c r="A276" s="153"/>
      <c r="B276" s="153"/>
      <c r="C276" s="153"/>
      <c r="D276" s="153"/>
      <c r="E276" s="153"/>
      <c r="F276" s="153"/>
      <c r="G276" s="153"/>
      <c r="H276" s="153"/>
      <c r="I276" s="153"/>
      <c r="J276" s="153"/>
      <c r="K276" s="153"/>
      <c r="L276" s="153"/>
      <c r="M276" s="153"/>
      <c r="N276" s="153"/>
      <c r="O276" s="153"/>
      <c r="P276" s="153"/>
      <c r="Q276" s="153"/>
      <c r="R276" s="153"/>
      <c r="S276" s="153"/>
      <c r="T276" s="153"/>
      <c r="U276" s="15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/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  <c r="BI276" s="153"/>
      <c r="BJ276" s="153"/>
      <c r="BK276" s="153"/>
      <c r="BL276" s="153"/>
      <c r="BM276" s="153"/>
      <c r="BN276" s="153"/>
      <c r="BO276" s="153"/>
      <c r="BP276" s="153"/>
      <c r="BQ276" s="153"/>
      <c r="BR276" s="153"/>
      <c r="BS276" s="153"/>
      <c r="BT276" s="153"/>
      <c r="BU276" s="153"/>
      <c r="BV276" s="153"/>
      <c r="BW276" s="153"/>
      <c r="BX276" s="153"/>
      <c r="BY276" s="153"/>
      <c r="BZ276" s="153"/>
      <c r="CA276" s="153"/>
      <c r="CB276" s="153"/>
      <c r="CC276" s="153"/>
      <c r="CD276" s="153"/>
      <c r="CE276" s="153"/>
      <c r="CF276" s="153"/>
      <c r="CG276" s="153"/>
      <c r="CH276" s="153"/>
      <c r="CI276" s="153"/>
      <c r="CJ276" s="153"/>
      <c r="CK276" s="153"/>
      <c r="CL276" s="153"/>
      <c r="CM276" s="153"/>
      <c r="CN276" s="153"/>
      <c r="CO276" s="153"/>
      <c r="CP276" s="153"/>
      <c r="CQ276" s="153"/>
      <c r="CR276" s="153"/>
      <c r="CS276" s="153"/>
      <c r="CT276" s="153"/>
      <c r="CU276" s="153"/>
      <c r="CV276" s="153"/>
      <c r="CW276" s="153"/>
      <c r="CX276" s="153"/>
      <c r="CY276" s="153"/>
      <c r="CZ276" s="153"/>
      <c r="DA276" s="153"/>
      <c r="DB276" s="153"/>
      <c r="DC276" s="153"/>
      <c r="DD276" s="153"/>
      <c r="DE276" s="153"/>
      <c r="DF276" s="153"/>
      <c r="DG276" s="153"/>
      <c r="DH276" s="153"/>
      <c r="DI276" s="153"/>
      <c r="DJ276" s="153"/>
      <c r="DK276" s="153"/>
      <c r="DL276" s="153"/>
      <c r="DM276" s="153"/>
      <c r="DN276" s="153"/>
      <c r="DO276" s="153"/>
      <c r="DP276" s="153"/>
      <c r="DQ276" s="153"/>
      <c r="DR276" s="153"/>
      <c r="DS276" s="153"/>
      <c r="DT276" s="153"/>
      <c r="DU276" s="153"/>
      <c r="DV276" s="153"/>
      <c r="DW276" s="153"/>
      <c r="DX276" s="153"/>
      <c r="DY276" s="153"/>
    </row>
    <row r="277" spans="1:129" ht="15" customHeight="1" x14ac:dyDescent="0.2">
      <c r="A277" s="153"/>
      <c r="B277" s="153"/>
      <c r="C277" s="153"/>
      <c r="D277" s="153"/>
      <c r="E277" s="153"/>
      <c r="F277" s="153"/>
      <c r="G277" s="153"/>
      <c r="H277" s="153"/>
      <c r="I277" s="153"/>
      <c r="J277" s="153"/>
      <c r="K277" s="153"/>
      <c r="L277" s="153"/>
      <c r="M277" s="153"/>
      <c r="N277" s="153"/>
      <c r="O277" s="153"/>
      <c r="P277" s="153"/>
      <c r="Q277" s="153"/>
      <c r="R277" s="153"/>
      <c r="S277" s="153"/>
      <c r="T277" s="153"/>
      <c r="U277" s="15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  <c r="BI277" s="153"/>
      <c r="BJ277" s="153"/>
      <c r="BK277" s="153"/>
      <c r="BL277" s="153"/>
      <c r="BM277" s="153"/>
      <c r="BN277" s="153"/>
      <c r="BO277" s="153"/>
      <c r="BP277" s="153"/>
      <c r="BQ277" s="153"/>
      <c r="BR277" s="153"/>
      <c r="BS277" s="153"/>
      <c r="BT277" s="153"/>
      <c r="BU277" s="153"/>
      <c r="BV277" s="153"/>
      <c r="BW277" s="153"/>
      <c r="BX277" s="153"/>
      <c r="BY277" s="153"/>
      <c r="BZ277" s="153"/>
      <c r="CA277" s="153"/>
      <c r="CB277" s="153"/>
      <c r="CC277" s="153"/>
      <c r="CD277" s="153"/>
      <c r="CE277" s="153"/>
      <c r="CF277" s="153"/>
      <c r="CG277" s="153"/>
      <c r="CH277" s="153"/>
      <c r="CI277" s="153"/>
      <c r="CJ277" s="153"/>
      <c r="CK277" s="153"/>
      <c r="CL277" s="153"/>
      <c r="CM277" s="153"/>
      <c r="CN277" s="153"/>
      <c r="CO277" s="153"/>
      <c r="CP277" s="153"/>
      <c r="CQ277" s="153"/>
      <c r="CR277" s="153"/>
      <c r="CS277" s="153"/>
      <c r="CT277" s="153"/>
      <c r="CU277" s="153"/>
      <c r="CV277" s="153"/>
      <c r="CW277" s="153"/>
      <c r="CX277" s="153"/>
      <c r="CY277" s="153"/>
      <c r="CZ277" s="153"/>
      <c r="DA277" s="153"/>
      <c r="DB277" s="153"/>
      <c r="DC277" s="153"/>
      <c r="DD277" s="153"/>
      <c r="DE277" s="153"/>
      <c r="DF277" s="153"/>
      <c r="DG277" s="153"/>
      <c r="DH277" s="153"/>
      <c r="DI277" s="153"/>
      <c r="DJ277" s="153"/>
      <c r="DK277" s="153"/>
      <c r="DL277" s="153"/>
      <c r="DM277" s="153"/>
      <c r="DN277" s="153"/>
      <c r="DO277" s="153"/>
      <c r="DP277" s="153"/>
      <c r="DQ277" s="153"/>
      <c r="DR277" s="153"/>
      <c r="DS277" s="153"/>
      <c r="DT277" s="153"/>
      <c r="DU277" s="153"/>
      <c r="DV277" s="153"/>
      <c r="DW277" s="153"/>
      <c r="DX277" s="153"/>
      <c r="DY277" s="153"/>
    </row>
    <row r="278" spans="1:129" ht="15" customHeight="1" x14ac:dyDescent="0.2">
      <c r="A278" s="153"/>
      <c r="B278" s="153"/>
      <c r="C278" s="153"/>
      <c r="D278" s="153"/>
      <c r="E278" s="153"/>
      <c r="F278" s="153"/>
      <c r="G278" s="153"/>
      <c r="H278" s="153"/>
      <c r="I278" s="153"/>
      <c r="J278" s="153"/>
      <c r="K278" s="153"/>
      <c r="L278" s="153"/>
      <c r="M278" s="153"/>
      <c r="N278" s="153"/>
      <c r="O278" s="153"/>
      <c r="P278" s="153"/>
      <c r="Q278" s="153"/>
      <c r="R278" s="153"/>
      <c r="S278" s="153"/>
      <c r="T278" s="153"/>
      <c r="U278" s="15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  <c r="BI278" s="153"/>
      <c r="BJ278" s="153"/>
      <c r="BK278" s="153"/>
      <c r="BL278" s="153"/>
      <c r="BM278" s="153"/>
      <c r="BN278" s="153"/>
      <c r="BO278" s="153"/>
      <c r="BP278" s="153"/>
      <c r="BQ278" s="153"/>
      <c r="BR278" s="153"/>
      <c r="BS278" s="153"/>
      <c r="BT278" s="153"/>
      <c r="BU278" s="153"/>
      <c r="BV278" s="153"/>
      <c r="BW278" s="153"/>
      <c r="BX278" s="153"/>
      <c r="BY278" s="153"/>
      <c r="BZ278" s="153"/>
      <c r="CA278" s="153"/>
      <c r="CB278" s="153"/>
      <c r="CC278" s="153"/>
      <c r="CD278" s="153"/>
      <c r="CE278" s="153"/>
      <c r="CF278" s="153"/>
      <c r="CG278" s="153"/>
      <c r="CH278" s="153"/>
      <c r="CI278" s="153"/>
      <c r="CJ278" s="153"/>
      <c r="CK278" s="153"/>
      <c r="CL278" s="153"/>
      <c r="CM278" s="153"/>
      <c r="CN278" s="153"/>
      <c r="CO278" s="153"/>
      <c r="CP278" s="153"/>
      <c r="CQ278" s="153"/>
      <c r="CR278" s="153"/>
      <c r="CS278" s="153"/>
      <c r="CT278" s="153"/>
      <c r="CU278" s="153"/>
      <c r="CV278" s="153"/>
      <c r="CW278" s="153"/>
      <c r="CX278" s="153"/>
      <c r="CY278" s="153"/>
      <c r="CZ278" s="153"/>
      <c r="DA278" s="153"/>
      <c r="DB278" s="153"/>
      <c r="DC278" s="153"/>
      <c r="DD278" s="153"/>
      <c r="DE278" s="153"/>
      <c r="DF278" s="153"/>
      <c r="DG278" s="153"/>
      <c r="DH278" s="153"/>
      <c r="DI278" s="153"/>
      <c r="DJ278" s="153"/>
      <c r="DK278" s="153"/>
      <c r="DL278" s="153"/>
      <c r="DM278" s="153"/>
      <c r="DN278" s="153"/>
      <c r="DO278" s="153"/>
      <c r="DP278" s="153"/>
      <c r="DQ278" s="153"/>
      <c r="DR278" s="153"/>
      <c r="DS278" s="153"/>
      <c r="DT278" s="153"/>
      <c r="DU278" s="153"/>
      <c r="DV278" s="153"/>
      <c r="DW278" s="153"/>
      <c r="DX278" s="153"/>
      <c r="DY278" s="153"/>
    </row>
    <row r="279" spans="1:129" ht="15" customHeight="1" x14ac:dyDescent="0.2">
      <c r="A279" s="153"/>
      <c r="B279" s="153"/>
      <c r="C279" s="153"/>
      <c r="D279" s="153"/>
      <c r="E279" s="153"/>
      <c r="F279" s="153"/>
      <c r="G279" s="153"/>
      <c r="H279" s="153"/>
      <c r="I279" s="153"/>
      <c r="J279" s="153"/>
      <c r="K279" s="153"/>
      <c r="L279" s="153"/>
      <c r="M279" s="153"/>
      <c r="N279" s="153"/>
      <c r="O279" s="153"/>
      <c r="P279" s="153"/>
      <c r="Q279" s="153"/>
      <c r="R279" s="153"/>
      <c r="S279" s="153"/>
      <c r="T279" s="153"/>
      <c r="U279" s="15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  <c r="BI279" s="153"/>
      <c r="BJ279" s="153"/>
      <c r="BK279" s="153"/>
      <c r="BL279" s="153"/>
      <c r="BM279" s="153"/>
      <c r="BN279" s="153"/>
      <c r="BO279" s="153"/>
      <c r="BP279" s="153"/>
      <c r="BQ279" s="153"/>
      <c r="BR279" s="153"/>
      <c r="BS279" s="153"/>
      <c r="BT279" s="153"/>
      <c r="BU279" s="153"/>
      <c r="BV279" s="153"/>
      <c r="BW279" s="153"/>
      <c r="BX279" s="153"/>
      <c r="BY279" s="153"/>
      <c r="BZ279" s="153"/>
      <c r="CA279" s="153"/>
      <c r="CB279" s="153"/>
      <c r="CC279" s="153"/>
      <c r="CD279" s="153"/>
      <c r="CE279" s="153"/>
      <c r="CF279" s="153"/>
      <c r="CG279" s="153"/>
      <c r="CH279" s="153"/>
      <c r="CI279" s="153"/>
      <c r="CJ279" s="153"/>
      <c r="CK279" s="153"/>
      <c r="CL279" s="153"/>
      <c r="CM279" s="153"/>
      <c r="CN279" s="153"/>
      <c r="CO279" s="153"/>
      <c r="CP279" s="153"/>
      <c r="CQ279" s="153"/>
      <c r="CR279" s="153"/>
      <c r="CS279" s="153"/>
      <c r="CT279" s="153"/>
      <c r="CU279" s="153"/>
      <c r="CV279" s="153"/>
      <c r="CW279" s="153"/>
      <c r="CX279" s="153"/>
      <c r="CY279" s="153"/>
      <c r="CZ279" s="153"/>
      <c r="DA279" s="153"/>
      <c r="DB279" s="153"/>
      <c r="DC279" s="153"/>
      <c r="DD279" s="153"/>
      <c r="DE279" s="153"/>
      <c r="DF279" s="153"/>
      <c r="DG279" s="153"/>
      <c r="DH279" s="153"/>
      <c r="DI279" s="153"/>
      <c r="DJ279" s="153"/>
      <c r="DK279" s="153"/>
      <c r="DL279" s="153"/>
      <c r="DM279" s="153"/>
      <c r="DN279" s="153"/>
      <c r="DO279" s="153"/>
      <c r="DP279" s="153"/>
      <c r="DQ279" s="153"/>
      <c r="DR279" s="153"/>
      <c r="DS279" s="153"/>
      <c r="DT279" s="153"/>
      <c r="DU279" s="153"/>
      <c r="DV279" s="153"/>
      <c r="DW279" s="153"/>
      <c r="DX279" s="153"/>
      <c r="DY279" s="153"/>
    </row>
    <row r="280" spans="1:129" ht="15" customHeight="1" x14ac:dyDescent="0.2">
      <c r="A280" s="153"/>
      <c r="B280" s="153"/>
      <c r="C280" s="153"/>
      <c r="D280" s="153"/>
      <c r="E280" s="153"/>
      <c r="F280" s="153"/>
      <c r="G280" s="153"/>
      <c r="H280" s="153"/>
      <c r="I280" s="153"/>
      <c r="J280" s="153"/>
      <c r="K280" s="153"/>
      <c r="L280" s="153"/>
      <c r="M280" s="153"/>
      <c r="N280" s="153"/>
      <c r="O280" s="153"/>
      <c r="P280" s="153"/>
      <c r="Q280" s="153"/>
      <c r="R280" s="153"/>
      <c r="S280" s="153"/>
      <c r="T280" s="153"/>
      <c r="U280" s="15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/>
      <c r="AF280" s="153"/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  <c r="BI280" s="153"/>
      <c r="BJ280" s="153"/>
      <c r="BK280" s="153"/>
      <c r="BL280" s="153"/>
      <c r="BM280" s="153"/>
      <c r="BN280" s="153"/>
      <c r="BO280" s="153"/>
      <c r="BP280" s="153"/>
      <c r="BQ280" s="153"/>
      <c r="BR280" s="153"/>
      <c r="BS280" s="153"/>
      <c r="BT280" s="153"/>
      <c r="BU280" s="153"/>
      <c r="BV280" s="153"/>
      <c r="BW280" s="153"/>
      <c r="BX280" s="153"/>
      <c r="BY280" s="153"/>
      <c r="BZ280" s="153"/>
      <c r="CA280" s="153"/>
      <c r="CB280" s="153"/>
      <c r="CC280" s="153"/>
      <c r="CD280" s="153"/>
      <c r="CE280" s="153"/>
      <c r="CF280" s="153"/>
      <c r="CG280" s="153"/>
      <c r="CH280" s="153"/>
      <c r="CI280" s="153"/>
      <c r="CJ280" s="153"/>
      <c r="CK280" s="153"/>
      <c r="CL280" s="153"/>
      <c r="CM280" s="153"/>
      <c r="CN280" s="153"/>
      <c r="CO280" s="153"/>
      <c r="CP280" s="153"/>
      <c r="CQ280" s="153"/>
      <c r="CR280" s="153"/>
      <c r="CS280" s="153"/>
      <c r="CT280" s="153"/>
      <c r="CU280" s="153"/>
      <c r="CV280" s="153"/>
      <c r="CW280" s="153"/>
      <c r="CX280" s="153"/>
      <c r="CY280" s="153"/>
      <c r="CZ280" s="153"/>
      <c r="DA280" s="153"/>
      <c r="DB280" s="153"/>
      <c r="DC280" s="153"/>
      <c r="DD280" s="153"/>
      <c r="DE280" s="153"/>
      <c r="DF280" s="153"/>
      <c r="DG280" s="153"/>
      <c r="DH280" s="153"/>
      <c r="DI280" s="153"/>
      <c r="DJ280" s="153"/>
      <c r="DK280" s="153"/>
      <c r="DL280" s="153"/>
      <c r="DM280" s="153"/>
      <c r="DN280" s="153"/>
      <c r="DO280" s="153"/>
      <c r="DP280" s="153"/>
      <c r="DQ280" s="153"/>
      <c r="DR280" s="153"/>
      <c r="DS280" s="153"/>
      <c r="DT280" s="153"/>
      <c r="DU280" s="153"/>
      <c r="DV280" s="153"/>
      <c r="DW280" s="153"/>
      <c r="DX280" s="153"/>
      <c r="DY280" s="153"/>
    </row>
    <row r="281" spans="1:129" ht="15" customHeight="1" x14ac:dyDescent="0.2">
      <c r="A281" s="153"/>
      <c r="B281" s="153"/>
      <c r="C281" s="153"/>
      <c r="D281" s="153"/>
      <c r="E281" s="153"/>
      <c r="F281" s="153"/>
      <c r="G281" s="153"/>
      <c r="H281" s="153"/>
      <c r="I281" s="153"/>
      <c r="J281" s="153"/>
      <c r="K281" s="153"/>
      <c r="L281" s="153"/>
      <c r="M281" s="153"/>
      <c r="N281" s="153"/>
      <c r="O281" s="153"/>
      <c r="P281" s="153"/>
      <c r="Q281" s="153"/>
      <c r="R281" s="153"/>
      <c r="S281" s="153"/>
      <c r="T281" s="153"/>
      <c r="U281" s="15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/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  <c r="BI281" s="153"/>
      <c r="BJ281" s="153"/>
      <c r="BK281" s="153"/>
      <c r="BL281" s="153"/>
      <c r="BM281" s="153"/>
      <c r="BN281" s="153"/>
      <c r="BO281" s="153"/>
      <c r="BP281" s="153"/>
      <c r="BQ281" s="153"/>
      <c r="BR281" s="153"/>
      <c r="BS281" s="153"/>
      <c r="BT281" s="153"/>
      <c r="BU281" s="153"/>
      <c r="BV281" s="153"/>
      <c r="BW281" s="153"/>
      <c r="BX281" s="153"/>
      <c r="BY281" s="153"/>
      <c r="BZ281" s="153"/>
      <c r="CA281" s="153"/>
      <c r="CB281" s="153"/>
      <c r="CC281" s="153"/>
      <c r="CD281" s="153"/>
      <c r="CE281" s="153"/>
      <c r="CF281" s="153"/>
      <c r="CG281" s="153"/>
      <c r="CH281" s="153"/>
      <c r="CI281" s="153"/>
      <c r="CJ281" s="153"/>
      <c r="CK281" s="153"/>
      <c r="CL281" s="153"/>
      <c r="CM281" s="153"/>
      <c r="CN281" s="153"/>
      <c r="CO281" s="153"/>
      <c r="CP281" s="153"/>
      <c r="CQ281" s="153"/>
      <c r="CR281" s="153"/>
      <c r="CS281" s="153"/>
      <c r="CT281" s="153"/>
      <c r="CU281" s="153"/>
      <c r="CV281" s="153"/>
      <c r="CW281" s="153"/>
      <c r="CX281" s="153"/>
      <c r="CY281" s="153"/>
      <c r="CZ281" s="153"/>
      <c r="DA281" s="153"/>
      <c r="DB281" s="153"/>
      <c r="DC281" s="153"/>
      <c r="DD281" s="153"/>
      <c r="DE281" s="153"/>
      <c r="DF281" s="153"/>
      <c r="DG281" s="153"/>
      <c r="DH281" s="153"/>
      <c r="DI281" s="153"/>
      <c r="DJ281" s="153"/>
      <c r="DK281" s="153"/>
      <c r="DL281" s="153"/>
      <c r="DM281" s="153"/>
      <c r="DN281" s="153"/>
      <c r="DO281" s="153"/>
      <c r="DP281" s="153"/>
      <c r="DQ281" s="153"/>
      <c r="DR281" s="153"/>
      <c r="DS281" s="153"/>
      <c r="DT281" s="153"/>
      <c r="DU281" s="153"/>
      <c r="DV281" s="153"/>
      <c r="DW281" s="153"/>
      <c r="DX281" s="153"/>
      <c r="DY281" s="153"/>
    </row>
    <row r="282" spans="1:129" ht="15" customHeight="1" x14ac:dyDescent="0.2">
      <c r="A282" s="153"/>
      <c r="B282" s="153"/>
      <c r="C282" s="153"/>
      <c r="D282" s="153"/>
      <c r="E282" s="153"/>
      <c r="F282" s="153"/>
      <c r="G282" s="153"/>
      <c r="H282" s="153"/>
      <c r="I282" s="153"/>
      <c r="J282" s="153"/>
      <c r="K282" s="153"/>
      <c r="L282" s="153"/>
      <c r="M282" s="153"/>
      <c r="N282" s="153"/>
      <c r="O282" s="153"/>
      <c r="P282" s="153"/>
      <c r="Q282" s="153"/>
      <c r="R282" s="153"/>
      <c r="S282" s="153"/>
      <c r="T282" s="153"/>
      <c r="U282" s="15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/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  <c r="BI282" s="153"/>
      <c r="BJ282" s="153"/>
      <c r="BK282" s="153"/>
      <c r="BL282" s="153"/>
      <c r="BM282" s="153"/>
      <c r="BN282" s="153"/>
      <c r="BO282" s="153"/>
      <c r="BP282" s="153"/>
      <c r="BQ282" s="153"/>
      <c r="BR282" s="153"/>
      <c r="BS282" s="153"/>
      <c r="BT282" s="153"/>
      <c r="BU282" s="153"/>
      <c r="BV282" s="153"/>
      <c r="BW282" s="153"/>
      <c r="BX282" s="153"/>
      <c r="BY282" s="153"/>
      <c r="BZ282" s="153"/>
      <c r="CA282" s="153"/>
      <c r="CB282" s="153"/>
      <c r="CC282" s="153"/>
      <c r="CD282" s="153"/>
      <c r="CE282" s="153"/>
      <c r="CF282" s="153"/>
      <c r="CG282" s="153"/>
      <c r="CH282" s="153"/>
      <c r="CI282" s="153"/>
      <c r="CJ282" s="153"/>
      <c r="CK282" s="153"/>
      <c r="CL282" s="153"/>
      <c r="CM282" s="153"/>
      <c r="CN282" s="153"/>
      <c r="CO282" s="153"/>
      <c r="CP282" s="153"/>
      <c r="CQ282" s="153"/>
      <c r="CR282" s="153"/>
      <c r="CS282" s="153"/>
      <c r="CT282" s="153"/>
      <c r="CU282" s="153"/>
      <c r="CV282" s="153"/>
      <c r="CW282" s="153"/>
      <c r="CX282" s="153"/>
      <c r="CY282" s="153"/>
      <c r="CZ282" s="153"/>
      <c r="DA282" s="153"/>
      <c r="DB282" s="153"/>
      <c r="DC282" s="153"/>
      <c r="DD282" s="153"/>
      <c r="DE282" s="153"/>
      <c r="DF282" s="153"/>
      <c r="DG282" s="153"/>
      <c r="DH282" s="153"/>
      <c r="DI282" s="153"/>
      <c r="DJ282" s="153"/>
      <c r="DK282" s="153"/>
      <c r="DL282" s="153"/>
      <c r="DM282" s="153"/>
      <c r="DN282" s="153"/>
      <c r="DO282" s="153"/>
      <c r="DP282" s="153"/>
      <c r="DQ282" s="153"/>
      <c r="DR282" s="153"/>
      <c r="DS282" s="153"/>
      <c r="DT282" s="153"/>
      <c r="DU282" s="153"/>
      <c r="DV282" s="153"/>
      <c r="DW282" s="153"/>
      <c r="DX282" s="153"/>
      <c r="DY282" s="153"/>
    </row>
    <row r="283" spans="1:129" ht="15" customHeight="1" x14ac:dyDescent="0.2">
      <c r="A283" s="153"/>
      <c r="B283" s="153"/>
      <c r="C283" s="153"/>
      <c r="D283" s="153"/>
      <c r="E283" s="153"/>
      <c r="F283" s="153"/>
      <c r="G283" s="153"/>
      <c r="H283" s="153"/>
      <c r="I283" s="153"/>
      <c r="J283" s="153"/>
      <c r="K283" s="153"/>
      <c r="L283" s="153"/>
      <c r="M283" s="153"/>
      <c r="N283" s="153"/>
      <c r="O283" s="153"/>
      <c r="P283" s="153"/>
      <c r="Q283" s="153"/>
      <c r="R283" s="153"/>
      <c r="S283" s="153"/>
      <c r="T283" s="153"/>
      <c r="U283" s="15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  <c r="BI283" s="153"/>
      <c r="BJ283" s="153"/>
      <c r="BK283" s="153"/>
      <c r="BL283" s="153"/>
      <c r="BM283" s="153"/>
      <c r="BN283" s="153"/>
      <c r="BO283" s="153"/>
      <c r="BP283" s="153"/>
      <c r="BQ283" s="153"/>
      <c r="BR283" s="153"/>
      <c r="BS283" s="153"/>
      <c r="BT283" s="153"/>
      <c r="BU283" s="153"/>
      <c r="BV283" s="153"/>
      <c r="BW283" s="153"/>
      <c r="BX283" s="153"/>
      <c r="BY283" s="153"/>
      <c r="BZ283" s="153"/>
      <c r="CA283" s="153"/>
      <c r="CB283" s="153"/>
      <c r="CC283" s="153"/>
      <c r="CD283" s="153"/>
      <c r="CE283" s="153"/>
      <c r="CF283" s="153"/>
      <c r="CG283" s="153"/>
      <c r="CH283" s="153"/>
      <c r="CI283" s="153"/>
      <c r="CJ283" s="153"/>
      <c r="CK283" s="153"/>
      <c r="CL283" s="153"/>
      <c r="CM283" s="153"/>
      <c r="CN283" s="153"/>
      <c r="CO283" s="153"/>
      <c r="CP283" s="153"/>
      <c r="CQ283" s="153"/>
      <c r="CR283" s="153"/>
      <c r="CS283" s="153"/>
      <c r="CT283" s="153"/>
      <c r="CU283" s="153"/>
      <c r="CV283" s="153"/>
      <c r="CW283" s="153"/>
      <c r="CX283" s="153"/>
      <c r="CY283" s="153"/>
      <c r="CZ283" s="153"/>
      <c r="DA283" s="153"/>
      <c r="DB283" s="153"/>
      <c r="DC283" s="153"/>
      <c r="DD283" s="153"/>
      <c r="DE283" s="153"/>
      <c r="DF283" s="153"/>
      <c r="DG283" s="153"/>
      <c r="DH283" s="153"/>
      <c r="DI283" s="153"/>
      <c r="DJ283" s="153"/>
      <c r="DK283" s="153"/>
      <c r="DL283" s="153"/>
      <c r="DM283" s="153"/>
      <c r="DN283" s="153"/>
      <c r="DO283" s="153"/>
      <c r="DP283" s="153"/>
      <c r="DQ283" s="153"/>
      <c r="DR283" s="153"/>
      <c r="DS283" s="153"/>
      <c r="DT283" s="153"/>
      <c r="DU283" s="153"/>
      <c r="DV283" s="153"/>
      <c r="DW283" s="153"/>
      <c r="DX283" s="153"/>
      <c r="DY283" s="153"/>
    </row>
    <row r="284" spans="1:129" ht="15" customHeight="1" x14ac:dyDescent="0.2">
      <c r="A284" s="153"/>
      <c r="B284" s="153"/>
      <c r="C284" s="153"/>
      <c r="D284" s="153"/>
      <c r="E284" s="153"/>
      <c r="F284" s="153"/>
      <c r="G284" s="153"/>
      <c r="H284" s="153"/>
      <c r="I284" s="153"/>
      <c r="J284" s="153"/>
      <c r="K284" s="153"/>
      <c r="L284" s="153"/>
      <c r="M284" s="153"/>
      <c r="N284" s="153"/>
      <c r="O284" s="153"/>
      <c r="P284" s="153"/>
      <c r="Q284" s="153"/>
      <c r="R284" s="153"/>
      <c r="S284" s="153"/>
      <c r="T284" s="153"/>
      <c r="U284" s="15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  <c r="BI284" s="153"/>
      <c r="BJ284" s="153"/>
      <c r="BK284" s="153"/>
      <c r="BL284" s="153"/>
      <c r="BM284" s="153"/>
      <c r="BN284" s="153"/>
      <c r="BO284" s="153"/>
      <c r="BP284" s="153"/>
      <c r="BQ284" s="153"/>
      <c r="BR284" s="153"/>
      <c r="BS284" s="153"/>
      <c r="BT284" s="153"/>
      <c r="BU284" s="153"/>
      <c r="BV284" s="153"/>
      <c r="BW284" s="153"/>
      <c r="BX284" s="153"/>
      <c r="BY284" s="153"/>
      <c r="BZ284" s="153"/>
      <c r="CA284" s="153"/>
      <c r="CB284" s="153"/>
      <c r="CC284" s="153"/>
      <c r="CD284" s="153"/>
      <c r="CE284" s="153"/>
      <c r="CF284" s="153"/>
      <c r="CG284" s="153"/>
      <c r="CH284" s="153"/>
      <c r="CI284" s="153"/>
      <c r="CJ284" s="153"/>
      <c r="CK284" s="153"/>
      <c r="CL284" s="153"/>
      <c r="CM284" s="153"/>
      <c r="CN284" s="153"/>
      <c r="CO284" s="153"/>
      <c r="CP284" s="153"/>
      <c r="CQ284" s="153"/>
      <c r="CR284" s="153"/>
      <c r="CS284" s="153"/>
      <c r="CT284" s="153"/>
      <c r="CU284" s="153"/>
      <c r="CV284" s="153"/>
      <c r="CW284" s="153"/>
      <c r="CX284" s="153"/>
      <c r="CY284" s="153"/>
      <c r="CZ284" s="153"/>
      <c r="DA284" s="153"/>
      <c r="DB284" s="153"/>
      <c r="DC284" s="153"/>
      <c r="DD284" s="153"/>
      <c r="DE284" s="153"/>
      <c r="DF284" s="153"/>
      <c r="DG284" s="153"/>
      <c r="DH284" s="153"/>
      <c r="DI284" s="153"/>
      <c r="DJ284" s="153"/>
      <c r="DK284" s="153"/>
      <c r="DL284" s="153"/>
      <c r="DM284" s="153"/>
      <c r="DN284" s="153"/>
      <c r="DO284" s="153"/>
      <c r="DP284" s="153"/>
      <c r="DQ284" s="153"/>
      <c r="DR284" s="153"/>
      <c r="DS284" s="153"/>
      <c r="DT284" s="153"/>
      <c r="DU284" s="153"/>
      <c r="DV284" s="153"/>
      <c r="DW284" s="153"/>
      <c r="DX284" s="153"/>
      <c r="DY284" s="153"/>
    </row>
    <row r="285" spans="1:129" ht="15" customHeight="1" x14ac:dyDescent="0.2">
      <c r="A285" s="153"/>
      <c r="B285" s="153"/>
      <c r="C285" s="153"/>
      <c r="D285" s="153"/>
      <c r="E285" s="153"/>
      <c r="F285" s="153"/>
      <c r="G285" s="153"/>
      <c r="H285" s="153"/>
      <c r="I285" s="153"/>
      <c r="J285" s="153"/>
      <c r="K285" s="153"/>
      <c r="L285" s="153"/>
      <c r="M285" s="153"/>
      <c r="N285" s="153"/>
      <c r="O285" s="153"/>
      <c r="P285" s="153"/>
      <c r="Q285" s="153"/>
      <c r="R285" s="153"/>
      <c r="S285" s="153"/>
      <c r="T285" s="153"/>
      <c r="U285" s="15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/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  <c r="BI285" s="153"/>
      <c r="BJ285" s="153"/>
      <c r="BK285" s="153"/>
      <c r="BL285" s="153"/>
      <c r="BM285" s="153"/>
      <c r="BN285" s="153"/>
      <c r="BO285" s="153"/>
      <c r="BP285" s="153"/>
      <c r="BQ285" s="153"/>
      <c r="BR285" s="153"/>
      <c r="BS285" s="153"/>
      <c r="BT285" s="153"/>
      <c r="BU285" s="153"/>
      <c r="BV285" s="153"/>
      <c r="BW285" s="153"/>
      <c r="BX285" s="153"/>
      <c r="BY285" s="153"/>
      <c r="BZ285" s="153"/>
      <c r="CA285" s="153"/>
      <c r="CB285" s="153"/>
      <c r="CC285" s="153"/>
      <c r="CD285" s="153"/>
      <c r="CE285" s="153"/>
      <c r="CF285" s="153"/>
      <c r="CG285" s="153"/>
      <c r="CH285" s="153"/>
      <c r="CI285" s="153"/>
      <c r="CJ285" s="153"/>
      <c r="CK285" s="153"/>
      <c r="CL285" s="153"/>
      <c r="CM285" s="153"/>
      <c r="CN285" s="153"/>
      <c r="CO285" s="153"/>
      <c r="CP285" s="153"/>
      <c r="CQ285" s="153"/>
      <c r="CR285" s="153"/>
      <c r="CS285" s="153"/>
      <c r="CT285" s="153"/>
      <c r="CU285" s="153"/>
      <c r="CV285" s="153"/>
      <c r="CW285" s="153"/>
      <c r="CX285" s="153"/>
      <c r="CY285" s="153"/>
      <c r="CZ285" s="153"/>
      <c r="DA285" s="153"/>
      <c r="DB285" s="153"/>
      <c r="DC285" s="153"/>
      <c r="DD285" s="153"/>
      <c r="DE285" s="153"/>
      <c r="DF285" s="153"/>
      <c r="DG285" s="153"/>
      <c r="DH285" s="153"/>
      <c r="DI285" s="153"/>
      <c r="DJ285" s="153"/>
      <c r="DK285" s="153"/>
      <c r="DL285" s="153"/>
      <c r="DM285" s="153"/>
      <c r="DN285" s="153"/>
      <c r="DO285" s="153"/>
      <c r="DP285" s="153"/>
      <c r="DQ285" s="153"/>
      <c r="DR285" s="153"/>
      <c r="DS285" s="153"/>
      <c r="DT285" s="153"/>
      <c r="DU285" s="153"/>
      <c r="DV285" s="153"/>
      <c r="DW285" s="153"/>
      <c r="DX285" s="153"/>
      <c r="DY285" s="153"/>
    </row>
    <row r="286" spans="1:129" ht="15" customHeight="1" x14ac:dyDescent="0.2">
      <c r="A286" s="153"/>
      <c r="B286" s="153"/>
      <c r="C286" s="153"/>
      <c r="D286" s="153"/>
      <c r="E286" s="153"/>
      <c r="F286" s="153"/>
      <c r="G286" s="153"/>
      <c r="H286" s="153"/>
      <c r="I286" s="153"/>
      <c r="J286" s="153"/>
      <c r="K286" s="153"/>
      <c r="L286" s="153"/>
      <c r="M286" s="153"/>
      <c r="N286" s="153"/>
      <c r="O286" s="153"/>
      <c r="P286" s="153"/>
      <c r="Q286" s="153"/>
      <c r="R286" s="153"/>
      <c r="S286" s="153"/>
      <c r="T286" s="153"/>
      <c r="U286" s="15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  <c r="BI286" s="153"/>
      <c r="BJ286" s="153"/>
      <c r="BK286" s="153"/>
      <c r="BL286" s="153"/>
      <c r="BM286" s="153"/>
      <c r="BN286" s="153"/>
      <c r="BO286" s="153"/>
      <c r="BP286" s="153"/>
      <c r="BQ286" s="153"/>
      <c r="BR286" s="153"/>
      <c r="BS286" s="153"/>
      <c r="BT286" s="153"/>
      <c r="BU286" s="153"/>
      <c r="BV286" s="153"/>
      <c r="BW286" s="153"/>
      <c r="BX286" s="153"/>
      <c r="BY286" s="153"/>
      <c r="BZ286" s="153"/>
      <c r="CA286" s="153"/>
      <c r="CB286" s="153"/>
      <c r="CC286" s="153"/>
      <c r="CD286" s="153"/>
      <c r="CE286" s="153"/>
      <c r="CF286" s="153"/>
      <c r="CG286" s="153"/>
      <c r="CH286" s="153"/>
      <c r="CI286" s="153"/>
      <c r="CJ286" s="153"/>
      <c r="CK286" s="153"/>
      <c r="CL286" s="153"/>
      <c r="CM286" s="153"/>
      <c r="CN286" s="153"/>
      <c r="CO286" s="153"/>
      <c r="CP286" s="153"/>
      <c r="CQ286" s="153"/>
      <c r="CR286" s="153"/>
      <c r="CS286" s="153"/>
      <c r="CT286" s="153"/>
      <c r="CU286" s="153"/>
      <c r="CV286" s="153"/>
      <c r="CW286" s="153"/>
      <c r="CX286" s="153"/>
      <c r="CY286" s="153"/>
      <c r="CZ286" s="153"/>
      <c r="DA286" s="153"/>
      <c r="DB286" s="153"/>
      <c r="DC286" s="153"/>
      <c r="DD286" s="153"/>
      <c r="DE286" s="153"/>
      <c r="DF286" s="153"/>
      <c r="DG286" s="153"/>
      <c r="DH286" s="153"/>
      <c r="DI286" s="153"/>
      <c r="DJ286" s="153"/>
      <c r="DK286" s="153"/>
      <c r="DL286" s="153"/>
      <c r="DM286" s="153"/>
      <c r="DN286" s="153"/>
      <c r="DO286" s="153"/>
      <c r="DP286" s="153"/>
      <c r="DQ286" s="153"/>
      <c r="DR286" s="153"/>
      <c r="DS286" s="153"/>
      <c r="DT286" s="153"/>
      <c r="DU286" s="153"/>
      <c r="DV286" s="153"/>
      <c r="DW286" s="153"/>
      <c r="DX286" s="153"/>
      <c r="DY286" s="153"/>
    </row>
    <row r="287" spans="1:129" ht="15" customHeight="1" x14ac:dyDescent="0.2">
      <c r="A287" s="153"/>
      <c r="B287" s="153"/>
      <c r="C287" s="153"/>
      <c r="D287" s="153"/>
      <c r="E287" s="153"/>
      <c r="F287" s="153"/>
      <c r="G287" s="153"/>
      <c r="H287" s="153"/>
      <c r="I287" s="153"/>
      <c r="J287" s="153"/>
      <c r="K287" s="153"/>
      <c r="L287" s="153"/>
      <c r="M287" s="153"/>
      <c r="N287" s="153"/>
      <c r="O287" s="153"/>
      <c r="P287" s="153"/>
      <c r="Q287" s="153"/>
      <c r="R287" s="153"/>
      <c r="S287" s="153"/>
      <c r="T287" s="153"/>
      <c r="U287" s="15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  <c r="BI287" s="153"/>
      <c r="BJ287" s="153"/>
      <c r="BK287" s="153"/>
      <c r="BL287" s="153"/>
      <c r="BM287" s="153"/>
      <c r="BN287" s="153"/>
      <c r="BO287" s="153"/>
      <c r="BP287" s="153"/>
      <c r="BQ287" s="153"/>
      <c r="BR287" s="153"/>
      <c r="BS287" s="153"/>
      <c r="BT287" s="153"/>
      <c r="BU287" s="153"/>
      <c r="BV287" s="153"/>
      <c r="BW287" s="153"/>
      <c r="BX287" s="153"/>
      <c r="BY287" s="153"/>
      <c r="BZ287" s="153"/>
      <c r="CA287" s="153"/>
      <c r="CB287" s="153"/>
      <c r="CC287" s="153"/>
      <c r="CD287" s="153"/>
      <c r="CE287" s="153"/>
      <c r="CF287" s="153"/>
      <c r="CG287" s="153"/>
      <c r="CH287" s="153"/>
      <c r="CI287" s="153"/>
      <c r="CJ287" s="153"/>
      <c r="CK287" s="153"/>
      <c r="CL287" s="153"/>
      <c r="CM287" s="153"/>
      <c r="CN287" s="153"/>
      <c r="CO287" s="153"/>
      <c r="CP287" s="153"/>
      <c r="CQ287" s="153"/>
      <c r="CR287" s="153"/>
      <c r="CS287" s="153"/>
      <c r="CT287" s="153"/>
      <c r="CU287" s="153"/>
      <c r="CV287" s="153"/>
      <c r="CW287" s="153"/>
      <c r="CX287" s="153"/>
      <c r="CY287" s="153"/>
      <c r="CZ287" s="153"/>
      <c r="DA287" s="153"/>
      <c r="DB287" s="153"/>
      <c r="DC287" s="153"/>
      <c r="DD287" s="153"/>
      <c r="DE287" s="153"/>
      <c r="DF287" s="153"/>
      <c r="DG287" s="153"/>
      <c r="DH287" s="153"/>
      <c r="DI287" s="153"/>
      <c r="DJ287" s="153"/>
      <c r="DK287" s="153"/>
      <c r="DL287" s="153"/>
      <c r="DM287" s="153"/>
      <c r="DN287" s="153"/>
      <c r="DO287" s="153"/>
      <c r="DP287" s="153"/>
      <c r="DQ287" s="153"/>
      <c r="DR287" s="153"/>
      <c r="DS287" s="153"/>
      <c r="DT287" s="153"/>
      <c r="DU287" s="153"/>
      <c r="DV287" s="153"/>
      <c r="DW287" s="153"/>
      <c r="DX287" s="153"/>
      <c r="DY287" s="153"/>
    </row>
    <row r="288" spans="1:129" ht="15" customHeight="1" x14ac:dyDescent="0.2">
      <c r="A288" s="153"/>
      <c r="B288" s="153"/>
      <c r="C288" s="153"/>
      <c r="D288" s="153"/>
      <c r="E288" s="153"/>
      <c r="F288" s="153"/>
      <c r="G288" s="153"/>
      <c r="H288" s="153"/>
      <c r="I288" s="153"/>
      <c r="J288" s="153"/>
      <c r="K288" s="153"/>
      <c r="L288" s="153"/>
      <c r="M288" s="153"/>
      <c r="N288" s="153"/>
      <c r="O288" s="153"/>
      <c r="P288" s="153"/>
      <c r="Q288" s="153"/>
      <c r="R288" s="153"/>
      <c r="S288" s="153"/>
      <c r="T288" s="153"/>
      <c r="U288" s="15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  <c r="BI288" s="153"/>
      <c r="BJ288" s="153"/>
      <c r="BK288" s="153"/>
      <c r="BL288" s="153"/>
      <c r="BM288" s="153"/>
      <c r="BN288" s="153"/>
      <c r="BO288" s="153"/>
      <c r="BP288" s="153"/>
      <c r="BQ288" s="153"/>
      <c r="BR288" s="153"/>
      <c r="BS288" s="153"/>
      <c r="BT288" s="153"/>
      <c r="BU288" s="153"/>
      <c r="BV288" s="153"/>
      <c r="BW288" s="153"/>
      <c r="BX288" s="153"/>
      <c r="BY288" s="153"/>
      <c r="BZ288" s="153"/>
      <c r="CA288" s="153"/>
      <c r="CB288" s="153"/>
      <c r="CC288" s="153"/>
      <c r="CD288" s="153"/>
      <c r="CE288" s="153"/>
      <c r="CF288" s="153"/>
      <c r="CG288" s="153"/>
      <c r="CH288" s="153"/>
      <c r="CI288" s="153"/>
      <c r="CJ288" s="153"/>
      <c r="CK288" s="153"/>
      <c r="CL288" s="153"/>
      <c r="CM288" s="153"/>
      <c r="CN288" s="153"/>
      <c r="CO288" s="153"/>
      <c r="CP288" s="153"/>
      <c r="CQ288" s="153"/>
      <c r="CR288" s="153"/>
      <c r="CS288" s="153"/>
      <c r="CT288" s="153"/>
      <c r="CU288" s="153"/>
      <c r="CV288" s="153"/>
      <c r="CW288" s="153"/>
      <c r="CX288" s="153"/>
      <c r="CY288" s="153"/>
      <c r="CZ288" s="153"/>
      <c r="DA288" s="153"/>
      <c r="DB288" s="153"/>
      <c r="DC288" s="153"/>
      <c r="DD288" s="153"/>
      <c r="DE288" s="153"/>
      <c r="DF288" s="153"/>
      <c r="DG288" s="153"/>
      <c r="DH288" s="153"/>
      <c r="DI288" s="153"/>
      <c r="DJ288" s="153"/>
      <c r="DK288" s="153"/>
      <c r="DL288" s="153"/>
      <c r="DM288" s="153"/>
      <c r="DN288" s="153"/>
      <c r="DO288" s="153"/>
      <c r="DP288" s="153"/>
      <c r="DQ288" s="153"/>
      <c r="DR288" s="153"/>
      <c r="DS288" s="153"/>
      <c r="DT288" s="153"/>
      <c r="DU288" s="153"/>
      <c r="DV288" s="153"/>
      <c r="DW288" s="153"/>
      <c r="DX288" s="153"/>
      <c r="DY288" s="153"/>
    </row>
    <row r="289" spans="1:129" ht="15" customHeight="1" x14ac:dyDescent="0.2">
      <c r="A289" s="153"/>
      <c r="B289" s="153"/>
      <c r="C289" s="153"/>
      <c r="D289" s="153"/>
      <c r="E289" s="153"/>
      <c r="F289" s="153"/>
      <c r="G289" s="153"/>
      <c r="H289" s="153"/>
      <c r="I289" s="153"/>
      <c r="J289" s="153"/>
      <c r="K289" s="153"/>
      <c r="L289" s="153"/>
      <c r="M289" s="153"/>
      <c r="N289" s="153"/>
      <c r="O289" s="153"/>
      <c r="P289" s="153"/>
      <c r="Q289" s="153"/>
      <c r="R289" s="153"/>
      <c r="S289" s="153"/>
      <c r="T289" s="153"/>
      <c r="U289" s="15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  <c r="BI289" s="153"/>
      <c r="BJ289" s="153"/>
      <c r="BK289" s="153"/>
      <c r="BL289" s="153"/>
      <c r="BM289" s="153"/>
      <c r="BN289" s="153"/>
      <c r="BO289" s="153"/>
      <c r="BP289" s="153"/>
      <c r="BQ289" s="153"/>
      <c r="BR289" s="153"/>
      <c r="BS289" s="153"/>
      <c r="BT289" s="153"/>
      <c r="BU289" s="153"/>
      <c r="BV289" s="153"/>
      <c r="BW289" s="153"/>
      <c r="BX289" s="153"/>
      <c r="BY289" s="153"/>
      <c r="BZ289" s="153"/>
      <c r="CA289" s="153"/>
      <c r="CB289" s="153"/>
      <c r="CC289" s="153"/>
      <c r="CD289" s="153"/>
      <c r="CE289" s="153"/>
      <c r="CF289" s="153"/>
      <c r="CG289" s="153"/>
      <c r="CH289" s="153"/>
      <c r="CI289" s="153"/>
      <c r="CJ289" s="153"/>
      <c r="CK289" s="153"/>
      <c r="CL289" s="153"/>
      <c r="CM289" s="153"/>
      <c r="CN289" s="153"/>
      <c r="CO289" s="153"/>
      <c r="CP289" s="153"/>
      <c r="CQ289" s="153"/>
      <c r="CR289" s="153"/>
      <c r="CS289" s="153"/>
      <c r="CT289" s="153"/>
      <c r="CU289" s="153"/>
      <c r="CV289" s="153"/>
      <c r="CW289" s="153"/>
      <c r="CX289" s="153"/>
      <c r="CY289" s="153"/>
      <c r="CZ289" s="153"/>
      <c r="DA289" s="153"/>
      <c r="DB289" s="153"/>
      <c r="DC289" s="153"/>
      <c r="DD289" s="153"/>
      <c r="DE289" s="153"/>
      <c r="DF289" s="153"/>
      <c r="DG289" s="153"/>
      <c r="DH289" s="153"/>
      <c r="DI289" s="153"/>
      <c r="DJ289" s="153"/>
      <c r="DK289" s="153"/>
      <c r="DL289" s="153"/>
      <c r="DM289" s="153"/>
      <c r="DN289" s="153"/>
      <c r="DO289" s="153"/>
      <c r="DP289" s="153"/>
      <c r="DQ289" s="153"/>
      <c r="DR289" s="153"/>
      <c r="DS289" s="153"/>
      <c r="DT289" s="153"/>
      <c r="DU289" s="153"/>
      <c r="DV289" s="153"/>
      <c r="DW289" s="153"/>
      <c r="DX289" s="153"/>
      <c r="DY289" s="153"/>
    </row>
    <row r="290" spans="1:129" ht="15" customHeight="1" x14ac:dyDescent="0.2">
      <c r="A290" s="153"/>
      <c r="B290" s="153"/>
      <c r="C290" s="153"/>
      <c r="D290" s="153"/>
      <c r="E290" s="153"/>
      <c r="F290" s="153"/>
      <c r="G290" s="153"/>
      <c r="H290" s="153"/>
      <c r="I290" s="153"/>
      <c r="J290" s="153"/>
      <c r="K290" s="153"/>
      <c r="L290" s="153"/>
      <c r="M290" s="153"/>
      <c r="N290" s="153"/>
      <c r="O290" s="153"/>
      <c r="P290" s="153"/>
      <c r="Q290" s="153"/>
      <c r="R290" s="153"/>
      <c r="S290" s="153"/>
      <c r="T290" s="153"/>
      <c r="U290" s="15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/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  <c r="BI290" s="153"/>
      <c r="BJ290" s="153"/>
      <c r="BK290" s="153"/>
      <c r="BL290" s="153"/>
      <c r="BM290" s="153"/>
      <c r="BN290" s="153"/>
      <c r="BO290" s="153"/>
      <c r="BP290" s="153"/>
      <c r="BQ290" s="153"/>
      <c r="BR290" s="153"/>
      <c r="BS290" s="153"/>
      <c r="BT290" s="153"/>
      <c r="BU290" s="153"/>
      <c r="BV290" s="153"/>
      <c r="BW290" s="153"/>
      <c r="BX290" s="153"/>
      <c r="BY290" s="153"/>
      <c r="BZ290" s="153"/>
      <c r="CA290" s="153"/>
      <c r="CB290" s="153"/>
      <c r="CC290" s="153"/>
      <c r="CD290" s="153"/>
      <c r="CE290" s="153"/>
      <c r="CF290" s="153"/>
      <c r="CG290" s="153"/>
      <c r="CH290" s="153"/>
      <c r="CI290" s="153"/>
      <c r="CJ290" s="153"/>
      <c r="CK290" s="153"/>
      <c r="CL290" s="153"/>
      <c r="CM290" s="153"/>
      <c r="CN290" s="153"/>
      <c r="CO290" s="153"/>
      <c r="CP290" s="153"/>
      <c r="CQ290" s="153"/>
      <c r="CR290" s="153"/>
      <c r="CS290" s="153"/>
      <c r="CT290" s="153"/>
      <c r="CU290" s="153"/>
      <c r="CV290" s="153"/>
      <c r="CW290" s="153"/>
      <c r="CX290" s="153"/>
      <c r="CY290" s="153"/>
      <c r="CZ290" s="153"/>
      <c r="DA290" s="153"/>
      <c r="DB290" s="153"/>
      <c r="DC290" s="153"/>
      <c r="DD290" s="153"/>
      <c r="DE290" s="153"/>
      <c r="DF290" s="153"/>
      <c r="DG290" s="153"/>
      <c r="DH290" s="153"/>
      <c r="DI290" s="153"/>
      <c r="DJ290" s="153"/>
      <c r="DK290" s="153"/>
      <c r="DL290" s="153"/>
      <c r="DM290" s="153"/>
      <c r="DN290" s="153"/>
      <c r="DO290" s="153"/>
      <c r="DP290" s="153"/>
      <c r="DQ290" s="153"/>
      <c r="DR290" s="153"/>
      <c r="DS290" s="153"/>
      <c r="DT290" s="153"/>
      <c r="DU290" s="153"/>
      <c r="DV290" s="153"/>
      <c r="DW290" s="153"/>
      <c r="DX290" s="153"/>
      <c r="DY290" s="153"/>
    </row>
    <row r="291" spans="1:129" ht="15" customHeight="1" x14ac:dyDescent="0.2">
      <c r="A291" s="153"/>
      <c r="B291" s="153"/>
      <c r="C291" s="153"/>
      <c r="D291" s="153"/>
      <c r="E291" s="153"/>
      <c r="F291" s="153"/>
      <c r="G291" s="153"/>
      <c r="H291" s="153"/>
      <c r="I291" s="153"/>
      <c r="J291" s="153"/>
      <c r="K291" s="153"/>
      <c r="L291" s="153"/>
      <c r="M291" s="153"/>
      <c r="N291" s="153"/>
      <c r="O291" s="153"/>
      <c r="P291" s="153"/>
      <c r="Q291" s="153"/>
      <c r="R291" s="153"/>
      <c r="S291" s="153"/>
      <c r="T291" s="153"/>
      <c r="U291" s="15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/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  <c r="BI291" s="153"/>
      <c r="BJ291" s="153"/>
      <c r="BK291" s="153"/>
      <c r="BL291" s="153"/>
      <c r="BM291" s="153"/>
      <c r="BN291" s="153"/>
      <c r="BO291" s="153"/>
      <c r="BP291" s="153"/>
      <c r="BQ291" s="153"/>
      <c r="BR291" s="153"/>
      <c r="BS291" s="153"/>
      <c r="BT291" s="153"/>
      <c r="BU291" s="153"/>
      <c r="BV291" s="153"/>
      <c r="BW291" s="153"/>
      <c r="BX291" s="153"/>
      <c r="BY291" s="153"/>
      <c r="BZ291" s="153"/>
      <c r="CA291" s="153"/>
      <c r="CB291" s="153"/>
      <c r="CC291" s="153"/>
      <c r="CD291" s="153"/>
      <c r="CE291" s="153"/>
      <c r="CF291" s="153"/>
      <c r="CG291" s="153"/>
      <c r="CH291" s="153"/>
      <c r="CI291" s="153"/>
      <c r="CJ291" s="153"/>
      <c r="CK291" s="153"/>
      <c r="CL291" s="153"/>
      <c r="CM291" s="153"/>
      <c r="CN291" s="153"/>
      <c r="CO291" s="153"/>
      <c r="CP291" s="153"/>
      <c r="CQ291" s="153"/>
      <c r="CR291" s="153"/>
      <c r="CS291" s="153"/>
      <c r="CT291" s="153"/>
      <c r="CU291" s="153"/>
      <c r="CV291" s="153"/>
      <c r="CW291" s="153"/>
      <c r="CX291" s="153"/>
      <c r="CY291" s="153"/>
      <c r="CZ291" s="153"/>
      <c r="DA291" s="153"/>
      <c r="DB291" s="153"/>
      <c r="DC291" s="153"/>
      <c r="DD291" s="153"/>
      <c r="DE291" s="153"/>
      <c r="DF291" s="153"/>
      <c r="DG291" s="153"/>
      <c r="DH291" s="153"/>
      <c r="DI291" s="153"/>
      <c r="DJ291" s="153"/>
      <c r="DK291" s="153"/>
      <c r="DL291" s="153"/>
      <c r="DM291" s="153"/>
      <c r="DN291" s="153"/>
      <c r="DO291" s="153"/>
      <c r="DP291" s="153"/>
      <c r="DQ291" s="153"/>
      <c r="DR291" s="153"/>
      <c r="DS291" s="153"/>
      <c r="DT291" s="153"/>
      <c r="DU291" s="153"/>
      <c r="DV291" s="153"/>
      <c r="DW291" s="153"/>
      <c r="DX291" s="153"/>
      <c r="DY291" s="153"/>
    </row>
    <row r="292" spans="1:129" ht="15" customHeight="1" x14ac:dyDescent="0.2">
      <c r="A292" s="153"/>
      <c r="B292" s="153"/>
      <c r="C292" s="153"/>
      <c r="D292" s="153"/>
      <c r="E292" s="153"/>
      <c r="F292" s="153"/>
      <c r="G292" s="153"/>
      <c r="H292" s="153"/>
      <c r="I292" s="153"/>
      <c r="J292" s="153"/>
      <c r="K292" s="153"/>
      <c r="L292" s="153"/>
      <c r="M292" s="153"/>
      <c r="N292" s="153"/>
      <c r="O292" s="153"/>
      <c r="P292" s="153"/>
      <c r="Q292" s="153"/>
      <c r="R292" s="153"/>
      <c r="S292" s="153"/>
      <c r="T292" s="153"/>
      <c r="U292" s="15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  <c r="BI292" s="153"/>
      <c r="BJ292" s="153"/>
      <c r="BK292" s="153"/>
      <c r="BL292" s="153"/>
      <c r="BM292" s="153"/>
      <c r="BN292" s="153"/>
      <c r="BO292" s="153"/>
      <c r="BP292" s="153"/>
      <c r="BQ292" s="153"/>
      <c r="BR292" s="153"/>
      <c r="BS292" s="153"/>
      <c r="BT292" s="153"/>
      <c r="BU292" s="153"/>
      <c r="BV292" s="153"/>
      <c r="BW292" s="153"/>
      <c r="BX292" s="153"/>
      <c r="BY292" s="153"/>
      <c r="BZ292" s="153"/>
      <c r="CA292" s="153"/>
      <c r="CB292" s="153"/>
      <c r="CC292" s="153"/>
      <c r="CD292" s="153"/>
      <c r="CE292" s="153"/>
      <c r="CF292" s="153"/>
      <c r="CG292" s="153"/>
      <c r="CH292" s="153"/>
      <c r="CI292" s="153"/>
      <c r="CJ292" s="153"/>
      <c r="CK292" s="153"/>
      <c r="CL292" s="153"/>
      <c r="CM292" s="153"/>
      <c r="CN292" s="153"/>
      <c r="CO292" s="153"/>
      <c r="CP292" s="153"/>
      <c r="CQ292" s="153"/>
      <c r="CR292" s="153"/>
      <c r="CS292" s="153"/>
      <c r="CT292" s="153"/>
      <c r="CU292" s="153"/>
      <c r="CV292" s="153"/>
      <c r="CW292" s="153"/>
      <c r="CX292" s="153"/>
      <c r="CY292" s="153"/>
      <c r="CZ292" s="153"/>
      <c r="DA292" s="153"/>
      <c r="DB292" s="153"/>
      <c r="DC292" s="153"/>
      <c r="DD292" s="153"/>
      <c r="DE292" s="153"/>
      <c r="DF292" s="153"/>
      <c r="DG292" s="153"/>
      <c r="DH292" s="153"/>
      <c r="DI292" s="153"/>
      <c r="DJ292" s="153"/>
      <c r="DK292" s="153"/>
      <c r="DL292" s="153"/>
      <c r="DM292" s="153"/>
      <c r="DN292" s="153"/>
      <c r="DO292" s="153"/>
      <c r="DP292" s="153"/>
      <c r="DQ292" s="153"/>
      <c r="DR292" s="153"/>
      <c r="DS292" s="153"/>
      <c r="DT292" s="153"/>
      <c r="DU292" s="153"/>
      <c r="DV292" s="153"/>
      <c r="DW292" s="153"/>
      <c r="DX292" s="153"/>
      <c r="DY292" s="153"/>
    </row>
    <row r="293" spans="1:129" ht="15" customHeight="1" x14ac:dyDescent="0.2">
      <c r="A293" s="153"/>
      <c r="B293" s="153"/>
      <c r="C293" s="153"/>
      <c r="D293" s="153"/>
      <c r="E293" s="153"/>
      <c r="F293" s="153"/>
      <c r="G293" s="153"/>
      <c r="H293" s="153"/>
      <c r="I293" s="153"/>
      <c r="J293" s="153"/>
      <c r="K293" s="153"/>
      <c r="L293" s="153"/>
      <c r="M293" s="153"/>
      <c r="N293" s="153"/>
      <c r="O293" s="153"/>
      <c r="P293" s="153"/>
      <c r="Q293" s="153"/>
      <c r="R293" s="153"/>
      <c r="S293" s="153"/>
      <c r="T293" s="153"/>
      <c r="U293" s="15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  <c r="BI293" s="153"/>
      <c r="BJ293" s="153"/>
      <c r="BK293" s="153"/>
      <c r="BL293" s="153"/>
      <c r="BM293" s="153"/>
      <c r="BN293" s="153"/>
      <c r="BO293" s="153"/>
      <c r="BP293" s="153"/>
      <c r="BQ293" s="153"/>
      <c r="BR293" s="153"/>
      <c r="BS293" s="153"/>
      <c r="BT293" s="153"/>
      <c r="BU293" s="153"/>
      <c r="BV293" s="153"/>
      <c r="BW293" s="153"/>
      <c r="BX293" s="153"/>
      <c r="BY293" s="153"/>
      <c r="BZ293" s="153"/>
      <c r="CA293" s="153"/>
      <c r="CB293" s="153"/>
      <c r="CC293" s="153"/>
      <c r="CD293" s="153"/>
      <c r="CE293" s="153"/>
      <c r="CF293" s="153"/>
      <c r="CG293" s="153"/>
      <c r="CH293" s="153"/>
      <c r="CI293" s="153"/>
      <c r="CJ293" s="153"/>
      <c r="CK293" s="153"/>
      <c r="CL293" s="153"/>
      <c r="CM293" s="153"/>
      <c r="CN293" s="153"/>
      <c r="CO293" s="153"/>
      <c r="CP293" s="153"/>
      <c r="CQ293" s="153"/>
      <c r="CR293" s="153"/>
      <c r="CS293" s="153"/>
      <c r="CT293" s="153"/>
      <c r="CU293" s="153"/>
      <c r="CV293" s="153"/>
      <c r="CW293" s="153"/>
      <c r="CX293" s="153"/>
      <c r="CY293" s="153"/>
      <c r="CZ293" s="153"/>
      <c r="DA293" s="153"/>
      <c r="DB293" s="153"/>
      <c r="DC293" s="153"/>
      <c r="DD293" s="153"/>
      <c r="DE293" s="153"/>
      <c r="DF293" s="153"/>
      <c r="DG293" s="153"/>
      <c r="DH293" s="153"/>
      <c r="DI293" s="153"/>
      <c r="DJ293" s="153"/>
      <c r="DK293" s="153"/>
      <c r="DL293" s="153"/>
      <c r="DM293" s="153"/>
      <c r="DN293" s="153"/>
      <c r="DO293" s="153"/>
      <c r="DP293" s="153"/>
      <c r="DQ293" s="153"/>
      <c r="DR293" s="153"/>
      <c r="DS293" s="153"/>
      <c r="DT293" s="153"/>
      <c r="DU293" s="153"/>
      <c r="DV293" s="153"/>
      <c r="DW293" s="153"/>
      <c r="DX293" s="153"/>
      <c r="DY293" s="153"/>
    </row>
    <row r="294" spans="1:129" ht="15" customHeight="1" x14ac:dyDescent="0.2">
      <c r="A294" s="153"/>
      <c r="B294" s="153"/>
      <c r="C294" s="153"/>
      <c r="D294" s="153"/>
      <c r="E294" s="153"/>
      <c r="F294" s="153"/>
      <c r="G294" s="153"/>
      <c r="H294" s="153"/>
      <c r="I294" s="153"/>
      <c r="J294" s="153"/>
      <c r="K294" s="153"/>
      <c r="L294" s="153"/>
      <c r="M294" s="153"/>
      <c r="N294" s="153"/>
      <c r="O294" s="153"/>
      <c r="P294" s="153"/>
      <c r="Q294" s="153"/>
      <c r="R294" s="153"/>
      <c r="S294" s="153"/>
      <c r="T294" s="153"/>
      <c r="U294" s="15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/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  <c r="BI294" s="153"/>
      <c r="BJ294" s="153"/>
      <c r="BK294" s="153"/>
      <c r="BL294" s="153"/>
      <c r="BM294" s="153"/>
      <c r="BN294" s="153"/>
      <c r="BO294" s="153"/>
      <c r="BP294" s="153"/>
      <c r="BQ294" s="153"/>
      <c r="BR294" s="153"/>
      <c r="BS294" s="153"/>
      <c r="BT294" s="153"/>
      <c r="BU294" s="153"/>
      <c r="BV294" s="153"/>
      <c r="BW294" s="153"/>
      <c r="BX294" s="153"/>
      <c r="BY294" s="153"/>
      <c r="BZ294" s="153"/>
      <c r="CA294" s="153"/>
      <c r="CB294" s="153"/>
      <c r="CC294" s="153"/>
      <c r="CD294" s="153"/>
      <c r="CE294" s="153"/>
      <c r="CF294" s="153"/>
      <c r="CG294" s="153"/>
      <c r="CH294" s="153"/>
      <c r="CI294" s="153"/>
      <c r="CJ294" s="153"/>
      <c r="CK294" s="153"/>
      <c r="CL294" s="153"/>
      <c r="CM294" s="153"/>
      <c r="CN294" s="153"/>
      <c r="CO294" s="153"/>
      <c r="CP294" s="153"/>
      <c r="CQ294" s="153"/>
      <c r="CR294" s="153"/>
      <c r="CS294" s="153"/>
      <c r="CT294" s="153"/>
      <c r="CU294" s="153"/>
      <c r="CV294" s="153"/>
      <c r="CW294" s="153"/>
      <c r="CX294" s="153"/>
      <c r="CY294" s="153"/>
      <c r="CZ294" s="153"/>
      <c r="DA294" s="153"/>
      <c r="DB294" s="153"/>
      <c r="DC294" s="153"/>
      <c r="DD294" s="153"/>
      <c r="DE294" s="153"/>
      <c r="DF294" s="153"/>
      <c r="DG294" s="153"/>
      <c r="DH294" s="153"/>
      <c r="DI294" s="153"/>
      <c r="DJ294" s="153"/>
      <c r="DK294" s="153"/>
      <c r="DL294" s="153"/>
      <c r="DM294" s="153"/>
      <c r="DN294" s="153"/>
      <c r="DO294" s="153"/>
      <c r="DP294" s="153"/>
      <c r="DQ294" s="153"/>
      <c r="DR294" s="153"/>
      <c r="DS294" s="153"/>
      <c r="DT294" s="153"/>
      <c r="DU294" s="153"/>
      <c r="DV294" s="153"/>
      <c r="DW294" s="153"/>
      <c r="DX294" s="153"/>
      <c r="DY294" s="153"/>
    </row>
    <row r="295" spans="1:129" ht="15" customHeight="1" x14ac:dyDescent="0.2">
      <c r="A295" s="153"/>
      <c r="B295" s="153"/>
      <c r="C295" s="153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  <c r="R295" s="153"/>
      <c r="S295" s="15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  <c r="BI295" s="153"/>
      <c r="BJ295" s="153"/>
      <c r="BK295" s="153"/>
      <c r="BL295" s="153"/>
      <c r="BM295" s="153"/>
      <c r="BN295" s="153"/>
      <c r="BO295" s="153"/>
      <c r="BP295" s="153"/>
      <c r="BQ295" s="153"/>
      <c r="BR295" s="153"/>
      <c r="BS295" s="153"/>
      <c r="BT295" s="153"/>
      <c r="BU295" s="153"/>
      <c r="BV295" s="153"/>
      <c r="BW295" s="153"/>
      <c r="BX295" s="153"/>
      <c r="BY295" s="153"/>
      <c r="BZ295" s="153"/>
      <c r="CA295" s="153"/>
      <c r="CB295" s="153"/>
      <c r="CC295" s="153"/>
      <c r="CD295" s="153"/>
      <c r="CE295" s="153"/>
      <c r="CF295" s="153"/>
      <c r="CG295" s="153"/>
      <c r="CH295" s="153"/>
      <c r="CI295" s="153"/>
      <c r="CJ295" s="153"/>
      <c r="CK295" s="153"/>
      <c r="CL295" s="153"/>
      <c r="CM295" s="153"/>
      <c r="CN295" s="153"/>
      <c r="CO295" s="153"/>
      <c r="CP295" s="153"/>
      <c r="CQ295" s="153"/>
      <c r="CR295" s="153"/>
      <c r="CS295" s="153"/>
      <c r="CT295" s="153"/>
      <c r="CU295" s="153"/>
      <c r="CV295" s="153"/>
      <c r="CW295" s="153"/>
      <c r="CX295" s="153"/>
      <c r="CY295" s="153"/>
      <c r="CZ295" s="153"/>
      <c r="DA295" s="153"/>
      <c r="DB295" s="153"/>
      <c r="DC295" s="153"/>
      <c r="DD295" s="153"/>
      <c r="DE295" s="153"/>
      <c r="DF295" s="153"/>
      <c r="DG295" s="153"/>
      <c r="DH295" s="153"/>
      <c r="DI295" s="153"/>
      <c r="DJ295" s="153"/>
      <c r="DK295" s="153"/>
      <c r="DL295" s="153"/>
      <c r="DM295" s="153"/>
      <c r="DN295" s="153"/>
      <c r="DO295" s="153"/>
      <c r="DP295" s="153"/>
      <c r="DQ295" s="153"/>
      <c r="DR295" s="153"/>
      <c r="DS295" s="153"/>
      <c r="DT295" s="153"/>
      <c r="DU295" s="153"/>
      <c r="DV295" s="153"/>
      <c r="DW295" s="153"/>
      <c r="DX295" s="153"/>
      <c r="DY295" s="153"/>
    </row>
    <row r="296" spans="1:129" ht="15" customHeight="1" x14ac:dyDescent="0.2">
      <c r="A296" s="153"/>
      <c r="B296" s="153"/>
      <c r="C296" s="153"/>
      <c r="D296" s="153"/>
      <c r="E296" s="153"/>
      <c r="F296" s="153"/>
      <c r="G296" s="153"/>
      <c r="H296" s="153"/>
      <c r="I296" s="153"/>
      <c r="J296" s="153"/>
      <c r="K296" s="153"/>
      <c r="L296" s="153"/>
      <c r="M296" s="153"/>
      <c r="N296" s="153"/>
      <c r="O296" s="153"/>
      <c r="P296" s="153"/>
      <c r="Q296" s="153"/>
      <c r="R296" s="153"/>
      <c r="S296" s="153"/>
      <c r="T296" s="153"/>
      <c r="U296" s="15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  <c r="BI296" s="153"/>
      <c r="BJ296" s="153"/>
      <c r="BK296" s="153"/>
      <c r="BL296" s="153"/>
      <c r="BM296" s="153"/>
      <c r="BN296" s="153"/>
      <c r="BO296" s="153"/>
      <c r="BP296" s="153"/>
      <c r="BQ296" s="153"/>
      <c r="BR296" s="153"/>
      <c r="BS296" s="153"/>
      <c r="BT296" s="153"/>
      <c r="BU296" s="153"/>
      <c r="BV296" s="153"/>
      <c r="BW296" s="153"/>
      <c r="BX296" s="153"/>
      <c r="BY296" s="153"/>
      <c r="BZ296" s="153"/>
      <c r="CA296" s="153"/>
      <c r="CB296" s="153"/>
      <c r="CC296" s="153"/>
      <c r="CD296" s="153"/>
      <c r="CE296" s="153"/>
      <c r="CF296" s="153"/>
      <c r="CG296" s="153"/>
      <c r="CH296" s="153"/>
      <c r="CI296" s="153"/>
      <c r="CJ296" s="153"/>
      <c r="CK296" s="153"/>
      <c r="CL296" s="153"/>
      <c r="CM296" s="153"/>
      <c r="CN296" s="153"/>
      <c r="CO296" s="153"/>
      <c r="CP296" s="153"/>
      <c r="CQ296" s="153"/>
      <c r="CR296" s="153"/>
      <c r="CS296" s="153"/>
      <c r="CT296" s="153"/>
      <c r="CU296" s="153"/>
      <c r="CV296" s="153"/>
      <c r="CW296" s="153"/>
      <c r="CX296" s="153"/>
      <c r="CY296" s="153"/>
      <c r="CZ296" s="153"/>
      <c r="DA296" s="153"/>
      <c r="DB296" s="153"/>
      <c r="DC296" s="153"/>
      <c r="DD296" s="153"/>
      <c r="DE296" s="153"/>
      <c r="DF296" s="153"/>
      <c r="DG296" s="153"/>
      <c r="DH296" s="153"/>
      <c r="DI296" s="153"/>
      <c r="DJ296" s="153"/>
      <c r="DK296" s="153"/>
      <c r="DL296" s="153"/>
      <c r="DM296" s="153"/>
      <c r="DN296" s="153"/>
      <c r="DO296" s="153"/>
      <c r="DP296" s="153"/>
      <c r="DQ296" s="153"/>
      <c r="DR296" s="153"/>
      <c r="DS296" s="153"/>
      <c r="DT296" s="153"/>
      <c r="DU296" s="153"/>
      <c r="DV296" s="153"/>
      <c r="DW296" s="153"/>
      <c r="DX296" s="153"/>
      <c r="DY296" s="153"/>
    </row>
    <row r="297" spans="1:129" ht="15" customHeight="1" x14ac:dyDescent="0.2">
      <c r="A297" s="153"/>
      <c r="B297" s="153"/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  <c r="BI297" s="153"/>
      <c r="BJ297" s="153"/>
      <c r="BK297" s="153"/>
      <c r="BL297" s="153"/>
      <c r="BM297" s="153"/>
      <c r="BN297" s="153"/>
      <c r="BO297" s="153"/>
      <c r="BP297" s="153"/>
      <c r="BQ297" s="153"/>
      <c r="BR297" s="153"/>
      <c r="BS297" s="153"/>
      <c r="BT297" s="153"/>
      <c r="BU297" s="153"/>
      <c r="BV297" s="153"/>
      <c r="BW297" s="153"/>
      <c r="BX297" s="153"/>
      <c r="BY297" s="153"/>
      <c r="BZ297" s="153"/>
      <c r="CA297" s="153"/>
      <c r="CB297" s="153"/>
      <c r="CC297" s="153"/>
      <c r="CD297" s="153"/>
      <c r="CE297" s="153"/>
      <c r="CF297" s="153"/>
      <c r="CG297" s="153"/>
      <c r="CH297" s="153"/>
      <c r="CI297" s="153"/>
      <c r="CJ297" s="153"/>
      <c r="CK297" s="153"/>
      <c r="CL297" s="153"/>
      <c r="CM297" s="153"/>
      <c r="CN297" s="153"/>
      <c r="CO297" s="153"/>
      <c r="CP297" s="153"/>
      <c r="CQ297" s="153"/>
      <c r="CR297" s="153"/>
      <c r="CS297" s="153"/>
      <c r="CT297" s="153"/>
      <c r="CU297" s="153"/>
      <c r="CV297" s="153"/>
      <c r="CW297" s="153"/>
      <c r="CX297" s="153"/>
      <c r="CY297" s="153"/>
      <c r="CZ297" s="153"/>
      <c r="DA297" s="153"/>
      <c r="DB297" s="153"/>
      <c r="DC297" s="153"/>
      <c r="DD297" s="153"/>
      <c r="DE297" s="153"/>
      <c r="DF297" s="153"/>
      <c r="DG297" s="153"/>
      <c r="DH297" s="153"/>
      <c r="DI297" s="153"/>
      <c r="DJ297" s="153"/>
      <c r="DK297" s="153"/>
      <c r="DL297" s="153"/>
      <c r="DM297" s="153"/>
      <c r="DN297" s="153"/>
      <c r="DO297" s="153"/>
      <c r="DP297" s="153"/>
      <c r="DQ297" s="153"/>
      <c r="DR297" s="153"/>
      <c r="DS297" s="153"/>
      <c r="DT297" s="153"/>
      <c r="DU297" s="153"/>
      <c r="DV297" s="153"/>
      <c r="DW297" s="153"/>
      <c r="DX297" s="153"/>
      <c r="DY297" s="153"/>
    </row>
    <row r="298" spans="1:129" ht="15" customHeight="1" x14ac:dyDescent="0.2">
      <c r="A298" s="153"/>
      <c r="B298" s="153"/>
      <c r="C298" s="153"/>
      <c r="D298" s="153"/>
      <c r="E298" s="153"/>
      <c r="F298" s="153"/>
      <c r="G298" s="153"/>
      <c r="H298" s="153"/>
      <c r="I298" s="153"/>
      <c r="J298" s="153"/>
      <c r="K298" s="153"/>
      <c r="L298" s="153"/>
      <c r="M298" s="153"/>
      <c r="N298" s="153"/>
      <c r="O298" s="153"/>
      <c r="P298" s="153"/>
      <c r="Q298" s="153"/>
      <c r="R298" s="153"/>
      <c r="S298" s="153"/>
      <c r="T298" s="153"/>
      <c r="U298" s="15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  <c r="BI298" s="153"/>
      <c r="BJ298" s="153"/>
      <c r="BK298" s="153"/>
      <c r="BL298" s="153"/>
      <c r="BM298" s="153"/>
      <c r="BN298" s="153"/>
      <c r="BO298" s="153"/>
      <c r="BP298" s="153"/>
      <c r="BQ298" s="153"/>
      <c r="BR298" s="153"/>
      <c r="BS298" s="153"/>
      <c r="BT298" s="153"/>
      <c r="BU298" s="153"/>
      <c r="BV298" s="153"/>
      <c r="BW298" s="153"/>
      <c r="BX298" s="153"/>
      <c r="BY298" s="153"/>
      <c r="BZ298" s="153"/>
      <c r="CA298" s="153"/>
      <c r="CB298" s="153"/>
      <c r="CC298" s="153"/>
      <c r="CD298" s="153"/>
      <c r="CE298" s="153"/>
      <c r="CF298" s="153"/>
      <c r="CG298" s="153"/>
      <c r="CH298" s="153"/>
      <c r="CI298" s="153"/>
      <c r="CJ298" s="153"/>
      <c r="CK298" s="153"/>
      <c r="CL298" s="153"/>
      <c r="CM298" s="153"/>
      <c r="CN298" s="153"/>
      <c r="CO298" s="153"/>
      <c r="CP298" s="153"/>
      <c r="CQ298" s="153"/>
      <c r="CR298" s="153"/>
      <c r="CS298" s="153"/>
      <c r="CT298" s="153"/>
      <c r="CU298" s="153"/>
      <c r="CV298" s="153"/>
      <c r="CW298" s="153"/>
      <c r="CX298" s="153"/>
      <c r="CY298" s="153"/>
      <c r="CZ298" s="153"/>
      <c r="DA298" s="153"/>
      <c r="DB298" s="153"/>
      <c r="DC298" s="153"/>
      <c r="DD298" s="153"/>
      <c r="DE298" s="153"/>
      <c r="DF298" s="153"/>
      <c r="DG298" s="153"/>
      <c r="DH298" s="153"/>
      <c r="DI298" s="153"/>
      <c r="DJ298" s="153"/>
      <c r="DK298" s="153"/>
      <c r="DL298" s="153"/>
      <c r="DM298" s="153"/>
      <c r="DN298" s="153"/>
      <c r="DO298" s="153"/>
      <c r="DP298" s="153"/>
      <c r="DQ298" s="153"/>
      <c r="DR298" s="153"/>
      <c r="DS298" s="153"/>
      <c r="DT298" s="153"/>
      <c r="DU298" s="153"/>
      <c r="DV298" s="153"/>
      <c r="DW298" s="153"/>
      <c r="DX298" s="153"/>
      <c r="DY298" s="153"/>
    </row>
    <row r="299" spans="1:129" ht="15" customHeight="1" x14ac:dyDescent="0.2">
      <c r="A299" s="153"/>
      <c r="B299" s="153"/>
      <c r="C299" s="153"/>
      <c r="D299" s="153"/>
      <c r="E299" s="153"/>
      <c r="F299" s="153"/>
      <c r="G299" s="153"/>
      <c r="H299" s="153"/>
      <c r="I299" s="153"/>
      <c r="J299" s="153"/>
      <c r="K299" s="153"/>
      <c r="L299" s="153"/>
      <c r="M299" s="153"/>
      <c r="N299" s="153"/>
      <c r="O299" s="153"/>
      <c r="P299" s="153"/>
      <c r="Q299" s="153"/>
      <c r="R299" s="153"/>
      <c r="S299" s="153"/>
      <c r="T299" s="153"/>
      <c r="U299" s="15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  <c r="BI299" s="153"/>
      <c r="BJ299" s="153"/>
      <c r="BK299" s="153"/>
      <c r="BL299" s="153"/>
      <c r="BM299" s="153"/>
      <c r="BN299" s="153"/>
      <c r="BO299" s="153"/>
      <c r="BP299" s="153"/>
      <c r="BQ299" s="153"/>
      <c r="BR299" s="153"/>
      <c r="BS299" s="153"/>
      <c r="BT299" s="153"/>
      <c r="BU299" s="153"/>
      <c r="BV299" s="153"/>
      <c r="BW299" s="153"/>
      <c r="BX299" s="153"/>
      <c r="BY299" s="153"/>
      <c r="BZ299" s="153"/>
      <c r="CA299" s="153"/>
      <c r="CB299" s="153"/>
      <c r="CC299" s="153"/>
      <c r="CD299" s="153"/>
      <c r="CE299" s="153"/>
      <c r="CF299" s="153"/>
      <c r="CG299" s="153"/>
      <c r="CH299" s="153"/>
      <c r="CI299" s="153"/>
      <c r="CJ299" s="153"/>
      <c r="CK299" s="153"/>
      <c r="CL299" s="153"/>
      <c r="CM299" s="153"/>
      <c r="CN299" s="153"/>
      <c r="CO299" s="153"/>
      <c r="CP299" s="153"/>
      <c r="CQ299" s="153"/>
      <c r="CR299" s="153"/>
      <c r="CS299" s="153"/>
      <c r="CT299" s="153"/>
      <c r="CU299" s="153"/>
      <c r="CV299" s="153"/>
      <c r="CW299" s="153"/>
      <c r="CX299" s="153"/>
      <c r="CY299" s="153"/>
      <c r="CZ299" s="153"/>
      <c r="DA299" s="153"/>
      <c r="DB299" s="153"/>
      <c r="DC299" s="153"/>
      <c r="DD299" s="153"/>
      <c r="DE299" s="153"/>
      <c r="DF299" s="153"/>
      <c r="DG299" s="153"/>
      <c r="DH299" s="153"/>
      <c r="DI299" s="153"/>
      <c r="DJ299" s="153"/>
      <c r="DK299" s="153"/>
      <c r="DL299" s="153"/>
      <c r="DM299" s="153"/>
      <c r="DN299" s="153"/>
      <c r="DO299" s="153"/>
      <c r="DP299" s="153"/>
      <c r="DQ299" s="153"/>
      <c r="DR299" s="153"/>
      <c r="DS299" s="153"/>
      <c r="DT299" s="153"/>
      <c r="DU299" s="153"/>
      <c r="DV299" s="153"/>
      <c r="DW299" s="153"/>
      <c r="DX299" s="153"/>
      <c r="DY299" s="153"/>
    </row>
    <row r="300" spans="1:129" ht="15" customHeight="1" x14ac:dyDescent="0.2">
      <c r="A300" s="153"/>
      <c r="B300" s="153"/>
      <c r="C300" s="153"/>
      <c r="D300" s="153"/>
      <c r="E300" s="153"/>
      <c r="F300" s="153"/>
      <c r="G300" s="153"/>
      <c r="H300" s="153"/>
      <c r="I300" s="153"/>
      <c r="J300" s="153"/>
      <c r="K300" s="153"/>
      <c r="L300" s="153"/>
      <c r="M300" s="153"/>
      <c r="N300" s="153"/>
      <c r="O300" s="153"/>
      <c r="P300" s="153"/>
      <c r="Q300" s="153"/>
      <c r="R300" s="153"/>
      <c r="S300" s="153"/>
      <c r="T300" s="153"/>
      <c r="U300" s="15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  <c r="BI300" s="153"/>
      <c r="BJ300" s="153"/>
      <c r="BK300" s="153"/>
      <c r="BL300" s="153"/>
      <c r="BM300" s="153"/>
      <c r="BN300" s="153"/>
      <c r="BO300" s="153"/>
      <c r="BP300" s="153"/>
      <c r="BQ300" s="153"/>
      <c r="BR300" s="153"/>
      <c r="BS300" s="153"/>
      <c r="BT300" s="153"/>
      <c r="BU300" s="153"/>
      <c r="BV300" s="153"/>
      <c r="BW300" s="153"/>
      <c r="BX300" s="153"/>
      <c r="BY300" s="153"/>
      <c r="BZ300" s="153"/>
      <c r="CA300" s="153"/>
      <c r="CB300" s="153"/>
      <c r="CC300" s="153"/>
      <c r="CD300" s="153"/>
      <c r="CE300" s="153"/>
      <c r="CF300" s="153"/>
      <c r="CG300" s="153"/>
      <c r="CH300" s="153"/>
      <c r="CI300" s="153"/>
      <c r="CJ300" s="153"/>
      <c r="CK300" s="153"/>
      <c r="CL300" s="153"/>
      <c r="CM300" s="153"/>
      <c r="CN300" s="153"/>
      <c r="CO300" s="153"/>
      <c r="CP300" s="153"/>
      <c r="CQ300" s="153"/>
      <c r="CR300" s="153"/>
      <c r="CS300" s="153"/>
      <c r="CT300" s="153"/>
      <c r="CU300" s="153"/>
      <c r="CV300" s="153"/>
      <c r="CW300" s="153"/>
      <c r="CX300" s="153"/>
      <c r="CY300" s="153"/>
      <c r="CZ300" s="153"/>
      <c r="DA300" s="153"/>
      <c r="DB300" s="153"/>
      <c r="DC300" s="153"/>
      <c r="DD300" s="153"/>
      <c r="DE300" s="153"/>
      <c r="DF300" s="153"/>
      <c r="DG300" s="153"/>
      <c r="DH300" s="153"/>
      <c r="DI300" s="153"/>
      <c r="DJ300" s="153"/>
      <c r="DK300" s="153"/>
      <c r="DL300" s="153"/>
      <c r="DM300" s="153"/>
      <c r="DN300" s="153"/>
      <c r="DO300" s="153"/>
      <c r="DP300" s="153"/>
      <c r="DQ300" s="153"/>
      <c r="DR300" s="153"/>
      <c r="DS300" s="153"/>
      <c r="DT300" s="153"/>
      <c r="DU300" s="153"/>
      <c r="DV300" s="153"/>
      <c r="DW300" s="153"/>
      <c r="DX300" s="153"/>
      <c r="DY300" s="153"/>
    </row>
    <row r="301" spans="1:129" ht="15" customHeight="1" x14ac:dyDescent="0.2">
      <c r="A301" s="153"/>
      <c r="B301" s="153"/>
      <c r="C301" s="153"/>
      <c r="D301" s="153"/>
      <c r="E301" s="153"/>
      <c r="F301" s="153"/>
      <c r="G301" s="153"/>
      <c r="H301" s="153"/>
      <c r="I301" s="153"/>
      <c r="J301" s="153"/>
      <c r="K301" s="153"/>
      <c r="L301" s="153"/>
      <c r="M301" s="153"/>
      <c r="N301" s="153"/>
      <c r="O301" s="153"/>
      <c r="P301" s="153"/>
      <c r="Q301" s="153"/>
      <c r="R301" s="153"/>
      <c r="S301" s="153"/>
      <c r="T301" s="153"/>
      <c r="U301" s="15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  <c r="BI301" s="153"/>
      <c r="BJ301" s="153"/>
      <c r="BK301" s="153"/>
      <c r="BL301" s="153"/>
      <c r="BM301" s="153"/>
      <c r="BN301" s="153"/>
      <c r="BO301" s="153"/>
      <c r="BP301" s="153"/>
      <c r="BQ301" s="153"/>
      <c r="BR301" s="153"/>
      <c r="BS301" s="153"/>
      <c r="BT301" s="153"/>
      <c r="BU301" s="153"/>
      <c r="BV301" s="153"/>
      <c r="BW301" s="153"/>
      <c r="BX301" s="153"/>
      <c r="BY301" s="153"/>
      <c r="BZ301" s="153"/>
      <c r="CA301" s="153"/>
      <c r="CB301" s="153"/>
      <c r="CC301" s="153"/>
      <c r="CD301" s="153"/>
      <c r="CE301" s="153"/>
      <c r="CF301" s="153"/>
      <c r="CG301" s="153"/>
      <c r="CH301" s="153"/>
      <c r="CI301" s="153"/>
      <c r="CJ301" s="153"/>
      <c r="CK301" s="153"/>
      <c r="CL301" s="153"/>
      <c r="CM301" s="153"/>
      <c r="CN301" s="153"/>
      <c r="CO301" s="153"/>
      <c r="CP301" s="153"/>
      <c r="CQ301" s="153"/>
      <c r="CR301" s="153"/>
      <c r="CS301" s="153"/>
      <c r="CT301" s="153"/>
      <c r="CU301" s="153"/>
      <c r="CV301" s="153"/>
      <c r="CW301" s="153"/>
      <c r="CX301" s="153"/>
      <c r="CY301" s="153"/>
      <c r="CZ301" s="153"/>
      <c r="DA301" s="153"/>
      <c r="DB301" s="153"/>
      <c r="DC301" s="153"/>
      <c r="DD301" s="153"/>
      <c r="DE301" s="153"/>
      <c r="DF301" s="153"/>
      <c r="DG301" s="153"/>
      <c r="DH301" s="153"/>
      <c r="DI301" s="153"/>
      <c r="DJ301" s="153"/>
      <c r="DK301" s="153"/>
      <c r="DL301" s="153"/>
      <c r="DM301" s="153"/>
      <c r="DN301" s="153"/>
      <c r="DO301" s="153"/>
      <c r="DP301" s="153"/>
      <c r="DQ301" s="153"/>
      <c r="DR301" s="153"/>
      <c r="DS301" s="153"/>
      <c r="DT301" s="153"/>
      <c r="DU301" s="153"/>
      <c r="DV301" s="153"/>
      <c r="DW301" s="153"/>
      <c r="DX301" s="153"/>
      <c r="DY301" s="153"/>
    </row>
    <row r="302" spans="1:129" ht="15" customHeight="1" x14ac:dyDescent="0.2">
      <c r="A302" s="153"/>
      <c r="B302" s="153"/>
      <c r="C302" s="153"/>
      <c r="D302" s="153"/>
      <c r="E302" s="153"/>
      <c r="F302" s="153"/>
      <c r="G302" s="153"/>
      <c r="H302" s="153"/>
      <c r="I302" s="153"/>
      <c r="J302" s="153"/>
      <c r="K302" s="153"/>
      <c r="L302" s="153"/>
      <c r="M302" s="153"/>
      <c r="N302" s="153"/>
      <c r="O302" s="153"/>
      <c r="P302" s="153"/>
      <c r="Q302" s="153"/>
      <c r="R302" s="153"/>
      <c r="S302" s="153"/>
      <c r="T302" s="153"/>
      <c r="U302" s="15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  <c r="BI302" s="153"/>
      <c r="BJ302" s="153"/>
      <c r="BK302" s="153"/>
      <c r="BL302" s="153"/>
      <c r="BM302" s="153"/>
      <c r="BN302" s="153"/>
      <c r="BO302" s="153"/>
      <c r="BP302" s="153"/>
      <c r="BQ302" s="153"/>
      <c r="BR302" s="153"/>
      <c r="BS302" s="153"/>
      <c r="BT302" s="153"/>
      <c r="BU302" s="153"/>
      <c r="BV302" s="153"/>
      <c r="BW302" s="153"/>
      <c r="BX302" s="153"/>
      <c r="BY302" s="153"/>
      <c r="BZ302" s="153"/>
      <c r="CA302" s="153"/>
      <c r="CB302" s="153"/>
      <c r="CC302" s="153"/>
      <c r="CD302" s="153"/>
      <c r="CE302" s="153"/>
      <c r="CF302" s="153"/>
      <c r="CG302" s="153"/>
      <c r="CH302" s="153"/>
      <c r="CI302" s="153"/>
      <c r="CJ302" s="153"/>
      <c r="CK302" s="153"/>
      <c r="CL302" s="153"/>
      <c r="CM302" s="153"/>
      <c r="CN302" s="153"/>
      <c r="CO302" s="153"/>
      <c r="CP302" s="153"/>
      <c r="CQ302" s="153"/>
      <c r="CR302" s="153"/>
      <c r="CS302" s="153"/>
      <c r="CT302" s="153"/>
      <c r="CU302" s="153"/>
      <c r="CV302" s="153"/>
      <c r="CW302" s="153"/>
      <c r="CX302" s="153"/>
      <c r="CY302" s="153"/>
      <c r="CZ302" s="153"/>
      <c r="DA302" s="153"/>
      <c r="DB302" s="153"/>
      <c r="DC302" s="153"/>
      <c r="DD302" s="153"/>
      <c r="DE302" s="153"/>
      <c r="DF302" s="153"/>
      <c r="DG302" s="153"/>
      <c r="DH302" s="153"/>
      <c r="DI302" s="153"/>
      <c r="DJ302" s="153"/>
      <c r="DK302" s="153"/>
      <c r="DL302" s="153"/>
      <c r="DM302" s="153"/>
      <c r="DN302" s="153"/>
      <c r="DO302" s="153"/>
      <c r="DP302" s="153"/>
      <c r="DQ302" s="153"/>
      <c r="DR302" s="153"/>
      <c r="DS302" s="153"/>
      <c r="DT302" s="153"/>
      <c r="DU302" s="153"/>
      <c r="DV302" s="153"/>
      <c r="DW302" s="153"/>
      <c r="DX302" s="153"/>
      <c r="DY302" s="153"/>
    </row>
    <row r="303" spans="1:129" ht="15" customHeight="1" x14ac:dyDescent="0.2">
      <c r="A303" s="153"/>
      <c r="B303" s="153"/>
      <c r="C303" s="153"/>
      <c r="D303" s="153"/>
      <c r="E303" s="153"/>
      <c r="F303" s="153"/>
      <c r="G303" s="153"/>
      <c r="H303" s="153"/>
      <c r="I303" s="153"/>
      <c r="J303" s="153"/>
      <c r="K303" s="153"/>
      <c r="L303" s="153"/>
      <c r="M303" s="153"/>
      <c r="N303" s="153"/>
      <c r="O303" s="153"/>
      <c r="P303" s="153"/>
      <c r="Q303" s="153"/>
      <c r="R303" s="153"/>
      <c r="S303" s="153"/>
      <c r="T303" s="153"/>
      <c r="U303" s="15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  <c r="BI303" s="153"/>
      <c r="BJ303" s="153"/>
      <c r="BK303" s="153"/>
      <c r="BL303" s="153"/>
      <c r="BM303" s="153"/>
      <c r="BN303" s="153"/>
      <c r="BO303" s="153"/>
      <c r="BP303" s="153"/>
      <c r="BQ303" s="153"/>
      <c r="BR303" s="153"/>
      <c r="BS303" s="153"/>
      <c r="BT303" s="153"/>
      <c r="BU303" s="153"/>
      <c r="BV303" s="153"/>
      <c r="BW303" s="153"/>
      <c r="BX303" s="153"/>
      <c r="BY303" s="153"/>
      <c r="BZ303" s="153"/>
      <c r="CA303" s="153"/>
      <c r="CB303" s="153"/>
      <c r="CC303" s="153"/>
      <c r="CD303" s="153"/>
      <c r="CE303" s="153"/>
      <c r="CF303" s="153"/>
      <c r="CG303" s="153"/>
      <c r="CH303" s="153"/>
      <c r="CI303" s="153"/>
      <c r="CJ303" s="153"/>
      <c r="CK303" s="153"/>
      <c r="CL303" s="153"/>
      <c r="CM303" s="153"/>
      <c r="CN303" s="153"/>
      <c r="CO303" s="153"/>
      <c r="CP303" s="153"/>
      <c r="CQ303" s="153"/>
      <c r="CR303" s="153"/>
      <c r="CS303" s="153"/>
      <c r="CT303" s="153"/>
      <c r="CU303" s="153"/>
      <c r="CV303" s="153"/>
      <c r="CW303" s="153"/>
      <c r="CX303" s="153"/>
      <c r="CY303" s="153"/>
      <c r="CZ303" s="153"/>
      <c r="DA303" s="153"/>
      <c r="DB303" s="153"/>
      <c r="DC303" s="153"/>
      <c r="DD303" s="153"/>
      <c r="DE303" s="153"/>
      <c r="DF303" s="153"/>
      <c r="DG303" s="153"/>
      <c r="DH303" s="153"/>
      <c r="DI303" s="153"/>
      <c r="DJ303" s="153"/>
      <c r="DK303" s="153"/>
      <c r="DL303" s="153"/>
      <c r="DM303" s="153"/>
      <c r="DN303" s="153"/>
      <c r="DO303" s="153"/>
      <c r="DP303" s="153"/>
      <c r="DQ303" s="153"/>
      <c r="DR303" s="153"/>
      <c r="DS303" s="153"/>
      <c r="DT303" s="153"/>
      <c r="DU303" s="153"/>
      <c r="DV303" s="153"/>
      <c r="DW303" s="153"/>
      <c r="DX303" s="153"/>
      <c r="DY303" s="153"/>
    </row>
    <row r="304" spans="1:129" ht="15" customHeight="1" x14ac:dyDescent="0.2">
      <c r="A304" s="153"/>
      <c r="B304" s="153"/>
      <c r="C304" s="153"/>
      <c r="D304" s="153"/>
      <c r="E304" s="153"/>
      <c r="F304" s="153"/>
      <c r="G304" s="153"/>
      <c r="H304" s="153"/>
      <c r="I304" s="153"/>
      <c r="J304" s="153"/>
      <c r="K304" s="153"/>
      <c r="L304" s="153"/>
      <c r="M304" s="153"/>
      <c r="N304" s="153"/>
      <c r="O304" s="153"/>
      <c r="P304" s="153"/>
      <c r="Q304" s="153"/>
      <c r="R304" s="153"/>
      <c r="S304" s="153"/>
      <c r="T304" s="153"/>
      <c r="U304" s="15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  <c r="BI304" s="153"/>
      <c r="BJ304" s="153"/>
      <c r="BK304" s="153"/>
      <c r="BL304" s="153"/>
      <c r="BM304" s="153"/>
      <c r="BN304" s="153"/>
      <c r="BO304" s="153"/>
      <c r="BP304" s="153"/>
      <c r="BQ304" s="153"/>
      <c r="BR304" s="153"/>
      <c r="BS304" s="153"/>
      <c r="BT304" s="153"/>
      <c r="BU304" s="153"/>
      <c r="BV304" s="153"/>
      <c r="BW304" s="153"/>
      <c r="BX304" s="153"/>
      <c r="BY304" s="153"/>
      <c r="BZ304" s="153"/>
      <c r="CA304" s="153"/>
      <c r="CB304" s="153"/>
      <c r="CC304" s="153"/>
      <c r="CD304" s="153"/>
      <c r="CE304" s="153"/>
      <c r="CF304" s="153"/>
      <c r="CG304" s="153"/>
      <c r="CH304" s="153"/>
      <c r="CI304" s="153"/>
      <c r="CJ304" s="153"/>
      <c r="CK304" s="153"/>
      <c r="CL304" s="153"/>
      <c r="CM304" s="153"/>
      <c r="CN304" s="153"/>
      <c r="CO304" s="153"/>
      <c r="CP304" s="153"/>
      <c r="CQ304" s="153"/>
      <c r="CR304" s="153"/>
      <c r="CS304" s="153"/>
      <c r="CT304" s="153"/>
      <c r="CU304" s="153"/>
      <c r="CV304" s="153"/>
      <c r="CW304" s="153"/>
      <c r="CX304" s="153"/>
      <c r="CY304" s="153"/>
      <c r="CZ304" s="153"/>
      <c r="DA304" s="153"/>
      <c r="DB304" s="153"/>
      <c r="DC304" s="153"/>
      <c r="DD304" s="153"/>
      <c r="DE304" s="153"/>
      <c r="DF304" s="153"/>
      <c r="DG304" s="153"/>
      <c r="DH304" s="153"/>
      <c r="DI304" s="153"/>
      <c r="DJ304" s="153"/>
      <c r="DK304" s="153"/>
      <c r="DL304" s="153"/>
      <c r="DM304" s="153"/>
      <c r="DN304" s="153"/>
      <c r="DO304" s="153"/>
      <c r="DP304" s="153"/>
      <c r="DQ304" s="153"/>
      <c r="DR304" s="153"/>
      <c r="DS304" s="153"/>
      <c r="DT304" s="153"/>
      <c r="DU304" s="153"/>
      <c r="DV304" s="153"/>
      <c r="DW304" s="153"/>
      <c r="DX304" s="153"/>
      <c r="DY304" s="153"/>
    </row>
    <row r="305" spans="1:129" ht="15" customHeight="1" x14ac:dyDescent="0.2">
      <c r="A305" s="153"/>
      <c r="B305" s="153"/>
      <c r="C305" s="153"/>
      <c r="D305" s="153"/>
      <c r="E305" s="153"/>
      <c r="F305" s="153"/>
      <c r="G305" s="153"/>
      <c r="H305" s="153"/>
      <c r="I305" s="153"/>
      <c r="J305" s="153"/>
      <c r="K305" s="153"/>
      <c r="L305" s="153"/>
      <c r="M305" s="153"/>
      <c r="N305" s="153"/>
      <c r="O305" s="153"/>
      <c r="P305" s="153"/>
      <c r="Q305" s="153"/>
      <c r="R305" s="153"/>
      <c r="S305" s="153"/>
      <c r="T305" s="153"/>
      <c r="U305" s="15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  <c r="BI305" s="153"/>
      <c r="BJ305" s="153"/>
      <c r="BK305" s="153"/>
      <c r="BL305" s="153"/>
      <c r="BM305" s="153"/>
      <c r="BN305" s="153"/>
      <c r="BO305" s="153"/>
      <c r="BP305" s="153"/>
      <c r="BQ305" s="153"/>
      <c r="BR305" s="153"/>
      <c r="BS305" s="153"/>
      <c r="BT305" s="153"/>
      <c r="BU305" s="153"/>
      <c r="BV305" s="153"/>
      <c r="BW305" s="153"/>
      <c r="BX305" s="153"/>
      <c r="BY305" s="153"/>
      <c r="BZ305" s="153"/>
      <c r="CA305" s="153"/>
      <c r="CB305" s="153"/>
      <c r="CC305" s="153"/>
      <c r="CD305" s="153"/>
      <c r="CE305" s="153"/>
      <c r="CF305" s="153"/>
      <c r="CG305" s="153"/>
      <c r="CH305" s="153"/>
      <c r="CI305" s="153"/>
      <c r="CJ305" s="153"/>
      <c r="CK305" s="153"/>
      <c r="CL305" s="153"/>
      <c r="CM305" s="153"/>
      <c r="CN305" s="153"/>
      <c r="CO305" s="153"/>
      <c r="CP305" s="153"/>
      <c r="CQ305" s="153"/>
      <c r="CR305" s="153"/>
      <c r="CS305" s="153"/>
      <c r="CT305" s="153"/>
      <c r="CU305" s="153"/>
      <c r="CV305" s="153"/>
      <c r="CW305" s="153"/>
      <c r="CX305" s="153"/>
      <c r="CY305" s="153"/>
      <c r="CZ305" s="153"/>
      <c r="DA305" s="153"/>
      <c r="DB305" s="153"/>
      <c r="DC305" s="153"/>
      <c r="DD305" s="153"/>
      <c r="DE305" s="153"/>
      <c r="DF305" s="153"/>
      <c r="DG305" s="153"/>
      <c r="DH305" s="153"/>
      <c r="DI305" s="153"/>
      <c r="DJ305" s="153"/>
      <c r="DK305" s="153"/>
      <c r="DL305" s="153"/>
      <c r="DM305" s="153"/>
      <c r="DN305" s="153"/>
      <c r="DO305" s="153"/>
      <c r="DP305" s="153"/>
      <c r="DQ305" s="153"/>
      <c r="DR305" s="153"/>
      <c r="DS305" s="153"/>
      <c r="DT305" s="153"/>
      <c r="DU305" s="153"/>
      <c r="DV305" s="153"/>
      <c r="DW305" s="153"/>
      <c r="DX305" s="153"/>
      <c r="DY305" s="153"/>
    </row>
    <row r="306" spans="1:129" ht="15" customHeight="1" x14ac:dyDescent="0.2">
      <c r="A306" s="153"/>
      <c r="B306" s="153"/>
      <c r="C306" s="153"/>
      <c r="D306" s="153"/>
      <c r="E306" s="153"/>
      <c r="F306" s="153"/>
      <c r="G306" s="153"/>
      <c r="H306" s="153"/>
      <c r="I306" s="153"/>
      <c r="J306" s="153"/>
      <c r="K306" s="153"/>
      <c r="L306" s="153"/>
      <c r="M306" s="153"/>
      <c r="N306" s="153"/>
      <c r="O306" s="153"/>
      <c r="P306" s="153"/>
      <c r="Q306" s="153"/>
      <c r="R306" s="153"/>
      <c r="S306" s="153"/>
      <c r="T306" s="153"/>
      <c r="U306" s="15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  <c r="BI306" s="153"/>
      <c r="BJ306" s="153"/>
      <c r="BK306" s="153"/>
      <c r="BL306" s="153"/>
      <c r="BM306" s="153"/>
      <c r="BN306" s="153"/>
      <c r="BO306" s="153"/>
      <c r="BP306" s="153"/>
      <c r="BQ306" s="153"/>
      <c r="BR306" s="153"/>
      <c r="BS306" s="153"/>
      <c r="BT306" s="153"/>
      <c r="BU306" s="153"/>
      <c r="BV306" s="153"/>
      <c r="BW306" s="153"/>
      <c r="BX306" s="153"/>
      <c r="BY306" s="153"/>
      <c r="BZ306" s="153"/>
      <c r="CA306" s="153"/>
      <c r="CB306" s="153"/>
      <c r="CC306" s="153"/>
      <c r="CD306" s="153"/>
      <c r="CE306" s="153"/>
      <c r="CF306" s="153"/>
      <c r="CG306" s="153"/>
      <c r="CH306" s="153"/>
      <c r="CI306" s="153"/>
      <c r="CJ306" s="153"/>
      <c r="CK306" s="153"/>
      <c r="CL306" s="153"/>
      <c r="CM306" s="153"/>
      <c r="CN306" s="153"/>
      <c r="CO306" s="153"/>
      <c r="CP306" s="153"/>
      <c r="CQ306" s="153"/>
      <c r="CR306" s="153"/>
      <c r="CS306" s="153"/>
      <c r="CT306" s="153"/>
      <c r="CU306" s="153"/>
      <c r="CV306" s="153"/>
      <c r="CW306" s="153"/>
      <c r="CX306" s="153"/>
      <c r="CY306" s="153"/>
      <c r="CZ306" s="153"/>
      <c r="DA306" s="153"/>
      <c r="DB306" s="153"/>
      <c r="DC306" s="153"/>
      <c r="DD306" s="153"/>
      <c r="DE306" s="153"/>
      <c r="DF306" s="153"/>
      <c r="DG306" s="153"/>
      <c r="DH306" s="153"/>
      <c r="DI306" s="153"/>
      <c r="DJ306" s="153"/>
      <c r="DK306" s="153"/>
      <c r="DL306" s="153"/>
      <c r="DM306" s="153"/>
      <c r="DN306" s="153"/>
      <c r="DO306" s="153"/>
      <c r="DP306" s="153"/>
      <c r="DQ306" s="153"/>
      <c r="DR306" s="153"/>
      <c r="DS306" s="153"/>
      <c r="DT306" s="153"/>
      <c r="DU306" s="153"/>
      <c r="DV306" s="153"/>
      <c r="DW306" s="153"/>
      <c r="DX306" s="153"/>
      <c r="DY306" s="153"/>
    </row>
    <row r="307" spans="1:129" ht="15" customHeight="1" x14ac:dyDescent="0.2">
      <c r="A307" s="153"/>
      <c r="B307" s="153"/>
      <c r="C307" s="153"/>
      <c r="D307" s="153"/>
      <c r="E307" s="153"/>
      <c r="F307" s="153"/>
      <c r="G307" s="153"/>
      <c r="H307" s="153"/>
      <c r="I307" s="153"/>
      <c r="J307" s="153"/>
      <c r="K307" s="153"/>
      <c r="L307" s="153"/>
      <c r="M307" s="153"/>
      <c r="N307" s="153"/>
      <c r="O307" s="153"/>
      <c r="P307" s="153"/>
      <c r="Q307" s="153"/>
      <c r="R307" s="153"/>
      <c r="S307" s="153"/>
      <c r="T307" s="153"/>
      <c r="U307" s="15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  <c r="BI307" s="153"/>
      <c r="BJ307" s="153"/>
      <c r="BK307" s="153"/>
      <c r="BL307" s="153"/>
      <c r="BM307" s="153"/>
      <c r="BN307" s="153"/>
      <c r="BO307" s="153"/>
      <c r="BP307" s="153"/>
      <c r="BQ307" s="153"/>
      <c r="BR307" s="153"/>
      <c r="BS307" s="153"/>
      <c r="BT307" s="153"/>
      <c r="BU307" s="153"/>
      <c r="BV307" s="153"/>
      <c r="BW307" s="153"/>
      <c r="BX307" s="153"/>
      <c r="BY307" s="153"/>
      <c r="BZ307" s="153"/>
      <c r="CA307" s="153"/>
      <c r="CB307" s="153"/>
      <c r="CC307" s="153"/>
      <c r="CD307" s="153"/>
      <c r="CE307" s="153"/>
      <c r="CF307" s="153"/>
      <c r="CG307" s="153"/>
      <c r="CH307" s="153"/>
      <c r="CI307" s="153"/>
      <c r="CJ307" s="153"/>
      <c r="CK307" s="153"/>
      <c r="CL307" s="153"/>
      <c r="CM307" s="153"/>
      <c r="CN307" s="153"/>
      <c r="CO307" s="153"/>
      <c r="CP307" s="153"/>
      <c r="CQ307" s="153"/>
      <c r="CR307" s="153"/>
      <c r="CS307" s="153"/>
      <c r="CT307" s="153"/>
      <c r="CU307" s="153"/>
      <c r="CV307" s="153"/>
      <c r="CW307" s="153"/>
      <c r="CX307" s="153"/>
      <c r="CY307" s="153"/>
      <c r="CZ307" s="153"/>
      <c r="DA307" s="153"/>
      <c r="DB307" s="153"/>
      <c r="DC307" s="153"/>
      <c r="DD307" s="153"/>
      <c r="DE307" s="153"/>
      <c r="DF307" s="153"/>
      <c r="DG307" s="153"/>
      <c r="DH307" s="153"/>
      <c r="DI307" s="153"/>
      <c r="DJ307" s="153"/>
      <c r="DK307" s="153"/>
      <c r="DL307" s="153"/>
      <c r="DM307" s="153"/>
      <c r="DN307" s="153"/>
      <c r="DO307" s="153"/>
      <c r="DP307" s="153"/>
      <c r="DQ307" s="153"/>
      <c r="DR307" s="153"/>
      <c r="DS307" s="153"/>
      <c r="DT307" s="153"/>
      <c r="DU307" s="153"/>
      <c r="DV307" s="153"/>
      <c r="DW307" s="153"/>
      <c r="DX307" s="153"/>
      <c r="DY307" s="153"/>
    </row>
    <row r="308" spans="1:129" ht="15" customHeight="1" x14ac:dyDescent="0.2">
      <c r="A308" s="153"/>
      <c r="B308" s="153"/>
      <c r="C308" s="153"/>
      <c r="D308" s="153"/>
      <c r="E308" s="153"/>
      <c r="F308" s="153"/>
      <c r="G308" s="153"/>
      <c r="H308" s="153"/>
      <c r="I308" s="153"/>
      <c r="J308" s="153"/>
      <c r="K308" s="153"/>
      <c r="L308" s="153"/>
      <c r="M308" s="153"/>
      <c r="N308" s="153"/>
      <c r="O308" s="153"/>
      <c r="P308" s="153"/>
      <c r="Q308" s="153"/>
      <c r="R308" s="153"/>
      <c r="S308" s="153"/>
      <c r="T308" s="153"/>
      <c r="U308" s="15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  <c r="BI308" s="153"/>
      <c r="BJ308" s="153"/>
      <c r="BK308" s="153"/>
      <c r="BL308" s="153"/>
      <c r="BM308" s="153"/>
      <c r="BN308" s="153"/>
      <c r="BO308" s="153"/>
      <c r="BP308" s="153"/>
      <c r="BQ308" s="153"/>
      <c r="BR308" s="153"/>
      <c r="BS308" s="153"/>
      <c r="BT308" s="153"/>
      <c r="BU308" s="153"/>
      <c r="BV308" s="153"/>
      <c r="BW308" s="153"/>
      <c r="BX308" s="153"/>
      <c r="BY308" s="153"/>
      <c r="BZ308" s="153"/>
      <c r="CA308" s="153"/>
      <c r="CB308" s="153"/>
      <c r="CC308" s="153"/>
      <c r="CD308" s="153"/>
      <c r="CE308" s="153"/>
      <c r="CF308" s="153"/>
      <c r="CG308" s="153"/>
      <c r="CH308" s="153"/>
      <c r="CI308" s="153"/>
      <c r="CJ308" s="153"/>
      <c r="CK308" s="153"/>
      <c r="CL308" s="153"/>
      <c r="CM308" s="153"/>
      <c r="CN308" s="153"/>
      <c r="CO308" s="153"/>
      <c r="CP308" s="153"/>
      <c r="CQ308" s="153"/>
      <c r="CR308" s="153"/>
      <c r="CS308" s="153"/>
      <c r="CT308" s="153"/>
      <c r="CU308" s="153"/>
      <c r="CV308" s="153"/>
      <c r="CW308" s="153"/>
      <c r="CX308" s="153"/>
      <c r="CY308" s="153"/>
      <c r="CZ308" s="153"/>
      <c r="DA308" s="153"/>
      <c r="DB308" s="153"/>
      <c r="DC308" s="153"/>
      <c r="DD308" s="153"/>
      <c r="DE308" s="153"/>
      <c r="DF308" s="153"/>
      <c r="DG308" s="153"/>
      <c r="DH308" s="153"/>
      <c r="DI308" s="153"/>
      <c r="DJ308" s="153"/>
      <c r="DK308" s="153"/>
      <c r="DL308" s="153"/>
      <c r="DM308" s="153"/>
      <c r="DN308" s="153"/>
      <c r="DO308" s="153"/>
      <c r="DP308" s="153"/>
      <c r="DQ308" s="153"/>
      <c r="DR308" s="153"/>
      <c r="DS308" s="153"/>
      <c r="DT308" s="153"/>
      <c r="DU308" s="153"/>
      <c r="DV308" s="153"/>
      <c r="DW308" s="153"/>
      <c r="DX308" s="153"/>
      <c r="DY308" s="153"/>
    </row>
    <row r="309" spans="1:129" ht="15" customHeight="1" x14ac:dyDescent="0.2">
      <c r="A309" s="153"/>
      <c r="B309" s="153"/>
      <c r="C309" s="153"/>
      <c r="D309" s="153"/>
      <c r="E309" s="153"/>
      <c r="F309" s="153"/>
      <c r="G309" s="153"/>
      <c r="H309" s="153"/>
      <c r="I309" s="153"/>
      <c r="J309" s="153"/>
      <c r="K309" s="153"/>
      <c r="L309" s="153"/>
      <c r="M309" s="153"/>
      <c r="N309" s="153"/>
      <c r="O309" s="153"/>
      <c r="P309" s="153"/>
      <c r="Q309" s="153"/>
      <c r="R309" s="153"/>
      <c r="S309" s="153"/>
      <c r="T309" s="153"/>
      <c r="U309" s="15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  <c r="BI309" s="153"/>
      <c r="BJ309" s="153"/>
      <c r="BK309" s="153"/>
      <c r="BL309" s="153"/>
      <c r="BM309" s="153"/>
      <c r="BN309" s="153"/>
      <c r="BO309" s="153"/>
      <c r="BP309" s="153"/>
      <c r="BQ309" s="153"/>
      <c r="BR309" s="153"/>
      <c r="BS309" s="153"/>
      <c r="BT309" s="153"/>
      <c r="BU309" s="153"/>
      <c r="BV309" s="153"/>
      <c r="BW309" s="153"/>
      <c r="BX309" s="153"/>
      <c r="BY309" s="153"/>
      <c r="BZ309" s="153"/>
      <c r="CA309" s="153"/>
      <c r="CB309" s="153"/>
      <c r="CC309" s="153"/>
      <c r="CD309" s="153"/>
      <c r="CE309" s="153"/>
      <c r="CF309" s="153"/>
      <c r="CG309" s="153"/>
      <c r="CH309" s="153"/>
      <c r="CI309" s="153"/>
      <c r="CJ309" s="153"/>
      <c r="CK309" s="153"/>
      <c r="CL309" s="153"/>
      <c r="CM309" s="153"/>
      <c r="CN309" s="153"/>
      <c r="CO309" s="153"/>
      <c r="CP309" s="153"/>
      <c r="CQ309" s="153"/>
      <c r="CR309" s="153"/>
      <c r="CS309" s="153"/>
      <c r="CT309" s="153"/>
      <c r="CU309" s="153"/>
      <c r="CV309" s="153"/>
      <c r="CW309" s="153"/>
      <c r="CX309" s="153"/>
      <c r="CY309" s="153"/>
      <c r="CZ309" s="153"/>
      <c r="DA309" s="153"/>
      <c r="DB309" s="153"/>
      <c r="DC309" s="153"/>
      <c r="DD309" s="153"/>
      <c r="DE309" s="153"/>
      <c r="DF309" s="153"/>
      <c r="DG309" s="153"/>
      <c r="DH309" s="153"/>
      <c r="DI309" s="153"/>
      <c r="DJ309" s="153"/>
      <c r="DK309" s="153"/>
      <c r="DL309" s="153"/>
      <c r="DM309" s="153"/>
      <c r="DN309" s="153"/>
      <c r="DO309" s="153"/>
      <c r="DP309" s="153"/>
      <c r="DQ309" s="153"/>
      <c r="DR309" s="153"/>
      <c r="DS309" s="153"/>
      <c r="DT309" s="153"/>
      <c r="DU309" s="153"/>
      <c r="DV309" s="153"/>
      <c r="DW309" s="153"/>
      <c r="DX309" s="153"/>
      <c r="DY309" s="153"/>
    </row>
    <row r="310" spans="1:129" ht="15" customHeight="1" x14ac:dyDescent="0.2">
      <c r="A310" s="153"/>
      <c r="B310" s="153"/>
      <c r="C310" s="153"/>
      <c r="D310" s="153"/>
      <c r="E310" s="153"/>
      <c r="F310" s="153"/>
      <c r="G310" s="153"/>
      <c r="H310" s="153"/>
      <c r="I310" s="153"/>
      <c r="J310" s="153"/>
      <c r="K310" s="153"/>
      <c r="L310" s="153"/>
      <c r="M310" s="153"/>
      <c r="N310" s="153"/>
      <c r="O310" s="153"/>
      <c r="P310" s="153"/>
      <c r="Q310" s="153"/>
      <c r="R310" s="153"/>
      <c r="S310" s="153"/>
      <c r="T310" s="153"/>
      <c r="U310" s="15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/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  <c r="BI310" s="153"/>
      <c r="BJ310" s="153"/>
      <c r="BK310" s="153"/>
      <c r="BL310" s="153"/>
      <c r="BM310" s="153"/>
      <c r="BN310" s="153"/>
      <c r="BO310" s="153"/>
      <c r="BP310" s="153"/>
      <c r="BQ310" s="153"/>
      <c r="BR310" s="153"/>
      <c r="BS310" s="153"/>
      <c r="BT310" s="153"/>
      <c r="BU310" s="153"/>
      <c r="BV310" s="153"/>
      <c r="BW310" s="153"/>
      <c r="BX310" s="153"/>
      <c r="BY310" s="153"/>
      <c r="BZ310" s="153"/>
      <c r="CA310" s="153"/>
      <c r="CB310" s="153"/>
      <c r="CC310" s="153"/>
      <c r="CD310" s="153"/>
      <c r="CE310" s="153"/>
      <c r="CF310" s="153"/>
      <c r="CG310" s="153"/>
      <c r="CH310" s="153"/>
      <c r="CI310" s="153"/>
      <c r="CJ310" s="153"/>
      <c r="CK310" s="153"/>
      <c r="CL310" s="153"/>
      <c r="CM310" s="153"/>
      <c r="CN310" s="153"/>
      <c r="CO310" s="153"/>
      <c r="CP310" s="153"/>
      <c r="CQ310" s="153"/>
      <c r="CR310" s="153"/>
      <c r="CS310" s="153"/>
      <c r="CT310" s="153"/>
      <c r="CU310" s="153"/>
      <c r="CV310" s="153"/>
      <c r="CW310" s="153"/>
      <c r="CX310" s="153"/>
      <c r="CY310" s="153"/>
      <c r="CZ310" s="153"/>
      <c r="DA310" s="153"/>
      <c r="DB310" s="153"/>
      <c r="DC310" s="153"/>
      <c r="DD310" s="153"/>
      <c r="DE310" s="153"/>
      <c r="DF310" s="153"/>
      <c r="DG310" s="153"/>
      <c r="DH310" s="153"/>
      <c r="DI310" s="153"/>
      <c r="DJ310" s="153"/>
      <c r="DK310" s="153"/>
      <c r="DL310" s="153"/>
      <c r="DM310" s="153"/>
      <c r="DN310" s="153"/>
      <c r="DO310" s="153"/>
      <c r="DP310" s="153"/>
      <c r="DQ310" s="153"/>
      <c r="DR310" s="153"/>
      <c r="DS310" s="153"/>
      <c r="DT310" s="153"/>
      <c r="DU310" s="153"/>
      <c r="DV310" s="153"/>
      <c r="DW310" s="153"/>
      <c r="DX310" s="153"/>
      <c r="DY310" s="153"/>
    </row>
    <row r="311" spans="1:129" ht="15" customHeight="1" x14ac:dyDescent="0.2">
      <c r="A311" s="153"/>
      <c r="B311" s="153"/>
      <c r="C311" s="153"/>
      <c r="D311" s="153"/>
      <c r="E311" s="153"/>
      <c r="F311" s="153"/>
      <c r="G311" s="153"/>
      <c r="H311" s="153"/>
      <c r="I311" s="153"/>
      <c r="J311" s="153"/>
      <c r="K311" s="153"/>
      <c r="L311" s="153"/>
      <c r="M311" s="153"/>
      <c r="N311" s="153"/>
      <c r="O311" s="153"/>
      <c r="P311" s="153"/>
      <c r="Q311" s="153"/>
      <c r="R311" s="153"/>
      <c r="S311" s="153"/>
      <c r="T311" s="153"/>
      <c r="U311" s="15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  <c r="BI311" s="153"/>
      <c r="BJ311" s="153"/>
      <c r="BK311" s="153"/>
      <c r="BL311" s="153"/>
      <c r="BM311" s="153"/>
      <c r="BN311" s="153"/>
      <c r="BO311" s="153"/>
      <c r="BP311" s="153"/>
      <c r="BQ311" s="153"/>
      <c r="BR311" s="153"/>
      <c r="BS311" s="153"/>
      <c r="BT311" s="153"/>
      <c r="BU311" s="153"/>
      <c r="BV311" s="153"/>
      <c r="BW311" s="153"/>
      <c r="BX311" s="153"/>
      <c r="BY311" s="153"/>
      <c r="BZ311" s="153"/>
      <c r="CA311" s="153"/>
      <c r="CB311" s="153"/>
      <c r="CC311" s="153"/>
      <c r="CD311" s="153"/>
      <c r="CE311" s="153"/>
      <c r="CF311" s="153"/>
      <c r="CG311" s="153"/>
      <c r="CH311" s="153"/>
      <c r="CI311" s="153"/>
      <c r="CJ311" s="153"/>
      <c r="CK311" s="153"/>
      <c r="CL311" s="153"/>
      <c r="CM311" s="153"/>
      <c r="CN311" s="153"/>
      <c r="CO311" s="153"/>
      <c r="CP311" s="153"/>
      <c r="CQ311" s="153"/>
      <c r="CR311" s="153"/>
      <c r="CS311" s="153"/>
      <c r="CT311" s="153"/>
      <c r="CU311" s="153"/>
      <c r="CV311" s="153"/>
      <c r="CW311" s="153"/>
      <c r="CX311" s="153"/>
      <c r="CY311" s="153"/>
      <c r="CZ311" s="153"/>
      <c r="DA311" s="153"/>
      <c r="DB311" s="153"/>
      <c r="DC311" s="153"/>
      <c r="DD311" s="153"/>
      <c r="DE311" s="153"/>
      <c r="DF311" s="153"/>
      <c r="DG311" s="153"/>
      <c r="DH311" s="153"/>
      <c r="DI311" s="153"/>
      <c r="DJ311" s="153"/>
      <c r="DK311" s="153"/>
      <c r="DL311" s="153"/>
      <c r="DM311" s="153"/>
      <c r="DN311" s="153"/>
      <c r="DO311" s="153"/>
      <c r="DP311" s="153"/>
      <c r="DQ311" s="153"/>
      <c r="DR311" s="153"/>
      <c r="DS311" s="153"/>
      <c r="DT311" s="153"/>
      <c r="DU311" s="153"/>
      <c r="DV311" s="153"/>
      <c r="DW311" s="153"/>
      <c r="DX311" s="153"/>
      <c r="DY311" s="153"/>
    </row>
    <row r="312" spans="1:129" ht="15" customHeight="1" x14ac:dyDescent="0.2">
      <c r="A312" s="153"/>
      <c r="B312" s="153"/>
      <c r="C312" s="153"/>
      <c r="D312" s="153"/>
      <c r="E312" s="153"/>
      <c r="F312" s="153"/>
      <c r="G312" s="153"/>
      <c r="H312" s="153"/>
      <c r="I312" s="153"/>
      <c r="J312" s="153"/>
      <c r="K312" s="153"/>
      <c r="L312" s="153"/>
      <c r="M312" s="153"/>
      <c r="N312" s="153"/>
      <c r="O312" s="153"/>
      <c r="P312" s="153"/>
      <c r="Q312" s="153"/>
      <c r="R312" s="153"/>
      <c r="S312" s="153"/>
      <c r="T312" s="153"/>
      <c r="U312" s="15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/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  <c r="BI312" s="153"/>
      <c r="BJ312" s="153"/>
      <c r="BK312" s="153"/>
      <c r="BL312" s="153"/>
      <c r="BM312" s="153"/>
      <c r="BN312" s="153"/>
      <c r="BO312" s="153"/>
      <c r="BP312" s="153"/>
      <c r="BQ312" s="153"/>
      <c r="BR312" s="153"/>
      <c r="BS312" s="153"/>
      <c r="BT312" s="153"/>
      <c r="BU312" s="153"/>
      <c r="BV312" s="153"/>
      <c r="BW312" s="153"/>
      <c r="BX312" s="153"/>
      <c r="BY312" s="153"/>
      <c r="BZ312" s="153"/>
      <c r="CA312" s="153"/>
      <c r="CB312" s="153"/>
      <c r="CC312" s="153"/>
      <c r="CD312" s="153"/>
      <c r="CE312" s="153"/>
      <c r="CF312" s="153"/>
      <c r="CG312" s="153"/>
      <c r="CH312" s="153"/>
      <c r="CI312" s="153"/>
      <c r="CJ312" s="153"/>
      <c r="CK312" s="153"/>
      <c r="CL312" s="153"/>
      <c r="CM312" s="153"/>
      <c r="CN312" s="153"/>
      <c r="CO312" s="153"/>
      <c r="CP312" s="153"/>
      <c r="CQ312" s="153"/>
      <c r="CR312" s="153"/>
      <c r="CS312" s="153"/>
      <c r="CT312" s="153"/>
      <c r="CU312" s="153"/>
      <c r="CV312" s="153"/>
      <c r="CW312" s="153"/>
      <c r="CX312" s="153"/>
      <c r="CY312" s="153"/>
      <c r="CZ312" s="153"/>
      <c r="DA312" s="153"/>
      <c r="DB312" s="153"/>
      <c r="DC312" s="153"/>
      <c r="DD312" s="153"/>
      <c r="DE312" s="153"/>
      <c r="DF312" s="153"/>
      <c r="DG312" s="153"/>
      <c r="DH312" s="153"/>
      <c r="DI312" s="153"/>
      <c r="DJ312" s="153"/>
      <c r="DK312" s="153"/>
      <c r="DL312" s="153"/>
      <c r="DM312" s="153"/>
      <c r="DN312" s="153"/>
      <c r="DO312" s="153"/>
      <c r="DP312" s="153"/>
      <c r="DQ312" s="153"/>
      <c r="DR312" s="153"/>
      <c r="DS312" s="153"/>
      <c r="DT312" s="153"/>
      <c r="DU312" s="153"/>
      <c r="DV312" s="153"/>
      <c r="DW312" s="153"/>
      <c r="DX312" s="153"/>
      <c r="DY312" s="153"/>
    </row>
    <row r="313" spans="1:129" ht="15" customHeight="1" x14ac:dyDescent="0.2">
      <c r="A313" s="153"/>
      <c r="B313" s="153"/>
      <c r="C313" s="153"/>
      <c r="D313" s="153"/>
      <c r="E313" s="153"/>
      <c r="F313" s="153"/>
      <c r="G313" s="153"/>
      <c r="H313" s="153"/>
      <c r="I313" s="153"/>
      <c r="J313" s="153"/>
      <c r="K313" s="153"/>
      <c r="L313" s="153"/>
      <c r="M313" s="153"/>
      <c r="N313" s="153"/>
      <c r="O313" s="153"/>
      <c r="P313" s="153"/>
      <c r="Q313" s="153"/>
      <c r="R313" s="153"/>
      <c r="S313" s="153"/>
      <c r="T313" s="153"/>
      <c r="U313" s="15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  <c r="BI313" s="153"/>
      <c r="BJ313" s="153"/>
      <c r="BK313" s="153"/>
      <c r="BL313" s="153"/>
      <c r="BM313" s="153"/>
      <c r="BN313" s="153"/>
      <c r="BO313" s="153"/>
      <c r="BP313" s="153"/>
      <c r="BQ313" s="153"/>
      <c r="BR313" s="153"/>
      <c r="BS313" s="153"/>
      <c r="BT313" s="153"/>
      <c r="BU313" s="153"/>
      <c r="BV313" s="153"/>
      <c r="BW313" s="153"/>
      <c r="BX313" s="153"/>
      <c r="BY313" s="153"/>
      <c r="BZ313" s="153"/>
      <c r="CA313" s="153"/>
      <c r="CB313" s="153"/>
      <c r="CC313" s="153"/>
      <c r="CD313" s="153"/>
      <c r="CE313" s="153"/>
      <c r="CF313" s="153"/>
      <c r="CG313" s="153"/>
      <c r="CH313" s="153"/>
      <c r="CI313" s="153"/>
      <c r="CJ313" s="153"/>
      <c r="CK313" s="153"/>
      <c r="CL313" s="153"/>
      <c r="CM313" s="153"/>
      <c r="CN313" s="153"/>
      <c r="CO313" s="153"/>
      <c r="CP313" s="153"/>
      <c r="CQ313" s="153"/>
      <c r="CR313" s="153"/>
      <c r="CS313" s="153"/>
      <c r="CT313" s="153"/>
      <c r="CU313" s="153"/>
      <c r="CV313" s="153"/>
      <c r="CW313" s="153"/>
      <c r="CX313" s="153"/>
      <c r="CY313" s="153"/>
      <c r="CZ313" s="153"/>
      <c r="DA313" s="153"/>
      <c r="DB313" s="153"/>
      <c r="DC313" s="153"/>
      <c r="DD313" s="153"/>
      <c r="DE313" s="153"/>
      <c r="DF313" s="153"/>
      <c r="DG313" s="153"/>
      <c r="DH313" s="153"/>
      <c r="DI313" s="153"/>
      <c r="DJ313" s="153"/>
      <c r="DK313" s="153"/>
      <c r="DL313" s="153"/>
      <c r="DM313" s="153"/>
      <c r="DN313" s="153"/>
      <c r="DO313" s="153"/>
      <c r="DP313" s="153"/>
      <c r="DQ313" s="153"/>
      <c r="DR313" s="153"/>
      <c r="DS313" s="153"/>
      <c r="DT313" s="153"/>
      <c r="DU313" s="153"/>
      <c r="DV313" s="153"/>
      <c r="DW313" s="153"/>
      <c r="DX313" s="153"/>
      <c r="DY313" s="153"/>
    </row>
    <row r="314" spans="1:129" ht="15" customHeight="1" x14ac:dyDescent="0.2">
      <c r="A314" s="153"/>
      <c r="B314" s="153"/>
      <c r="C314" s="153"/>
      <c r="D314" s="153"/>
      <c r="E314" s="153"/>
      <c r="F314" s="153"/>
      <c r="G314" s="153"/>
      <c r="H314" s="153"/>
      <c r="I314" s="153"/>
      <c r="J314" s="153"/>
      <c r="K314" s="153"/>
      <c r="L314" s="153"/>
      <c r="M314" s="153"/>
      <c r="N314" s="153"/>
      <c r="O314" s="153"/>
      <c r="P314" s="153"/>
      <c r="Q314" s="153"/>
      <c r="R314" s="153"/>
      <c r="S314" s="153"/>
      <c r="T314" s="153"/>
      <c r="U314" s="15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/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  <c r="BI314" s="153"/>
      <c r="BJ314" s="153"/>
      <c r="BK314" s="153"/>
      <c r="BL314" s="153"/>
      <c r="BM314" s="153"/>
      <c r="BN314" s="153"/>
      <c r="BO314" s="153"/>
      <c r="BP314" s="153"/>
      <c r="BQ314" s="153"/>
      <c r="BR314" s="153"/>
      <c r="BS314" s="153"/>
      <c r="BT314" s="153"/>
      <c r="BU314" s="153"/>
      <c r="BV314" s="153"/>
      <c r="BW314" s="153"/>
      <c r="BX314" s="153"/>
      <c r="BY314" s="153"/>
      <c r="BZ314" s="153"/>
      <c r="CA314" s="153"/>
      <c r="CB314" s="153"/>
      <c r="CC314" s="153"/>
      <c r="CD314" s="153"/>
      <c r="CE314" s="153"/>
      <c r="CF314" s="153"/>
      <c r="CG314" s="153"/>
      <c r="CH314" s="153"/>
      <c r="CI314" s="153"/>
      <c r="CJ314" s="153"/>
      <c r="CK314" s="153"/>
      <c r="CL314" s="153"/>
      <c r="CM314" s="153"/>
      <c r="CN314" s="153"/>
      <c r="CO314" s="153"/>
      <c r="CP314" s="153"/>
      <c r="CQ314" s="153"/>
      <c r="CR314" s="153"/>
      <c r="CS314" s="153"/>
      <c r="CT314" s="153"/>
      <c r="CU314" s="153"/>
      <c r="CV314" s="153"/>
      <c r="CW314" s="153"/>
      <c r="CX314" s="153"/>
      <c r="CY314" s="153"/>
      <c r="CZ314" s="153"/>
      <c r="DA314" s="153"/>
      <c r="DB314" s="153"/>
      <c r="DC314" s="153"/>
      <c r="DD314" s="153"/>
      <c r="DE314" s="153"/>
      <c r="DF314" s="153"/>
      <c r="DG314" s="153"/>
      <c r="DH314" s="153"/>
      <c r="DI314" s="153"/>
      <c r="DJ314" s="153"/>
      <c r="DK314" s="153"/>
      <c r="DL314" s="153"/>
      <c r="DM314" s="153"/>
      <c r="DN314" s="153"/>
      <c r="DO314" s="153"/>
      <c r="DP314" s="153"/>
      <c r="DQ314" s="153"/>
      <c r="DR314" s="153"/>
      <c r="DS314" s="153"/>
      <c r="DT314" s="153"/>
      <c r="DU314" s="153"/>
      <c r="DV314" s="153"/>
      <c r="DW314" s="153"/>
      <c r="DX314" s="153"/>
      <c r="DY314" s="153"/>
    </row>
    <row r="315" spans="1:129" ht="15" customHeight="1" x14ac:dyDescent="0.2">
      <c r="A315" s="153"/>
      <c r="B315" s="153"/>
      <c r="C315" s="153"/>
      <c r="D315" s="153"/>
      <c r="E315" s="153"/>
      <c r="F315" s="153"/>
      <c r="G315" s="153"/>
      <c r="H315" s="153"/>
      <c r="I315" s="153"/>
      <c r="J315" s="153"/>
      <c r="K315" s="153"/>
      <c r="L315" s="153"/>
      <c r="M315" s="153"/>
      <c r="N315" s="153"/>
      <c r="O315" s="153"/>
      <c r="P315" s="153"/>
      <c r="Q315" s="153"/>
      <c r="R315" s="153"/>
      <c r="S315" s="153"/>
      <c r="T315" s="153"/>
      <c r="U315" s="15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  <c r="BI315" s="153"/>
      <c r="BJ315" s="153"/>
      <c r="BK315" s="153"/>
      <c r="BL315" s="153"/>
      <c r="BM315" s="153"/>
      <c r="BN315" s="153"/>
      <c r="BO315" s="153"/>
      <c r="BP315" s="153"/>
      <c r="BQ315" s="153"/>
      <c r="BR315" s="153"/>
      <c r="BS315" s="153"/>
      <c r="BT315" s="153"/>
      <c r="BU315" s="153"/>
      <c r="BV315" s="153"/>
      <c r="BW315" s="153"/>
      <c r="BX315" s="153"/>
      <c r="BY315" s="153"/>
      <c r="BZ315" s="153"/>
      <c r="CA315" s="153"/>
      <c r="CB315" s="153"/>
      <c r="CC315" s="153"/>
      <c r="CD315" s="153"/>
      <c r="CE315" s="153"/>
      <c r="CF315" s="153"/>
      <c r="CG315" s="153"/>
      <c r="CH315" s="153"/>
      <c r="CI315" s="153"/>
      <c r="CJ315" s="153"/>
      <c r="CK315" s="153"/>
      <c r="CL315" s="153"/>
      <c r="CM315" s="153"/>
      <c r="CN315" s="153"/>
      <c r="CO315" s="153"/>
      <c r="CP315" s="153"/>
      <c r="CQ315" s="153"/>
      <c r="CR315" s="153"/>
      <c r="CS315" s="153"/>
      <c r="CT315" s="153"/>
      <c r="CU315" s="153"/>
      <c r="CV315" s="153"/>
      <c r="CW315" s="153"/>
      <c r="CX315" s="153"/>
      <c r="CY315" s="153"/>
      <c r="CZ315" s="153"/>
      <c r="DA315" s="153"/>
      <c r="DB315" s="153"/>
      <c r="DC315" s="153"/>
      <c r="DD315" s="153"/>
      <c r="DE315" s="153"/>
      <c r="DF315" s="153"/>
      <c r="DG315" s="153"/>
      <c r="DH315" s="153"/>
      <c r="DI315" s="153"/>
      <c r="DJ315" s="153"/>
      <c r="DK315" s="153"/>
      <c r="DL315" s="153"/>
      <c r="DM315" s="153"/>
      <c r="DN315" s="153"/>
      <c r="DO315" s="153"/>
      <c r="DP315" s="153"/>
      <c r="DQ315" s="153"/>
      <c r="DR315" s="153"/>
      <c r="DS315" s="153"/>
      <c r="DT315" s="153"/>
      <c r="DU315" s="153"/>
      <c r="DV315" s="153"/>
      <c r="DW315" s="153"/>
      <c r="DX315" s="153"/>
      <c r="DY315" s="153"/>
    </row>
    <row r="316" spans="1:129" ht="15" customHeight="1" x14ac:dyDescent="0.2">
      <c r="A316" s="153"/>
      <c r="B316" s="153"/>
      <c r="C316" s="153"/>
      <c r="D316" s="153"/>
      <c r="E316" s="153"/>
      <c r="F316" s="153"/>
      <c r="G316" s="153"/>
      <c r="H316" s="153"/>
      <c r="I316" s="153"/>
      <c r="J316" s="153"/>
      <c r="K316" s="153"/>
      <c r="L316" s="153"/>
      <c r="M316" s="153"/>
      <c r="N316" s="153"/>
      <c r="O316" s="153"/>
      <c r="P316" s="153"/>
      <c r="Q316" s="153"/>
      <c r="R316" s="153"/>
      <c r="S316" s="153"/>
      <c r="T316" s="153"/>
      <c r="U316" s="15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  <c r="BI316" s="153"/>
      <c r="BJ316" s="153"/>
      <c r="BK316" s="153"/>
      <c r="BL316" s="153"/>
      <c r="BM316" s="153"/>
      <c r="BN316" s="153"/>
      <c r="BO316" s="153"/>
      <c r="BP316" s="153"/>
      <c r="BQ316" s="153"/>
      <c r="BR316" s="153"/>
      <c r="BS316" s="153"/>
      <c r="BT316" s="153"/>
      <c r="BU316" s="153"/>
      <c r="BV316" s="153"/>
      <c r="BW316" s="153"/>
      <c r="BX316" s="153"/>
      <c r="BY316" s="153"/>
      <c r="BZ316" s="153"/>
      <c r="CA316" s="153"/>
      <c r="CB316" s="153"/>
      <c r="CC316" s="153"/>
      <c r="CD316" s="153"/>
      <c r="CE316" s="153"/>
      <c r="CF316" s="153"/>
      <c r="CG316" s="153"/>
      <c r="CH316" s="153"/>
      <c r="CI316" s="153"/>
      <c r="CJ316" s="153"/>
      <c r="CK316" s="153"/>
      <c r="CL316" s="153"/>
      <c r="CM316" s="153"/>
      <c r="CN316" s="153"/>
      <c r="CO316" s="153"/>
      <c r="CP316" s="153"/>
      <c r="CQ316" s="153"/>
      <c r="CR316" s="153"/>
      <c r="CS316" s="153"/>
      <c r="CT316" s="153"/>
      <c r="CU316" s="153"/>
      <c r="CV316" s="153"/>
      <c r="CW316" s="153"/>
      <c r="CX316" s="153"/>
      <c r="CY316" s="153"/>
      <c r="CZ316" s="153"/>
      <c r="DA316" s="153"/>
      <c r="DB316" s="153"/>
      <c r="DC316" s="153"/>
      <c r="DD316" s="153"/>
      <c r="DE316" s="153"/>
      <c r="DF316" s="153"/>
      <c r="DG316" s="153"/>
      <c r="DH316" s="153"/>
      <c r="DI316" s="153"/>
      <c r="DJ316" s="153"/>
      <c r="DK316" s="153"/>
      <c r="DL316" s="153"/>
      <c r="DM316" s="153"/>
      <c r="DN316" s="153"/>
      <c r="DO316" s="153"/>
      <c r="DP316" s="153"/>
      <c r="DQ316" s="153"/>
      <c r="DR316" s="153"/>
      <c r="DS316" s="153"/>
      <c r="DT316" s="153"/>
      <c r="DU316" s="153"/>
      <c r="DV316" s="153"/>
      <c r="DW316" s="153"/>
      <c r="DX316" s="153"/>
      <c r="DY316" s="153"/>
    </row>
    <row r="317" spans="1:129" ht="15" customHeight="1" x14ac:dyDescent="0.2">
      <c r="A317" s="153"/>
      <c r="B317" s="153"/>
      <c r="C317" s="153"/>
      <c r="D317" s="153"/>
      <c r="E317" s="153"/>
      <c r="F317" s="153"/>
      <c r="G317" s="153"/>
      <c r="H317" s="153"/>
      <c r="I317" s="153"/>
      <c r="J317" s="153"/>
      <c r="K317" s="153"/>
      <c r="L317" s="153"/>
      <c r="M317" s="153"/>
      <c r="N317" s="153"/>
      <c r="O317" s="153"/>
      <c r="P317" s="153"/>
      <c r="Q317" s="153"/>
      <c r="R317" s="153"/>
      <c r="S317" s="153"/>
      <c r="T317" s="153"/>
      <c r="U317" s="15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/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  <c r="BI317" s="153"/>
      <c r="BJ317" s="153"/>
      <c r="BK317" s="153"/>
      <c r="BL317" s="153"/>
      <c r="BM317" s="153"/>
      <c r="BN317" s="153"/>
      <c r="BO317" s="153"/>
      <c r="BP317" s="153"/>
      <c r="BQ317" s="153"/>
      <c r="BR317" s="153"/>
      <c r="BS317" s="153"/>
      <c r="BT317" s="153"/>
      <c r="BU317" s="153"/>
      <c r="BV317" s="153"/>
      <c r="BW317" s="153"/>
      <c r="BX317" s="153"/>
      <c r="BY317" s="153"/>
      <c r="BZ317" s="153"/>
      <c r="CA317" s="153"/>
      <c r="CB317" s="153"/>
      <c r="CC317" s="153"/>
      <c r="CD317" s="153"/>
      <c r="CE317" s="153"/>
      <c r="CF317" s="153"/>
      <c r="CG317" s="153"/>
      <c r="CH317" s="153"/>
      <c r="CI317" s="153"/>
      <c r="CJ317" s="153"/>
      <c r="CK317" s="153"/>
      <c r="CL317" s="153"/>
      <c r="CM317" s="153"/>
      <c r="CN317" s="153"/>
      <c r="CO317" s="153"/>
      <c r="CP317" s="153"/>
      <c r="CQ317" s="153"/>
      <c r="CR317" s="153"/>
      <c r="CS317" s="153"/>
      <c r="CT317" s="153"/>
      <c r="CU317" s="153"/>
      <c r="CV317" s="153"/>
      <c r="CW317" s="153"/>
      <c r="CX317" s="153"/>
      <c r="CY317" s="153"/>
      <c r="CZ317" s="153"/>
      <c r="DA317" s="153"/>
      <c r="DB317" s="153"/>
      <c r="DC317" s="153"/>
      <c r="DD317" s="153"/>
      <c r="DE317" s="153"/>
      <c r="DF317" s="153"/>
      <c r="DG317" s="153"/>
      <c r="DH317" s="153"/>
      <c r="DI317" s="153"/>
      <c r="DJ317" s="153"/>
      <c r="DK317" s="153"/>
      <c r="DL317" s="153"/>
      <c r="DM317" s="153"/>
      <c r="DN317" s="153"/>
      <c r="DO317" s="153"/>
      <c r="DP317" s="153"/>
      <c r="DQ317" s="153"/>
      <c r="DR317" s="153"/>
      <c r="DS317" s="153"/>
      <c r="DT317" s="153"/>
      <c r="DU317" s="153"/>
      <c r="DV317" s="153"/>
      <c r="DW317" s="153"/>
      <c r="DX317" s="153"/>
      <c r="DY317" s="153"/>
    </row>
    <row r="318" spans="1:129" ht="15" customHeight="1" x14ac:dyDescent="0.2">
      <c r="A318" s="153"/>
      <c r="B318" s="153"/>
      <c r="C318" s="153"/>
      <c r="D318" s="153"/>
      <c r="E318" s="153"/>
      <c r="F318" s="153"/>
      <c r="G318" s="153"/>
      <c r="H318" s="153"/>
      <c r="I318" s="153"/>
      <c r="J318" s="153"/>
      <c r="K318" s="153"/>
      <c r="L318" s="153"/>
      <c r="M318" s="153"/>
      <c r="N318" s="153"/>
      <c r="O318" s="153"/>
      <c r="P318" s="153"/>
      <c r="Q318" s="153"/>
      <c r="R318" s="153"/>
      <c r="S318" s="153"/>
      <c r="T318" s="153"/>
      <c r="U318" s="15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  <c r="BI318" s="153"/>
      <c r="BJ318" s="153"/>
      <c r="BK318" s="153"/>
      <c r="BL318" s="153"/>
      <c r="BM318" s="153"/>
      <c r="BN318" s="153"/>
      <c r="BO318" s="153"/>
      <c r="BP318" s="153"/>
      <c r="BQ318" s="153"/>
      <c r="BR318" s="153"/>
      <c r="BS318" s="153"/>
      <c r="BT318" s="153"/>
      <c r="BU318" s="153"/>
      <c r="BV318" s="153"/>
      <c r="BW318" s="153"/>
      <c r="BX318" s="153"/>
      <c r="BY318" s="153"/>
      <c r="BZ318" s="153"/>
      <c r="CA318" s="153"/>
      <c r="CB318" s="153"/>
      <c r="CC318" s="153"/>
      <c r="CD318" s="153"/>
      <c r="CE318" s="153"/>
      <c r="CF318" s="153"/>
      <c r="CG318" s="153"/>
      <c r="CH318" s="153"/>
      <c r="CI318" s="153"/>
      <c r="CJ318" s="153"/>
      <c r="CK318" s="153"/>
      <c r="CL318" s="153"/>
      <c r="CM318" s="153"/>
      <c r="CN318" s="153"/>
      <c r="CO318" s="153"/>
      <c r="CP318" s="153"/>
      <c r="CQ318" s="153"/>
      <c r="CR318" s="153"/>
      <c r="CS318" s="153"/>
      <c r="CT318" s="153"/>
      <c r="CU318" s="153"/>
      <c r="CV318" s="153"/>
      <c r="CW318" s="153"/>
      <c r="CX318" s="153"/>
      <c r="CY318" s="153"/>
      <c r="CZ318" s="153"/>
      <c r="DA318" s="153"/>
      <c r="DB318" s="153"/>
      <c r="DC318" s="153"/>
      <c r="DD318" s="153"/>
      <c r="DE318" s="153"/>
      <c r="DF318" s="153"/>
      <c r="DG318" s="153"/>
      <c r="DH318" s="153"/>
      <c r="DI318" s="153"/>
      <c r="DJ318" s="153"/>
      <c r="DK318" s="153"/>
      <c r="DL318" s="153"/>
      <c r="DM318" s="153"/>
      <c r="DN318" s="153"/>
      <c r="DO318" s="153"/>
      <c r="DP318" s="153"/>
      <c r="DQ318" s="153"/>
      <c r="DR318" s="153"/>
      <c r="DS318" s="153"/>
      <c r="DT318" s="153"/>
      <c r="DU318" s="153"/>
      <c r="DV318" s="153"/>
      <c r="DW318" s="153"/>
      <c r="DX318" s="153"/>
      <c r="DY318" s="153"/>
    </row>
    <row r="319" spans="1:129" ht="15" customHeight="1" x14ac:dyDescent="0.2">
      <c r="A319" s="153"/>
      <c r="B319" s="153"/>
      <c r="C319" s="153"/>
      <c r="D319" s="153"/>
      <c r="E319" s="153"/>
      <c r="F319" s="153"/>
      <c r="G319" s="153"/>
      <c r="H319" s="153"/>
      <c r="I319" s="153"/>
      <c r="J319" s="153"/>
      <c r="K319" s="153"/>
      <c r="L319" s="153"/>
      <c r="M319" s="153"/>
      <c r="N319" s="153"/>
      <c r="O319" s="153"/>
      <c r="P319" s="153"/>
      <c r="Q319" s="153"/>
      <c r="R319" s="153"/>
      <c r="S319" s="153"/>
      <c r="T319" s="153"/>
      <c r="U319" s="15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  <c r="BI319" s="153"/>
      <c r="BJ319" s="153"/>
      <c r="BK319" s="153"/>
      <c r="BL319" s="153"/>
      <c r="BM319" s="153"/>
      <c r="BN319" s="153"/>
      <c r="BO319" s="153"/>
      <c r="BP319" s="153"/>
      <c r="BQ319" s="153"/>
      <c r="BR319" s="153"/>
      <c r="BS319" s="153"/>
      <c r="BT319" s="153"/>
      <c r="BU319" s="153"/>
      <c r="BV319" s="153"/>
      <c r="BW319" s="153"/>
      <c r="BX319" s="153"/>
      <c r="BY319" s="153"/>
      <c r="BZ319" s="153"/>
      <c r="CA319" s="153"/>
      <c r="CB319" s="153"/>
      <c r="CC319" s="153"/>
      <c r="CD319" s="153"/>
      <c r="CE319" s="153"/>
      <c r="CF319" s="153"/>
      <c r="CG319" s="153"/>
      <c r="CH319" s="153"/>
      <c r="CI319" s="153"/>
      <c r="CJ319" s="153"/>
      <c r="CK319" s="153"/>
      <c r="CL319" s="153"/>
      <c r="CM319" s="153"/>
      <c r="CN319" s="153"/>
      <c r="CO319" s="153"/>
      <c r="CP319" s="153"/>
      <c r="CQ319" s="153"/>
      <c r="CR319" s="153"/>
      <c r="CS319" s="153"/>
      <c r="CT319" s="153"/>
      <c r="CU319" s="153"/>
      <c r="CV319" s="153"/>
      <c r="CW319" s="153"/>
      <c r="CX319" s="153"/>
      <c r="CY319" s="153"/>
      <c r="CZ319" s="153"/>
      <c r="DA319" s="153"/>
      <c r="DB319" s="153"/>
      <c r="DC319" s="153"/>
      <c r="DD319" s="153"/>
      <c r="DE319" s="153"/>
      <c r="DF319" s="153"/>
      <c r="DG319" s="153"/>
      <c r="DH319" s="153"/>
      <c r="DI319" s="153"/>
      <c r="DJ319" s="153"/>
      <c r="DK319" s="153"/>
      <c r="DL319" s="153"/>
      <c r="DM319" s="153"/>
      <c r="DN319" s="153"/>
      <c r="DO319" s="153"/>
      <c r="DP319" s="153"/>
      <c r="DQ319" s="153"/>
      <c r="DR319" s="153"/>
      <c r="DS319" s="153"/>
      <c r="DT319" s="153"/>
      <c r="DU319" s="153"/>
      <c r="DV319" s="153"/>
      <c r="DW319" s="153"/>
      <c r="DX319" s="153"/>
      <c r="DY319" s="153"/>
    </row>
    <row r="320" spans="1:129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</sheetData>
  <sheetProtection password="CA20" sheet="1" objects="1" scenarios="1"/>
  <customSheetViews>
    <customSheetView guid="{EDFC4C12-2844-47F2-A6A6-59EDD90C46DD}" topLeftCell="A19">
      <selection activeCell="BM42" sqref="BM42"/>
      <pageMargins left="0.70866141732283472" right="0.39370078740157483" top="0.39370078740157483" bottom="0.39370078740157483" header="0.27559055118110237" footer="0.19685039370078741"/>
      <printOptions horizontalCentered="1"/>
      <pageSetup paperSize="9" scale="88" orientation="portrait" horizontalDpi="1200" verticalDpi="1200" r:id="rId1"/>
      <headerFooter>
        <oddHeader>&amp;C&amp;6STRENGTH  DESIGN  METHOD : Quick SDM Plus</oddHeader>
        <oddFooter>&amp;C&amp;8Design Calculation</oddFooter>
      </headerFooter>
    </customSheetView>
  </customSheetViews>
  <mergeCells count="232">
    <mergeCell ref="H8:J8"/>
    <mergeCell ref="H28:J28"/>
    <mergeCell ref="H26:J26"/>
    <mergeCell ref="D2:F3"/>
    <mergeCell ref="R2:W3"/>
    <mergeCell ref="H4:J4"/>
    <mergeCell ref="H6:J6"/>
    <mergeCell ref="U4:AD4"/>
    <mergeCell ref="U6:AD6"/>
    <mergeCell ref="U8:AD8"/>
    <mergeCell ref="W31:AB31"/>
    <mergeCell ref="AC17:AE17"/>
    <mergeCell ref="W20:AB20"/>
    <mergeCell ref="W21:AB21"/>
    <mergeCell ref="AC20:AE20"/>
    <mergeCell ref="AC21:AE21"/>
    <mergeCell ref="AC22:AE22"/>
    <mergeCell ref="AC23:AE23"/>
    <mergeCell ref="W22:AB22"/>
    <mergeCell ref="W23:AB23"/>
    <mergeCell ref="W37:AB37"/>
    <mergeCell ref="T30:V30"/>
    <mergeCell ref="W28:AB28"/>
    <mergeCell ref="W29:AB29"/>
    <mergeCell ref="W30:AB30"/>
    <mergeCell ref="H12:J12"/>
    <mergeCell ref="D10:K11"/>
    <mergeCell ref="H20:K20"/>
    <mergeCell ref="T25:V25"/>
    <mergeCell ref="W25:AE25"/>
    <mergeCell ref="T26:V26"/>
    <mergeCell ref="T27:V27"/>
    <mergeCell ref="T28:V28"/>
    <mergeCell ref="T29:V29"/>
    <mergeCell ref="H14:J14"/>
    <mergeCell ref="H16:J16"/>
    <mergeCell ref="D18:H19"/>
    <mergeCell ref="D22:F23"/>
    <mergeCell ref="H24:J24"/>
    <mergeCell ref="Q17:S19"/>
    <mergeCell ref="Q25:S37"/>
    <mergeCell ref="Q20:S24"/>
    <mergeCell ref="T24:V24"/>
    <mergeCell ref="W24:AB24"/>
    <mergeCell ref="T32:V32"/>
    <mergeCell ref="W32:AE32"/>
    <mergeCell ref="T33:V33"/>
    <mergeCell ref="T34:V34"/>
    <mergeCell ref="T35:V35"/>
    <mergeCell ref="T36:V36"/>
    <mergeCell ref="W33:AB33"/>
    <mergeCell ref="W34:AB34"/>
    <mergeCell ref="W35:AB35"/>
    <mergeCell ref="W36:AB36"/>
    <mergeCell ref="FK61:FM61"/>
    <mergeCell ref="FO61:FQ61"/>
    <mergeCell ref="EG60:EM60"/>
    <mergeCell ref="ER49:ES49"/>
    <mergeCell ref="ER50:ES50"/>
    <mergeCell ref="ER48:ES48"/>
    <mergeCell ref="EE37:EF37"/>
    <mergeCell ref="EW45:EX45"/>
    <mergeCell ref="EW46:EX46"/>
    <mergeCell ref="ER47:ES47"/>
    <mergeCell ref="ET47:EU47"/>
    <mergeCell ref="EF43:EH43"/>
    <mergeCell ref="EN43:EP43"/>
    <mergeCell ref="ER43:ES43"/>
    <mergeCell ref="ET43:EU43"/>
    <mergeCell ref="EW43:EX43"/>
    <mergeCell ref="ER44:ES44"/>
    <mergeCell ref="ET44:EU44"/>
    <mergeCell ref="EW44:EX44"/>
    <mergeCell ref="ES63:EU63"/>
    <mergeCell ref="EG62:EI62"/>
    <mergeCell ref="ES62:EU62"/>
    <mergeCell ref="EW36:EX36"/>
    <mergeCell ref="EW37:EX37"/>
    <mergeCell ref="EC39:EE39"/>
    <mergeCell ref="EE35:EF35"/>
    <mergeCell ref="EW35:EX35"/>
    <mergeCell ref="EP36:EQ36"/>
    <mergeCell ref="EG61:EI61"/>
    <mergeCell ref="ES61:EU61"/>
    <mergeCell ref="EC38:ED38"/>
    <mergeCell ref="FS67:FT67"/>
    <mergeCell ref="FS66:FT66"/>
    <mergeCell ref="FO64:FQ64"/>
    <mergeCell ref="FA66:FB66"/>
    <mergeCell ref="FM71:FN71"/>
    <mergeCell ref="FQ71:FR71"/>
    <mergeCell ref="EG66:EI66"/>
    <mergeCell ref="EG64:EI64"/>
    <mergeCell ref="FR60:FT60"/>
    <mergeCell ref="FK63:FM63"/>
    <mergeCell ref="FO63:FQ63"/>
    <mergeCell ref="EG68:EI68"/>
    <mergeCell ref="FG70:FI70"/>
    <mergeCell ref="FM70:FN70"/>
    <mergeCell ref="EG67:EI67"/>
    <mergeCell ref="EG69:EI69"/>
    <mergeCell ref="FG71:FI71"/>
    <mergeCell ref="EG65:EI65"/>
    <mergeCell ref="FL67:FM67"/>
    <mergeCell ref="FK62:FM62"/>
    <mergeCell ref="FO62:FQ62"/>
    <mergeCell ref="FK60:FM60"/>
    <mergeCell ref="FO60:FQ60"/>
    <mergeCell ref="EG63:EI63"/>
    <mergeCell ref="JS71:JT71"/>
    <mergeCell ref="FS68:FT68"/>
    <mergeCell ref="JQ68:JR68"/>
    <mergeCell ref="FF75:FG75"/>
    <mergeCell ref="EG75:EI75"/>
    <mergeCell ref="FG76:FH76"/>
    <mergeCell ref="FB74:FD74"/>
    <mergeCell ref="EG70:EI70"/>
    <mergeCell ref="FA68:FB68"/>
    <mergeCell ref="EY69:EZ69"/>
    <mergeCell ref="EG71:EI71"/>
    <mergeCell ref="JQ74:JS74"/>
    <mergeCell ref="JT74:JV74"/>
    <mergeCell ref="FI76:FJ76"/>
    <mergeCell ref="FL76:FM76"/>
    <mergeCell ref="EG72:EI72"/>
    <mergeCell ref="FG72:FI72"/>
    <mergeCell ref="FM72:FN72"/>
    <mergeCell ref="FJ74:FL74"/>
    <mergeCell ref="FQ70:FR70"/>
    <mergeCell ref="JQ71:JR71"/>
    <mergeCell ref="EG76:EI76"/>
    <mergeCell ref="EG74:EI74"/>
    <mergeCell ref="EG73:EI73"/>
    <mergeCell ref="JQ77:JS77"/>
    <mergeCell ref="JT77:JV77"/>
    <mergeCell ref="EG92:EI92"/>
    <mergeCell ref="FL78:FM78"/>
    <mergeCell ref="FL79:FM79"/>
    <mergeCell ref="EG91:EI91"/>
    <mergeCell ref="FG77:FH77"/>
    <mergeCell ref="FI77:FJ77"/>
    <mergeCell ref="FL77:FM77"/>
    <mergeCell ref="EG77:EI77"/>
    <mergeCell ref="EG78:EI78"/>
    <mergeCell ref="EG79:EI79"/>
    <mergeCell ref="EG80:EI80"/>
    <mergeCell ref="EG81:EI81"/>
    <mergeCell ref="EG82:EI82"/>
    <mergeCell ref="EG83:EI83"/>
    <mergeCell ref="EC84:ED84"/>
    <mergeCell ref="EG84:EI84"/>
    <mergeCell ref="EG87:EI87"/>
    <mergeCell ref="EI86:EJ86"/>
    <mergeCell ref="EG88:EI88"/>
    <mergeCell ref="EG89:EI89"/>
    <mergeCell ref="EC90:ED90"/>
    <mergeCell ref="EG90:EI90"/>
    <mergeCell ref="FG95:FH95"/>
    <mergeCell ref="FA96:FC96"/>
    <mergeCell ref="FF96:FH96"/>
    <mergeCell ref="EE100:EG100"/>
    <mergeCell ref="EK100:EM100"/>
    <mergeCell ref="EQ100:ES100"/>
    <mergeCell ref="EC101:ED101"/>
    <mergeCell ref="EI101:EJ101"/>
    <mergeCell ref="EO101:EP101"/>
    <mergeCell ref="EY94:EZ94"/>
    <mergeCell ref="FA95:FB95"/>
    <mergeCell ref="FE95:FF95"/>
    <mergeCell ref="EC105:ED105"/>
    <mergeCell ref="EI105:EJ105"/>
    <mergeCell ref="EO105:EP105"/>
    <mergeCell ref="EC102:ED102"/>
    <mergeCell ref="EI102:EJ102"/>
    <mergeCell ref="EO102:EP102"/>
    <mergeCell ref="EC103:ED103"/>
    <mergeCell ref="EI103:EJ103"/>
    <mergeCell ref="EO103:EP103"/>
    <mergeCell ref="EC104:ED104"/>
    <mergeCell ref="EI104:EJ104"/>
    <mergeCell ref="EO104:EP104"/>
    <mergeCell ref="JM109:JO109"/>
    <mergeCell ref="EC110:ED110"/>
    <mergeCell ref="EI110:EJ110"/>
    <mergeCell ref="EO110:EP110"/>
    <mergeCell ref="JM110:JO110"/>
    <mergeCell ref="EC109:ED109"/>
    <mergeCell ref="EI109:EJ109"/>
    <mergeCell ref="EO109:EP109"/>
    <mergeCell ref="JM111:JP111"/>
    <mergeCell ref="EC112:ED112"/>
    <mergeCell ref="EI112:EJ112"/>
    <mergeCell ref="EO112:EP112"/>
    <mergeCell ref="EC111:ED111"/>
    <mergeCell ref="EI111:EJ111"/>
    <mergeCell ref="EO111:EP111"/>
    <mergeCell ref="EC113:ED113"/>
    <mergeCell ref="EI113:EJ113"/>
    <mergeCell ref="EO113:EP113"/>
    <mergeCell ref="EC108:ED108"/>
    <mergeCell ref="EI108:EJ108"/>
    <mergeCell ref="EO108:EP108"/>
    <mergeCell ref="EC106:ED106"/>
    <mergeCell ref="EI106:EJ106"/>
    <mergeCell ref="EO106:EP106"/>
    <mergeCell ref="EC107:ED107"/>
    <mergeCell ref="EI107:EJ107"/>
    <mergeCell ref="EO107:EP107"/>
    <mergeCell ref="EC115:ED115"/>
    <mergeCell ref="EI115:EJ115"/>
    <mergeCell ref="EO115:EP115"/>
    <mergeCell ref="EC114:ED114"/>
    <mergeCell ref="EI114:EJ114"/>
    <mergeCell ref="EO114:EP114"/>
    <mergeCell ref="U10:AD10"/>
    <mergeCell ref="U12:AD12"/>
    <mergeCell ref="U14:AD14"/>
    <mergeCell ref="T17:V17"/>
    <mergeCell ref="T20:V20"/>
    <mergeCell ref="T21:V21"/>
    <mergeCell ref="T23:V23"/>
    <mergeCell ref="W17:AB17"/>
    <mergeCell ref="T22:V22"/>
    <mergeCell ref="W18:AB18"/>
    <mergeCell ref="W19:AB19"/>
    <mergeCell ref="AC18:AE18"/>
    <mergeCell ref="AC19:AE19"/>
    <mergeCell ref="AC24:AE24"/>
    <mergeCell ref="T31:V31"/>
    <mergeCell ref="T37:V37"/>
    <mergeCell ref="W26:AB26"/>
    <mergeCell ref="W27:AB27"/>
  </mergeCells>
  <dataValidations count="26">
    <dataValidation type="list" allowBlank="1" showInputMessage="1" showErrorMessage="1" sqref="H28:J28">
      <formula1>$EY$43:$EY$48</formula1>
    </dataValidation>
    <dataValidation type="list" allowBlank="1" showInputMessage="1" showErrorMessage="1" sqref="H26:J26">
      <formula1>$FA$43:$FA$52</formula1>
    </dataValidation>
    <dataValidation type="list" allowBlank="1" showInputMessage="1" showErrorMessage="1" sqref="H20">
      <formula1>$FA$22:$FA$26</formula1>
    </dataValidation>
    <dataValidation type="list" allowBlank="1" showInputMessage="1" showErrorMessage="1" sqref="H14">
      <formula1>$FM$43:$FM$45</formula1>
    </dataValidation>
    <dataValidation type="list" allowBlank="1" showInputMessage="1" showErrorMessage="1" sqref="H12">
      <formula1>$FL$43:$FL$45</formula1>
    </dataValidation>
    <dataValidation type="list" allowBlank="1" showInputMessage="1" showErrorMessage="1" sqref="BW49:CA49 BW55:CA55">
      <formula1>$FC$43:$FC$57</formula1>
    </dataValidation>
    <dataValidation type="list" allowBlank="1" showInputMessage="1" showErrorMessage="1" sqref="EG60:EM60">
      <formula1>$EY$76:$EY$78</formula1>
    </dataValidation>
    <dataValidation type="list" allowBlank="1" showInputMessage="1" showErrorMessage="1" sqref="FC115:FD115 FF115:FK115 EG86:EH86 EJ85:EJ86">
      <formula1>#REF!</formula1>
    </dataValidation>
    <dataValidation type="list" allowBlank="1" showInputMessage="1" showErrorMessage="1" sqref="W21">
      <formula1>$FF$43:$FF$52</formula1>
    </dataValidation>
    <dataValidation type="list" allowBlank="1" showInputMessage="1" showErrorMessage="1" sqref="W20">
      <formula1>$FJ$43:$FJ$53</formula1>
    </dataValidation>
    <dataValidation type="list" allowBlank="1" showInputMessage="1" showErrorMessage="1" sqref="W19">
      <formula1>$EX$52:$EX$58</formula1>
    </dataValidation>
    <dataValidation type="list" allowBlank="1" showInputMessage="1" showErrorMessage="1" sqref="H4:J4 H6:J6">
      <formula1>$EW$43:$EW$46</formula1>
    </dataValidation>
    <dataValidation type="list" allowBlank="1" showInputMessage="1" showErrorMessage="1" sqref="H8:J8">
      <formula1>$FH$42:$FH$54</formula1>
    </dataValidation>
    <dataValidation type="list" allowBlank="1" showInputMessage="1" showErrorMessage="1" sqref="V150 V144 Z144 AD144">
      <formula1>#REF!</formula1>
    </dataValidation>
    <dataValidation type="list" allowBlank="1" showInputMessage="1" showErrorMessage="1" sqref="R135">
      <formula1>$AK$40:$AK$45</formula1>
    </dataValidation>
    <dataValidation type="list" allowBlank="1" showInputMessage="1" showErrorMessage="1" sqref="R129">
      <formula1>$AI$40:$AI$45</formula1>
    </dataValidation>
    <dataValidation type="list" allowBlank="1" showInputMessage="1" showErrorMessage="1" sqref="F116:H117">
      <formula1>#REF!</formula1>
    </dataValidation>
    <dataValidation type="list" allowBlank="1" showInputMessage="1" showErrorMessage="1" sqref="F115:H115">
      <formula1>$AP$23:$AP$35</formula1>
    </dataValidation>
    <dataValidation type="list" allowBlank="1" showInputMessage="1" showErrorMessage="1" sqref="F119:H119">
      <formula1>$AG$24:$AG$29</formula1>
    </dataValidation>
    <dataValidation type="list" allowBlank="1" showInputMessage="1" showErrorMessage="1" sqref="F121:H121">
      <formula1>$AI$24:$AI$33</formula1>
    </dataValidation>
    <dataValidation type="list" allowBlank="1" showInputMessage="1" showErrorMessage="1" sqref="Z146 Z135 AD146 V146 V153 Z129">
      <formula1>$AK$24:$AK$38</formula1>
    </dataValidation>
    <dataValidation type="list" allowBlank="1" showInputMessage="1" showErrorMessage="1" sqref="R116:T116">
      <formula1>#REF!</formula1>
    </dataValidation>
    <dataValidation type="list" allowBlank="1" showInputMessage="1" showErrorMessage="1" sqref="R117:T117">
      <formula1>$AN$24:$AN$33</formula1>
    </dataValidation>
    <dataValidation type="list" allowBlank="1" showInputMessage="1" showErrorMessage="1" sqref="R118:T119">
      <formula1>#REF!</formula1>
    </dataValidation>
    <dataValidation type="list" allowBlank="1" showInputMessage="1" sqref="W18:AB18">
      <formula1>$EV$52:$EV$58</formula1>
    </dataValidation>
    <dataValidation type="list" allowBlank="1" showInputMessage="1" showErrorMessage="1" sqref="W30 W36">
      <formula1>$FR$74:$FR$90</formula1>
    </dataValidation>
  </dataValidations>
  <hyperlinks>
    <hyperlink ref="BV76:DP77" location="'two way ACI-2'!A1" display="Top"/>
  </hyperlink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83" orientation="landscape" horizontalDpi="1200" verticalDpi="120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B1:BZ68"/>
  <sheetViews>
    <sheetView showGridLines="0" showRowColHeaders="0" zoomScaleNormal="100" workbookViewId="0">
      <selection activeCell="AS23" sqref="AS23"/>
    </sheetView>
  </sheetViews>
  <sheetFormatPr defaultColWidth="2.625" defaultRowHeight="14.1" customHeight="1" x14ac:dyDescent="0.2"/>
  <cols>
    <col min="1" max="6" width="2.625" style="33"/>
    <col min="7" max="8" width="2.625" style="33" customWidth="1"/>
    <col min="9" max="15" width="2.625" style="33"/>
    <col min="16" max="16" width="2.625" style="33" customWidth="1"/>
    <col min="17" max="18" width="2.625" style="33"/>
    <col min="19" max="19" width="2.625" style="33" customWidth="1"/>
    <col min="20" max="21" width="2.625" style="33"/>
    <col min="22" max="22" width="2.625" style="33" customWidth="1"/>
    <col min="23" max="27" width="2.625" style="33"/>
    <col min="28" max="28" width="2.625" style="33" customWidth="1"/>
    <col min="29" max="30" width="2.625" style="33"/>
    <col min="31" max="31" width="2.625" style="33" customWidth="1"/>
    <col min="32" max="16384" width="2.625" style="33"/>
  </cols>
  <sheetData>
    <row r="1" spans="2:73" ht="14.1" customHeight="1" x14ac:dyDescent="0.2">
      <c r="B1" s="235" t="s">
        <v>112</v>
      </c>
    </row>
    <row r="2" spans="2:73" ht="14.1" customHeight="1" thickBot="1" x14ac:dyDescent="0.25">
      <c r="B2" s="51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8"/>
    </row>
    <row r="3" spans="2:73" ht="14.1" customHeight="1" x14ac:dyDescent="0.2">
      <c r="B3" s="39"/>
      <c r="C3" s="8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9"/>
      <c r="AO3" s="36"/>
    </row>
    <row r="4" spans="2:73" ht="14.1" customHeight="1" x14ac:dyDescent="0.2">
      <c r="B4" s="39"/>
      <c r="C4" s="56"/>
      <c r="D4" s="130" t="s">
        <v>37</v>
      </c>
      <c r="E4" s="128"/>
      <c r="F4" s="128"/>
      <c r="G4" s="129"/>
      <c r="H4" s="115" t="str">
        <f>'Cantilever Slab'!U4</f>
        <v>อาคารคอนกรีตเสริมเหล็ก</v>
      </c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7"/>
      <c r="Y4" s="116"/>
      <c r="Z4" s="116"/>
      <c r="AA4" s="116"/>
      <c r="AB4" s="130" t="s">
        <v>130</v>
      </c>
      <c r="AC4" s="131"/>
      <c r="AD4" s="128"/>
      <c r="AE4" s="129"/>
      <c r="AF4" s="115" t="str">
        <f>'Cantilever Slab'!U10</f>
        <v>S-03</v>
      </c>
      <c r="AG4" s="116"/>
      <c r="AH4" s="116"/>
      <c r="AI4" s="116"/>
      <c r="AJ4" s="117"/>
      <c r="AK4" s="117"/>
      <c r="AL4" s="117"/>
      <c r="AM4" s="301"/>
      <c r="AN4" s="60"/>
      <c r="AO4" s="36"/>
    </row>
    <row r="5" spans="2:73" ht="14.1" customHeight="1" x14ac:dyDescent="0.2">
      <c r="B5" s="39"/>
      <c r="C5" s="56"/>
      <c r="D5" s="299" t="s">
        <v>38</v>
      </c>
      <c r="E5" s="124"/>
      <c r="F5" s="124"/>
      <c r="G5" s="125"/>
      <c r="H5" s="123" t="str">
        <f>'Cantilever Slab'!U6</f>
        <v>สำนักงานทรัพย์สินส่วนพระมหากษัตริย์</v>
      </c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2"/>
      <c r="Y5" s="121"/>
      <c r="Z5" s="121"/>
      <c r="AA5" s="121"/>
      <c r="AB5" s="126" t="s">
        <v>35</v>
      </c>
      <c r="AC5" s="127"/>
      <c r="AD5" s="124"/>
      <c r="AE5" s="125"/>
      <c r="AF5" s="123" t="str">
        <f>'Cantilever Slab'!U12</f>
        <v>ว่าที่ ร.ต.รณฤทธิ์ เพชสง</v>
      </c>
      <c r="AG5" s="121"/>
      <c r="AH5" s="121"/>
      <c r="AI5" s="121"/>
      <c r="AJ5" s="122"/>
      <c r="AK5" s="122"/>
      <c r="AL5" s="122"/>
      <c r="AM5" s="302"/>
      <c r="AN5" s="60"/>
      <c r="AO5" s="36"/>
    </row>
    <row r="6" spans="2:73" ht="14.1" customHeight="1" x14ac:dyDescent="0.2">
      <c r="B6" s="39"/>
      <c r="C6" s="56"/>
      <c r="D6" s="300" t="s">
        <v>39</v>
      </c>
      <c r="E6" s="132"/>
      <c r="F6" s="132"/>
      <c r="G6" s="133"/>
      <c r="H6" s="118" t="str">
        <f>'Cantilever Slab'!U8</f>
        <v>กรุงเทพมหานครฯ</v>
      </c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20"/>
      <c r="Y6" s="119"/>
      <c r="Z6" s="119"/>
      <c r="AA6" s="119"/>
      <c r="AB6" s="134" t="s">
        <v>36</v>
      </c>
      <c r="AC6" s="135"/>
      <c r="AD6" s="132"/>
      <c r="AE6" s="133"/>
      <c r="AF6" s="118" t="str">
        <f>'Cantilever Slab'!U14</f>
        <v>ภย.62026</v>
      </c>
      <c r="AG6" s="119"/>
      <c r="AH6" s="119"/>
      <c r="AI6" s="119"/>
      <c r="AJ6" s="120"/>
      <c r="AK6" s="120"/>
      <c r="AL6" s="120"/>
      <c r="AM6" s="303"/>
      <c r="AN6" s="60"/>
      <c r="AO6" s="36"/>
    </row>
    <row r="7" spans="2:73" ht="14.1" customHeight="1" x14ac:dyDescent="0.2">
      <c r="B7" s="39"/>
      <c r="C7" s="56"/>
      <c r="D7" s="73" t="s">
        <v>40</v>
      </c>
      <c r="E7" s="67"/>
      <c r="F7" s="67"/>
      <c r="G7" s="67"/>
      <c r="H7" s="67"/>
      <c r="I7" s="67"/>
      <c r="J7" s="67"/>
      <c r="K7" s="67"/>
      <c r="L7" s="55"/>
      <c r="M7" s="67"/>
      <c r="N7" s="67"/>
      <c r="O7" s="67"/>
      <c r="P7" s="74" t="s">
        <v>129</v>
      </c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73" t="s">
        <v>41</v>
      </c>
      <c r="AC7" s="67"/>
      <c r="AD7" s="67"/>
      <c r="AE7" s="67"/>
      <c r="AF7" s="67"/>
      <c r="AG7" s="67"/>
      <c r="AH7" s="67"/>
      <c r="AI7" s="67"/>
      <c r="AJ7" s="40"/>
      <c r="AK7" s="40"/>
      <c r="AL7" s="40"/>
      <c r="AM7" s="40"/>
      <c r="AN7" s="60"/>
      <c r="AO7" s="36"/>
    </row>
    <row r="8" spans="2:73" ht="14.1" customHeight="1" x14ac:dyDescent="0.2">
      <c r="B8" s="39"/>
      <c r="C8" s="56"/>
      <c r="D8" s="75" t="s">
        <v>3</v>
      </c>
      <c r="E8" s="375"/>
      <c r="F8" s="464" t="s">
        <v>1</v>
      </c>
      <c r="G8" s="534">
        <f>'Cantilever Slab'!EG61</f>
        <v>150</v>
      </c>
      <c r="H8" s="534"/>
      <c r="I8" s="534"/>
      <c r="J8" s="464" t="s">
        <v>2</v>
      </c>
      <c r="K8" s="40"/>
      <c r="L8" s="40"/>
      <c r="M8" s="40"/>
      <c r="N8" s="67"/>
      <c r="O8" s="67"/>
      <c r="P8" s="75" t="s">
        <v>127</v>
      </c>
      <c r="Q8" s="67"/>
      <c r="R8" s="464" t="s">
        <v>1</v>
      </c>
      <c r="S8" s="535">
        <f>'Cantilever Slab'!EG64</f>
        <v>1.2</v>
      </c>
      <c r="T8" s="535"/>
      <c r="U8" s="535"/>
      <c r="V8" s="464" t="s">
        <v>12</v>
      </c>
      <c r="W8" s="66"/>
      <c r="X8" s="66"/>
      <c r="Y8" s="67"/>
      <c r="Z8" s="67"/>
      <c r="AA8" s="67"/>
      <c r="AB8" s="76" t="s">
        <v>28</v>
      </c>
      <c r="AC8" s="40"/>
      <c r="AD8" s="464" t="s">
        <v>1</v>
      </c>
      <c r="AE8" s="535">
        <f>'Cantilever Slab'!H16</f>
        <v>0.85</v>
      </c>
      <c r="AF8" s="534"/>
      <c r="AG8" s="534"/>
      <c r="AH8" s="464" t="s">
        <v>0</v>
      </c>
      <c r="AI8" s="67"/>
      <c r="AJ8" s="40"/>
      <c r="AK8" s="40"/>
      <c r="AL8" s="40"/>
      <c r="AM8" s="40"/>
      <c r="AN8" s="60"/>
      <c r="AO8" s="36"/>
    </row>
    <row r="9" spans="2:73" ht="14.1" customHeight="1" x14ac:dyDescent="0.2">
      <c r="B9" s="39"/>
      <c r="C9" s="56"/>
      <c r="D9" s="75" t="s">
        <v>126</v>
      </c>
      <c r="E9" s="375"/>
      <c r="F9" s="464" t="s">
        <v>1</v>
      </c>
      <c r="G9" s="534">
        <f>'Cantilever Slab'!EG62</f>
        <v>3000</v>
      </c>
      <c r="H9" s="534"/>
      <c r="I9" s="534"/>
      <c r="J9" s="467" t="s">
        <v>2</v>
      </c>
      <c r="K9" s="40"/>
      <c r="L9" s="40"/>
      <c r="M9" s="40"/>
      <c r="N9" s="67"/>
      <c r="O9" s="67"/>
      <c r="P9" s="75" t="s">
        <v>128</v>
      </c>
      <c r="Q9" s="67"/>
      <c r="R9" s="464" t="s">
        <v>1</v>
      </c>
      <c r="S9" s="543" t="s">
        <v>264</v>
      </c>
      <c r="T9" s="543"/>
      <c r="U9" s="543"/>
      <c r="V9" s="464" t="s">
        <v>12</v>
      </c>
      <c r="W9" s="66"/>
      <c r="X9" s="66"/>
      <c r="Y9" s="67"/>
      <c r="Z9" s="67"/>
      <c r="AA9" s="67"/>
      <c r="AB9" s="76" t="s">
        <v>29</v>
      </c>
      <c r="AC9" s="40"/>
      <c r="AD9" s="464" t="s">
        <v>1</v>
      </c>
      <c r="AE9" s="535">
        <f>'Cantilever Slab'!H12</f>
        <v>0.9</v>
      </c>
      <c r="AF9" s="535"/>
      <c r="AG9" s="535"/>
      <c r="AH9" s="464" t="s">
        <v>0</v>
      </c>
      <c r="AI9" s="67"/>
      <c r="AJ9" s="40"/>
      <c r="AK9" s="40"/>
      <c r="AL9" s="40"/>
      <c r="AM9" s="40"/>
      <c r="AN9" s="60"/>
      <c r="AO9" s="36"/>
    </row>
    <row r="10" spans="2:73" ht="14.1" customHeight="1" x14ac:dyDescent="0.2">
      <c r="B10" s="39"/>
      <c r="C10" s="56"/>
      <c r="D10" s="75" t="s">
        <v>125</v>
      </c>
      <c r="E10" s="375"/>
      <c r="F10" s="464" t="s">
        <v>1</v>
      </c>
      <c r="G10" s="534">
        <f>'Cantilever Slab'!EG63</f>
        <v>2400</v>
      </c>
      <c r="H10" s="534"/>
      <c r="I10" s="534"/>
      <c r="J10" s="467" t="s">
        <v>2</v>
      </c>
      <c r="K10" s="40"/>
      <c r="L10" s="40"/>
      <c r="M10" s="40"/>
      <c r="N10" s="67"/>
      <c r="O10" s="67"/>
      <c r="P10" s="77" t="s">
        <v>117</v>
      </c>
      <c r="Q10" s="67"/>
      <c r="R10" s="464" t="s">
        <v>1</v>
      </c>
      <c r="S10" s="535">
        <f>'Cantilever Slab'!EG65/100</f>
        <v>0.03</v>
      </c>
      <c r="T10" s="534"/>
      <c r="U10" s="534"/>
      <c r="V10" s="464" t="s">
        <v>12</v>
      </c>
      <c r="W10" s="66"/>
      <c r="X10" s="66"/>
      <c r="Y10" s="67"/>
      <c r="Z10" s="67"/>
      <c r="AA10" s="67"/>
      <c r="AB10" s="76" t="s">
        <v>30</v>
      </c>
      <c r="AC10" s="40"/>
      <c r="AD10" s="464" t="s">
        <v>1</v>
      </c>
      <c r="AE10" s="535">
        <f>'Cantilever Slab'!H14</f>
        <v>0.85</v>
      </c>
      <c r="AF10" s="535"/>
      <c r="AG10" s="535"/>
      <c r="AH10" s="464" t="s">
        <v>0</v>
      </c>
      <c r="AI10" s="67"/>
      <c r="AJ10" s="40"/>
      <c r="AK10" s="40"/>
      <c r="AL10" s="40"/>
      <c r="AM10" s="40"/>
      <c r="AN10" s="60"/>
      <c r="AO10" s="36"/>
    </row>
    <row r="11" spans="2:73" ht="14.1" customHeight="1" x14ac:dyDescent="0.2">
      <c r="B11" s="39"/>
      <c r="C11" s="56"/>
      <c r="D11" s="74"/>
      <c r="E11" s="67"/>
      <c r="F11" s="67"/>
      <c r="G11" s="230"/>
      <c r="H11" s="230"/>
      <c r="I11" s="230"/>
      <c r="J11" s="230"/>
      <c r="K11" s="67"/>
      <c r="L11" s="67"/>
      <c r="M11" s="67"/>
      <c r="N11" s="67"/>
      <c r="O11" s="67"/>
      <c r="P11" s="66"/>
      <c r="Q11" s="66"/>
      <c r="R11" s="66"/>
      <c r="S11" s="66"/>
      <c r="T11" s="66"/>
      <c r="U11" s="66"/>
      <c r="V11" s="66"/>
      <c r="W11" s="66"/>
      <c r="X11" s="55"/>
      <c r="Y11" s="55"/>
      <c r="Z11" s="55"/>
      <c r="AA11" s="67"/>
      <c r="AB11" s="67"/>
      <c r="AC11" s="67"/>
      <c r="AD11" s="67"/>
      <c r="AE11" s="230"/>
      <c r="AF11" s="230"/>
      <c r="AG11" s="230"/>
      <c r="AH11" s="230"/>
      <c r="AI11" s="67"/>
      <c r="AJ11" s="40"/>
      <c r="AK11" s="40"/>
      <c r="AL11" s="40"/>
      <c r="AM11" s="40"/>
      <c r="AN11" s="60"/>
      <c r="AO11" s="36"/>
    </row>
    <row r="12" spans="2:73" ht="14.1" customHeight="1" x14ac:dyDescent="0.2">
      <c r="B12" s="39"/>
      <c r="C12" s="56"/>
      <c r="D12" s="72" t="s">
        <v>110</v>
      </c>
      <c r="E12" s="66"/>
      <c r="F12" s="66"/>
      <c r="G12" s="66"/>
      <c r="H12" s="66"/>
      <c r="I12" s="66"/>
      <c r="J12" s="66"/>
      <c r="K12" s="67"/>
      <c r="L12" s="67"/>
      <c r="M12" s="67"/>
      <c r="N12" s="67"/>
      <c r="O12" s="67"/>
      <c r="P12" s="339"/>
      <c r="Q12" s="339"/>
      <c r="R12" s="339"/>
      <c r="S12" s="339"/>
      <c r="T12" s="339"/>
      <c r="U12" s="339"/>
      <c r="V12" s="339"/>
      <c r="W12" s="339"/>
      <c r="X12" s="339"/>
      <c r="Y12" s="339"/>
      <c r="Z12" s="339"/>
      <c r="AA12" s="339"/>
      <c r="AB12" s="339"/>
      <c r="AC12" s="339"/>
      <c r="AD12" s="339"/>
      <c r="AE12" s="339"/>
      <c r="AF12" s="339"/>
      <c r="AG12" s="339"/>
      <c r="AH12" s="339"/>
      <c r="AI12" s="67"/>
      <c r="AJ12" s="40"/>
      <c r="AK12" s="40"/>
      <c r="AL12" s="40"/>
      <c r="AM12" s="40"/>
      <c r="AN12" s="60"/>
      <c r="AO12" s="36"/>
      <c r="AQ12" s="307"/>
      <c r="AR12" s="45"/>
      <c r="AS12" s="45"/>
      <c r="AT12" s="478"/>
      <c r="AU12" s="478"/>
      <c r="AV12" s="478"/>
      <c r="AW12" s="478"/>
      <c r="AX12" s="95"/>
      <c r="AY12" s="95"/>
      <c r="AZ12" s="95"/>
      <c r="BA12" s="95"/>
      <c r="BB12" s="95"/>
      <c r="BC12" s="364"/>
      <c r="BD12" s="45"/>
      <c r="BE12" s="45"/>
      <c r="BF12" s="45"/>
      <c r="BG12" s="45"/>
      <c r="BH12" s="45"/>
      <c r="BI12" s="611"/>
      <c r="BJ12" s="611"/>
      <c r="BK12" s="611"/>
      <c r="BL12" s="611"/>
      <c r="BM12" s="95"/>
      <c r="BN12" s="95"/>
      <c r="BO12" s="307"/>
      <c r="BP12" s="95"/>
      <c r="BQ12" s="95"/>
      <c r="BR12" s="225"/>
      <c r="BS12" s="225"/>
      <c r="BT12" s="225"/>
      <c r="BU12" s="225"/>
    </row>
    <row r="13" spans="2:73" ht="14.1" customHeight="1" x14ac:dyDescent="0.2">
      <c r="B13" s="39"/>
      <c r="C13" s="56"/>
      <c r="D13" s="465" t="s">
        <v>75</v>
      </c>
      <c r="E13" s="340"/>
      <c r="F13" s="310"/>
      <c r="G13" s="310"/>
      <c r="H13" s="136"/>
      <c r="I13" s="136"/>
      <c r="J13" s="136"/>
      <c r="K13" s="136"/>
      <c r="L13" s="136"/>
      <c r="M13" s="136"/>
      <c r="N13" s="136"/>
      <c r="O13" s="136"/>
      <c r="P13" s="465" t="s">
        <v>76</v>
      </c>
      <c r="Q13" s="136"/>
      <c r="R13" s="136"/>
      <c r="S13" s="136"/>
      <c r="T13" s="136"/>
      <c r="U13" s="136"/>
      <c r="V13" s="136"/>
      <c r="W13" s="136"/>
      <c r="X13" s="136"/>
      <c r="Y13" s="341"/>
      <c r="Z13" s="341"/>
      <c r="AA13" s="341"/>
      <c r="AB13" s="465" t="s">
        <v>77</v>
      </c>
      <c r="AC13" s="136"/>
      <c r="AD13" s="136"/>
      <c r="AE13" s="341"/>
      <c r="AF13" s="341"/>
      <c r="AG13" s="341"/>
      <c r="AH13" s="136"/>
      <c r="AI13" s="136"/>
      <c r="AJ13" s="136"/>
      <c r="AK13" s="136"/>
      <c r="AL13" s="536" t="s">
        <v>78</v>
      </c>
      <c r="AM13" s="536"/>
      <c r="AN13" s="60"/>
      <c r="AO13" s="36"/>
      <c r="AQ13" s="308"/>
      <c r="AR13" s="95"/>
      <c r="AS13" s="212"/>
      <c r="AW13" s="354"/>
      <c r="AX13" s="237"/>
      <c r="AY13" s="45"/>
      <c r="AZ13" s="45"/>
      <c r="BA13" s="45"/>
      <c r="BB13" s="45"/>
      <c r="BC13" s="478"/>
      <c r="BD13" s="237"/>
      <c r="BE13" s="212"/>
      <c r="BI13" s="354"/>
      <c r="BJ13" s="481"/>
      <c r="BK13" s="308"/>
      <c r="BL13" s="45"/>
      <c r="BM13" s="45"/>
      <c r="BN13" s="45"/>
      <c r="BO13" s="270"/>
      <c r="BP13" s="237"/>
      <c r="BQ13" s="212"/>
      <c r="BU13" s="365"/>
    </row>
    <row r="14" spans="2:73" ht="14.1" customHeight="1" x14ac:dyDescent="0.2">
      <c r="B14" s="39"/>
      <c r="C14" s="56"/>
      <c r="D14" s="489" t="s">
        <v>194</v>
      </c>
      <c r="E14" s="484"/>
      <c r="F14" s="484"/>
      <c r="G14" s="488" t="s">
        <v>255</v>
      </c>
      <c r="H14" s="484"/>
      <c r="I14" s="484"/>
      <c r="J14" s="484"/>
      <c r="K14" s="484"/>
      <c r="L14" s="484"/>
      <c r="M14" s="484"/>
      <c r="N14" s="484"/>
      <c r="O14" s="484"/>
      <c r="P14" s="625" t="s">
        <v>219</v>
      </c>
      <c r="Q14" s="625"/>
      <c r="R14" s="625"/>
      <c r="S14" s="387"/>
      <c r="T14" s="387"/>
      <c r="U14" s="387"/>
      <c r="V14" s="387"/>
      <c r="W14" s="387"/>
      <c r="X14" s="387"/>
      <c r="Y14" s="484"/>
      <c r="Z14" s="484"/>
      <c r="AA14" s="484"/>
      <c r="AB14" s="625" t="s">
        <v>220</v>
      </c>
      <c r="AC14" s="625"/>
      <c r="AD14" s="625"/>
      <c r="AE14" s="484"/>
      <c r="AF14" s="484"/>
      <c r="AG14" s="484"/>
      <c r="AH14" s="339"/>
      <c r="AI14" s="339"/>
      <c r="AJ14" s="339"/>
      <c r="AK14" s="464"/>
      <c r="AL14" s="485"/>
      <c r="AM14" s="464"/>
      <c r="AN14" s="60"/>
      <c r="AO14" s="36"/>
      <c r="AQ14" s="354"/>
      <c r="AR14" s="237"/>
      <c r="AS14" s="212"/>
      <c r="AW14" s="240"/>
      <c r="AX14" s="237"/>
      <c r="AY14" s="212"/>
      <c r="AZ14" s="212"/>
      <c r="BA14" s="232"/>
      <c r="BB14" s="45"/>
      <c r="BC14" s="478"/>
      <c r="BD14" s="237"/>
      <c r="BE14" s="212"/>
      <c r="BI14" s="354"/>
      <c r="BJ14" s="225"/>
      <c r="BK14" s="308"/>
      <c r="BL14" s="45"/>
      <c r="BM14" s="45"/>
      <c r="BN14" s="45"/>
      <c r="BO14" s="270"/>
      <c r="BP14" s="237"/>
      <c r="BQ14" s="212"/>
      <c r="BU14" s="366"/>
    </row>
    <row r="15" spans="2:73" ht="14.1" customHeight="1" x14ac:dyDescent="0.2">
      <c r="B15" s="39"/>
      <c r="C15" s="56"/>
      <c r="D15" s="482" t="s">
        <v>254</v>
      </c>
      <c r="E15" s="484"/>
      <c r="F15" s="485" t="s">
        <v>1</v>
      </c>
      <c r="G15" s="345" t="str">
        <f>IF(G9&gt;=4000,"S/10","(S/10)(0.4+(fy/7000))")</f>
        <v>(S/10)(0.4+(fy/7000))</v>
      </c>
      <c r="H15" s="484"/>
      <c r="I15" s="484"/>
      <c r="J15" s="484"/>
      <c r="K15" s="484"/>
      <c r="L15" s="484"/>
      <c r="M15" s="484"/>
      <c r="N15" s="484"/>
      <c r="O15" s="484"/>
      <c r="P15" s="543">
        <f>'Cantilever Slab'!FO63</f>
        <v>9.9428571428571431</v>
      </c>
      <c r="Q15" s="543"/>
      <c r="R15" s="543"/>
      <c r="S15" s="388"/>
      <c r="T15" s="388"/>
      <c r="U15" s="388"/>
      <c r="V15" s="388"/>
      <c r="W15" s="388"/>
      <c r="X15" s="388"/>
      <c r="Y15" s="484"/>
      <c r="Z15" s="484"/>
      <c r="AA15" s="484"/>
      <c r="AB15" s="489" t="s">
        <v>0</v>
      </c>
      <c r="AC15" s="339"/>
      <c r="AD15" s="339"/>
      <c r="AE15" s="484"/>
      <c r="AF15" s="484"/>
      <c r="AG15" s="484"/>
      <c r="AH15" s="484"/>
      <c r="AI15" s="470"/>
      <c r="AJ15" s="464"/>
      <c r="AK15" s="464"/>
      <c r="AL15" s="469" t="s">
        <v>17</v>
      </c>
      <c r="AM15" s="464"/>
      <c r="AN15" s="60"/>
      <c r="AO15" s="36"/>
      <c r="AQ15" s="367"/>
      <c r="AR15" s="237"/>
      <c r="AS15" s="212"/>
      <c r="AW15" s="240"/>
      <c r="AX15" s="237"/>
      <c r="AY15" s="212"/>
      <c r="AZ15" s="212"/>
      <c r="BA15" s="237"/>
      <c r="BB15" s="45"/>
      <c r="BC15" s="240"/>
      <c r="BD15" s="237"/>
      <c r="BE15" s="212"/>
      <c r="BI15" s="354"/>
      <c r="BJ15" s="368"/>
      <c r="BK15" s="309"/>
      <c r="BL15" s="45"/>
      <c r="BM15" s="45"/>
      <c r="BN15" s="45"/>
      <c r="BO15" s="270"/>
      <c r="BP15" s="237"/>
      <c r="BQ15" s="212"/>
      <c r="BR15" s="611"/>
      <c r="BS15" s="611"/>
      <c r="BT15" s="611"/>
      <c r="BU15" s="240"/>
    </row>
    <row r="16" spans="2:73" ht="14.1" customHeight="1" x14ac:dyDescent="0.2">
      <c r="B16" s="39"/>
      <c r="C16" s="56"/>
      <c r="D16" s="105" t="s">
        <v>131</v>
      </c>
      <c r="E16" s="484"/>
      <c r="F16" s="485" t="s">
        <v>1</v>
      </c>
      <c r="G16" s="489" t="s">
        <v>43</v>
      </c>
      <c r="H16" s="484"/>
      <c r="I16" s="484"/>
      <c r="J16" s="484"/>
      <c r="K16" s="484"/>
      <c r="L16" s="484"/>
      <c r="M16" s="484"/>
      <c r="N16" s="484"/>
      <c r="O16" s="484"/>
      <c r="P16" s="543">
        <f>'Cantilever Slab'!EG67</f>
        <v>10</v>
      </c>
      <c r="Q16" s="624"/>
      <c r="R16" s="624"/>
      <c r="S16" s="387"/>
      <c r="T16" s="387"/>
      <c r="U16" s="387"/>
      <c r="V16" s="387"/>
      <c r="W16" s="387"/>
      <c r="X16" s="387"/>
      <c r="Y16" s="484"/>
      <c r="Z16" s="484"/>
      <c r="AA16" s="484"/>
      <c r="AB16" s="489" t="s">
        <v>0</v>
      </c>
      <c r="AC16" s="339"/>
      <c r="AD16" s="339"/>
      <c r="AE16" s="484"/>
      <c r="AF16" s="484"/>
      <c r="AG16" s="484"/>
      <c r="AH16" s="484"/>
      <c r="AI16" s="470"/>
      <c r="AJ16" s="464"/>
      <c r="AK16" s="464"/>
      <c r="AL16" s="469" t="s">
        <v>17</v>
      </c>
      <c r="AM16" s="464"/>
      <c r="AN16" s="60"/>
      <c r="AO16" s="36"/>
      <c r="AQ16" s="45"/>
      <c r="AR16" s="45"/>
      <c r="AS16" s="45"/>
      <c r="AT16" s="45"/>
      <c r="AU16" s="45"/>
      <c r="AV16" s="45"/>
      <c r="AW16" s="237"/>
      <c r="AX16" s="212"/>
      <c r="AY16" s="212"/>
      <c r="AZ16" s="212"/>
      <c r="BA16" s="45"/>
      <c r="BB16" s="45"/>
      <c r="BC16" s="45"/>
      <c r="BD16" s="237"/>
      <c r="BE16" s="212"/>
      <c r="BI16" s="354"/>
      <c r="BJ16" s="459"/>
      <c r="BK16" s="309"/>
      <c r="BL16" s="45"/>
      <c r="BM16" s="45"/>
      <c r="BN16" s="45"/>
      <c r="BO16" s="270"/>
      <c r="BP16" s="237"/>
      <c r="BQ16" s="212"/>
      <c r="BU16" s="240"/>
    </row>
    <row r="17" spans="2:78" ht="14.1" customHeight="1" x14ac:dyDescent="0.2">
      <c r="B17" s="39"/>
      <c r="C17" s="56"/>
      <c r="D17" s="464" t="s">
        <v>11</v>
      </c>
      <c r="E17" s="464"/>
      <c r="F17" s="485" t="s">
        <v>1</v>
      </c>
      <c r="G17" s="66" t="s">
        <v>235</v>
      </c>
      <c r="H17" s="464"/>
      <c r="I17" s="464"/>
      <c r="J17" s="464"/>
      <c r="K17" s="464"/>
      <c r="L17" s="464"/>
      <c r="M17" s="485"/>
      <c r="N17" s="464"/>
      <c r="O17" s="464"/>
      <c r="P17" s="685">
        <f>'Cantilever Slab'!ES61</f>
        <v>240</v>
      </c>
      <c r="Q17" s="614"/>
      <c r="R17" s="614"/>
      <c r="S17" s="110"/>
      <c r="T17" s="110"/>
      <c r="U17" s="110"/>
      <c r="V17" s="110"/>
      <c r="W17" s="110"/>
      <c r="X17" s="110"/>
      <c r="Y17" s="464"/>
      <c r="Z17" s="464"/>
      <c r="AA17" s="464"/>
      <c r="AB17" s="489" t="s">
        <v>0</v>
      </c>
      <c r="AC17" s="464"/>
      <c r="AD17" s="464"/>
      <c r="AE17" s="470"/>
      <c r="AF17" s="470"/>
      <c r="AG17" s="470"/>
      <c r="AH17" s="482"/>
      <c r="AI17" s="464"/>
      <c r="AJ17" s="464"/>
      <c r="AK17" s="464"/>
      <c r="AL17" s="482" t="s">
        <v>246</v>
      </c>
      <c r="AM17" s="464"/>
      <c r="AN17" s="60"/>
      <c r="AO17" s="36"/>
      <c r="AQ17" s="45"/>
      <c r="AR17" s="45"/>
      <c r="AS17" s="45"/>
      <c r="AT17" s="45"/>
      <c r="AU17" s="45"/>
      <c r="AV17" s="45"/>
      <c r="AW17" s="45"/>
      <c r="AX17" s="45"/>
      <c r="AY17" s="95"/>
      <c r="AZ17" s="212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214"/>
      <c r="BP17" s="308"/>
      <c r="BQ17" s="212"/>
    </row>
    <row r="18" spans="2:78" ht="14.1" customHeight="1" x14ac:dyDescent="0.2">
      <c r="B18" s="39"/>
      <c r="C18" s="56"/>
      <c r="D18" s="464" t="s">
        <v>132</v>
      </c>
      <c r="E18" s="484"/>
      <c r="F18" s="485" t="s">
        <v>1</v>
      </c>
      <c r="G18" s="66" t="s">
        <v>251</v>
      </c>
      <c r="H18" s="484"/>
      <c r="I18" s="484"/>
      <c r="J18" s="484"/>
      <c r="K18" s="484"/>
      <c r="L18" s="484"/>
      <c r="M18" s="484"/>
      <c r="N18" s="484"/>
      <c r="O18" s="484"/>
      <c r="P18" s="627">
        <f>'Cantilever Slab'!W20</f>
        <v>120</v>
      </c>
      <c r="Q18" s="627"/>
      <c r="R18" s="627"/>
      <c r="S18" s="389"/>
      <c r="T18" s="389"/>
      <c r="U18" s="389"/>
      <c r="V18" s="389"/>
      <c r="W18" s="389"/>
      <c r="X18" s="389"/>
      <c r="Y18" s="484"/>
      <c r="Z18" s="484"/>
      <c r="AA18" s="484"/>
      <c r="AB18" s="489" t="s">
        <v>0</v>
      </c>
      <c r="AC18" s="484"/>
      <c r="AD18" s="484"/>
      <c r="AE18" s="484"/>
      <c r="AF18" s="484"/>
      <c r="AG18" s="484"/>
      <c r="AH18" s="484"/>
      <c r="AI18" s="484"/>
      <c r="AJ18" s="484"/>
      <c r="AK18" s="484"/>
      <c r="AL18" s="482" t="s">
        <v>246</v>
      </c>
      <c r="AM18" s="484"/>
      <c r="AN18" s="60"/>
      <c r="AO18" s="36"/>
      <c r="AQ18" s="45"/>
      <c r="AR18" s="45"/>
      <c r="AS18" s="45"/>
      <c r="AT18" s="45"/>
      <c r="AU18" s="45"/>
      <c r="AV18" s="45"/>
      <c r="AW18" s="45"/>
      <c r="AX18" s="45"/>
      <c r="AY18" s="95"/>
      <c r="AZ18" s="212"/>
      <c r="BA18" s="78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257"/>
      <c r="BP18" s="308"/>
      <c r="BQ18" s="212"/>
      <c r="BR18" s="315"/>
      <c r="BS18" s="316"/>
      <c r="BT18" s="316"/>
      <c r="BU18" s="240"/>
    </row>
    <row r="19" spans="2:78" ht="14.1" customHeight="1" x14ac:dyDescent="0.2">
      <c r="B19" s="39"/>
      <c r="C19" s="56"/>
      <c r="D19" s="469" t="s">
        <v>10</v>
      </c>
      <c r="E19" s="484"/>
      <c r="F19" s="485" t="s">
        <v>1</v>
      </c>
      <c r="G19" s="66" t="s">
        <v>236</v>
      </c>
      <c r="H19" s="484"/>
      <c r="I19" s="484"/>
      <c r="J19" s="484"/>
      <c r="K19" s="484"/>
      <c r="L19" s="484"/>
      <c r="M19" s="484"/>
      <c r="N19" s="484"/>
      <c r="O19" s="484"/>
      <c r="P19" s="627">
        <f>'Cantilever Slab'!W21</f>
        <v>200</v>
      </c>
      <c r="Q19" s="627"/>
      <c r="R19" s="627"/>
      <c r="S19" s="389"/>
      <c r="T19" s="389"/>
      <c r="U19" s="389"/>
      <c r="V19" s="389"/>
      <c r="W19" s="389"/>
      <c r="X19" s="389"/>
      <c r="Y19" s="484"/>
      <c r="Z19" s="484"/>
      <c r="AA19" s="484"/>
      <c r="AB19" s="489" t="s">
        <v>0</v>
      </c>
      <c r="AC19" s="484"/>
      <c r="AD19" s="484"/>
      <c r="AE19" s="484"/>
      <c r="AF19" s="484"/>
      <c r="AG19" s="484"/>
      <c r="AH19" s="484"/>
      <c r="AI19" s="484"/>
      <c r="AJ19" s="484"/>
      <c r="AK19" s="484"/>
      <c r="AL19" s="482" t="s">
        <v>246</v>
      </c>
      <c r="AM19" s="484"/>
      <c r="AN19" s="60"/>
      <c r="AO19" s="36"/>
    </row>
    <row r="20" spans="2:78" ht="14.1" customHeight="1" x14ac:dyDescent="0.2">
      <c r="B20" s="39"/>
      <c r="C20" s="56"/>
      <c r="D20" s="489" t="s">
        <v>262</v>
      </c>
      <c r="E20" s="339"/>
      <c r="F20" s="485" t="s">
        <v>1</v>
      </c>
      <c r="G20" s="489" t="s">
        <v>199</v>
      </c>
      <c r="H20" s="339"/>
      <c r="I20" s="339"/>
      <c r="J20" s="339"/>
      <c r="K20" s="339"/>
      <c r="L20" s="339"/>
      <c r="M20" s="339"/>
      <c r="N20" s="339"/>
      <c r="O20" s="339"/>
      <c r="P20" s="686">
        <f>'Cantilever Slab'!W22</f>
        <v>0</v>
      </c>
      <c r="Q20" s="687"/>
      <c r="R20" s="687"/>
      <c r="S20" s="339"/>
      <c r="T20" s="339"/>
      <c r="U20" s="339"/>
      <c r="V20" s="339"/>
      <c r="W20" s="339"/>
      <c r="X20" s="339"/>
      <c r="Y20" s="339"/>
      <c r="Z20" s="339"/>
      <c r="AA20" s="339"/>
      <c r="AB20" s="489" t="s">
        <v>0</v>
      </c>
      <c r="AC20" s="339"/>
      <c r="AD20" s="339"/>
      <c r="AE20" s="339"/>
      <c r="AF20" s="339"/>
      <c r="AG20" s="339"/>
      <c r="AH20" s="339"/>
      <c r="AI20" s="339"/>
      <c r="AJ20" s="339"/>
      <c r="AK20" s="339"/>
      <c r="AL20" s="482" t="s">
        <v>57</v>
      </c>
      <c r="AM20" s="339"/>
      <c r="AN20" s="60"/>
      <c r="AO20" s="36"/>
      <c r="AQ20" s="306"/>
      <c r="AR20" s="306"/>
      <c r="AS20" s="306"/>
      <c r="AT20" s="306"/>
      <c r="AU20" s="306"/>
      <c r="AV20" s="306"/>
      <c r="AW20" s="306"/>
      <c r="AX20" s="306"/>
      <c r="AY20" s="306"/>
      <c r="AZ20" s="306"/>
      <c r="BA20" s="306"/>
      <c r="BB20" s="306"/>
      <c r="BC20" s="306"/>
      <c r="BD20" s="306"/>
      <c r="BE20" s="306"/>
      <c r="BF20" s="306"/>
      <c r="BG20" s="306"/>
      <c r="BH20" s="306"/>
      <c r="BI20" s="306"/>
      <c r="BJ20" s="306"/>
      <c r="BK20" s="306"/>
      <c r="BL20" s="306"/>
      <c r="BM20" s="306"/>
      <c r="BN20" s="45"/>
      <c r="BO20" s="306"/>
      <c r="BP20" s="306"/>
      <c r="BQ20" s="306"/>
      <c r="BR20" s="306"/>
      <c r="BS20" s="238"/>
      <c r="BT20" s="220"/>
      <c r="BU20" s="220"/>
      <c r="BV20" s="220"/>
      <c r="BW20" s="220"/>
      <c r="BX20" s="306"/>
      <c r="BY20" s="306"/>
      <c r="BZ20" s="306"/>
    </row>
    <row r="21" spans="2:78" ht="14.1" customHeight="1" x14ac:dyDescent="0.2">
      <c r="B21" s="39"/>
      <c r="C21" s="56"/>
      <c r="D21" s="66" t="s">
        <v>133</v>
      </c>
      <c r="E21" s="484"/>
      <c r="F21" s="485" t="s">
        <v>1</v>
      </c>
      <c r="G21" s="484" t="str">
        <f>IF('Cantilever Slab'!H20="DL","DL+SDL",IF('Cantilever Slab'!H20="LL","LL",IF('Cantilever Slab'!H20="DL + LL","DL+SDL+LL",IF('Cantilever Slab'!H20="1.4DL + 1.7LL","1.4(DL+SDL)+1.7LL",IF('Cantilever Slab'!H20="1.7DL + 2.0LL","1.7(DL+SDL)+2.0LL")))))</f>
        <v>1.7(DL+SDL)+2.0LL</v>
      </c>
      <c r="H21" s="345"/>
      <c r="I21" s="345"/>
      <c r="J21" s="345"/>
      <c r="K21" s="345"/>
      <c r="L21" s="484"/>
      <c r="M21" s="484"/>
      <c r="N21" s="484"/>
      <c r="O21" s="484"/>
      <c r="P21" s="545">
        <f>'Cantilever Slab'!W23</f>
        <v>1012</v>
      </c>
      <c r="Q21" s="545"/>
      <c r="R21" s="545"/>
      <c r="S21" s="387"/>
      <c r="T21" s="387"/>
      <c r="U21" s="387"/>
      <c r="V21" s="387"/>
      <c r="W21" s="387"/>
      <c r="X21" s="387"/>
      <c r="Y21" s="484"/>
      <c r="Z21" s="484"/>
      <c r="AA21" s="484"/>
      <c r="AB21" s="489" t="s">
        <v>0</v>
      </c>
      <c r="AC21" s="484"/>
      <c r="AD21" s="484"/>
      <c r="AE21" s="484"/>
      <c r="AF21" s="484"/>
      <c r="AG21" s="484"/>
      <c r="AH21" s="484"/>
      <c r="AI21" s="484"/>
      <c r="AJ21" s="484"/>
      <c r="AK21" s="484"/>
      <c r="AL21" s="482" t="s">
        <v>246</v>
      </c>
      <c r="AM21" s="484"/>
      <c r="AN21" s="60"/>
      <c r="AO21" s="36"/>
      <c r="AQ21" s="306"/>
      <c r="AR21" s="306"/>
      <c r="AS21" s="306"/>
      <c r="AT21" s="306"/>
      <c r="AU21" s="306"/>
      <c r="AV21" s="306"/>
      <c r="AW21" s="306"/>
      <c r="AX21" s="306"/>
      <c r="AY21" s="306"/>
      <c r="AZ21" s="306"/>
      <c r="BA21" s="306"/>
      <c r="BB21" s="306"/>
      <c r="BC21" s="306"/>
      <c r="BD21" s="306"/>
      <c r="BE21" s="306"/>
      <c r="BF21" s="306"/>
      <c r="BG21" s="306"/>
      <c r="BH21" s="306"/>
      <c r="BI21" s="306"/>
      <c r="BJ21" s="306"/>
      <c r="BK21" s="306"/>
      <c r="BL21" s="306"/>
      <c r="BM21" s="306"/>
      <c r="BN21" s="45"/>
      <c r="BO21" s="306"/>
      <c r="BP21" s="306"/>
      <c r="BQ21" s="306"/>
      <c r="BR21" s="306"/>
      <c r="BS21" s="220"/>
      <c r="BT21" s="220"/>
      <c r="BU21" s="220"/>
      <c r="BV21" s="220"/>
      <c r="BW21" s="220"/>
      <c r="BX21" s="306"/>
      <c r="BY21" s="306"/>
      <c r="BZ21" s="306"/>
    </row>
    <row r="22" spans="2:78" ht="14.1" customHeight="1" x14ac:dyDescent="0.2">
      <c r="B22" s="39"/>
      <c r="C22" s="56"/>
      <c r="D22" s="489" t="s">
        <v>256</v>
      </c>
      <c r="E22" s="339"/>
      <c r="F22" s="485" t="s">
        <v>1</v>
      </c>
      <c r="G22" s="484" t="str">
        <f>IF('Cantilever Slab'!H20="DL",D20,IF('Cantilever Slab'!H20="LL",D20,IF('Cantilever Slab'!H20="DL + LL",D20,IF('Cantilever Slab'!H20="1.4DL + 1.7LL","1.4(Fin Wg.)",IF('Cantilever Slab'!H20="1.7DL + 2.0LL","1.7(Fin Wg.)")))))</f>
        <v>1.7(Fin Wg.)</v>
      </c>
      <c r="H22" s="339"/>
      <c r="I22" s="339"/>
      <c r="J22" s="339"/>
      <c r="K22" s="339"/>
      <c r="L22" s="339"/>
      <c r="M22" s="339"/>
      <c r="N22" s="339"/>
      <c r="O22" s="339"/>
      <c r="P22" s="687">
        <f>'Cantilever Slab'!W24</f>
        <v>0</v>
      </c>
      <c r="Q22" s="687"/>
      <c r="R22" s="687"/>
      <c r="S22" s="339"/>
      <c r="T22" s="339"/>
      <c r="U22" s="339"/>
      <c r="V22" s="339"/>
      <c r="W22" s="339"/>
      <c r="X22" s="339"/>
      <c r="Y22" s="339"/>
      <c r="Z22" s="339"/>
      <c r="AA22" s="339"/>
      <c r="AB22" s="489" t="s">
        <v>0</v>
      </c>
      <c r="AC22" s="339"/>
      <c r="AD22" s="339"/>
      <c r="AE22" s="339"/>
      <c r="AF22" s="339"/>
      <c r="AG22" s="339"/>
      <c r="AH22" s="339"/>
      <c r="AI22" s="339"/>
      <c r="AJ22" s="339"/>
      <c r="AK22" s="339"/>
      <c r="AL22" s="482" t="s">
        <v>57</v>
      </c>
      <c r="AM22" s="339"/>
      <c r="AN22" s="60"/>
      <c r="AO22" s="36"/>
      <c r="AQ22" s="308"/>
      <c r="AR22" s="308"/>
      <c r="AS22" s="212"/>
      <c r="AT22" s="308"/>
      <c r="AU22" s="45"/>
      <c r="AV22" s="45"/>
      <c r="AW22" s="45"/>
      <c r="AX22" s="45"/>
      <c r="AY22" s="237"/>
      <c r="AZ22" s="369"/>
      <c r="BA22" s="369"/>
      <c r="BB22" s="369"/>
      <c r="BC22" s="237"/>
      <c r="BD22" s="369"/>
      <c r="BE22" s="369"/>
      <c r="BF22" s="369"/>
      <c r="BG22" s="237"/>
      <c r="BH22" s="369"/>
      <c r="BI22" s="369"/>
      <c r="BJ22" s="369"/>
      <c r="BK22" s="239"/>
      <c r="BL22" s="320"/>
      <c r="BM22" s="320"/>
      <c r="BN22" s="45"/>
      <c r="BO22" s="45"/>
      <c r="BP22" s="45"/>
      <c r="BQ22" s="45"/>
      <c r="BR22" s="45"/>
      <c r="BS22" s="237"/>
      <c r="BT22" s="237"/>
      <c r="BU22" s="237"/>
      <c r="BV22" s="237"/>
      <c r="BW22" s="45"/>
      <c r="BX22" s="45"/>
      <c r="BY22" s="45"/>
      <c r="BZ22" s="45"/>
    </row>
    <row r="23" spans="2:78" ht="14.1" customHeight="1" x14ac:dyDescent="0.2">
      <c r="B23" s="39"/>
      <c r="C23" s="56"/>
      <c r="D23" s="76" t="s">
        <v>31</v>
      </c>
      <c r="E23" s="40"/>
      <c r="F23" s="485" t="s">
        <v>1</v>
      </c>
      <c r="G23" s="469" t="s">
        <v>237</v>
      </c>
      <c r="H23" s="40"/>
      <c r="I23" s="40"/>
      <c r="J23" s="484"/>
      <c r="K23" s="484"/>
      <c r="L23" s="484"/>
      <c r="M23" s="484"/>
      <c r="N23" s="484"/>
      <c r="O23" s="484"/>
      <c r="P23" s="546">
        <f>'Cantilever Slab'!EG69</f>
        <v>2.4199999999999999E-2</v>
      </c>
      <c r="Q23" s="624"/>
      <c r="R23" s="624"/>
      <c r="S23" s="390"/>
      <c r="T23" s="390"/>
      <c r="U23" s="390"/>
      <c r="V23" s="390"/>
      <c r="W23" s="390"/>
      <c r="X23" s="390"/>
      <c r="Y23" s="484"/>
      <c r="Z23" s="484"/>
      <c r="AA23" s="484"/>
      <c r="AB23" s="489" t="s">
        <v>0</v>
      </c>
      <c r="AC23" s="484"/>
      <c r="AD23" s="484"/>
      <c r="AE23" s="484"/>
      <c r="AF23" s="484"/>
      <c r="AG23" s="484"/>
      <c r="AH23" s="484"/>
      <c r="AI23" s="484"/>
      <c r="AJ23" s="484"/>
      <c r="AK23" s="484"/>
      <c r="AL23" s="484" t="s">
        <v>0</v>
      </c>
      <c r="AM23" s="484"/>
      <c r="AN23" s="60"/>
      <c r="AO23" s="36"/>
      <c r="AQ23" s="314"/>
      <c r="AR23" s="314"/>
      <c r="AS23" s="212"/>
      <c r="AT23" s="478"/>
      <c r="AU23" s="45"/>
      <c r="AV23" s="45"/>
      <c r="AW23" s="45"/>
      <c r="AX23" s="45"/>
      <c r="AY23" s="237"/>
      <c r="AZ23" s="315"/>
      <c r="BA23" s="315"/>
      <c r="BB23" s="315"/>
      <c r="BC23" s="237"/>
      <c r="BD23" s="315"/>
      <c r="BE23" s="315"/>
      <c r="BF23" s="315"/>
      <c r="BG23" s="237"/>
      <c r="BH23" s="315"/>
      <c r="BI23" s="315"/>
      <c r="BJ23" s="315"/>
      <c r="BK23" s="240"/>
      <c r="BL23" s="308"/>
      <c r="BM23" s="308"/>
      <c r="BN23" s="45"/>
      <c r="BO23" s="268"/>
      <c r="BP23" s="45"/>
      <c r="BQ23" s="45"/>
      <c r="BR23" s="45"/>
      <c r="BS23" s="45"/>
      <c r="BT23" s="220"/>
      <c r="BU23" s="220"/>
      <c r="BV23" s="220"/>
      <c r="BW23" s="45"/>
      <c r="BX23" s="45"/>
      <c r="BY23" s="45"/>
      <c r="BZ23" s="45"/>
    </row>
    <row r="24" spans="2:78" ht="14.1" customHeight="1" x14ac:dyDescent="0.2">
      <c r="B24" s="39"/>
      <c r="C24" s="56"/>
      <c r="D24" s="76" t="s">
        <v>32</v>
      </c>
      <c r="E24" s="40"/>
      <c r="F24" s="485" t="s">
        <v>1</v>
      </c>
      <c r="G24" s="76" t="s">
        <v>113</v>
      </c>
      <c r="H24" s="40"/>
      <c r="I24" s="40"/>
      <c r="J24" s="484"/>
      <c r="K24" s="484"/>
      <c r="L24" s="484"/>
      <c r="M24" s="484"/>
      <c r="N24" s="484"/>
      <c r="O24" s="484"/>
      <c r="P24" s="546">
        <f>'Cantilever Slab'!EG70</f>
        <v>1.8200000000000001E-2</v>
      </c>
      <c r="Q24" s="624"/>
      <c r="R24" s="624"/>
      <c r="S24" s="390"/>
      <c r="T24" s="390"/>
      <c r="U24" s="390"/>
      <c r="V24" s="390"/>
      <c r="W24" s="390"/>
      <c r="X24" s="390"/>
      <c r="Y24" s="484"/>
      <c r="Z24" s="484"/>
      <c r="AA24" s="484"/>
      <c r="AB24" s="489" t="s">
        <v>0</v>
      </c>
      <c r="AC24" s="484"/>
      <c r="AD24" s="484"/>
      <c r="AE24" s="484"/>
      <c r="AF24" s="484"/>
      <c r="AG24" s="484"/>
      <c r="AH24" s="484"/>
      <c r="AI24" s="484"/>
      <c r="AJ24" s="484"/>
      <c r="AK24" s="484"/>
      <c r="AL24" s="484" t="s">
        <v>0</v>
      </c>
      <c r="AM24" s="484"/>
      <c r="AN24" s="60"/>
      <c r="AO24" s="36"/>
      <c r="AQ24" s="308"/>
      <c r="AR24" s="308"/>
      <c r="AS24" s="212"/>
      <c r="AT24" s="257"/>
      <c r="AU24" s="45"/>
      <c r="AV24" s="45"/>
      <c r="AW24" s="45"/>
      <c r="AX24" s="45"/>
      <c r="AY24" s="237"/>
      <c r="AZ24" s="216"/>
      <c r="BA24" s="216"/>
      <c r="BB24" s="216"/>
      <c r="BC24" s="237"/>
      <c r="BD24" s="216"/>
      <c r="BE24" s="216"/>
      <c r="BF24" s="216"/>
      <c r="BG24" s="237"/>
      <c r="BH24" s="216"/>
      <c r="BI24" s="216"/>
      <c r="BJ24" s="216"/>
      <c r="BK24" s="240"/>
      <c r="BL24" s="308"/>
      <c r="BM24" s="308"/>
      <c r="BN24" s="45"/>
      <c r="BO24" s="268"/>
      <c r="BP24" s="45"/>
      <c r="BQ24" s="45"/>
      <c r="BR24" s="45"/>
      <c r="BS24" s="219"/>
      <c r="BT24" s="220"/>
      <c r="BU24" s="220"/>
      <c r="BV24" s="220"/>
      <c r="BW24" s="45"/>
      <c r="BX24" s="45"/>
      <c r="BY24" s="45"/>
      <c r="BZ24" s="45"/>
    </row>
    <row r="25" spans="2:78" ht="14.1" customHeight="1" x14ac:dyDescent="0.2">
      <c r="B25" s="39"/>
      <c r="C25" s="56"/>
      <c r="D25" s="76" t="s">
        <v>67</v>
      </c>
      <c r="E25" s="40"/>
      <c r="F25" s="485" t="s">
        <v>1</v>
      </c>
      <c r="G25" s="76" t="s">
        <v>114</v>
      </c>
      <c r="H25" s="40"/>
      <c r="I25" s="40"/>
      <c r="J25" s="484"/>
      <c r="K25" s="484"/>
      <c r="L25" s="484"/>
      <c r="M25" s="484"/>
      <c r="N25" s="484"/>
      <c r="O25" s="484"/>
      <c r="P25" s="546">
        <f>'Cantilever Slab'!EG72</f>
        <v>1.21E-2</v>
      </c>
      <c r="Q25" s="624"/>
      <c r="R25" s="624"/>
      <c r="S25" s="390"/>
      <c r="T25" s="390"/>
      <c r="U25" s="390"/>
      <c r="V25" s="390"/>
      <c r="W25" s="390"/>
      <c r="X25" s="390"/>
      <c r="Y25" s="484"/>
      <c r="Z25" s="484"/>
      <c r="AA25" s="484"/>
      <c r="AB25" s="489" t="s">
        <v>0</v>
      </c>
      <c r="AC25" s="484"/>
      <c r="AD25" s="484"/>
      <c r="AE25" s="484"/>
      <c r="AF25" s="484"/>
      <c r="AG25" s="484"/>
      <c r="AH25" s="484"/>
      <c r="AI25" s="484"/>
      <c r="AJ25" s="484"/>
      <c r="AK25" s="484"/>
      <c r="AL25" s="484" t="s">
        <v>0</v>
      </c>
      <c r="AM25" s="484"/>
      <c r="AN25" s="60"/>
      <c r="AO25" s="36"/>
      <c r="AQ25" s="258"/>
      <c r="AR25" s="258"/>
      <c r="AS25" s="212"/>
      <c r="AT25" s="270"/>
      <c r="AU25" s="45"/>
      <c r="AV25" s="45"/>
      <c r="AW25" s="45"/>
      <c r="AX25" s="45"/>
      <c r="AY25" s="321"/>
      <c r="AZ25" s="321"/>
      <c r="BA25" s="321"/>
      <c r="BB25" s="321"/>
      <c r="BC25" s="321"/>
      <c r="BD25" s="321"/>
      <c r="BE25" s="321"/>
      <c r="BF25" s="321"/>
      <c r="BG25" s="321"/>
      <c r="BH25" s="321"/>
      <c r="BI25" s="321"/>
      <c r="BJ25" s="321"/>
      <c r="BK25" s="354"/>
      <c r="BL25" s="314"/>
      <c r="BM25" s="314"/>
      <c r="BN25" s="45"/>
      <c r="BO25" s="268"/>
      <c r="BP25" s="45"/>
      <c r="BQ25" s="45"/>
      <c r="BR25" s="45"/>
      <c r="BS25" s="45"/>
      <c r="BT25" s="220"/>
      <c r="BU25" s="220"/>
      <c r="BV25" s="220"/>
      <c r="BW25" s="45"/>
      <c r="BX25" s="45"/>
      <c r="BY25" s="45"/>
      <c r="BZ25" s="45"/>
    </row>
    <row r="26" spans="2:78" ht="14.1" customHeight="1" x14ac:dyDescent="0.2">
      <c r="B26" s="39"/>
      <c r="C26" s="56"/>
      <c r="D26" s="469" t="s">
        <v>241</v>
      </c>
      <c r="E26" s="40"/>
      <c r="F26" s="485" t="s">
        <v>1</v>
      </c>
      <c r="G26" s="76" t="s">
        <v>239</v>
      </c>
      <c r="H26" s="40"/>
      <c r="I26" s="40"/>
      <c r="J26" s="40"/>
      <c r="K26" s="484"/>
      <c r="L26" s="484"/>
      <c r="M26" s="484"/>
      <c r="N26" s="484"/>
      <c r="O26" s="484"/>
      <c r="P26" s="545">
        <f>'Cantilever Slab'!EG73</f>
        <v>31.12</v>
      </c>
      <c r="Q26" s="545"/>
      <c r="R26" s="545"/>
      <c r="S26" s="387"/>
      <c r="T26" s="387"/>
      <c r="U26" s="387"/>
      <c r="V26" s="387"/>
      <c r="W26" s="387"/>
      <c r="X26" s="387"/>
      <c r="Y26" s="484"/>
      <c r="Z26" s="484"/>
      <c r="AA26" s="484"/>
      <c r="AB26" s="489" t="s">
        <v>0</v>
      </c>
      <c r="AC26" s="484"/>
      <c r="AD26" s="484"/>
      <c r="AE26" s="484"/>
      <c r="AF26" s="484"/>
      <c r="AG26" s="484"/>
      <c r="AH26" s="484"/>
      <c r="AI26" s="484"/>
      <c r="AJ26" s="484"/>
      <c r="AK26" s="484"/>
      <c r="AL26" s="469" t="s">
        <v>2</v>
      </c>
      <c r="AM26" s="484"/>
      <c r="AN26" s="60"/>
      <c r="AO26" s="36"/>
      <c r="AQ26" s="45"/>
      <c r="AR26" s="45"/>
      <c r="AS26" s="212"/>
      <c r="AT26" s="270"/>
      <c r="AU26" s="45"/>
      <c r="AV26" s="45"/>
      <c r="AW26" s="45"/>
      <c r="AX26" s="45"/>
      <c r="AY26" s="237"/>
      <c r="AZ26" s="274"/>
      <c r="BA26" s="274"/>
      <c r="BB26" s="274"/>
      <c r="BC26" s="237"/>
      <c r="BD26" s="274"/>
      <c r="BE26" s="274"/>
      <c r="BF26" s="274"/>
      <c r="BG26" s="237"/>
      <c r="BH26" s="274"/>
      <c r="BI26" s="274"/>
      <c r="BJ26" s="274"/>
      <c r="BK26" s="478"/>
      <c r="BL26" s="45"/>
      <c r="BM26" s="45"/>
      <c r="BN26" s="45"/>
      <c r="BO26" s="212"/>
      <c r="BP26" s="45"/>
      <c r="BQ26" s="45"/>
      <c r="BR26" s="45"/>
      <c r="BS26" s="322"/>
      <c r="BT26" s="220"/>
      <c r="BU26" s="220"/>
      <c r="BV26" s="220"/>
      <c r="BW26" s="45"/>
      <c r="BX26" s="45"/>
      <c r="BY26" s="45"/>
      <c r="BZ26" s="45"/>
    </row>
    <row r="27" spans="2:78" ht="14.1" customHeight="1" x14ac:dyDescent="0.2">
      <c r="B27" s="39"/>
      <c r="C27" s="56"/>
      <c r="D27" s="469" t="s">
        <v>83</v>
      </c>
      <c r="E27" s="311"/>
      <c r="F27" s="482" t="s">
        <v>1</v>
      </c>
      <c r="G27" s="464" t="s">
        <v>22</v>
      </c>
      <c r="H27" s="482"/>
      <c r="I27" s="311"/>
      <c r="J27" s="484"/>
      <c r="K27" s="484"/>
      <c r="L27" s="484"/>
      <c r="M27" s="484"/>
      <c r="N27" s="484"/>
      <c r="O27" s="484"/>
      <c r="P27" s="628">
        <f>'Cantilever Slab'!EG74</f>
        <v>728.64</v>
      </c>
      <c r="Q27" s="628"/>
      <c r="R27" s="628"/>
      <c r="S27" s="391"/>
      <c r="T27" s="391"/>
      <c r="U27" s="391"/>
      <c r="V27" s="391"/>
      <c r="W27" s="391"/>
      <c r="X27" s="391"/>
      <c r="Y27" s="484"/>
      <c r="Z27" s="484"/>
      <c r="AA27" s="484"/>
      <c r="AB27" s="489" t="s">
        <v>0</v>
      </c>
      <c r="AC27" s="484"/>
      <c r="AD27" s="484"/>
      <c r="AE27" s="484"/>
      <c r="AF27" s="484"/>
      <c r="AG27" s="484"/>
      <c r="AH27" s="484"/>
      <c r="AI27" s="484"/>
      <c r="AJ27" s="484"/>
      <c r="AK27" s="484"/>
      <c r="AL27" s="484" t="s">
        <v>84</v>
      </c>
      <c r="AM27" s="484"/>
      <c r="AN27" s="60"/>
      <c r="AO27" s="36"/>
      <c r="AQ27" s="45"/>
      <c r="AR27" s="45"/>
      <c r="AS27" s="45"/>
      <c r="AT27" s="45"/>
      <c r="AU27" s="45"/>
      <c r="AV27" s="45"/>
      <c r="AW27" s="45"/>
      <c r="AX27" s="45"/>
      <c r="AY27" s="322"/>
      <c r="AZ27" s="322"/>
      <c r="BA27" s="322"/>
      <c r="BB27" s="322"/>
      <c r="BC27" s="322"/>
      <c r="BD27" s="322"/>
      <c r="BE27" s="322"/>
      <c r="BF27" s="322"/>
      <c r="BG27" s="322"/>
      <c r="BH27" s="322"/>
      <c r="BI27" s="322"/>
      <c r="BJ27" s="322"/>
      <c r="BK27" s="478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</row>
    <row r="28" spans="2:78" ht="14.1" customHeight="1" x14ac:dyDescent="0.2">
      <c r="B28" s="39"/>
      <c r="C28" s="56"/>
      <c r="D28" s="469" t="s">
        <v>238</v>
      </c>
      <c r="E28" s="40"/>
      <c r="F28" s="485" t="s">
        <v>1</v>
      </c>
      <c r="G28" s="342" t="s">
        <v>240</v>
      </c>
      <c r="H28" s="40"/>
      <c r="I28" s="40"/>
      <c r="J28" s="311"/>
      <c r="K28" s="484"/>
      <c r="L28" s="484"/>
      <c r="M28" s="484"/>
      <c r="N28" s="484"/>
      <c r="O28" s="484"/>
      <c r="P28" s="626">
        <f>'Cantilever Slab'!EG75</f>
        <v>5.0999999999999996</v>
      </c>
      <c r="Q28" s="626"/>
      <c r="R28" s="626"/>
      <c r="S28" s="388"/>
      <c r="T28" s="388"/>
      <c r="U28" s="388"/>
      <c r="V28" s="388"/>
      <c r="W28" s="388"/>
      <c r="X28" s="388"/>
      <c r="Y28" s="484"/>
      <c r="Z28" s="484"/>
      <c r="AA28" s="484"/>
      <c r="AB28" s="489" t="s">
        <v>0</v>
      </c>
      <c r="AC28" s="484"/>
      <c r="AD28" s="484"/>
      <c r="AE28" s="484"/>
      <c r="AF28" s="484"/>
      <c r="AG28" s="484"/>
      <c r="AH28" s="484"/>
      <c r="AI28" s="484"/>
      <c r="AJ28" s="484"/>
      <c r="AK28" s="484"/>
      <c r="AL28" s="482" t="s">
        <v>17</v>
      </c>
      <c r="AM28" s="484"/>
      <c r="AN28" s="60"/>
      <c r="AO28" s="36"/>
      <c r="AQ28" s="268"/>
      <c r="AR28" s="268"/>
      <c r="AS28" s="268"/>
      <c r="AT28" s="268"/>
      <c r="AU28" s="45"/>
      <c r="AV28" s="45"/>
      <c r="AW28" s="45"/>
      <c r="AX28" s="45"/>
      <c r="AY28" s="237"/>
      <c r="AZ28" s="219"/>
      <c r="BA28" s="219"/>
      <c r="BB28" s="219"/>
      <c r="BC28" s="45"/>
      <c r="BD28" s="45"/>
      <c r="BE28" s="45"/>
      <c r="BF28" s="45"/>
      <c r="BG28" s="219"/>
      <c r="BH28" s="219"/>
      <c r="BI28" s="219"/>
      <c r="BJ28" s="219"/>
      <c r="BK28" s="478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</row>
    <row r="29" spans="2:78" ht="14.1" customHeight="1" x14ac:dyDescent="0.2">
      <c r="B29" s="39"/>
      <c r="C29" s="56"/>
      <c r="D29" s="482" t="s">
        <v>21</v>
      </c>
      <c r="E29" s="233"/>
      <c r="F29" s="485" t="s">
        <v>1</v>
      </c>
      <c r="G29" s="464" t="s">
        <v>197</v>
      </c>
      <c r="H29" s="482"/>
      <c r="I29" s="482"/>
      <c r="J29" s="482"/>
      <c r="K29" s="484"/>
      <c r="L29" s="484"/>
      <c r="M29" s="484"/>
      <c r="N29" s="484"/>
      <c r="O29" s="464"/>
      <c r="P29" s="544">
        <f>'Cantilever Slab'!EG76</f>
        <v>6.4</v>
      </c>
      <c r="Q29" s="544"/>
      <c r="R29" s="544"/>
      <c r="S29" s="140"/>
      <c r="T29" s="140"/>
      <c r="U29" s="140"/>
      <c r="V29" s="140"/>
      <c r="W29" s="140"/>
      <c r="X29" s="140"/>
      <c r="Y29" s="484"/>
      <c r="Z29" s="484"/>
      <c r="AA29" s="484"/>
      <c r="AB29" s="489" t="s">
        <v>0</v>
      </c>
      <c r="AC29" s="484"/>
      <c r="AD29" s="484"/>
      <c r="AE29" s="484"/>
      <c r="AF29" s="484"/>
      <c r="AG29" s="484"/>
      <c r="AH29" s="484"/>
      <c r="AI29" s="484"/>
      <c r="AJ29" s="484"/>
      <c r="AK29" s="484"/>
      <c r="AL29" s="482" t="s">
        <v>17</v>
      </c>
      <c r="AM29" s="484"/>
      <c r="AN29" s="60"/>
      <c r="AO29" s="36"/>
      <c r="AQ29" s="268"/>
      <c r="AR29" s="268"/>
      <c r="AS29" s="268"/>
      <c r="AT29" s="268"/>
      <c r="AU29" s="45"/>
      <c r="AV29" s="45"/>
      <c r="AW29" s="45"/>
      <c r="AX29" s="45"/>
      <c r="AY29" s="237"/>
      <c r="AZ29" s="219"/>
      <c r="BA29" s="219"/>
      <c r="BB29" s="219"/>
      <c r="BC29" s="45"/>
      <c r="BD29" s="45"/>
      <c r="BE29" s="45"/>
      <c r="BF29" s="45"/>
      <c r="BG29" s="219"/>
      <c r="BH29" s="219"/>
      <c r="BI29" s="219"/>
      <c r="BJ29" s="219"/>
      <c r="BK29" s="478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</row>
    <row r="30" spans="2:78" ht="14.1" customHeight="1" x14ac:dyDescent="0.2">
      <c r="B30" s="39"/>
      <c r="C30" s="56"/>
      <c r="D30" s="469" t="s">
        <v>242</v>
      </c>
      <c r="E30" s="343"/>
      <c r="F30" s="485" t="s">
        <v>1</v>
      </c>
      <c r="G30" s="469" t="s">
        <v>243</v>
      </c>
      <c r="H30" s="484"/>
      <c r="I30" s="484"/>
      <c r="J30" s="484"/>
      <c r="K30" s="484"/>
      <c r="L30" s="484"/>
      <c r="M30" s="484"/>
      <c r="N30" s="484"/>
      <c r="O30" s="484"/>
      <c r="P30" s="543">
        <f>'Cantilever Slab'!EG77</f>
        <v>19.765624999999996</v>
      </c>
      <c r="Q30" s="543"/>
      <c r="R30" s="543"/>
      <c r="S30" s="109"/>
      <c r="T30" s="109"/>
      <c r="U30" s="109"/>
      <c r="V30" s="109"/>
      <c r="W30" s="109"/>
      <c r="X30" s="109"/>
      <c r="Y30" s="484"/>
      <c r="Z30" s="484"/>
      <c r="AA30" s="484"/>
      <c r="AB30" s="489" t="s">
        <v>0</v>
      </c>
      <c r="AC30" s="484"/>
      <c r="AD30" s="484"/>
      <c r="AE30" s="484"/>
      <c r="AF30" s="484"/>
      <c r="AG30" s="484"/>
      <c r="AH30" s="484"/>
      <c r="AI30" s="484"/>
      <c r="AJ30" s="484"/>
      <c r="AK30" s="484"/>
      <c r="AL30" s="482" t="s">
        <v>2</v>
      </c>
      <c r="AM30" s="484"/>
      <c r="AN30" s="60"/>
      <c r="AO30" s="36"/>
      <c r="AQ30" s="45"/>
      <c r="AR30" s="306"/>
      <c r="AS30" s="306"/>
      <c r="AT30" s="306"/>
      <c r="AU30" s="306"/>
      <c r="AV30" s="306"/>
      <c r="AW30" s="306"/>
      <c r="AX30" s="45"/>
      <c r="AY30" s="238"/>
      <c r="AZ30" s="238"/>
      <c r="BA30" s="238"/>
      <c r="BB30" s="238"/>
      <c r="BC30" s="238"/>
      <c r="BD30" s="238"/>
      <c r="BE30" s="238"/>
      <c r="BF30" s="238"/>
      <c r="BG30" s="238"/>
      <c r="BH30" s="238"/>
      <c r="BI30" s="238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</row>
    <row r="31" spans="2:78" ht="14.1" customHeight="1" x14ac:dyDescent="0.2">
      <c r="B31" s="39"/>
      <c r="C31" s="56"/>
      <c r="D31" s="76" t="s">
        <v>34</v>
      </c>
      <c r="E31" s="343"/>
      <c r="F31" s="485" t="s">
        <v>1</v>
      </c>
      <c r="G31" s="344" t="s">
        <v>244</v>
      </c>
      <c r="H31" s="484"/>
      <c r="I31" s="484"/>
      <c r="J31" s="484"/>
      <c r="K31" s="484"/>
      <c r="L31" s="484"/>
      <c r="M31" s="484"/>
      <c r="N31" s="484"/>
      <c r="O31" s="484"/>
      <c r="P31" s="625">
        <f>'Cantilever Slab'!EG78</f>
        <v>7.1999999999999998E-3</v>
      </c>
      <c r="Q31" s="625"/>
      <c r="R31" s="625"/>
      <c r="S31" s="387"/>
      <c r="T31" s="387"/>
      <c r="U31" s="387"/>
      <c r="V31" s="387"/>
      <c r="W31" s="387"/>
      <c r="X31" s="387"/>
      <c r="Y31" s="484"/>
      <c r="Z31" s="484"/>
      <c r="AA31" s="484"/>
      <c r="AB31" s="489" t="s">
        <v>0</v>
      </c>
      <c r="AC31" s="484"/>
      <c r="AD31" s="484"/>
      <c r="AE31" s="484"/>
      <c r="AF31" s="484"/>
      <c r="AG31" s="484"/>
      <c r="AH31" s="484"/>
      <c r="AI31" s="484"/>
      <c r="AJ31" s="484"/>
      <c r="AK31" s="484"/>
      <c r="AL31" s="482" t="s">
        <v>0</v>
      </c>
      <c r="AM31" s="484"/>
      <c r="AN31" s="60"/>
      <c r="AO31" s="36"/>
      <c r="AQ31" s="323"/>
      <c r="AR31" s="237"/>
      <c r="AS31" s="212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20"/>
      <c r="BG31" s="220"/>
      <c r="BH31" s="238"/>
      <c r="BI31" s="238"/>
      <c r="BJ31" s="45"/>
      <c r="BK31" s="45"/>
      <c r="BL31" s="45"/>
      <c r="BM31" s="45"/>
      <c r="BN31" s="45"/>
      <c r="BO31" s="237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</row>
    <row r="32" spans="2:78" ht="14.1" customHeight="1" x14ac:dyDescent="0.2">
      <c r="B32" s="39"/>
      <c r="C32" s="56"/>
      <c r="D32" s="76" t="s">
        <v>33</v>
      </c>
      <c r="E32" s="40"/>
      <c r="F32" s="485" t="s">
        <v>1</v>
      </c>
      <c r="G32" s="464" t="s">
        <v>15</v>
      </c>
      <c r="H32" s="484"/>
      <c r="I32" s="484"/>
      <c r="J32" s="484"/>
      <c r="K32" s="484"/>
      <c r="L32" s="484"/>
      <c r="M32" s="484"/>
      <c r="N32" s="484"/>
      <c r="O32" s="484"/>
      <c r="P32" s="625">
        <f>'Cantilever Slab'!EG71</f>
        <v>4.7000000000000002E-3</v>
      </c>
      <c r="Q32" s="625"/>
      <c r="R32" s="625"/>
      <c r="S32" s="387"/>
      <c r="T32" s="387"/>
      <c r="U32" s="387"/>
      <c r="V32" s="387"/>
      <c r="W32" s="387"/>
      <c r="X32" s="387"/>
      <c r="Y32" s="484"/>
      <c r="Z32" s="484"/>
      <c r="AA32" s="484"/>
      <c r="AB32" s="489" t="s">
        <v>0</v>
      </c>
      <c r="AC32" s="484"/>
      <c r="AD32" s="484"/>
      <c r="AE32" s="484"/>
      <c r="AF32" s="484"/>
      <c r="AG32" s="484"/>
      <c r="AH32" s="484"/>
      <c r="AI32" s="484"/>
      <c r="AJ32" s="484"/>
      <c r="AK32" s="484"/>
      <c r="AL32" s="482" t="s">
        <v>0</v>
      </c>
      <c r="AM32" s="484"/>
      <c r="AN32" s="60"/>
      <c r="AO32" s="36"/>
      <c r="AQ32" s="324"/>
      <c r="AR32" s="237"/>
      <c r="AS32" s="478"/>
      <c r="AT32" s="240"/>
      <c r="AU32" s="45"/>
      <c r="AV32" s="45"/>
      <c r="AW32" s="45"/>
      <c r="AX32" s="478"/>
      <c r="AY32" s="237"/>
      <c r="AZ32" s="237"/>
      <c r="BA32" s="237"/>
      <c r="BB32" s="237"/>
      <c r="BC32" s="45"/>
      <c r="BD32" s="45"/>
      <c r="BE32" s="45"/>
      <c r="BF32" s="95"/>
      <c r="BG32" s="9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</row>
    <row r="33" spans="2:78" ht="14.1" customHeight="1" x14ac:dyDescent="0.2">
      <c r="B33" s="39"/>
      <c r="C33" s="56"/>
      <c r="D33" s="66" t="s">
        <v>115</v>
      </c>
      <c r="E33" s="236"/>
      <c r="F33" s="485" t="s">
        <v>1</v>
      </c>
      <c r="G33" s="76" t="s">
        <v>245</v>
      </c>
      <c r="H33" s="343"/>
      <c r="I33" s="343"/>
      <c r="J33" s="343"/>
      <c r="K33" s="343"/>
      <c r="L33" s="464"/>
      <c r="M33" s="464"/>
      <c r="N33" s="464"/>
      <c r="O33" s="464"/>
      <c r="P33" s="543">
        <f>'Cantilever Slab'!EG79</f>
        <v>4.6079999999999997</v>
      </c>
      <c r="Q33" s="543"/>
      <c r="R33" s="543"/>
      <c r="S33" s="109"/>
      <c r="T33" s="109"/>
      <c r="U33" s="109"/>
      <c r="V33" s="109"/>
      <c r="W33" s="109"/>
      <c r="X33" s="109"/>
      <c r="Y33" s="464"/>
      <c r="Z33" s="464"/>
      <c r="AA33" s="464"/>
      <c r="AB33" s="489" t="s">
        <v>0</v>
      </c>
      <c r="AC33" s="466"/>
      <c r="AD33" s="466"/>
      <c r="AE33" s="466"/>
      <c r="AF33" s="466"/>
      <c r="AG33" s="466"/>
      <c r="AH33" s="482"/>
      <c r="AI33" s="464"/>
      <c r="AJ33" s="464"/>
      <c r="AK33" s="464"/>
      <c r="AL33" s="482" t="s">
        <v>16</v>
      </c>
      <c r="AM33" s="464"/>
      <c r="AN33" s="60"/>
      <c r="AO33" s="36"/>
      <c r="AQ33" s="270"/>
      <c r="AR33" s="237"/>
      <c r="AS33" s="478"/>
      <c r="AT33" s="270"/>
      <c r="AU33" s="45"/>
      <c r="AV33" s="45"/>
      <c r="AW33" s="45"/>
      <c r="AX33" s="478"/>
      <c r="AY33" s="237"/>
      <c r="AZ33" s="237"/>
      <c r="BA33" s="237"/>
      <c r="BB33" s="237"/>
      <c r="BC33" s="325"/>
      <c r="BD33" s="232"/>
      <c r="BE33" s="232"/>
      <c r="BF33" s="232"/>
      <c r="BG33" s="326"/>
      <c r="BH33" s="219"/>
      <c r="BI33" s="220"/>
      <c r="BJ33" s="45"/>
      <c r="BK33" s="45"/>
      <c r="BL33" s="45"/>
      <c r="BM33" s="45"/>
      <c r="BN33" s="45"/>
      <c r="BO33" s="324"/>
      <c r="BP33" s="237"/>
      <c r="BQ33" s="478"/>
      <c r="BR33" s="240"/>
      <c r="BS33" s="45"/>
      <c r="BT33" s="45"/>
      <c r="BU33" s="45"/>
      <c r="BV33" s="478"/>
      <c r="BW33" s="298"/>
      <c r="BX33" s="44"/>
      <c r="BY33" s="44"/>
      <c r="BZ33" s="324"/>
    </row>
    <row r="34" spans="2:78" ht="14.1" customHeight="1" x14ac:dyDescent="0.2">
      <c r="B34" s="39"/>
      <c r="C34" s="56"/>
      <c r="D34" s="485" t="s">
        <v>187</v>
      </c>
      <c r="E34" s="485"/>
      <c r="F34" s="485" t="s">
        <v>1</v>
      </c>
      <c r="G34" s="484" t="str">
        <f>CONCATENATE('Cantilever Slab'!FB74,"bt")</f>
        <v>0.002bt</v>
      </c>
      <c r="H34" s="485"/>
      <c r="I34" s="485"/>
      <c r="J34" s="485"/>
      <c r="K34" s="485"/>
      <c r="L34" s="464"/>
      <c r="M34" s="464"/>
      <c r="N34" s="464"/>
      <c r="O34" s="464"/>
      <c r="P34" s="612">
        <f>'Cantilever Slab'!EG80</f>
        <v>2</v>
      </c>
      <c r="Q34" s="612"/>
      <c r="R34" s="612"/>
      <c r="S34" s="392"/>
      <c r="T34" s="392"/>
      <c r="U34" s="392"/>
      <c r="V34" s="392"/>
      <c r="W34" s="392"/>
      <c r="X34" s="392"/>
      <c r="Y34" s="464"/>
      <c r="Z34" s="464"/>
      <c r="AA34" s="464"/>
      <c r="AB34" s="543">
        <f>'Cantilever Slab'!EG87</f>
        <v>2.5</v>
      </c>
      <c r="AC34" s="543"/>
      <c r="AD34" s="543"/>
      <c r="AE34" s="339"/>
      <c r="AF34" s="370" t="str">
        <f>IF('Cantilever Slab'!EG63='Cantilever Slab'!EG62,"",CONCATENATE("&lt;&lt; [",'Cantilever Slab'!FJ74,"bt]"))</f>
        <v>&lt;&lt; [0.0025bt]</v>
      </c>
      <c r="AG34" s="468"/>
      <c r="AH34" s="482"/>
      <c r="AI34" s="464"/>
      <c r="AJ34" s="464"/>
      <c r="AK34" s="464"/>
      <c r="AL34" s="482" t="s">
        <v>16</v>
      </c>
      <c r="AM34" s="464"/>
      <c r="AN34" s="60"/>
      <c r="AO34" s="36"/>
    </row>
    <row r="35" spans="2:78" ht="14.1" customHeight="1" x14ac:dyDescent="0.2">
      <c r="B35" s="39"/>
      <c r="C35" s="56"/>
      <c r="D35" s="464" t="s">
        <v>247</v>
      </c>
      <c r="E35" s="484"/>
      <c r="F35" s="484"/>
      <c r="G35" s="484"/>
      <c r="H35" s="484"/>
      <c r="I35" s="484"/>
      <c r="J35" s="484"/>
      <c r="K35" s="484"/>
      <c r="L35" s="464"/>
      <c r="M35" s="464"/>
      <c r="N35" s="464"/>
      <c r="O35" s="464"/>
      <c r="P35" s="613">
        <f>MIN('Cantilever Slab'!EG82:EI84)</f>
        <v>0.24</v>
      </c>
      <c r="Q35" s="613"/>
      <c r="R35" s="613"/>
      <c r="S35" s="393"/>
      <c r="T35" s="393"/>
      <c r="U35" s="393"/>
      <c r="V35" s="393"/>
      <c r="W35" s="393"/>
      <c r="X35" s="393"/>
      <c r="Y35" s="468"/>
      <c r="Z35" s="468"/>
      <c r="AA35" s="468"/>
      <c r="AB35" s="614">
        <f>MIN('Cantilever Slab'!EG88:EI90)</f>
        <v>0.25</v>
      </c>
      <c r="AC35" s="614"/>
      <c r="AD35" s="614"/>
      <c r="AE35" s="339"/>
      <c r="AF35" s="468"/>
      <c r="AG35" s="468"/>
      <c r="AH35" s="482"/>
      <c r="AI35" s="464"/>
      <c r="AJ35" s="464"/>
      <c r="AK35" s="464"/>
      <c r="AL35" s="485" t="s">
        <v>12</v>
      </c>
      <c r="AM35" s="464"/>
      <c r="AN35" s="60"/>
      <c r="AO35" s="36"/>
    </row>
    <row r="36" spans="2:78" ht="14.1" customHeight="1" x14ac:dyDescent="0.2">
      <c r="B36" s="39"/>
      <c r="C36" s="56"/>
      <c r="D36" s="464" t="s">
        <v>248</v>
      </c>
      <c r="E36" s="484"/>
      <c r="F36" s="484"/>
      <c r="G36" s="484"/>
      <c r="H36" s="484"/>
      <c r="I36" s="484"/>
      <c r="J36" s="484"/>
      <c r="K36" s="484"/>
      <c r="L36" s="464"/>
      <c r="M36" s="464"/>
      <c r="N36" s="464"/>
      <c r="O36" s="464"/>
      <c r="P36" s="534" t="str">
        <f>CONCATENATE('Cantilever Slab'!V18,'Cantilever Slab'!W18,"@",'Cantilever Slab'!W30)</f>
        <v>DB12@0.2</v>
      </c>
      <c r="Q36" s="534"/>
      <c r="R36" s="534"/>
      <c r="S36" s="534"/>
      <c r="T36" s="458" t="str">
        <f>IF('Cantilever Slab'!W31="OK","&lt;&lt; [Ok]","&lt;&lt; [Not]")</f>
        <v>&lt;&lt; [Ok]</v>
      </c>
      <c r="U36" s="66"/>
      <c r="V36" s="66"/>
      <c r="W36" s="66"/>
      <c r="X36" s="66"/>
      <c r="Y36" s="464"/>
      <c r="Z36" s="464"/>
      <c r="AA36" s="464"/>
      <c r="AB36" s="613" t="str">
        <f>CONCATENATE('Cantilever Slab'!V19,'Cantilever Slab'!W19,"@",'Cantilever Slab'!W36)</f>
        <v>RB9@0.25</v>
      </c>
      <c r="AC36" s="613"/>
      <c r="AD36" s="613"/>
      <c r="AE36" s="613"/>
      <c r="AF36" s="458" t="str">
        <f>IF('Cantilever Slab'!W37="OK","&lt;&lt; [Ok]","&lt;&lt; [Not]")</f>
        <v>&lt;&lt; [Ok]</v>
      </c>
      <c r="AG36" s="464"/>
      <c r="AH36" s="464"/>
      <c r="AI36" s="464"/>
      <c r="AJ36" s="464"/>
      <c r="AK36" s="464"/>
      <c r="AL36" s="485" t="s">
        <v>12</v>
      </c>
      <c r="AM36" s="464"/>
      <c r="AN36" s="60"/>
      <c r="AO36" s="36"/>
    </row>
    <row r="37" spans="2:78" ht="14.1" customHeight="1" x14ac:dyDescent="0.2">
      <c r="B37" s="39"/>
      <c r="C37" s="56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  <c r="AK37" s="339"/>
      <c r="AL37" s="339"/>
      <c r="AM37" s="339"/>
      <c r="AN37" s="60"/>
      <c r="AO37" s="36"/>
    </row>
    <row r="38" spans="2:78" ht="14.1" customHeight="1" x14ac:dyDescent="0.2">
      <c r="B38" s="39"/>
      <c r="C38" s="56"/>
      <c r="D38" s="72" t="s">
        <v>134</v>
      </c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464"/>
      <c r="P38" s="464"/>
      <c r="Q38" s="464"/>
      <c r="R38" s="464"/>
      <c r="S38" s="464"/>
      <c r="T38" s="464"/>
      <c r="U38" s="464"/>
      <c r="V38" s="464"/>
      <c r="W38" s="464"/>
      <c r="X38" s="464"/>
      <c r="Y38" s="464"/>
      <c r="Z38" s="464"/>
      <c r="AA38" s="464"/>
      <c r="AB38" s="464"/>
      <c r="AC38" s="464"/>
      <c r="AD38" s="464"/>
      <c r="AE38" s="464"/>
      <c r="AF38" s="464"/>
      <c r="AG38" s="464"/>
      <c r="AH38" s="464"/>
      <c r="AI38" s="464"/>
      <c r="AJ38" s="464"/>
      <c r="AK38" s="464"/>
      <c r="AL38" s="464"/>
      <c r="AM38" s="464"/>
      <c r="AN38" s="60"/>
      <c r="AO38" s="36"/>
    </row>
    <row r="39" spans="2:78" ht="14.1" customHeight="1" x14ac:dyDescent="0.2">
      <c r="B39" s="39"/>
      <c r="C39" s="56"/>
      <c r="D39" s="465" t="s">
        <v>75</v>
      </c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465" t="s">
        <v>76</v>
      </c>
      <c r="Q39" s="136"/>
      <c r="R39" s="136"/>
      <c r="S39" s="136"/>
      <c r="T39" s="136"/>
      <c r="U39" s="136"/>
      <c r="V39" s="136"/>
      <c r="W39" s="136"/>
      <c r="X39" s="136"/>
      <c r="Y39" s="341"/>
      <c r="Z39" s="341"/>
      <c r="AA39" s="341"/>
      <c r="AB39" s="465" t="s">
        <v>77</v>
      </c>
      <c r="AC39" s="136"/>
      <c r="AD39" s="136"/>
      <c r="AE39" s="317"/>
      <c r="AF39" s="317"/>
      <c r="AG39" s="317"/>
      <c r="AH39" s="313"/>
      <c r="AI39" s="313"/>
      <c r="AJ39" s="313"/>
      <c r="AK39" s="313"/>
      <c r="AL39" s="536" t="s">
        <v>78</v>
      </c>
      <c r="AM39" s="536"/>
      <c r="AN39" s="97"/>
      <c r="AO39" s="36"/>
    </row>
    <row r="40" spans="2:78" ht="14.1" customHeight="1" x14ac:dyDescent="0.2">
      <c r="B40" s="39"/>
      <c r="C40" s="56"/>
      <c r="D40" s="106" t="s">
        <v>52</v>
      </c>
      <c r="E40" s="40"/>
      <c r="F40" s="464" t="s">
        <v>1</v>
      </c>
      <c r="G40" s="469" t="s">
        <v>263</v>
      </c>
      <c r="H40" s="66"/>
      <c r="I40" s="66"/>
      <c r="J40" s="66"/>
      <c r="K40" s="347"/>
      <c r="L40" s="66"/>
      <c r="M40" s="40"/>
      <c r="N40" s="40"/>
      <c r="O40" s="143"/>
      <c r="P40" s="541">
        <f>'Cantilever Slab'!EG91</f>
        <v>1396.5599999999997</v>
      </c>
      <c r="Q40" s="542"/>
      <c r="R40" s="542"/>
      <c r="S40" s="143"/>
      <c r="T40" s="40"/>
      <c r="U40" s="40"/>
      <c r="V40" s="143"/>
      <c r="W40" s="143"/>
      <c r="X40" s="143"/>
      <c r="Y40" s="143"/>
      <c r="Z40" s="143"/>
      <c r="AA40" s="40"/>
      <c r="AB40" s="485" t="s">
        <v>0</v>
      </c>
      <c r="AC40" s="143"/>
      <c r="AD40" s="143"/>
      <c r="AE40" s="143"/>
      <c r="AF40" s="143"/>
      <c r="AG40" s="143"/>
      <c r="AH40" s="40"/>
      <c r="AI40" s="40"/>
      <c r="AJ40" s="40"/>
      <c r="AK40" s="40"/>
      <c r="AL40" s="106" t="s">
        <v>13</v>
      </c>
      <c r="AM40" s="40"/>
      <c r="AN40" s="60"/>
      <c r="AO40" s="36"/>
    </row>
    <row r="41" spans="2:78" ht="14.1" customHeight="1" x14ac:dyDescent="0.2">
      <c r="B41" s="39"/>
      <c r="C41" s="56"/>
      <c r="D41" s="76" t="s">
        <v>116</v>
      </c>
      <c r="E41" s="40"/>
      <c r="F41" s="464" t="s">
        <v>1</v>
      </c>
      <c r="G41" s="76" t="s">
        <v>198</v>
      </c>
      <c r="H41" s="66"/>
      <c r="I41" s="66"/>
      <c r="J41" s="66"/>
      <c r="K41" s="347"/>
      <c r="L41" s="66"/>
      <c r="M41" s="40"/>
      <c r="N41" s="40"/>
      <c r="O41" s="143"/>
      <c r="P41" s="541">
        <f>'Cantilever Slab'!EG92</f>
        <v>3531.18</v>
      </c>
      <c r="Q41" s="542"/>
      <c r="R41" s="542"/>
      <c r="S41" s="339"/>
      <c r="T41" s="458" t="str">
        <f>IF(P41&gt;=P40,"&lt;&lt; [Ok]","&lt;&lt; [Not]")</f>
        <v>&lt;&lt; [Ok]</v>
      </c>
      <c r="U41" s="40"/>
      <c r="V41" s="144"/>
      <c r="W41" s="144"/>
      <c r="X41" s="144"/>
      <c r="Y41" s="144"/>
      <c r="Z41" s="144"/>
      <c r="AA41" s="40"/>
      <c r="AB41" s="485" t="s">
        <v>0</v>
      </c>
      <c r="AC41" s="143"/>
      <c r="AD41" s="143"/>
      <c r="AE41" s="143"/>
      <c r="AF41" s="143"/>
      <c r="AG41" s="143"/>
      <c r="AH41" s="40"/>
      <c r="AI41" s="40"/>
      <c r="AJ41" s="40"/>
      <c r="AK41" s="40"/>
      <c r="AL41" s="106" t="s">
        <v>13</v>
      </c>
      <c r="AM41" s="40"/>
      <c r="AN41" s="60"/>
      <c r="AO41" s="36"/>
    </row>
    <row r="42" spans="2:78" ht="14.1" customHeight="1" x14ac:dyDescent="0.2">
      <c r="B42" s="39"/>
      <c r="C42" s="56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60"/>
      <c r="AO42" s="36"/>
    </row>
    <row r="43" spans="2:78" ht="14.1" customHeight="1" x14ac:dyDescent="0.2">
      <c r="B43" s="39"/>
      <c r="C43" s="56"/>
      <c r="D43" s="348" t="s">
        <v>250</v>
      </c>
      <c r="E43" s="339"/>
      <c r="F43" s="464"/>
      <c r="G43" s="76"/>
      <c r="H43" s="339"/>
      <c r="I43" s="339"/>
      <c r="J43" s="339"/>
      <c r="K43" s="339"/>
      <c r="L43" s="66"/>
      <c r="M43" s="66"/>
      <c r="N43" s="66"/>
      <c r="O43" s="142"/>
      <c r="P43" s="66"/>
      <c r="Q43" s="142"/>
      <c r="R43" s="142"/>
      <c r="S43" s="143"/>
      <c r="T43" s="40"/>
      <c r="U43" s="40"/>
      <c r="V43" s="143"/>
      <c r="W43" s="143"/>
      <c r="X43" s="143"/>
      <c r="Y43" s="143"/>
      <c r="Z43" s="143"/>
      <c r="AA43" s="40"/>
      <c r="AB43" s="40"/>
      <c r="AC43" s="143"/>
      <c r="AD43" s="143"/>
      <c r="AE43" s="143"/>
      <c r="AF43" s="143"/>
      <c r="AG43" s="143"/>
      <c r="AH43" s="40"/>
      <c r="AI43" s="40"/>
      <c r="AJ43" s="40"/>
      <c r="AK43" s="40"/>
      <c r="AL43" s="464"/>
      <c r="AM43" s="40"/>
      <c r="AN43" s="60"/>
      <c r="AO43" s="36"/>
    </row>
    <row r="44" spans="2:78" ht="14.1" customHeight="1" x14ac:dyDescent="0.2">
      <c r="B44" s="39"/>
      <c r="C44" s="56"/>
      <c r="D44" s="465" t="s">
        <v>75</v>
      </c>
      <c r="E44" s="346"/>
      <c r="F44" s="346"/>
      <c r="G44" s="346"/>
      <c r="H44" s="346"/>
      <c r="I44" s="346"/>
      <c r="J44" s="346"/>
      <c r="K44" s="346"/>
      <c r="L44" s="346"/>
      <c r="M44" s="346"/>
      <c r="N44" s="346"/>
      <c r="O44" s="346"/>
      <c r="P44" s="465" t="s">
        <v>76</v>
      </c>
      <c r="Q44" s="136"/>
      <c r="R44" s="136"/>
      <c r="S44" s="136"/>
      <c r="T44" s="136"/>
      <c r="U44" s="136"/>
      <c r="V44" s="136"/>
      <c r="W44" s="136"/>
      <c r="X44" s="136"/>
      <c r="Y44" s="341"/>
      <c r="Z44" s="341"/>
      <c r="AA44" s="341"/>
      <c r="AB44" s="465" t="s">
        <v>77</v>
      </c>
      <c r="AC44" s="136"/>
      <c r="AD44" s="136"/>
      <c r="AE44" s="317"/>
      <c r="AF44" s="317"/>
      <c r="AG44" s="317"/>
      <c r="AH44" s="313"/>
      <c r="AI44" s="313"/>
      <c r="AJ44" s="313"/>
      <c r="AK44" s="313"/>
      <c r="AL44" s="536" t="s">
        <v>78</v>
      </c>
      <c r="AM44" s="536"/>
      <c r="AN44" s="60"/>
      <c r="AO44" s="36"/>
    </row>
    <row r="45" spans="2:78" ht="14.1" customHeight="1" x14ac:dyDescent="0.2">
      <c r="B45" s="39"/>
      <c r="C45" s="56"/>
      <c r="D45" s="467" t="s">
        <v>195</v>
      </c>
      <c r="E45" s="66"/>
      <c r="F45" s="66"/>
      <c r="G45" s="66"/>
      <c r="H45" s="66"/>
      <c r="I45" s="66"/>
      <c r="J45" s="66"/>
      <c r="K45" s="66"/>
      <c r="L45" s="107"/>
      <c r="M45" s="40"/>
      <c r="N45" s="40"/>
      <c r="O45" s="40"/>
      <c r="P45" s="535">
        <f>(P17+P18+P20)*S8</f>
        <v>432</v>
      </c>
      <c r="Q45" s="535"/>
      <c r="R45" s="535"/>
      <c r="S45" s="145"/>
      <c r="T45" s="40"/>
      <c r="U45" s="40"/>
      <c r="V45" s="145"/>
      <c r="W45" s="145"/>
      <c r="X45" s="145"/>
      <c r="Y45" s="145"/>
      <c r="Z45" s="145"/>
      <c r="AA45" s="40"/>
      <c r="AB45" s="485" t="s">
        <v>0</v>
      </c>
      <c r="AC45" s="145"/>
      <c r="AD45" s="145"/>
      <c r="AE45" s="145"/>
      <c r="AF45" s="145"/>
      <c r="AG45" s="145"/>
      <c r="AH45" s="40"/>
      <c r="AI45" s="40"/>
      <c r="AJ45" s="40"/>
      <c r="AK45" s="40"/>
      <c r="AL45" s="464" t="s">
        <v>14</v>
      </c>
      <c r="AM45" s="40"/>
      <c r="AN45" s="60"/>
      <c r="AO45" s="36"/>
    </row>
    <row r="46" spans="2:78" ht="14.1" customHeight="1" x14ac:dyDescent="0.2">
      <c r="B46" s="39"/>
      <c r="C46" s="56"/>
      <c r="D46" s="467" t="s">
        <v>196</v>
      </c>
      <c r="E46" s="40"/>
      <c r="F46" s="40"/>
      <c r="G46" s="40"/>
      <c r="H46" s="40"/>
      <c r="I46" s="40"/>
      <c r="J46" s="40"/>
      <c r="K46" s="40"/>
      <c r="L46" s="66"/>
      <c r="M46" s="67"/>
      <c r="N46" s="67"/>
      <c r="O46" s="67"/>
      <c r="P46" s="535">
        <f>P19*S8</f>
        <v>240</v>
      </c>
      <c r="Q46" s="535"/>
      <c r="R46" s="535"/>
      <c r="S46" s="145"/>
      <c r="T46" s="40"/>
      <c r="U46" s="40"/>
      <c r="V46" s="145"/>
      <c r="W46" s="145"/>
      <c r="X46" s="145"/>
      <c r="Y46" s="145"/>
      <c r="Z46" s="145"/>
      <c r="AA46" s="40"/>
      <c r="AB46" s="485" t="s">
        <v>0</v>
      </c>
      <c r="AC46" s="145"/>
      <c r="AD46" s="145"/>
      <c r="AE46" s="145"/>
      <c r="AF46" s="145"/>
      <c r="AG46" s="145"/>
      <c r="AH46" s="40"/>
      <c r="AI46" s="40"/>
      <c r="AJ46" s="40"/>
      <c r="AK46" s="40"/>
      <c r="AL46" s="464" t="s">
        <v>14</v>
      </c>
      <c r="AM46" s="40"/>
      <c r="AN46" s="60"/>
      <c r="AO46" s="36"/>
    </row>
    <row r="47" spans="2:78" ht="14.1" customHeight="1" x14ac:dyDescent="0.2">
      <c r="B47" s="39"/>
      <c r="C47" s="56"/>
      <c r="D47" s="464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66"/>
      <c r="P47" s="66"/>
      <c r="Q47" s="66"/>
      <c r="R47" s="66"/>
      <c r="S47" s="66"/>
      <c r="T47" s="40"/>
      <c r="U47" s="40"/>
      <c r="V47" s="66"/>
      <c r="W47" s="66"/>
      <c r="X47" s="66"/>
      <c r="Y47" s="66"/>
      <c r="Z47" s="66"/>
      <c r="AA47" s="40"/>
      <c r="AB47" s="40"/>
      <c r="AC47" s="66"/>
      <c r="AD47" s="66"/>
      <c r="AE47" s="66"/>
      <c r="AF47" s="66"/>
      <c r="AG47" s="66"/>
      <c r="AH47" s="40"/>
      <c r="AI47" s="40"/>
      <c r="AJ47" s="40"/>
      <c r="AK47" s="40"/>
      <c r="AL47" s="485"/>
      <c r="AM47" s="40"/>
      <c r="AN47" s="60"/>
      <c r="AO47" s="36"/>
    </row>
    <row r="48" spans="2:78" ht="14.1" customHeight="1" x14ac:dyDescent="0.2">
      <c r="B48" s="39"/>
      <c r="C48" s="56"/>
      <c r="D48" s="108" t="s">
        <v>249</v>
      </c>
      <c r="E48" s="40"/>
      <c r="F48" s="40"/>
      <c r="G48" s="40"/>
      <c r="H48" s="485"/>
      <c r="I48" s="40"/>
      <c r="J48" s="40"/>
      <c r="K48" s="40"/>
      <c r="L48" s="40"/>
      <c r="M48" s="40"/>
      <c r="N48" s="40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40"/>
      <c r="AK48" s="40"/>
      <c r="AL48" s="485"/>
      <c r="AM48" s="40"/>
      <c r="AN48" s="60"/>
      <c r="AO48" s="36"/>
    </row>
    <row r="49" spans="2:41" ht="14.1" customHeight="1" x14ac:dyDescent="0.2">
      <c r="B49" s="39"/>
      <c r="C49" s="56"/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39"/>
      <c r="AH49" s="339"/>
      <c r="AI49" s="339"/>
      <c r="AJ49" s="339"/>
      <c r="AK49" s="339"/>
      <c r="AL49" s="339"/>
      <c r="AM49" s="339"/>
      <c r="AN49" s="60"/>
      <c r="AO49" s="36"/>
    </row>
    <row r="50" spans="2:41" ht="14.1" customHeight="1" x14ac:dyDescent="0.2">
      <c r="B50" s="39"/>
      <c r="C50" s="56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60"/>
      <c r="AO50" s="36"/>
    </row>
    <row r="51" spans="2:41" ht="14.1" customHeight="1" x14ac:dyDescent="0.2">
      <c r="B51" s="39"/>
      <c r="C51" s="5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8"/>
      <c r="P51" s="68"/>
      <c r="Q51" s="55"/>
      <c r="R51" s="55"/>
      <c r="S51" s="55"/>
      <c r="T51" s="55"/>
      <c r="U51" s="55"/>
      <c r="V51" s="55"/>
      <c r="W51" s="69"/>
      <c r="X51" s="69"/>
      <c r="Y51" s="55"/>
      <c r="Z51" s="55"/>
      <c r="AA51" s="67"/>
      <c r="AB51" s="67"/>
      <c r="AC51" s="67"/>
      <c r="AD51" s="67"/>
      <c r="AE51" s="67"/>
      <c r="AF51" s="67"/>
      <c r="AG51" s="67"/>
      <c r="AH51" s="67"/>
      <c r="AI51" s="67"/>
      <c r="AJ51" s="40"/>
      <c r="AK51" s="40"/>
      <c r="AL51" s="40"/>
      <c r="AM51" s="40"/>
      <c r="AN51" s="60"/>
      <c r="AO51" s="36"/>
    </row>
    <row r="52" spans="2:41" ht="14.1" customHeight="1" x14ac:dyDescent="0.2">
      <c r="B52" s="39"/>
      <c r="C52" s="5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40"/>
      <c r="AK52" s="40"/>
      <c r="AL52" s="40"/>
      <c r="AM52" s="40"/>
      <c r="AN52" s="60"/>
      <c r="AO52" s="36"/>
    </row>
    <row r="53" spans="2:41" ht="14.1" customHeight="1" x14ac:dyDescent="0.2">
      <c r="B53" s="39"/>
      <c r="C53" s="5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40"/>
      <c r="AK53" s="40"/>
      <c r="AL53" s="40"/>
      <c r="AM53" s="40"/>
      <c r="AN53" s="60"/>
      <c r="AO53" s="36"/>
    </row>
    <row r="54" spans="2:41" ht="14.1" customHeight="1" x14ac:dyDescent="0.2">
      <c r="B54" s="39"/>
      <c r="C54" s="56"/>
      <c r="D54" s="54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40"/>
      <c r="AK54" s="40"/>
      <c r="AL54" s="40"/>
      <c r="AM54" s="40"/>
      <c r="AN54" s="60"/>
      <c r="AO54" s="36"/>
    </row>
    <row r="55" spans="2:41" ht="14.1" customHeight="1" x14ac:dyDescent="0.2">
      <c r="B55" s="39"/>
      <c r="C55" s="5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40"/>
      <c r="AK55" s="40"/>
      <c r="AL55" s="40"/>
      <c r="AM55" s="40"/>
      <c r="AN55" s="60"/>
      <c r="AO55" s="36"/>
    </row>
    <row r="56" spans="2:41" ht="14.1" customHeight="1" x14ac:dyDescent="0.2">
      <c r="B56" s="39"/>
      <c r="C56" s="56"/>
      <c r="D56" s="54"/>
      <c r="E56" s="68"/>
      <c r="F56" s="68"/>
      <c r="G56" s="68"/>
      <c r="H56" s="68"/>
      <c r="I56" s="68"/>
      <c r="J56" s="68"/>
      <c r="K56" s="68"/>
      <c r="L56" s="68"/>
      <c r="M56" s="71"/>
      <c r="N56" s="71"/>
      <c r="O56" s="71"/>
      <c r="P56" s="71"/>
      <c r="Q56" s="68"/>
      <c r="R56" s="68"/>
      <c r="S56" s="68"/>
      <c r="T56" s="68"/>
      <c r="U56" s="69"/>
      <c r="V56" s="69"/>
      <c r="W56" s="69"/>
      <c r="X56" s="69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40"/>
      <c r="AK56" s="40"/>
      <c r="AL56" s="40"/>
      <c r="AM56" s="40"/>
      <c r="AN56" s="60"/>
      <c r="AO56" s="36"/>
    </row>
    <row r="57" spans="2:41" ht="14.1" customHeight="1" x14ac:dyDescent="0.2">
      <c r="B57" s="39"/>
      <c r="C57" s="56"/>
      <c r="D57" s="54"/>
      <c r="E57" s="68"/>
      <c r="F57" s="68"/>
      <c r="G57" s="68"/>
      <c r="H57" s="68"/>
      <c r="I57" s="68"/>
      <c r="J57" s="68"/>
      <c r="K57" s="68"/>
      <c r="L57" s="68"/>
      <c r="M57" s="71"/>
      <c r="N57" s="71"/>
      <c r="O57" s="71"/>
      <c r="P57" s="71"/>
      <c r="Q57" s="68"/>
      <c r="R57" s="68"/>
      <c r="S57" s="68"/>
      <c r="T57" s="68"/>
      <c r="U57" s="69"/>
      <c r="V57" s="69"/>
      <c r="W57" s="69"/>
      <c r="X57" s="69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40"/>
      <c r="AK57" s="40"/>
      <c r="AL57" s="40"/>
      <c r="AM57" s="40"/>
      <c r="AN57" s="60"/>
      <c r="AO57" s="36"/>
    </row>
    <row r="58" spans="2:41" ht="14.1" customHeight="1" x14ac:dyDescent="0.2">
      <c r="B58" s="39"/>
      <c r="C58" s="56"/>
      <c r="D58" s="54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40"/>
      <c r="AK58" s="40"/>
      <c r="AL58" s="40"/>
      <c r="AM58" s="40"/>
      <c r="AN58" s="60"/>
      <c r="AO58" s="36"/>
    </row>
    <row r="59" spans="2:41" ht="14.1" customHeight="1" x14ac:dyDescent="0.2">
      <c r="B59" s="39"/>
      <c r="C59" s="56"/>
      <c r="D59" s="54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40"/>
      <c r="AK59" s="40"/>
      <c r="AL59" s="40"/>
      <c r="AM59" s="40"/>
      <c r="AN59" s="60"/>
      <c r="AO59" s="36"/>
    </row>
    <row r="60" spans="2:41" ht="14.1" customHeight="1" x14ac:dyDescent="0.2">
      <c r="B60" s="39"/>
      <c r="C60" s="56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60"/>
      <c r="AO60" s="36"/>
    </row>
    <row r="61" spans="2:41" ht="14.1" customHeight="1" x14ac:dyDescent="0.2">
      <c r="B61" s="39"/>
      <c r="C61" s="56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55"/>
      <c r="AH61" s="55"/>
      <c r="AI61" s="68"/>
      <c r="AJ61" s="68"/>
      <c r="AK61" s="40"/>
      <c r="AL61" s="68"/>
      <c r="AM61" s="68"/>
      <c r="AN61" s="83"/>
      <c r="AO61" s="36"/>
    </row>
    <row r="62" spans="2:41" ht="14.1" customHeight="1" x14ac:dyDescent="0.2">
      <c r="B62" s="39"/>
      <c r="C62" s="56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55"/>
      <c r="AJ62" s="55"/>
      <c r="AK62" s="68"/>
      <c r="AL62" s="68"/>
      <c r="AM62" s="68"/>
      <c r="AN62" s="83"/>
      <c r="AO62" s="36"/>
    </row>
    <row r="63" spans="2:41" ht="14.1" customHeight="1" x14ac:dyDescent="0.2">
      <c r="B63" s="39"/>
      <c r="C63" s="56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60"/>
      <c r="AO63" s="36"/>
    </row>
    <row r="64" spans="2:41" ht="14.1" customHeight="1" x14ac:dyDescent="0.2">
      <c r="B64" s="39"/>
      <c r="C64" s="56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60"/>
      <c r="AO64" s="36"/>
    </row>
    <row r="65" spans="2:41" ht="14.1" customHeight="1" x14ac:dyDescent="0.2">
      <c r="B65" s="39"/>
      <c r="C65" s="56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60"/>
      <c r="AO65" s="36"/>
    </row>
    <row r="66" spans="2:41" ht="14.1" customHeight="1" x14ac:dyDescent="0.2">
      <c r="B66" s="39"/>
      <c r="C66" s="56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60"/>
      <c r="AO66" s="36"/>
    </row>
    <row r="67" spans="2:41" ht="14.1" customHeight="1" x14ac:dyDescent="0.2">
      <c r="B67" s="39"/>
      <c r="C67" s="84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2"/>
      <c r="AO67" s="36"/>
    </row>
    <row r="68" spans="2:41" ht="14.1" customHeight="1" x14ac:dyDescent="0.2">
      <c r="B68" s="35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37"/>
    </row>
  </sheetData>
  <sheetProtection password="CA20" sheet="1" objects="1" scenarios="1"/>
  <mergeCells count="45">
    <mergeCell ref="AL44:AM44"/>
    <mergeCell ref="P45:R45"/>
    <mergeCell ref="P27:R27"/>
    <mergeCell ref="P36:S36"/>
    <mergeCell ref="AB36:AE36"/>
    <mergeCell ref="P28:R28"/>
    <mergeCell ref="P29:R29"/>
    <mergeCell ref="AL39:AM39"/>
    <mergeCell ref="AB34:AD34"/>
    <mergeCell ref="AB35:AD35"/>
    <mergeCell ref="P46:R46"/>
    <mergeCell ref="P41:R41"/>
    <mergeCell ref="P32:R32"/>
    <mergeCell ref="P33:R33"/>
    <mergeCell ref="P30:R30"/>
    <mergeCell ref="P31:R31"/>
    <mergeCell ref="P40:R40"/>
    <mergeCell ref="P34:R34"/>
    <mergeCell ref="P35:R35"/>
    <mergeCell ref="BR15:BT15"/>
    <mergeCell ref="P26:R26"/>
    <mergeCell ref="P25:R25"/>
    <mergeCell ref="P23:R23"/>
    <mergeCell ref="P24:R24"/>
    <mergeCell ref="P19:R19"/>
    <mergeCell ref="P21:R21"/>
    <mergeCell ref="P20:R20"/>
    <mergeCell ref="P22:R22"/>
    <mergeCell ref="BI12:BL12"/>
    <mergeCell ref="AL13:AM13"/>
    <mergeCell ref="P17:R17"/>
    <mergeCell ref="P18:R18"/>
    <mergeCell ref="P15:R15"/>
    <mergeCell ref="P16:R16"/>
    <mergeCell ref="P14:R14"/>
    <mergeCell ref="AB14:AD14"/>
    <mergeCell ref="G10:I10"/>
    <mergeCell ref="S10:U10"/>
    <mergeCell ref="AE10:AG10"/>
    <mergeCell ref="G8:I8"/>
    <mergeCell ref="S8:U8"/>
    <mergeCell ref="AE8:AG8"/>
    <mergeCell ref="G9:I9"/>
    <mergeCell ref="S9:U9"/>
    <mergeCell ref="AE9:AG9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Cantilever Slab</vt:lpstr>
      <vt:lpstr>Calculation CS</vt:lpstr>
      <vt:lpstr>'Calculation CS'!Print_Area</vt:lpstr>
      <vt:lpstr>'Cantilever Slab'!Print_Area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2014-08-18T03:02:09Z</dcterms:modified>
</cp:coreProperties>
</file>