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always"/>
  <bookViews>
    <workbookView xWindow="0" yWindow="120" windowWidth="19440" windowHeight="9720" tabRatio="948"/>
  </bookViews>
  <sheets>
    <sheet name="Bearing FB_Pu" sheetId="23" r:id="rId1"/>
    <sheet name="Calculation FB" sheetId="24" r:id="rId2"/>
    <sheet name="Drawing FB" sheetId="25" r:id="rId3"/>
  </sheets>
  <definedNames>
    <definedName name="_xlnm.Print_Area" localSheetId="0">'Bearing FB_Pu'!$B$2:$CE$40,'Bearing FB_Pu'!$CI$18</definedName>
    <definedName name="_xlnm.Print_Area" localSheetId="1">'Calculation FB'!$D$4:$AM$66</definedName>
    <definedName name="_xlnm.Print_Area" localSheetId="2">'Drawing FB'!$D$4:$AM$66</definedName>
  </definedNames>
  <calcPr calcId="145621"/>
  <customWorkbookViews>
    <customWorkbookView name="11022 - มุมมองส่วนบุคคล" guid="{EDFC4C12-2844-47F2-A6A6-59EDD90C46DD}" mergeInterval="0" personalView="1" maximized="1" xWindow="1" yWindow="1" windowWidth="1278" windowHeight="658" activeSheetId="3"/>
  </customWorkbookViews>
</workbook>
</file>

<file path=xl/calcChain.xml><?xml version="1.0" encoding="utf-8"?>
<calcChain xmlns="http://schemas.openxmlformats.org/spreadsheetml/2006/main">
  <c r="QI3" i="23" l="1"/>
  <c r="AF6" i="25"/>
  <c r="H6" i="25"/>
  <c r="AF5" i="25"/>
  <c r="H5" i="25"/>
  <c r="AF4" i="25"/>
  <c r="H4" i="25"/>
  <c r="G20" i="24"/>
  <c r="NT50" i="23"/>
  <c r="P52" i="24" s="1"/>
  <c r="NT37" i="23"/>
  <c r="OA28" i="23"/>
  <c r="AB24" i="24" s="1"/>
  <c r="P15" i="24"/>
  <c r="AB15" i="24" s="1"/>
  <c r="S10" i="24"/>
  <c r="S9" i="24"/>
  <c r="S8" i="24"/>
  <c r="AE10" i="24"/>
  <c r="AE9" i="24"/>
  <c r="AF6" i="24"/>
  <c r="AF5" i="24"/>
  <c r="AF4" i="24"/>
  <c r="H6" i="24"/>
  <c r="H5" i="24"/>
  <c r="H4" i="24"/>
  <c r="OZ16" i="23"/>
  <c r="OZ15" i="23"/>
  <c r="NT13" i="23"/>
  <c r="W27" i="23" s="1"/>
  <c r="NT8" i="23"/>
  <c r="W21" i="23" s="1"/>
  <c r="V19" i="23"/>
  <c r="QH72" i="23" s="1"/>
  <c r="NT6" i="23"/>
  <c r="S11" i="24" s="1"/>
  <c r="NT5" i="23"/>
  <c r="NT4" i="23"/>
  <c r="G10" i="24" s="1"/>
  <c r="NT3" i="23"/>
  <c r="G9" i="24" s="1"/>
  <c r="NT2" i="23"/>
  <c r="G8" i="24" s="1"/>
  <c r="NT10" i="23"/>
  <c r="P19" i="24" s="1"/>
  <c r="AB19" i="24" s="1"/>
  <c r="NT9" i="23"/>
  <c r="P18" i="24" s="1"/>
  <c r="AB18" i="24" s="1"/>
  <c r="NT49" i="23" l="1"/>
  <c r="NT7" i="23"/>
  <c r="W20" i="23" s="1"/>
  <c r="P38" i="24"/>
  <c r="P14" i="24"/>
  <c r="AB14" i="24" s="1"/>
  <c r="AB38" i="24"/>
  <c r="QD72" i="23"/>
  <c r="P17" i="24"/>
  <c r="AB17" i="24" s="1"/>
  <c r="P22" i="24"/>
  <c r="OZ14" i="23"/>
  <c r="OZ13" i="23"/>
  <c r="OZ12" i="23"/>
  <c r="OZ11" i="23"/>
  <c r="OZ10" i="23"/>
  <c r="OZ9" i="23"/>
  <c r="NT21" i="23"/>
  <c r="P35" i="24" s="1"/>
  <c r="AB35" i="24" s="1"/>
  <c r="OE6" i="23"/>
  <c r="QC4" i="23"/>
  <c r="QC3" i="23"/>
  <c r="QE84" i="23" s="1"/>
  <c r="QL84" i="23" s="1"/>
  <c r="QQ84" i="23" s="1"/>
  <c r="QR84" i="23" s="1"/>
  <c r="NT15" i="23"/>
  <c r="NT14" i="23"/>
  <c r="QC6" i="23"/>
  <c r="QC5" i="23"/>
  <c r="QC2" i="23"/>
  <c r="QR48" i="23" s="1"/>
  <c r="OU1" i="23"/>
  <c r="ON2" i="23"/>
  <c r="QX84" i="23"/>
  <c r="QK87" i="23"/>
  <c r="QV87" i="23" s="1"/>
  <c r="QD81" i="23"/>
  <c r="QG81" i="23" s="1"/>
  <c r="QH81" i="23" s="1"/>
  <c r="QD67" i="23"/>
  <c r="QH67" i="23" s="1"/>
  <c r="QJ52" i="23"/>
  <c r="QM52" i="23" s="1"/>
  <c r="QN52" i="23" s="1"/>
  <c r="QK55" i="23"/>
  <c r="QH55" i="23"/>
  <c r="QG55" i="23"/>
  <c r="QE55" i="23"/>
  <c r="QH52" i="23"/>
  <c r="QG52" i="23"/>
  <c r="QE52" i="23"/>
  <c r="QO49" i="23"/>
  <c r="QM49" i="23"/>
  <c r="QP49" i="23" s="1"/>
  <c r="QJ49" i="23"/>
  <c r="QU49" i="23"/>
  <c r="QG43" i="23"/>
  <c r="QH43" i="23" s="1"/>
  <c r="QH40" i="23"/>
  <c r="QJ40" i="23" s="1"/>
  <c r="QK40" i="23" s="1"/>
  <c r="QG36" i="23"/>
  <c r="QG54" i="23" s="1"/>
  <c r="QE36" i="23"/>
  <c r="QE51" i="23" s="1"/>
  <c r="QN20" i="23"/>
  <c r="QL19" i="23"/>
  <c r="RB22" i="23"/>
  <c r="RB26" i="23"/>
  <c r="QN11" i="23"/>
  <c r="QL10" i="23"/>
  <c r="QE31" i="23"/>
  <c r="QJ31" i="23" s="1"/>
  <c r="QK31" i="23" s="1"/>
  <c r="QD31" i="23"/>
  <c r="QG31" i="23" s="1"/>
  <c r="QH31" i="23" s="1"/>
  <c r="QD16" i="23"/>
  <c r="QG16" i="23" s="1"/>
  <c r="QY25" i="23" l="1"/>
  <c r="P16" i="24"/>
  <c r="AB16" i="24" s="1"/>
  <c r="NT11" i="23"/>
  <c r="NT12" i="23" s="1"/>
  <c r="W24" i="23"/>
  <c r="NT16" i="23" s="1"/>
  <c r="NT17" i="23" s="1"/>
  <c r="NT19" i="23"/>
  <c r="P26" i="24" s="1"/>
  <c r="AB26" i="24" s="1"/>
  <c r="H14" i="23"/>
  <c r="AE8" i="24" s="1"/>
  <c r="P51" i="24"/>
  <c r="T52" i="24" s="1"/>
  <c r="T51" i="24"/>
  <c r="QY22" i="23"/>
  <c r="NT28" i="23"/>
  <c r="P24" i="24" s="1"/>
  <c r="AB22" i="24"/>
  <c r="QJ10" i="23"/>
  <c r="QD11" i="23"/>
  <c r="QD17" i="23" s="1"/>
  <c r="QD25" i="23"/>
  <c r="RB25" i="23" s="1"/>
  <c r="RD25" i="23" s="1"/>
  <c r="RF25" i="23" s="1"/>
  <c r="QD54" i="23"/>
  <c r="QD57" i="23" s="1"/>
  <c r="QD60" i="23" s="1"/>
  <c r="QD58" i="23"/>
  <c r="QD61" i="23" s="1"/>
  <c r="QE61" i="23" s="1"/>
  <c r="QD28" i="23"/>
  <c r="QH28" i="23" s="1"/>
  <c r="QK28" i="23" s="1"/>
  <c r="QL48" i="23"/>
  <c r="QM48" i="23" s="1"/>
  <c r="QM23" i="23"/>
  <c r="QP23" i="23" s="1"/>
  <c r="QS23" i="23" s="1"/>
  <c r="QV23" i="23" s="1"/>
  <c r="QH54" i="23"/>
  <c r="QE57" i="23" s="1"/>
  <c r="QE60" i="23" s="1"/>
  <c r="QD84" i="23"/>
  <c r="QK84" i="23" s="1"/>
  <c r="QN84" i="23" s="1"/>
  <c r="QO84" i="23" s="1"/>
  <c r="QJ11" i="23"/>
  <c r="QO48" i="23"/>
  <c r="QP48" i="23" s="1"/>
  <c r="QH64" i="23"/>
  <c r="QE11" i="23"/>
  <c r="QE17" i="23" s="1"/>
  <c r="QD23" i="23"/>
  <c r="QJ23" i="23" s="1"/>
  <c r="QG13" i="23"/>
  <c r="QF14" i="23"/>
  <c r="QK14" i="23" s="1"/>
  <c r="QH11" i="23"/>
  <c r="QH17" i="23" s="1"/>
  <c r="QG11" i="23"/>
  <c r="QG17" i="23" s="1"/>
  <c r="QN23" i="23"/>
  <c r="QQ23" i="23" s="1"/>
  <c r="QT23" i="23" s="1"/>
  <c r="QW23" i="23" s="1"/>
  <c r="QF11" i="23"/>
  <c r="QF17" i="23" s="1"/>
  <c r="QD14" i="23"/>
  <c r="QJ14" i="23" s="1"/>
  <c r="QH14" i="23"/>
  <c r="QN14" i="23" s="1"/>
  <c r="QG14" i="23"/>
  <c r="QE14" i="23"/>
  <c r="QM45" i="23"/>
  <c r="QE13" i="23"/>
  <c r="QK13" i="23" s="1"/>
  <c r="QN13" i="23" s="1"/>
  <c r="QF13" i="23"/>
  <c r="QD13" i="23"/>
  <c r="QJ13" i="23" s="1"/>
  <c r="QM13" i="23" s="1"/>
  <c r="QH13" i="23"/>
  <c r="QH36" i="23"/>
  <c r="QJ63" i="23" s="1"/>
  <c r="QK63" i="23" s="1"/>
  <c r="QL63" i="23" s="1"/>
  <c r="QF36" i="23"/>
  <c r="QD48" i="23"/>
  <c r="QE48" i="23" s="1"/>
  <c r="QE54" i="23"/>
  <c r="QD77" i="23"/>
  <c r="QF48" i="23"/>
  <c r="QG48" i="23" s="1"/>
  <c r="QN87" i="23"/>
  <c r="QQ87" i="23" s="1"/>
  <c r="QH16" i="23"/>
  <c r="QT87" i="23"/>
  <c r="QD63" i="23"/>
  <c r="QE63" i="23" s="1"/>
  <c r="QL87" i="23"/>
  <c r="QO87" i="23"/>
  <c r="QR87" i="23" s="1"/>
  <c r="P21" i="24" l="1"/>
  <c r="AB21" i="24" s="1"/>
  <c r="AF22" i="24" s="1"/>
  <c r="RG70" i="23"/>
  <c r="QD73" i="23" s="1"/>
  <c r="QH73" i="23" s="1"/>
  <c r="QI73" i="23" s="1"/>
  <c r="QI64" i="23"/>
  <c r="QJ64" i="23" s="1"/>
  <c r="QD71" i="23"/>
  <c r="QX88" i="23"/>
  <c r="P20" i="24"/>
  <c r="AB20" i="24" s="1"/>
  <c r="QE58" i="23"/>
  <c r="QO55" i="23"/>
  <c r="QN25" i="23"/>
  <c r="QQ25" i="23" s="1"/>
  <c r="QT25" i="23" s="1"/>
  <c r="QW25" i="23" s="1"/>
  <c r="QT43" i="23"/>
  <c r="QU43" i="23" s="1"/>
  <c r="QN55" i="23"/>
  <c r="QI61" i="23"/>
  <c r="QP61" i="23" s="1"/>
  <c r="QL55" i="23"/>
  <c r="QI58" i="23" s="1"/>
  <c r="QP58" i="23" s="1"/>
  <c r="QQ43" i="23"/>
  <c r="QR43" i="23" s="1"/>
  <c r="QG25" i="23"/>
  <c r="QJ25" i="23" s="1"/>
  <c r="QK25" i="23" s="1"/>
  <c r="QE25" i="23"/>
  <c r="QM25" i="23"/>
  <c r="QP25" i="23" s="1"/>
  <c r="QS25" i="23" s="1"/>
  <c r="QV25" i="23" s="1"/>
  <c r="QD32" i="23"/>
  <c r="QL11" i="23" s="1"/>
  <c r="QD85" i="23"/>
  <c r="QT88" i="23" s="1"/>
  <c r="QD29" i="23"/>
  <c r="QG29" i="23" s="1"/>
  <c r="QH29" i="23" s="1"/>
  <c r="QG85" i="23"/>
  <c r="QK88" i="23" s="1"/>
  <c r="QN88" i="23" s="1"/>
  <c r="QO88" i="23" s="1"/>
  <c r="QE28" i="23"/>
  <c r="QP57" i="23"/>
  <c r="QF73" i="23" s="1"/>
  <c r="QJ73" i="23" s="1"/>
  <c r="QE81" i="23"/>
  <c r="QJ81" i="23" s="1"/>
  <c r="QM81" i="23" s="1"/>
  <c r="QN81" i="23" s="1"/>
  <c r="QO81" i="23" s="1"/>
  <c r="QH42" i="23"/>
  <c r="QK42" i="23" s="1"/>
  <c r="QR42" i="23" s="1"/>
  <c r="QN51" i="23" s="1"/>
  <c r="QW71" i="23"/>
  <c r="QG23" i="23"/>
  <c r="RB23" i="23"/>
  <c r="RF23" i="23" s="1"/>
  <c r="QN10" i="23"/>
  <c r="QE67" i="23"/>
  <c r="QF67" i="23" s="1"/>
  <c r="QJ67" i="23" s="1"/>
  <c r="QG28" i="23"/>
  <c r="QG42" i="23" s="1"/>
  <c r="QJ42" i="23" s="1"/>
  <c r="QQ42" i="23" s="1"/>
  <c r="QD42" i="23"/>
  <c r="QK54" i="23" s="1"/>
  <c r="QI57" i="23" s="1"/>
  <c r="QI60" i="23" s="1"/>
  <c r="QK23" i="23"/>
  <c r="QE23" i="23"/>
  <c r="QH23" i="23"/>
  <c r="QL64" i="23"/>
  <c r="QG84" i="23"/>
  <c r="QT84" i="23" s="1"/>
  <c r="QE29" i="23"/>
  <c r="QJ29" i="23" s="1"/>
  <c r="QK29" i="23" s="1"/>
  <c r="QH85" i="23"/>
  <c r="QL88" i="23" s="1"/>
  <c r="QQ88" i="23" s="1"/>
  <c r="QR88" i="23" s="1"/>
  <c r="QK85" i="23"/>
  <c r="QN85" i="23" s="1"/>
  <c r="QQ85" i="23" s="1"/>
  <c r="QX85" i="23"/>
  <c r="NT20" i="23"/>
  <c r="P27" i="24" s="1"/>
  <c r="AB27" i="24" s="1"/>
  <c r="NT22" i="23"/>
  <c r="QJ26" i="23"/>
  <c r="QS26" i="23" s="1"/>
  <c r="QT26" i="23" s="1"/>
  <c r="QM14" i="23"/>
  <c r="QH26" i="23"/>
  <c r="QI36" i="23"/>
  <c r="QH51" i="23" s="1"/>
  <c r="QH22" i="23"/>
  <c r="QS22" i="23" s="1"/>
  <c r="QT22" i="23" s="1"/>
  <c r="QJ22" i="23"/>
  <c r="QG26" i="23"/>
  <c r="QE26" i="23"/>
  <c r="QP26" i="23" s="1"/>
  <c r="QQ26" i="23" s="1"/>
  <c r="QD36" i="23"/>
  <c r="QD51" i="23" s="1"/>
  <c r="QE22" i="23"/>
  <c r="QP22" i="23" s="1"/>
  <c r="QQ22" i="23" s="1"/>
  <c r="QG22" i="23"/>
  <c r="QG51" i="23"/>
  <c r="QE45" i="23"/>
  <c r="QG45" i="23" s="1"/>
  <c r="QH45" i="23" s="1"/>
  <c r="QJ77" i="23"/>
  <c r="QK77" i="23" s="1"/>
  <c r="QE77" i="23"/>
  <c r="QG63" i="23"/>
  <c r="RC71" i="23"/>
  <c r="T22" i="24" l="1"/>
  <c r="QE73" i="23"/>
  <c r="QG77" i="23"/>
  <c r="QM77" i="23" s="1"/>
  <c r="QN77" i="23" s="1"/>
  <c r="QD70" i="23"/>
  <c r="QE68" i="23"/>
  <c r="QF68" i="23" s="1"/>
  <c r="NT23" i="23"/>
  <c r="P29" i="24" s="1"/>
  <c r="AB29" i="24" s="1"/>
  <c r="P28" i="24"/>
  <c r="AB28" i="24" s="1"/>
  <c r="NT18" i="23"/>
  <c r="NT44" i="23"/>
  <c r="AB25" i="24" s="1"/>
  <c r="P23" i="24"/>
  <c r="AB23" i="24" s="1"/>
  <c r="QH25" i="23"/>
  <c r="QK81" i="23"/>
  <c r="QE85" i="23"/>
  <c r="QU42" i="23"/>
  <c r="QE32" i="23"/>
  <c r="QG32" i="23"/>
  <c r="QJ32" i="23" s="1"/>
  <c r="QZ71" i="23"/>
  <c r="QH32" i="23"/>
  <c r="QK32" i="23" s="1"/>
  <c r="RF71" i="23"/>
  <c r="RD23" i="23"/>
  <c r="QR71" i="23"/>
  <c r="QU71" i="23"/>
  <c r="QX71" i="23"/>
  <c r="RA71" i="23"/>
  <c r="QJ28" i="23"/>
  <c r="QJ71" i="23"/>
  <c r="QM71" i="23"/>
  <c r="QP71" i="23"/>
  <c r="QS71" i="23"/>
  <c r="QP60" i="23"/>
  <c r="QJ51" i="23"/>
  <c r="QR51" i="23" s="1"/>
  <c r="QE71" i="23"/>
  <c r="QH71" i="23"/>
  <c r="QK71" i="23"/>
  <c r="QD80" i="23"/>
  <c r="QN80" i="23" s="1"/>
  <c r="QO80" i="23" s="1"/>
  <c r="QE42" i="23"/>
  <c r="QF71" i="23"/>
  <c r="QV71" i="23"/>
  <c r="QI71" i="23"/>
  <c r="QY71" i="23"/>
  <c r="QL71" i="23"/>
  <c r="RB71" i="23"/>
  <c r="QO71" i="23"/>
  <c r="RE71" i="23"/>
  <c r="QN71" i="23"/>
  <c r="RD71" i="23"/>
  <c r="QQ71" i="23"/>
  <c r="RG71" i="23"/>
  <c r="QD74" i="23" s="1"/>
  <c r="QH74" i="23" s="1"/>
  <c r="QT71" i="23"/>
  <c r="QG71" i="23"/>
  <c r="QT85" i="23"/>
  <c r="QV85" i="23" s="1"/>
  <c r="QL54" i="23"/>
  <c r="QO42" i="23"/>
  <c r="QN54" i="23"/>
  <c r="QO54" i="23" s="1"/>
  <c r="QI67" i="23"/>
  <c r="QD45" i="23"/>
  <c r="QO45" i="23" s="1"/>
  <c r="QL85" i="23"/>
  <c r="QO85" i="23"/>
  <c r="QR85" i="23" s="1"/>
  <c r="QH84" i="23"/>
  <c r="QG39" i="23"/>
  <c r="QH66" i="23" s="1"/>
  <c r="QI66" i="23" s="1"/>
  <c r="QJ66" i="23" s="1"/>
  <c r="QD39" i="23"/>
  <c r="QJ39" i="23" s="1"/>
  <c r="QH63" i="23"/>
  <c r="QI63" i="23"/>
  <c r="QG80" i="23"/>
  <c r="QJ80" i="23" s="1"/>
  <c r="QT42" i="23"/>
  <c r="QM51" i="23"/>
  <c r="QE70" i="23" l="1"/>
  <c r="QF70" i="23" s="1"/>
  <c r="QG70" i="23" s="1"/>
  <c r="QH70" i="23" s="1"/>
  <c r="QI70" i="23" s="1"/>
  <c r="QJ70" i="23" s="1"/>
  <c r="QK70" i="23" s="1"/>
  <c r="QL70" i="23" s="1"/>
  <c r="QM70" i="23" s="1"/>
  <c r="QN70" i="23" s="1"/>
  <c r="QO70" i="23" s="1"/>
  <c r="QP70" i="23" s="1"/>
  <c r="QQ70" i="23" s="1"/>
  <c r="QR70" i="23" s="1"/>
  <c r="QS70" i="23" s="1"/>
  <c r="QT70" i="23" s="1"/>
  <c r="QU70" i="23" s="1"/>
  <c r="QV70" i="23" s="1"/>
  <c r="QW70" i="23" s="1"/>
  <c r="QX70" i="23" s="1"/>
  <c r="QY70" i="23" s="1"/>
  <c r="QZ70" i="23" s="1"/>
  <c r="RA70" i="23" s="1"/>
  <c r="RB70" i="23" s="1"/>
  <c r="RC70" i="23" s="1"/>
  <c r="RD70" i="23" s="1"/>
  <c r="RE70" i="23" s="1"/>
  <c r="RF70" i="23" s="1"/>
  <c r="QH77" i="23"/>
  <c r="P25" i="24"/>
  <c r="NT24" i="23"/>
  <c r="NT25" i="23" s="1"/>
  <c r="W35" i="23"/>
  <c r="QK51" i="23"/>
  <c r="QH80" i="23"/>
  <c r="QK80" i="23" s="1"/>
  <c r="QE80" i="23"/>
  <c r="QM80" i="23"/>
  <c r="QK39" i="23"/>
  <c r="QH39" i="23"/>
  <c r="QD66" i="23"/>
  <c r="QE66" i="23" s="1"/>
  <c r="QF66" i="23" s="1"/>
  <c r="QE39" i="23"/>
  <c r="W28" i="23" l="1"/>
  <c r="OA26" i="23"/>
  <c r="NT26" i="23" s="1"/>
  <c r="P30" i="24"/>
  <c r="AB30" i="24" s="1"/>
  <c r="P31" i="24"/>
  <c r="NT27" i="23" l="1"/>
  <c r="W29" i="23"/>
  <c r="QC8" i="23" s="1"/>
  <c r="QP51" i="23" s="1"/>
  <c r="AB31" i="24"/>
  <c r="AF31" i="24" s="1"/>
  <c r="T31" i="24"/>
  <c r="NZ26" i="23"/>
  <c r="PD4" i="23"/>
  <c r="NT35" i="23" l="1"/>
  <c r="NT31" i="23"/>
  <c r="P44" i="24" s="1"/>
  <c r="NT45" i="23"/>
  <c r="AB32" i="24" s="1"/>
  <c r="QC7" i="23"/>
  <c r="NT34" i="23" s="1"/>
  <c r="P32" i="24"/>
  <c r="NT30" i="23"/>
  <c r="P43" i="24" s="1"/>
  <c r="NT41" i="23"/>
  <c r="T44" i="24" l="1"/>
  <c r="QJ20" i="23"/>
  <c r="QY21" i="23"/>
  <c r="QJ19" i="23"/>
  <c r="QE16" i="23"/>
  <c r="QY26" i="23"/>
  <c r="QY23" i="23" s="1"/>
  <c r="QE19" i="23"/>
  <c r="QD20" i="23"/>
  <c r="QD19" i="23"/>
  <c r="QF20" i="23"/>
  <c r="P46" i="24"/>
  <c r="NT36" i="23"/>
  <c r="P48" i="24" s="1"/>
  <c r="NT42" i="23"/>
  <c r="P33" i="24"/>
  <c r="QK26" i="23" l="1"/>
  <c r="QG20" i="23"/>
  <c r="QN19" i="23"/>
  <c r="QK22" i="23"/>
  <c r="QF19" i="23"/>
  <c r="QE20" i="23"/>
  <c r="QD26" i="23"/>
  <c r="QH20" i="23"/>
  <c r="QL20" i="23"/>
  <c r="NT43" i="23"/>
  <c r="P34" i="24"/>
  <c r="QH19" i="23"/>
  <c r="QG19" i="23"/>
  <c r="RD22" i="23"/>
  <c r="QF16" i="23"/>
  <c r="QD22" i="23"/>
  <c r="QM22" i="23" s="1"/>
  <c r="QN22" i="23" s="1"/>
  <c r="P36" i="24" l="1"/>
  <c r="W36" i="23"/>
  <c r="W37" i="23" s="1"/>
  <c r="RF26" i="23"/>
  <c r="QV26" i="23"/>
  <c r="QW26" i="23" s="1"/>
  <c r="RD26" i="23"/>
  <c r="QN26" i="23"/>
  <c r="QM26" i="23"/>
  <c r="RF22" i="23"/>
  <c r="QV22" i="23"/>
  <c r="QW22" i="23" s="1"/>
  <c r="P37" i="24" l="1"/>
  <c r="W39" i="23"/>
  <c r="T38" i="24" s="1"/>
  <c r="NY13" i="23" l="1"/>
  <c r="AC26" i="23" s="1"/>
  <c r="W26" i="23" l="1"/>
  <c r="Z35" i="23"/>
  <c r="W25" i="23"/>
  <c r="AC28" i="23" l="1"/>
  <c r="NT33" i="23" l="1"/>
  <c r="NT46" i="23"/>
  <c r="AB33" i="24" s="1"/>
  <c r="Z31" i="23"/>
  <c r="P47" i="24"/>
  <c r="W31" i="23"/>
  <c r="NZ24" i="23"/>
  <c r="QM42" i="23"/>
  <c r="QD37" i="23"/>
  <c r="NT47" i="23" l="1"/>
  <c r="NZ31" i="23"/>
  <c r="W32" i="23"/>
  <c r="W33" i="23" s="1"/>
  <c r="QD40" i="23"/>
  <c r="QG40" i="23" s="1"/>
  <c r="QD78" i="23"/>
  <c r="QE37" i="23"/>
  <c r="QD46" i="23"/>
  <c r="QI37" i="23"/>
  <c r="QE74" i="23" s="1"/>
  <c r="QH37" i="23"/>
  <c r="QK52" i="23"/>
  <c r="QR52" i="23" s="1"/>
  <c r="QD64" i="23"/>
  <c r="QE43" i="23"/>
  <c r="NT38" i="23"/>
  <c r="P49" i="24" s="1"/>
  <c r="NT39" i="23"/>
  <c r="P50" i="24" s="1"/>
  <c r="T50" i="24" l="1"/>
  <c r="T49" i="24" s="1"/>
  <c r="AB34" i="24"/>
  <c r="NT48" i="23"/>
  <c r="AB36" i="24" s="1"/>
  <c r="NT40" i="23"/>
  <c r="Z32" i="23" s="1"/>
  <c r="QG78" i="23"/>
  <c r="QE78" i="23"/>
  <c r="QK78" i="23"/>
  <c r="QN78" i="23" s="1"/>
  <c r="QJ78" i="23"/>
  <c r="QM78" i="23" s="1"/>
  <c r="QH78" i="23"/>
  <c r="QO43" i="23"/>
  <c r="QJ43" i="23"/>
  <c r="QK43" i="23" s="1"/>
  <c r="QF74" i="23"/>
  <c r="QI74" i="23"/>
  <c r="QJ74" i="23" s="1"/>
  <c r="QE64" i="23"/>
  <c r="QG64" i="23"/>
  <c r="QK64" i="23" s="1"/>
  <c r="QE46" i="23"/>
  <c r="QO46" i="23"/>
  <c r="QH46" i="23"/>
  <c r="QG46" i="23"/>
  <c r="Z36" i="23" l="1"/>
  <c r="Z37" i="23" s="1"/>
  <c r="NZ40" i="23"/>
  <c r="Z33" i="23"/>
  <c r="Z39" i="23" l="1"/>
  <c r="AF38" i="24" s="1"/>
  <c r="AB37" i="24"/>
</calcChain>
</file>

<file path=xl/comments1.xml><?xml version="1.0" encoding="utf-8"?>
<comments xmlns="http://schemas.openxmlformats.org/spreadsheetml/2006/main">
  <authors>
    <author>11022</author>
  </authors>
  <commentList>
    <comment ref="H4" authorId="0">
      <text>
        <r>
          <rPr>
            <sz val="8"/>
            <color indexed="81"/>
            <rFont val="Tahoma"/>
            <family val="2"/>
          </rPr>
          <t>กำลังครากของเหล็กเสริม</t>
        </r>
      </text>
    </comment>
    <comment ref="H6" authorId="0">
      <text>
        <r>
          <rPr>
            <sz val="8"/>
            <color indexed="81"/>
            <rFont val="Tahoma"/>
            <family val="2"/>
          </rPr>
          <t>กำลังประลัยของคอนกรีต</t>
        </r>
      </text>
    </comment>
    <comment ref="H10" authorId="0">
      <text>
        <r>
          <rPr>
            <sz val="8"/>
            <color indexed="81"/>
            <rFont val="Tahoma"/>
            <family val="2"/>
          </rPr>
          <t>สำหรับแรงดัด(ไม่มีแรงตามแนวแกน)
ไม่เกิน 0.90</t>
        </r>
      </text>
    </comment>
    <comment ref="H12" authorId="0">
      <text>
        <r>
          <rPr>
            <sz val="8"/>
            <color indexed="81"/>
            <rFont val="Tahoma"/>
            <family val="2"/>
          </rPr>
          <t>สำหรับแรงเฉือนและแรงบิด
ไม่เกิน 0.85</t>
        </r>
      </text>
    </comment>
  </commentList>
</comments>
</file>

<file path=xl/sharedStrings.xml><?xml version="1.0" encoding="utf-8"?>
<sst xmlns="http://schemas.openxmlformats.org/spreadsheetml/2006/main" count="572" uniqueCount="230">
  <si>
    <t>-</t>
  </si>
  <si>
    <t>=</t>
  </si>
  <si>
    <t>ksc.</t>
  </si>
  <si>
    <t>fc'</t>
  </si>
  <si>
    <t>a</t>
  </si>
  <si>
    <t>b</t>
  </si>
  <si>
    <t>1.4DL + 1.7LL</t>
  </si>
  <si>
    <t>1.7DL + 2.0LL</t>
  </si>
  <si>
    <t>Moment</t>
  </si>
  <si>
    <t>A</t>
  </si>
  <si>
    <t>B</t>
  </si>
  <si>
    <t>H</t>
  </si>
  <si>
    <t>T</t>
  </si>
  <si>
    <t>DL + LL</t>
  </si>
  <si>
    <t>LL</t>
  </si>
  <si>
    <t>DL</t>
  </si>
  <si>
    <t>m.</t>
  </si>
  <si>
    <t>kg.</t>
  </si>
  <si>
    <t>14/fy</t>
  </si>
  <si>
    <t>sq.cm.</t>
  </si>
  <si>
    <t>cm.</t>
  </si>
  <si>
    <t>d</t>
  </si>
  <si>
    <t>d/2</t>
  </si>
  <si>
    <t>x</t>
  </si>
  <si>
    <t>y</t>
  </si>
  <si>
    <t>อาคารคอนกรีตเสริมเหล็ก</t>
  </si>
  <si>
    <t>สำนักงานทรัพย์สินส่วนพระมหากษัตริย์</t>
  </si>
  <si>
    <t>กรุงเทพมหานครฯ</t>
  </si>
  <si>
    <r>
      <t>b</t>
    </r>
    <r>
      <rPr>
        <vertAlign val="subscript"/>
        <sz val="8"/>
        <rFont val="Arial"/>
        <family val="2"/>
      </rPr>
      <t>1</t>
    </r>
  </si>
  <si>
    <r>
      <t>f</t>
    </r>
    <r>
      <rPr>
        <vertAlign val="subscript"/>
        <sz val="8"/>
        <rFont val="Arial"/>
        <family val="2"/>
      </rPr>
      <t>b</t>
    </r>
  </si>
  <si>
    <r>
      <t>f</t>
    </r>
    <r>
      <rPr>
        <vertAlign val="subscript"/>
        <sz val="8"/>
        <rFont val="Arial"/>
        <family val="2"/>
      </rPr>
      <t>v</t>
    </r>
  </si>
  <si>
    <r>
      <t>r</t>
    </r>
    <r>
      <rPr>
        <vertAlign val="subscript"/>
        <sz val="8"/>
        <rFont val="Arial"/>
        <family val="2"/>
      </rPr>
      <t>b</t>
    </r>
  </si>
  <si>
    <r>
      <t>r</t>
    </r>
    <r>
      <rPr>
        <vertAlign val="subscript"/>
        <sz val="8"/>
        <rFont val="Arial"/>
        <family val="2"/>
      </rPr>
      <t>max</t>
    </r>
    <r>
      <rPr>
        <sz val="8"/>
        <rFont val="Arial"/>
        <family val="2"/>
      </rPr>
      <t xml:space="preserve"> </t>
    </r>
  </si>
  <si>
    <r>
      <t>r</t>
    </r>
    <r>
      <rPr>
        <vertAlign val="subscript"/>
        <sz val="8"/>
        <rFont val="Arial"/>
        <family val="2"/>
      </rPr>
      <t>min</t>
    </r>
    <r>
      <rPr>
        <sz val="8"/>
        <rFont val="Arial"/>
        <family val="2"/>
      </rPr>
      <t xml:space="preserve"> </t>
    </r>
  </si>
  <si>
    <r>
      <rPr>
        <sz val="8"/>
        <rFont val="Symbol"/>
        <family val="1"/>
        <charset val="2"/>
      </rPr>
      <t>r</t>
    </r>
  </si>
  <si>
    <r>
      <t>r</t>
    </r>
    <r>
      <rPr>
        <sz val="8"/>
        <rFont val="Cordia New"/>
        <family val="2"/>
      </rPr>
      <t>req</t>
    </r>
    <r>
      <rPr>
        <sz val="8"/>
        <rFont val="Arial"/>
        <family val="2"/>
      </rPr>
      <t xml:space="preserve"> </t>
    </r>
  </si>
  <si>
    <t>Engineer</t>
  </si>
  <si>
    <t>License</t>
  </si>
  <si>
    <t>Project</t>
  </si>
  <si>
    <t>Owner</t>
  </si>
  <si>
    <t>Location</t>
  </si>
  <si>
    <t>Materials Data</t>
  </si>
  <si>
    <t>Strength Reduction Factor</t>
  </si>
  <si>
    <t>Covering</t>
  </si>
  <si>
    <t>Section Diagram</t>
  </si>
  <si>
    <t>Input</t>
  </si>
  <si>
    <t>Load</t>
  </si>
  <si>
    <t>Rebars</t>
  </si>
  <si>
    <t>Rebars fy</t>
  </si>
  <si>
    <t>Conc fc'</t>
  </si>
  <si>
    <t>Basic Data</t>
  </si>
  <si>
    <r>
      <t>d</t>
    </r>
    <r>
      <rPr>
        <vertAlign val="subscript"/>
        <sz val="8"/>
        <rFont val="Arial"/>
        <family val="2"/>
      </rPr>
      <t>req</t>
    </r>
  </si>
  <si>
    <t>---------</t>
  </si>
  <si>
    <t>Vu</t>
  </si>
  <si>
    <r>
      <t>fy</t>
    </r>
    <r>
      <rPr>
        <vertAlign val="subscript"/>
        <sz val="8"/>
        <color theme="1"/>
        <rFont val="Arial"/>
        <family val="2"/>
      </rPr>
      <t>2</t>
    </r>
  </si>
  <si>
    <r>
      <t>f</t>
    </r>
    <r>
      <rPr>
        <vertAlign val="subscript"/>
        <sz val="8"/>
        <rFont val="Arial"/>
        <family val="2"/>
      </rPr>
      <t>v</t>
    </r>
    <r>
      <rPr>
        <sz val="8"/>
        <rFont val="Arial"/>
        <family val="2"/>
      </rPr>
      <t>Vc</t>
    </r>
  </si>
  <si>
    <r>
      <t>b</t>
    </r>
    <r>
      <rPr>
        <vertAlign val="subscript"/>
        <sz val="8"/>
        <color rgb="FFC00000"/>
        <rFont val="Arial"/>
        <family val="2"/>
      </rPr>
      <t>1</t>
    </r>
  </si>
  <si>
    <t>เมื่อ</t>
  </si>
  <si>
    <t>&lt;=</t>
  </si>
  <si>
    <t>Thick</t>
  </si>
  <si>
    <t>; t</t>
  </si>
  <si>
    <t>r</t>
  </si>
  <si>
    <t>0.85 - 0.05x[(fc'-280)/70]</t>
  </si>
  <si>
    <t>&lt;</t>
  </si>
  <si>
    <t>&gt;</t>
  </si>
  <si>
    <t>Data</t>
  </si>
  <si>
    <t>Unit</t>
  </si>
  <si>
    <t>Mu</t>
  </si>
  <si>
    <t>kg-m.</t>
  </si>
  <si>
    <t>≥</t>
  </si>
  <si>
    <t>mm. (RB)</t>
  </si>
  <si>
    <t>mm. (DB)</t>
  </si>
  <si>
    <t>mm.</t>
  </si>
  <si>
    <t>Status</t>
  </si>
  <si>
    <t>Strength Reduction Factors</t>
  </si>
  <si>
    <t>Load Combination</t>
  </si>
  <si>
    <t>Project :</t>
  </si>
  <si>
    <t>Engineer :</t>
  </si>
  <si>
    <t>Owner :</t>
  </si>
  <si>
    <t>Location :</t>
  </si>
  <si>
    <t>License :</t>
  </si>
  <si>
    <t>Project Information</t>
  </si>
  <si>
    <t>ภย.62026</t>
  </si>
  <si>
    <t>ว่าที่ ร.ต.รณฤทธิ์ เพชสง</t>
  </si>
  <si>
    <t>Load Factor</t>
  </si>
  <si>
    <t>Design Reinforcement</t>
  </si>
  <si>
    <t>Main Bars</t>
  </si>
  <si>
    <t>AISC / EIT</t>
  </si>
  <si>
    <t>Calculation Result</t>
  </si>
  <si>
    <r>
      <rPr>
        <sz val="8"/>
        <rFont val="Tahoma"/>
        <family val="2"/>
        <scheme val="minor"/>
      </rPr>
      <t>0.75</t>
    </r>
    <r>
      <rPr>
        <sz val="8"/>
        <rFont val="Symbol"/>
        <family val="1"/>
        <charset val="2"/>
      </rPr>
      <t>r</t>
    </r>
    <r>
      <rPr>
        <vertAlign val="subscript"/>
        <sz val="8"/>
        <rFont val="Arial"/>
        <family val="2"/>
      </rPr>
      <t>b</t>
    </r>
  </si>
  <si>
    <r>
      <rPr>
        <sz val="8"/>
        <rFont val="Tahoma"/>
        <family val="2"/>
        <scheme val="minor"/>
      </rPr>
      <t>0.50</t>
    </r>
    <r>
      <rPr>
        <sz val="8"/>
        <rFont val="Symbol"/>
        <family val="1"/>
        <charset val="2"/>
      </rPr>
      <t>r</t>
    </r>
    <r>
      <rPr>
        <vertAlign val="subscript"/>
        <sz val="8"/>
        <rFont val="Arial"/>
        <family val="2"/>
      </rPr>
      <t>b</t>
    </r>
  </si>
  <si>
    <t>As</t>
  </si>
  <si>
    <t>Type</t>
  </si>
  <si>
    <t>ระยะ</t>
  </si>
  <si>
    <t>fy2</t>
  </si>
  <si>
    <t>fy1</t>
  </si>
  <si>
    <t>Design Size</t>
  </si>
  <si>
    <t>Wu</t>
  </si>
  <si>
    <t>Shear Check</t>
  </si>
  <si>
    <r>
      <t>fy</t>
    </r>
    <r>
      <rPr>
        <vertAlign val="subscript"/>
        <sz val="8"/>
        <color theme="1"/>
        <rFont val="Arial"/>
        <family val="2"/>
      </rPr>
      <t>1</t>
    </r>
  </si>
  <si>
    <t>ถ้า  fy  น้อยกว่า  4000  ksc. ให้คูณค่าในตารางด้วย</t>
  </si>
  <si>
    <r>
      <t>t</t>
    </r>
    <r>
      <rPr>
        <vertAlign val="subscript"/>
        <sz val="8"/>
        <color theme="1"/>
        <rFont val="Arial"/>
        <family val="2"/>
      </rPr>
      <t>min</t>
    </r>
  </si>
  <si>
    <t>เสา</t>
  </si>
  <si>
    <t>Effective depth</t>
  </si>
  <si>
    <t>Steel,As</t>
  </si>
  <si>
    <t>#1</t>
  </si>
  <si>
    <t>#2</t>
  </si>
  <si>
    <t>Live Load</t>
  </si>
  <si>
    <r>
      <t>0.85</t>
    </r>
    <r>
      <rPr>
        <sz val="8"/>
        <rFont val="Symbol"/>
        <family val="1"/>
        <charset val="2"/>
      </rPr>
      <t>b</t>
    </r>
    <r>
      <rPr>
        <vertAlign val="subscript"/>
        <sz val="8"/>
        <rFont val="Tahoma"/>
        <family val="2"/>
      </rPr>
      <t>1</t>
    </r>
    <r>
      <rPr>
        <sz val="8"/>
        <rFont val="Tahoma"/>
        <family val="2"/>
      </rPr>
      <t>(fc’/fy)(6120/(6120+fy))</t>
    </r>
  </si>
  <si>
    <r>
      <t>r</t>
    </r>
    <r>
      <rPr>
        <sz val="8"/>
        <rFont val="Arial"/>
        <family val="2"/>
      </rPr>
      <t>fy(1-0.59</t>
    </r>
    <r>
      <rPr>
        <sz val="8"/>
        <rFont val="Symbol"/>
        <family val="1"/>
        <charset val="2"/>
      </rPr>
      <t>r</t>
    </r>
    <r>
      <rPr>
        <sz val="8"/>
        <rFont val="Arial"/>
        <family val="2"/>
      </rPr>
      <t>(fy/fc’))</t>
    </r>
  </si>
  <si>
    <r>
      <t>Ö</t>
    </r>
    <r>
      <rPr>
        <sz val="8"/>
        <rFont val="Arial"/>
        <family val="2"/>
      </rPr>
      <t>(Mu/</t>
    </r>
    <r>
      <rPr>
        <sz val="8"/>
        <rFont val="Symbol"/>
        <family val="1"/>
        <charset val="2"/>
      </rPr>
      <t>f</t>
    </r>
    <r>
      <rPr>
        <vertAlign val="subscript"/>
        <sz val="8"/>
        <rFont val="Arial"/>
        <family val="2"/>
      </rPr>
      <t>b</t>
    </r>
    <r>
      <rPr>
        <sz val="8"/>
        <rFont val="Arial"/>
        <family val="2"/>
      </rPr>
      <t>Ru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b)</t>
    </r>
  </si>
  <si>
    <r>
      <t>Ru</t>
    </r>
    <r>
      <rPr>
        <vertAlign val="subscript"/>
        <sz val="8"/>
        <rFont val="Tahoma"/>
        <family val="2"/>
      </rPr>
      <t>1</t>
    </r>
  </si>
  <si>
    <r>
      <t>Ru</t>
    </r>
    <r>
      <rPr>
        <vertAlign val="subscript"/>
        <sz val="8"/>
        <rFont val="Tahoma"/>
        <family val="2"/>
      </rPr>
      <t>2</t>
    </r>
  </si>
  <si>
    <r>
      <t>Mu/</t>
    </r>
    <r>
      <rPr>
        <sz val="8"/>
        <rFont val="Symbol"/>
        <family val="1"/>
        <charset val="2"/>
      </rPr>
      <t>f</t>
    </r>
    <r>
      <rPr>
        <vertAlign val="subscript"/>
        <sz val="8"/>
        <rFont val="Tahoma"/>
        <family val="2"/>
      </rPr>
      <t>b</t>
    </r>
    <r>
      <rPr>
        <sz val="8"/>
        <rFont val="Tahoma"/>
        <family val="2"/>
      </rPr>
      <t>bd</t>
    </r>
    <r>
      <rPr>
        <vertAlign val="superscript"/>
        <sz val="8"/>
        <rFont val="Tahoma"/>
        <family val="2"/>
      </rPr>
      <t>2</t>
    </r>
  </si>
  <si>
    <r>
      <t>0.85(fc’/fy)(1-</t>
    </r>
    <r>
      <rPr>
        <sz val="8"/>
        <rFont val="Symbol"/>
        <family val="1"/>
        <charset val="2"/>
      </rPr>
      <t>Ö</t>
    </r>
    <r>
      <rPr>
        <sz val="8"/>
        <rFont val="Tahoma"/>
        <family val="2"/>
      </rPr>
      <t>1-(2Ru/0.85fc’))</t>
    </r>
  </si>
  <si>
    <r>
      <t>r</t>
    </r>
    <r>
      <rPr>
        <sz val="8"/>
        <rFont val="Arial"/>
        <family val="2"/>
      </rPr>
      <t>bd</t>
    </r>
  </si>
  <si>
    <t>kg/sq.m.</t>
  </si>
  <si>
    <t>Ru1</t>
  </si>
  <si>
    <t>Ru2</t>
  </si>
  <si>
    <t>≤</t>
  </si>
  <si>
    <t>Column Size</t>
  </si>
  <si>
    <t>bars</t>
  </si>
  <si>
    <t>ระยะบน</t>
  </si>
  <si>
    <t>ระยะหุ้ม</t>
  </si>
  <si>
    <t>Factor DL</t>
  </si>
  <si>
    <r>
      <t>cm.</t>
    </r>
    <r>
      <rPr>
        <sz val="16"/>
        <color indexed="8"/>
        <rFont val="AngsanaUPC"/>
        <family val="2"/>
        <charset val="222"/>
      </rPr>
      <t/>
    </r>
  </si>
  <si>
    <t>Factor LL</t>
  </si>
  <si>
    <t xml:space="preserve"> </t>
  </si>
  <si>
    <t>เม็ดเหล็ก</t>
  </si>
  <si>
    <t>ชี้</t>
  </si>
  <si>
    <t>ฐานราก</t>
  </si>
  <si>
    <t>ฐานราก A</t>
  </si>
  <si>
    <t>ฐานราก B</t>
  </si>
  <si>
    <t>เสา a</t>
  </si>
  <si>
    <t>เสา b</t>
  </si>
  <si>
    <t>PS</t>
  </si>
  <si>
    <t>BS</t>
  </si>
  <si>
    <t>ระยะล่าง</t>
  </si>
  <si>
    <t>ระยะขวา</t>
  </si>
  <si>
    <t>ระยะซ้าย</t>
  </si>
  <si>
    <t>รูปตัด</t>
  </si>
  <si>
    <t>ความหนา T</t>
  </si>
  <si>
    <t>แรงดัน</t>
  </si>
  <si>
    <t>ชั้นดิน</t>
  </si>
  <si>
    <t>ทราย</t>
  </si>
  <si>
    <t>1:3:5</t>
  </si>
  <si>
    <t>เหล็กรูปตัด</t>
  </si>
  <si>
    <t>จำนวนเม็ด</t>
  </si>
  <si>
    <t>Lean  0.05 m.</t>
  </si>
  <si>
    <t>Sand  0.10 m.</t>
  </si>
  <si>
    <t>แปลนเหล็ก</t>
  </si>
  <si>
    <t>ระยะเรียง</t>
  </si>
  <si>
    <t>Soil Bearing Capacity</t>
  </si>
  <si>
    <t>Pressure</t>
  </si>
  <si>
    <t>Footing Size</t>
  </si>
  <si>
    <t>Footing No :</t>
  </si>
  <si>
    <t>FB</t>
  </si>
  <si>
    <t>Wf</t>
  </si>
  <si>
    <t>sq.m.</t>
  </si>
  <si>
    <t>Recommend</t>
  </si>
  <si>
    <t>A1</t>
  </si>
  <si>
    <t>A0</t>
  </si>
  <si>
    <t>Pnet</t>
  </si>
  <si>
    <t>x1</t>
  </si>
  <si>
    <t>Punching  Shear</t>
  </si>
  <si>
    <t>b0</t>
  </si>
  <si>
    <t>Beam Shear</t>
  </si>
  <si>
    <t>พท.V</t>
  </si>
  <si>
    <r>
      <t>b</t>
    </r>
    <r>
      <rPr>
        <sz val="8"/>
        <color theme="1"/>
        <rFont val="Tahoma"/>
        <family val="2"/>
      </rPr>
      <t>c</t>
    </r>
  </si>
  <si>
    <r>
      <t>f</t>
    </r>
    <r>
      <rPr>
        <vertAlign val="subscript"/>
        <sz val="8"/>
        <rFont val="Arial"/>
        <family val="2"/>
      </rPr>
      <t>v</t>
    </r>
    <r>
      <rPr>
        <sz val="8"/>
        <rFont val="Arial"/>
        <family val="2"/>
      </rPr>
      <t>Vc1</t>
    </r>
  </si>
  <si>
    <r>
      <t>f</t>
    </r>
    <r>
      <rPr>
        <vertAlign val="subscript"/>
        <sz val="8"/>
        <rFont val="Arial"/>
        <family val="2"/>
      </rPr>
      <t>v</t>
    </r>
    <r>
      <rPr>
        <sz val="8"/>
        <rFont val="Arial"/>
        <family val="2"/>
      </rPr>
      <t>Vc2</t>
    </r>
    <r>
      <rPr>
        <sz val="16"/>
        <color theme="1"/>
        <rFont val="AngsanaUPC"/>
        <family val="2"/>
        <charset val="222"/>
      </rPr>
      <t/>
    </r>
  </si>
  <si>
    <r>
      <t>f</t>
    </r>
    <r>
      <rPr>
        <vertAlign val="subscript"/>
        <sz val="8"/>
        <rFont val="Arial"/>
        <family val="2"/>
      </rPr>
      <t>v</t>
    </r>
    <r>
      <rPr>
        <sz val="8"/>
        <rFont val="Arial"/>
        <family val="2"/>
      </rPr>
      <t>Vc</t>
    </r>
    <r>
      <rPr>
        <sz val="16"/>
        <color theme="1"/>
        <rFont val="AngsanaUPC"/>
        <family val="2"/>
        <charset val="222"/>
      </rPr>
      <t/>
    </r>
  </si>
  <si>
    <t>PD</t>
  </si>
  <si>
    <t>PL</t>
  </si>
  <si>
    <t>Ws</t>
  </si>
  <si>
    <r>
      <rPr>
        <sz val="11"/>
        <color theme="1"/>
        <rFont val="Symbol"/>
        <family val="1"/>
        <charset val="2"/>
      </rPr>
      <t>g</t>
    </r>
    <r>
      <rPr>
        <sz val="8"/>
        <color theme="1"/>
        <rFont val="Tahoma"/>
        <family val="2"/>
      </rPr>
      <t>s</t>
    </r>
  </si>
  <si>
    <t>kg/cu.m.</t>
  </si>
  <si>
    <t>Ru3</t>
  </si>
  <si>
    <t>d1</t>
  </si>
  <si>
    <t>d2</t>
  </si>
  <si>
    <r>
      <t>L</t>
    </r>
    <r>
      <rPr>
        <vertAlign val="subscript"/>
        <sz val="8"/>
        <color theme="1"/>
        <rFont val="Tahoma"/>
        <family val="2"/>
      </rPr>
      <t>d</t>
    </r>
  </si>
  <si>
    <r>
      <t>L</t>
    </r>
    <r>
      <rPr>
        <vertAlign val="subscript"/>
        <sz val="8"/>
        <color theme="1"/>
        <rFont val="Tahoma"/>
        <family val="2"/>
      </rPr>
      <t>bd</t>
    </r>
  </si>
  <si>
    <r>
      <rPr>
        <sz val="11"/>
        <color theme="1"/>
        <rFont val="Symbol"/>
        <family val="1"/>
        <charset val="2"/>
      </rPr>
      <t>g</t>
    </r>
    <r>
      <rPr>
        <sz val="8"/>
        <color theme="1"/>
        <rFont val="Tahoma"/>
        <family val="2"/>
        <charset val="222"/>
        <scheme val="minor"/>
      </rPr>
      <t>soil</t>
    </r>
  </si>
  <si>
    <t>Footing</t>
  </si>
  <si>
    <t>m x m</t>
  </si>
  <si>
    <t>Size Recom.</t>
  </si>
  <si>
    <t>Use Thick.</t>
  </si>
  <si>
    <t>Min Thick.</t>
  </si>
  <si>
    <t>Shear</t>
  </si>
  <si>
    <t>Beam</t>
  </si>
  <si>
    <t>Punching</t>
  </si>
  <si>
    <t>Section</t>
  </si>
  <si>
    <t>Min Amount</t>
  </si>
  <si>
    <t>Use Amount</t>
  </si>
  <si>
    <t>Main Bars #1</t>
  </si>
  <si>
    <t>Main Bars #2</t>
  </si>
  <si>
    <t>Footing No.</t>
  </si>
  <si>
    <t>S.B.C</t>
  </si>
  <si>
    <t>F.I. depth</t>
  </si>
  <si>
    <t>Unit Weight of Soil</t>
  </si>
  <si>
    <t>Dead Load</t>
  </si>
  <si>
    <r>
      <rPr>
        <sz val="8"/>
        <rFont val="Tahoma"/>
        <family val="2"/>
      </rPr>
      <t>d</t>
    </r>
    <r>
      <rPr>
        <vertAlign val="subscript"/>
        <sz val="8"/>
        <rFont val="Arial"/>
        <family val="2"/>
      </rPr>
      <t>req</t>
    </r>
  </si>
  <si>
    <r>
      <rPr>
        <sz val="8"/>
        <color theme="1"/>
        <rFont val="Tahoma"/>
        <family val="2"/>
      </rPr>
      <t>t</t>
    </r>
    <r>
      <rPr>
        <vertAlign val="subscript"/>
        <sz val="8"/>
        <color theme="1"/>
        <rFont val="Arial"/>
        <family val="2"/>
      </rPr>
      <t>min</t>
    </r>
  </si>
  <si>
    <t>Using Rebars</t>
  </si>
  <si>
    <t>Minimum Rebars</t>
  </si>
  <si>
    <t>(A)(B)</t>
  </si>
  <si>
    <r>
      <rPr>
        <sz val="8"/>
        <color theme="1"/>
        <rFont val="Tahoma"/>
        <family val="2"/>
      </rPr>
      <t>(A)(B)(H-T)</t>
    </r>
    <r>
      <rPr>
        <sz val="11"/>
        <color theme="1"/>
        <rFont val="Symbol"/>
        <family val="1"/>
        <charset val="2"/>
      </rPr>
      <t>g</t>
    </r>
    <r>
      <rPr>
        <sz val="8"/>
        <color theme="1"/>
        <rFont val="Tahoma"/>
        <family val="2"/>
        <charset val="222"/>
        <scheme val="minor"/>
      </rPr>
      <t>soil</t>
    </r>
  </si>
  <si>
    <t>(Ws+Wf+PD+PL)/(S.B.C)</t>
  </si>
  <si>
    <t>(A)(B)(T)2400</t>
  </si>
  <si>
    <r>
      <t>X</t>
    </r>
    <r>
      <rPr>
        <vertAlign val="subscript"/>
        <sz val="8"/>
        <color theme="1"/>
        <rFont val="Tahoma"/>
        <family val="2"/>
      </rPr>
      <t>1</t>
    </r>
  </si>
  <si>
    <r>
      <t>P</t>
    </r>
    <r>
      <rPr>
        <vertAlign val="subscript"/>
        <sz val="8"/>
        <color theme="1"/>
        <rFont val="Tahoma"/>
        <family val="2"/>
      </rPr>
      <t>net</t>
    </r>
  </si>
  <si>
    <r>
      <t>f</t>
    </r>
    <r>
      <rPr>
        <vertAlign val="subscript"/>
        <sz val="8"/>
        <rFont val="Arial"/>
        <family val="2"/>
      </rPr>
      <t>v</t>
    </r>
    <r>
      <rPr>
        <sz val="8"/>
        <rFont val="Tahoma"/>
        <family val="2"/>
      </rPr>
      <t>0.53(</t>
    </r>
    <r>
      <rPr>
        <sz val="8"/>
        <rFont val="Symbol"/>
        <family val="1"/>
        <charset val="2"/>
      </rPr>
      <t>Ö</t>
    </r>
    <r>
      <rPr>
        <sz val="8"/>
        <rFont val="Tahoma"/>
        <family val="2"/>
      </rPr>
      <t>fc’)Bd</t>
    </r>
  </si>
  <si>
    <t>a1</t>
  </si>
  <si>
    <t>b1</t>
  </si>
  <si>
    <r>
      <t>b(P</t>
    </r>
    <r>
      <rPr>
        <vertAlign val="subscript"/>
        <sz val="8"/>
        <color theme="1"/>
        <rFont val="Tahoma"/>
        <family val="2"/>
      </rPr>
      <t>net</t>
    </r>
    <r>
      <rPr>
        <sz val="8"/>
        <color theme="1"/>
        <rFont val="Tahoma"/>
        <family val="2"/>
      </rPr>
      <t>)(X</t>
    </r>
    <r>
      <rPr>
        <vertAlign val="subscript"/>
        <sz val="8"/>
        <color theme="1"/>
        <rFont val="Tahoma"/>
        <family val="2"/>
      </rPr>
      <t>1</t>
    </r>
    <r>
      <rPr>
        <sz val="8"/>
        <color theme="1"/>
        <rFont val="Tahoma"/>
        <family val="2"/>
      </rPr>
      <t>)</t>
    </r>
    <r>
      <rPr>
        <vertAlign val="superscript"/>
        <sz val="8"/>
        <color theme="1"/>
        <rFont val="Tahoma"/>
        <family val="2"/>
      </rPr>
      <t>2</t>
    </r>
    <r>
      <rPr>
        <sz val="8"/>
        <color theme="1"/>
        <rFont val="Tahoma"/>
        <family val="2"/>
      </rPr>
      <t>/2</t>
    </r>
  </si>
  <si>
    <r>
      <t>b(P</t>
    </r>
    <r>
      <rPr>
        <vertAlign val="subscript"/>
        <sz val="8"/>
        <color theme="1"/>
        <rFont val="Tahoma"/>
        <family val="2"/>
      </rPr>
      <t>net</t>
    </r>
    <r>
      <rPr>
        <sz val="8"/>
        <color theme="1"/>
        <rFont val="Tahoma"/>
        <family val="2"/>
      </rPr>
      <t>)(X</t>
    </r>
    <r>
      <rPr>
        <vertAlign val="subscript"/>
        <sz val="8"/>
        <color theme="1"/>
        <rFont val="Tahoma"/>
        <family val="2"/>
      </rPr>
      <t>1</t>
    </r>
    <r>
      <rPr>
        <sz val="8"/>
        <color theme="1"/>
        <rFont val="Tahoma"/>
        <family val="2"/>
      </rPr>
      <t>-d)</t>
    </r>
  </si>
  <si>
    <t>2((a1+d)+(b1+d))</t>
  </si>
  <si>
    <r>
      <t>a</t>
    </r>
    <r>
      <rPr>
        <vertAlign val="subscript"/>
        <sz val="8"/>
        <color theme="1"/>
        <rFont val="Tahoma"/>
        <family val="2"/>
      </rPr>
      <t>0</t>
    </r>
  </si>
  <si>
    <r>
      <t>b</t>
    </r>
    <r>
      <rPr>
        <vertAlign val="subscript"/>
        <sz val="8"/>
        <color theme="1"/>
        <rFont val="Tahoma"/>
        <family val="2"/>
      </rPr>
      <t>0</t>
    </r>
  </si>
  <si>
    <r>
      <t>P</t>
    </r>
    <r>
      <rPr>
        <vertAlign val="subscript"/>
        <sz val="8"/>
        <color theme="1"/>
        <rFont val="Tahoma"/>
        <family val="2"/>
      </rPr>
      <t>net</t>
    </r>
    <r>
      <rPr>
        <sz val="8"/>
        <color theme="1"/>
        <rFont val="Tahoma"/>
        <family val="2"/>
      </rPr>
      <t>(A1-a</t>
    </r>
    <r>
      <rPr>
        <vertAlign val="subscript"/>
        <sz val="8"/>
        <color theme="1"/>
        <rFont val="Tahoma"/>
        <family val="2"/>
      </rPr>
      <t>0</t>
    </r>
    <r>
      <rPr>
        <sz val="8"/>
        <color theme="1"/>
        <rFont val="Tahoma"/>
        <family val="2"/>
      </rPr>
      <t>)</t>
    </r>
  </si>
  <si>
    <r>
      <t>f</t>
    </r>
    <r>
      <rPr>
        <vertAlign val="subscript"/>
        <sz val="8"/>
        <color theme="1"/>
        <rFont val="Tahoma"/>
        <family val="2"/>
      </rPr>
      <t>v</t>
    </r>
    <r>
      <rPr>
        <sz val="8"/>
        <color theme="1"/>
        <rFont val="Tahoma"/>
        <family val="2"/>
      </rPr>
      <t>0.27(2+(4/</t>
    </r>
    <r>
      <rPr>
        <sz val="8"/>
        <color theme="1"/>
        <rFont val="Symbol"/>
        <family val="1"/>
        <charset val="2"/>
      </rPr>
      <t>b</t>
    </r>
    <r>
      <rPr>
        <vertAlign val="subscript"/>
        <sz val="8"/>
        <color theme="1"/>
        <rFont val="Tahoma"/>
        <family val="2"/>
      </rPr>
      <t>c</t>
    </r>
    <r>
      <rPr>
        <sz val="8"/>
        <color theme="1"/>
        <rFont val="Tahoma"/>
        <family val="2"/>
      </rPr>
      <t>))√fc’ b</t>
    </r>
    <r>
      <rPr>
        <vertAlign val="subscript"/>
        <sz val="8"/>
        <color theme="1"/>
        <rFont val="Tahoma"/>
        <family val="2"/>
      </rPr>
      <t>0</t>
    </r>
    <r>
      <rPr>
        <sz val="8"/>
        <color theme="1"/>
        <rFont val="Tahoma"/>
        <family val="2"/>
      </rPr>
      <t>d</t>
    </r>
  </si>
  <si>
    <r>
      <t>f</t>
    </r>
    <r>
      <rPr>
        <vertAlign val="subscript"/>
        <sz val="8"/>
        <color theme="1"/>
        <rFont val="Tahoma"/>
        <family val="2"/>
      </rPr>
      <t>v</t>
    </r>
    <r>
      <rPr>
        <sz val="8"/>
        <color theme="1"/>
        <rFont val="Tahoma"/>
        <family val="2"/>
      </rPr>
      <t>1.06√fc’ b</t>
    </r>
    <r>
      <rPr>
        <vertAlign val="subscript"/>
        <sz val="8"/>
        <color theme="1"/>
        <rFont val="Tahoma"/>
        <family val="2"/>
      </rPr>
      <t>0</t>
    </r>
    <r>
      <rPr>
        <sz val="8"/>
        <color theme="1"/>
        <rFont val="Tahoma"/>
        <family val="2"/>
      </rPr>
      <t>d</t>
    </r>
  </si>
  <si>
    <r>
      <t>0.06A</t>
    </r>
    <r>
      <rPr>
        <vertAlign val="subscript"/>
        <sz val="8"/>
        <color theme="1"/>
        <rFont val="Tahoma"/>
        <family val="2"/>
      </rPr>
      <t>b</t>
    </r>
    <r>
      <rPr>
        <sz val="8"/>
        <color theme="1"/>
        <rFont val="Tahoma"/>
        <family val="2"/>
      </rPr>
      <t>fy/√fc’</t>
    </r>
  </si>
  <si>
    <r>
      <t>d</t>
    </r>
    <r>
      <rPr>
        <vertAlign val="subscript"/>
        <sz val="8"/>
        <color theme="1"/>
        <rFont val="Tahoma"/>
        <family val="2"/>
      </rPr>
      <t>req</t>
    </r>
    <r>
      <rPr>
        <sz val="8"/>
        <color theme="1"/>
        <rFont val="Tahoma"/>
        <family val="2"/>
      </rPr>
      <t>+Covering+(Bar/2)</t>
    </r>
  </si>
  <si>
    <t>A1/Wu</t>
  </si>
  <si>
    <t>(A/2)-(a1/2)  &amp;  (B/2)-(b1/2)</t>
  </si>
  <si>
    <t>Dowel Length</t>
  </si>
  <si>
    <t>t/cu.m.</t>
  </si>
  <si>
    <t>(a1+d)(b1+d)</t>
  </si>
  <si>
    <t>Default 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</si>
</sst>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7" formatCode="0.0000"/>
    <numFmt numFmtId="188" formatCode="0.0"/>
    <numFmt numFmtId="189" formatCode="0.000"/>
    <numFmt numFmtId="190" formatCode="_(* #,##0.00_);_(* \(#,##0.00\);_(* &quot;-&quot;??_);_(@_)"/>
  </numFmts>
  <fonts count="73" x14ac:knownFonts="1">
    <font>
      <sz val="11"/>
      <color theme="1"/>
      <name val="Tahoma"/>
      <family val="2"/>
      <charset val="222"/>
      <scheme val="minor"/>
    </font>
    <font>
      <sz val="16"/>
      <color theme="1"/>
      <name val="AngsanaUPC"/>
      <family val="2"/>
      <charset val="222"/>
    </font>
    <font>
      <sz val="9"/>
      <color theme="1"/>
      <name val="Arial Unicode MS"/>
      <family val="2"/>
    </font>
    <font>
      <sz val="9"/>
      <color theme="1"/>
      <name val="Tahoma"/>
      <family val="2"/>
      <charset val="222"/>
      <scheme val="minor"/>
    </font>
    <font>
      <sz val="9"/>
      <color rgb="FF0000FF"/>
      <name val="Tahoma"/>
      <family val="2"/>
      <charset val="222"/>
      <scheme val="minor"/>
    </font>
    <font>
      <b/>
      <sz val="9"/>
      <color theme="1"/>
      <name val="Tahoma"/>
      <family val="2"/>
      <scheme val="minor"/>
    </font>
    <font>
      <sz val="9"/>
      <name val="Tahoma"/>
      <family val="2"/>
      <scheme val="minor"/>
    </font>
    <font>
      <sz val="9"/>
      <name val="Tahoma"/>
      <family val="2"/>
      <charset val="222"/>
    </font>
    <font>
      <sz val="8"/>
      <color indexed="8"/>
      <name val="Arial"/>
      <family val="2"/>
    </font>
    <font>
      <sz val="8"/>
      <name val="Arial"/>
      <family val="2"/>
    </font>
    <font>
      <sz val="9"/>
      <color theme="1"/>
      <name val="Tahoma"/>
      <family val="2"/>
      <scheme val="minor"/>
    </font>
    <font>
      <sz val="8"/>
      <color theme="1"/>
      <name val="Arial"/>
      <family val="2"/>
    </font>
    <font>
      <sz val="8"/>
      <color theme="1"/>
      <name val="Tahoma"/>
      <family val="2"/>
      <scheme val="minor"/>
    </font>
    <font>
      <sz val="8"/>
      <color rgb="FFFF0000"/>
      <name val="Arial"/>
      <family val="2"/>
    </font>
    <font>
      <sz val="8"/>
      <color rgb="FF008000"/>
      <name val="Arial"/>
      <family val="2"/>
    </font>
    <font>
      <b/>
      <sz val="9"/>
      <name val="Tahoma"/>
      <family val="2"/>
      <scheme val="minor"/>
    </font>
    <font>
      <b/>
      <sz val="20"/>
      <color theme="1"/>
      <name val="Tahoma"/>
      <family val="2"/>
      <scheme val="major"/>
    </font>
    <font>
      <sz val="8"/>
      <color theme="1"/>
      <name val="Tahoma"/>
      <family val="2"/>
      <charset val="222"/>
      <scheme val="minor"/>
    </font>
    <font>
      <sz val="8"/>
      <color rgb="FFFF0000"/>
      <name val="Tahoma"/>
      <family val="2"/>
      <charset val="222"/>
    </font>
    <font>
      <sz val="8"/>
      <color indexed="8"/>
      <name val="Tahoma"/>
      <family val="2"/>
      <scheme val="minor"/>
    </font>
    <font>
      <sz val="8"/>
      <color rgb="FF0000FF"/>
      <name val="Tahoma"/>
      <family val="2"/>
      <scheme val="minor"/>
    </font>
    <font>
      <sz val="8"/>
      <name val="Symbol"/>
      <family val="1"/>
      <charset val="2"/>
    </font>
    <font>
      <vertAlign val="subscript"/>
      <sz val="8"/>
      <name val="Arial"/>
      <family val="2"/>
    </font>
    <font>
      <sz val="8"/>
      <name val="Tahoma"/>
      <family val="2"/>
      <scheme val="minor"/>
    </font>
    <font>
      <sz val="8"/>
      <color rgb="FF0000FF"/>
      <name val="Tahoma"/>
      <family val="2"/>
      <charset val="222"/>
      <scheme val="minor"/>
    </font>
    <font>
      <sz val="8"/>
      <color rgb="FFFF0000"/>
      <name val="Tahoma"/>
      <family val="2"/>
      <charset val="222"/>
      <scheme val="minor"/>
    </font>
    <font>
      <sz val="8"/>
      <color theme="1"/>
      <name val="Symbol"/>
      <family val="1"/>
      <charset val="2"/>
    </font>
    <font>
      <sz val="8"/>
      <name val="Cordia New"/>
      <family val="2"/>
    </font>
    <font>
      <sz val="8"/>
      <color indexed="8"/>
      <name val="Tahoma"/>
      <family val="2"/>
      <charset val="222"/>
      <scheme val="minor"/>
    </font>
    <font>
      <sz val="8"/>
      <color indexed="81"/>
      <name val="Tahoma"/>
      <family val="2"/>
    </font>
    <font>
      <u/>
      <sz val="9"/>
      <name val="Tahoma"/>
      <family val="2"/>
      <scheme val="minor"/>
    </font>
    <font>
      <u/>
      <sz val="9"/>
      <color theme="1"/>
      <name val="Tahoma"/>
      <family val="2"/>
      <charset val="222"/>
      <scheme val="minor"/>
    </font>
    <font>
      <b/>
      <sz val="8"/>
      <color theme="1"/>
      <name val="Tahoma"/>
      <family val="2"/>
      <scheme val="minor"/>
    </font>
    <font>
      <u/>
      <sz val="9"/>
      <color theme="1"/>
      <name val="Tahoma"/>
      <family val="2"/>
      <scheme val="minor"/>
    </font>
    <font>
      <sz val="8"/>
      <color rgb="FFC00000"/>
      <name val="Arial"/>
      <family val="2"/>
    </font>
    <font>
      <vertAlign val="subscript"/>
      <sz val="8"/>
      <color theme="1"/>
      <name val="Arial"/>
      <family val="2"/>
    </font>
    <font>
      <sz val="8"/>
      <color rgb="FFC00000"/>
      <name val="Symbol"/>
      <family val="1"/>
      <charset val="2"/>
    </font>
    <font>
      <vertAlign val="subscript"/>
      <sz val="8"/>
      <color rgb="FFC00000"/>
      <name val="Arial"/>
      <family val="2"/>
    </font>
    <font>
      <sz val="10"/>
      <color theme="1"/>
      <name val="Tahoma"/>
      <family val="2"/>
      <scheme val="minor"/>
    </font>
    <font>
      <sz val="8"/>
      <color theme="0" tint="-0.499984740745262"/>
      <name val="Tahoma"/>
      <family val="2"/>
      <scheme val="minor"/>
    </font>
    <font>
      <sz val="8"/>
      <color theme="1"/>
      <name val="Tahoma"/>
      <family val="2"/>
      <charset val="222"/>
    </font>
    <font>
      <sz val="8"/>
      <color theme="1"/>
      <name val="Tahoma"/>
      <family val="2"/>
    </font>
    <font>
      <sz val="8"/>
      <name val="Tahoma"/>
      <family val="2"/>
    </font>
    <font>
      <u/>
      <sz val="9"/>
      <color theme="1"/>
      <name val="Tahoma"/>
      <family val="2"/>
    </font>
    <font>
      <sz val="11"/>
      <color theme="1"/>
      <name val="Tahoma"/>
      <family val="2"/>
    </font>
    <font>
      <sz val="8"/>
      <color rgb="FF0000FF"/>
      <name val="Tahoma"/>
      <family val="2"/>
    </font>
    <font>
      <vertAlign val="subscript"/>
      <sz val="8"/>
      <color theme="1"/>
      <name val="Tahoma"/>
      <family val="2"/>
    </font>
    <font>
      <u/>
      <sz val="9"/>
      <color theme="1"/>
      <name val="Tahoma"/>
      <family val="2"/>
      <charset val="222"/>
    </font>
    <font>
      <sz val="8"/>
      <color indexed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8"/>
      <name val="Tahoma"/>
      <family val="2"/>
      <charset val="222"/>
    </font>
    <font>
      <sz val="9"/>
      <color theme="1"/>
      <name val="Tahoma"/>
      <family val="2"/>
      <charset val="222"/>
    </font>
    <font>
      <b/>
      <sz val="12"/>
      <color theme="1"/>
      <name val="Tahoma"/>
      <family val="2"/>
    </font>
    <font>
      <b/>
      <sz val="11"/>
      <color theme="1"/>
      <name val="Tahoma"/>
      <family val="2"/>
    </font>
    <font>
      <vertAlign val="superscript"/>
      <sz val="8"/>
      <name val="Tahoma"/>
      <family val="2"/>
    </font>
    <font>
      <sz val="8"/>
      <color rgb="FF006600"/>
      <name val="Tahoma"/>
      <family val="2"/>
      <charset val="222"/>
    </font>
    <font>
      <sz val="8"/>
      <color rgb="FF006600"/>
      <name val="Tahoma"/>
      <family val="2"/>
    </font>
    <font>
      <sz val="8"/>
      <color rgb="FF0000FF"/>
      <name val="Tahoma"/>
      <family val="2"/>
      <charset val="222"/>
    </font>
    <font>
      <vertAlign val="subscript"/>
      <sz val="8"/>
      <name val="Tahoma"/>
      <family val="2"/>
    </font>
    <font>
      <sz val="16"/>
      <color theme="1"/>
      <name val="AngsanaUPC"/>
      <family val="2"/>
      <charset val="222"/>
    </font>
    <font>
      <u/>
      <sz val="8"/>
      <color theme="1"/>
      <name val="Tahoma"/>
      <family val="2"/>
    </font>
    <font>
      <sz val="9"/>
      <color theme="1"/>
      <name val="Tahoma"/>
      <family val="2"/>
    </font>
    <font>
      <u/>
      <sz val="8"/>
      <color theme="1"/>
      <name val="Tahoma"/>
      <family val="2"/>
      <charset val="222"/>
      <scheme val="minor"/>
    </font>
    <font>
      <b/>
      <sz val="8"/>
      <color theme="0"/>
      <name val="Tahoma"/>
      <family val="2"/>
      <scheme val="minor"/>
    </font>
    <font>
      <sz val="8"/>
      <color theme="0" tint="-0.499984740745262"/>
      <name val="Tahoma"/>
      <family val="2"/>
      <charset val="222"/>
    </font>
    <font>
      <sz val="16"/>
      <color indexed="8"/>
      <name val="AngsanaUPC"/>
      <family val="2"/>
      <charset val="222"/>
    </font>
    <font>
      <vertAlign val="superscript"/>
      <sz val="8"/>
      <color theme="1"/>
      <name val="Tahoma"/>
      <family val="2"/>
    </font>
    <font>
      <sz val="8"/>
      <color rgb="FF00B050"/>
      <name val="Tahoma"/>
      <family val="2"/>
      <charset val="222"/>
    </font>
    <font>
      <sz val="8"/>
      <color theme="0" tint="-0.499984740745262"/>
      <name val="Symbol"/>
      <family val="1"/>
      <charset val="2"/>
    </font>
    <font>
      <u/>
      <sz val="8"/>
      <color theme="1"/>
      <name val="Tahoma"/>
      <family val="2"/>
      <charset val="222"/>
    </font>
    <font>
      <sz val="11"/>
      <color theme="1"/>
      <name val="Symbol"/>
      <family val="1"/>
      <charset val="2"/>
    </font>
    <font>
      <i/>
      <sz val="8"/>
      <color theme="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F1FF"/>
        <bgColor indexed="64"/>
      </patternFill>
    </fill>
    <fill>
      <gradientFill degree="90">
        <stop position="0">
          <color theme="0" tint="-5.0965910824915313E-2"/>
        </stop>
        <stop position="1">
          <color theme="0" tint="-0.34900967436750391"/>
        </stop>
      </gradientFill>
    </fill>
    <fill>
      <gradientFill degree="90">
        <stop position="0">
          <color theme="0" tint="-5.0965910824915313E-2"/>
        </stop>
        <stop position="1">
          <color theme="0" tint="-0.25098422193060094"/>
        </stop>
      </gradientFill>
    </fill>
  </fills>
  <borders count="9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/>
      <top style="medium">
        <color theme="1" tint="0.34998626667073579"/>
      </top>
      <bottom/>
      <diagonal/>
    </border>
    <border>
      <left style="medium">
        <color theme="1" tint="0.34998626667073579"/>
      </left>
      <right/>
      <top/>
      <bottom style="thin">
        <color indexed="64"/>
      </bottom>
      <diagonal/>
    </border>
    <border>
      <left style="medium">
        <color theme="1" tint="0.34998626667073579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24994659260841701"/>
      </bottom>
      <diagonal/>
    </border>
    <border>
      <left/>
      <right/>
      <top style="medium">
        <color theme="0" tint="-0.499984740745262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theme="0" tint="-0.499984740745262"/>
      </top>
      <bottom style="thin">
        <color theme="0" tint="-0.24994659260841701"/>
      </bottom>
      <diagonal/>
    </border>
    <border>
      <left style="thin">
        <color indexed="64"/>
      </left>
      <right/>
      <top style="medium">
        <color theme="1" tint="0.34998626667073579"/>
      </top>
      <bottom/>
      <diagonal/>
    </border>
    <border>
      <left/>
      <right style="thin">
        <color indexed="64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medium">
        <color theme="1" tint="0.34998626667073579"/>
      </top>
      <bottom style="thin">
        <color indexed="64"/>
      </bottom>
      <diagonal/>
    </border>
    <border>
      <left/>
      <right style="thin">
        <color indexed="64"/>
      </right>
      <top style="medium">
        <color theme="1" tint="0.34998626667073579"/>
      </top>
      <bottom style="thin">
        <color indexed="64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/>
      <diagonal/>
    </border>
    <border>
      <left/>
      <right style="thin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1" tint="0.34998626667073579"/>
      </left>
      <right/>
      <top style="thin">
        <color indexed="64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thin">
        <color indexed="64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thin">
        <color indexed="64"/>
      </bottom>
      <diagonal/>
    </border>
    <border>
      <left style="hair">
        <color theme="0" tint="-0.499984740745262"/>
      </left>
      <right/>
      <top style="thin">
        <color indexed="64"/>
      </top>
      <bottom/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thin">
        <color indexed="64"/>
      </bottom>
      <diagonal/>
    </border>
    <border>
      <left/>
      <right style="thin">
        <color theme="1" tint="0.34998626667073579"/>
      </right>
      <top/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 style="thin">
        <color theme="0" tint="-0.24994659260841701"/>
      </bottom>
      <diagonal/>
    </border>
    <border>
      <left/>
      <right style="thin">
        <color theme="1" tint="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1" tint="0.34998626667073579"/>
      </right>
      <top style="thin">
        <color theme="0" tint="-0.24994659260841701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1" tint="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 style="thin">
        <color theme="0" tint="-0.24994659260841701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theme="0" tint="-0.24994659260841701"/>
      </top>
      <bottom/>
      <diagonal/>
    </border>
    <border>
      <left style="thin">
        <color indexed="64"/>
      </left>
      <right/>
      <top style="medium">
        <color theme="1" tint="0.34998626667073579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theme="0" tint="-0.24994659260841701"/>
      </top>
      <bottom/>
      <diagonal/>
    </border>
    <border>
      <left/>
      <right style="thin">
        <color indexed="64"/>
      </right>
      <top/>
      <bottom style="thin">
        <color theme="1" tint="0.34998626667073579"/>
      </bottom>
      <diagonal/>
    </border>
    <border>
      <left/>
      <right/>
      <top style="medium">
        <color theme="1" tint="0.34998626667073579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medium">
        <color theme="1" tint="0.34998626667073579"/>
      </top>
      <bottom style="thin">
        <color theme="0" tint="-0.24994659260841701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0" tint="-0.24994659260841701"/>
      </top>
      <bottom style="thin">
        <color theme="1" tint="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 style="medium">
        <color theme="1" tint="0.34998626667073579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0" tint="-0.24994659260841701"/>
      </right>
      <top/>
      <bottom style="thin">
        <color indexed="64"/>
      </bottom>
      <diagonal/>
    </border>
    <border>
      <left/>
      <right/>
      <top style="thin">
        <color theme="1" tint="0.34998626667073579"/>
      </top>
      <bottom style="thin">
        <color theme="0" tint="-0.24994659260841701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1" tint="0.34998626667073579"/>
      </right>
      <top style="thin">
        <color indexed="64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 style="thin">
        <color theme="1" tint="0.34998626667073579"/>
      </bottom>
      <diagonal/>
    </border>
    <border>
      <left style="thin">
        <color indexed="64"/>
      </left>
      <right style="thin">
        <color theme="0" tint="-0.24994659260841701"/>
      </right>
      <top style="thin">
        <color theme="1" tint="0.34998626667073579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1" tint="0.34998626667073579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/>
      <bottom style="thin">
        <color theme="1" tint="0.34998626667073579"/>
      </bottom>
      <diagonal/>
    </border>
  </borders>
  <cellStyleXfs count="2">
    <xf numFmtId="0" fontId="0" fillId="0" borderId="0"/>
    <xf numFmtId="190" fontId="60" fillId="0" borderId="0" applyFont="0" applyFill="0" applyBorder="0" applyAlignment="0" applyProtection="0"/>
  </cellStyleXfs>
  <cellXfs count="573">
    <xf numFmtId="0" fontId="0" fillId="0" borderId="0" xfId="0"/>
    <xf numFmtId="0" fontId="21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ill="1" applyProtection="1">
      <protection hidden="1"/>
    </xf>
    <xf numFmtId="2" fontId="3" fillId="0" borderId="0" xfId="0" applyNumberFormat="1" applyFont="1" applyAlignment="1" applyProtection="1">
      <alignment horizontal="center" vertical="center"/>
      <protection hidden="1"/>
    </xf>
    <xf numFmtId="0" fontId="11" fillId="0" borderId="0" xfId="0" applyNumberFormat="1" applyFont="1" applyFill="1" applyBorder="1" applyAlignment="1" applyProtection="1">
      <alignment vertical="center"/>
      <protection hidden="1"/>
    </xf>
    <xf numFmtId="2" fontId="3" fillId="0" borderId="0" xfId="0" applyNumberFormat="1" applyFont="1" applyAlignment="1" applyProtection="1">
      <alignment vertical="center"/>
      <protection hidden="1"/>
    </xf>
    <xf numFmtId="0" fontId="8" fillId="0" borderId="0" xfId="0" applyNumberFormat="1" applyFont="1" applyFill="1" applyAlignment="1" applyProtection="1">
      <alignment vertical="center"/>
      <protection hidden="1"/>
    </xf>
    <xf numFmtId="0" fontId="9" fillId="0" borderId="0" xfId="0" applyNumberFormat="1" applyFont="1" applyFill="1" applyBorder="1" applyAlignment="1" applyProtection="1">
      <alignment vertical="center"/>
      <protection hidden="1"/>
    </xf>
    <xf numFmtId="189" fontId="11" fillId="0" borderId="0" xfId="0" applyNumberFormat="1" applyFont="1" applyFill="1" applyBorder="1" applyAlignment="1" applyProtection="1">
      <alignment vertical="center"/>
      <protection hidden="1"/>
    </xf>
    <xf numFmtId="0" fontId="21" fillId="4" borderId="0" xfId="0" applyFont="1" applyFill="1" applyBorder="1" applyAlignment="1" applyProtection="1">
      <alignment horizontal="right" vertical="center"/>
      <protection hidden="1"/>
    </xf>
    <xf numFmtId="0" fontId="9" fillId="0" borderId="0" xfId="0" applyFont="1" applyFill="1" applyBorder="1" applyAlignment="1" applyProtection="1">
      <alignment vertical="center"/>
      <protection hidden="1"/>
    </xf>
    <xf numFmtId="0" fontId="34" fillId="0" borderId="0" xfId="0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Border="1" applyProtection="1">
      <protection hidden="1"/>
    </xf>
    <xf numFmtId="0" fontId="11" fillId="0" borderId="0" xfId="0" applyFont="1" applyFill="1" applyBorder="1" applyAlignment="1" applyProtection="1">
      <alignment vertical="center"/>
      <protection hidden="1"/>
    </xf>
    <xf numFmtId="0" fontId="34" fillId="0" borderId="0" xfId="0" quotePrefix="1" applyFont="1" applyFill="1" applyBorder="1" applyAlignment="1" applyProtection="1">
      <alignment horizontal="left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0" fillId="4" borderId="0" xfId="0" applyFill="1" applyProtection="1">
      <protection hidden="1"/>
    </xf>
    <xf numFmtId="0" fontId="0" fillId="4" borderId="18" xfId="0" applyFill="1" applyBorder="1" applyProtection="1">
      <protection hidden="1"/>
    </xf>
    <xf numFmtId="0" fontId="0" fillId="4" borderId="22" xfId="0" applyFill="1" applyBorder="1" applyProtection="1">
      <protection hidden="1"/>
    </xf>
    <xf numFmtId="0" fontId="0" fillId="4" borderId="21" xfId="0" applyFill="1" applyBorder="1" applyProtection="1">
      <protection hidden="1"/>
    </xf>
    <xf numFmtId="0" fontId="0" fillId="4" borderId="24" xfId="0" applyFill="1" applyBorder="1" applyProtection="1">
      <protection hidden="1"/>
    </xf>
    <xf numFmtId="0" fontId="0" fillId="4" borderId="19" xfId="0" applyFill="1" applyBorder="1" applyProtection="1">
      <protection hidden="1"/>
    </xf>
    <xf numFmtId="0" fontId="0" fillId="4" borderId="20" xfId="0" applyFill="1" applyBorder="1" applyProtection="1">
      <protection hidden="1"/>
    </xf>
    <xf numFmtId="0" fontId="0" fillId="5" borderId="0" xfId="0" applyFill="1" applyBorder="1" applyProtection="1">
      <protection hidden="1"/>
    </xf>
    <xf numFmtId="0" fontId="0" fillId="4" borderId="23" xfId="0" applyFill="1" applyBorder="1" applyProtection="1">
      <protection hidden="1"/>
    </xf>
    <xf numFmtId="0" fontId="23" fillId="4" borderId="0" xfId="0" applyFont="1" applyFill="1" applyBorder="1" applyAlignment="1" applyProtection="1">
      <alignment vertical="center"/>
      <protection hidden="1"/>
    </xf>
    <xf numFmtId="0" fontId="12" fillId="4" borderId="0" xfId="0" applyFont="1" applyFill="1" applyBorder="1" applyAlignment="1" applyProtection="1">
      <alignment vertical="center"/>
      <protection hidden="1"/>
    </xf>
    <xf numFmtId="0" fontId="17" fillId="4" borderId="0" xfId="0" applyFont="1" applyFill="1" applyBorder="1" applyAlignment="1" applyProtection="1">
      <alignment vertical="center"/>
      <protection hidden="1"/>
    </xf>
    <xf numFmtId="0" fontId="0" fillId="4" borderId="46" xfId="0" applyFill="1" applyBorder="1" applyProtection="1">
      <protection hidden="1"/>
    </xf>
    <xf numFmtId="0" fontId="23" fillId="4" borderId="46" xfId="0" applyFont="1" applyFill="1" applyBorder="1" applyAlignment="1" applyProtection="1">
      <alignment vertical="center"/>
      <protection hidden="1"/>
    </xf>
    <xf numFmtId="0" fontId="17" fillId="4" borderId="0" xfId="0" applyFont="1" applyFill="1" applyBorder="1" applyAlignment="1" applyProtection="1">
      <alignment horizontal="right" vertical="center"/>
      <protection hidden="1"/>
    </xf>
    <xf numFmtId="0" fontId="12" fillId="4" borderId="23" xfId="0" applyFont="1" applyFill="1" applyBorder="1" applyAlignment="1" applyProtection="1">
      <alignment vertical="center"/>
      <protection hidden="1"/>
    </xf>
    <xf numFmtId="0" fontId="12" fillId="4" borderId="24" xfId="0" applyFont="1" applyFill="1" applyBorder="1" applyAlignment="1" applyProtection="1">
      <alignment vertical="center"/>
      <protection hidden="1"/>
    </xf>
    <xf numFmtId="0" fontId="0" fillId="4" borderId="17" xfId="0" applyFill="1" applyBorder="1" applyProtection="1">
      <protection hidden="1"/>
    </xf>
    <xf numFmtId="0" fontId="2" fillId="4" borderId="0" xfId="0" applyFont="1" applyFill="1" applyBorder="1" applyAlignment="1" applyProtection="1">
      <alignment vertical="center"/>
      <protection hidden="1"/>
    </xf>
    <xf numFmtId="0" fontId="0" fillId="4" borderId="0" xfId="0" applyFill="1" applyBorder="1" applyAlignment="1" applyProtection="1">
      <alignment horizontal="left"/>
      <protection hidden="1"/>
    </xf>
    <xf numFmtId="0" fontId="0" fillId="5" borderId="50" xfId="0" applyFill="1" applyBorder="1" applyProtection="1">
      <protection hidden="1"/>
    </xf>
    <xf numFmtId="0" fontId="3" fillId="5" borderId="0" xfId="0" applyFont="1" applyFill="1" applyBorder="1" applyAlignment="1" applyProtection="1">
      <alignment vertical="center"/>
      <protection hidden="1"/>
    </xf>
    <xf numFmtId="0" fontId="0" fillId="5" borderId="51" xfId="0" applyFill="1" applyBorder="1" applyProtection="1">
      <protection hidden="1"/>
    </xf>
    <xf numFmtId="0" fontId="39" fillId="4" borderId="23" xfId="0" applyFont="1" applyFill="1" applyBorder="1" applyAlignment="1" applyProtection="1">
      <alignment horizontal="left" vertical="center"/>
      <protection hidden="1"/>
    </xf>
    <xf numFmtId="0" fontId="0" fillId="5" borderId="52" xfId="0" applyFill="1" applyBorder="1" applyProtection="1">
      <protection hidden="1"/>
    </xf>
    <xf numFmtId="0" fontId="0" fillId="5" borderId="13" xfId="0" applyFill="1" applyBorder="1" applyProtection="1">
      <protection hidden="1"/>
    </xf>
    <xf numFmtId="0" fontId="0" fillId="5" borderId="11" xfId="0" applyFill="1" applyBorder="1" applyProtection="1">
      <protection hidden="1"/>
    </xf>
    <xf numFmtId="0" fontId="0" fillId="5" borderId="12" xfId="0" applyFill="1" applyBorder="1" applyProtection="1"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5" borderId="0" xfId="0" applyFont="1" applyFill="1" applyBorder="1" applyAlignment="1" applyProtection="1">
      <alignment vertical="center"/>
      <protection hidden="1"/>
    </xf>
    <xf numFmtId="0" fontId="0" fillId="5" borderId="0" xfId="0" applyFill="1" applyBorder="1" applyAlignment="1" applyProtection="1">
      <alignment vertical="center"/>
      <protection hidden="1"/>
    </xf>
    <xf numFmtId="0" fontId="12" fillId="5" borderId="0" xfId="0" applyFont="1" applyFill="1" applyBorder="1" applyAlignment="1" applyProtection="1">
      <alignment vertical="center"/>
      <protection hidden="1"/>
    </xf>
    <xf numFmtId="0" fontId="17" fillId="5" borderId="0" xfId="0" applyFont="1" applyFill="1" applyBorder="1" applyProtection="1">
      <protection hidden="1"/>
    </xf>
    <xf numFmtId="0" fontId="33" fillId="5" borderId="0" xfId="0" applyFont="1" applyFill="1" applyBorder="1" applyAlignment="1" applyProtection="1">
      <alignment horizontal="left" vertical="center"/>
      <protection hidden="1"/>
    </xf>
    <xf numFmtId="0" fontId="31" fillId="5" borderId="0" xfId="0" applyFont="1" applyFill="1" applyBorder="1" applyAlignment="1" applyProtection="1">
      <alignment vertical="center"/>
      <protection hidden="1"/>
    </xf>
    <xf numFmtId="0" fontId="30" fillId="5" borderId="0" xfId="0" applyFont="1" applyFill="1" applyBorder="1" applyAlignment="1" applyProtection="1">
      <alignment horizontal="left" vertical="center"/>
      <protection hidden="1"/>
    </xf>
    <xf numFmtId="0" fontId="19" fillId="5" borderId="0" xfId="0" applyFont="1" applyFill="1" applyBorder="1" applyAlignment="1" applyProtection="1">
      <alignment horizontal="left" vertical="center"/>
      <protection hidden="1"/>
    </xf>
    <xf numFmtId="0" fontId="21" fillId="5" borderId="0" xfId="0" applyFont="1" applyFill="1" applyBorder="1" applyAlignment="1" applyProtection="1">
      <alignment horizontal="left" vertical="center"/>
      <protection hidden="1"/>
    </xf>
    <xf numFmtId="0" fontId="19" fillId="5" borderId="0" xfId="0" applyFont="1" applyFill="1" applyBorder="1" applyAlignment="1" applyProtection="1">
      <alignment vertical="center"/>
      <protection hidden="1"/>
    </xf>
    <xf numFmtId="0" fontId="0" fillId="5" borderId="49" xfId="0" applyFill="1" applyBorder="1" applyProtection="1">
      <protection hidden="1"/>
    </xf>
    <xf numFmtId="0" fontId="4" fillId="5" borderId="13" xfId="0" applyFont="1" applyFill="1" applyBorder="1" applyAlignment="1" applyProtection="1">
      <alignment vertical="center"/>
      <protection hidden="1"/>
    </xf>
    <xf numFmtId="0" fontId="0" fillId="5" borderId="53" xfId="0" applyFill="1" applyBorder="1" applyProtection="1">
      <protection hidden="1"/>
    </xf>
    <xf numFmtId="0" fontId="17" fillId="4" borderId="17" xfId="0" applyFont="1" applyFill="1" applyBorder="1" applyAlignment="1" applyProtection="1">
      <alignment vertical="center"/>
      <protection hidden="1"/>
    </xf>
    <xf numFmtId="0" fontId="17" fillId="4" borderId="18" xfId="0" applyFont="1" applyFill="1" applyBorder="1" applyAlignment="1" applyProtection="1">
      <alignment vertical="center"/>
      <protection hidden="1"/>
    </xf>
    <xf numFmtId="0" fontId="17" fillId="4" borderId="20" xfId="0" applyFont="1" applyFill="1" applyBorder="1" applyAlignment="1" applyProtection="1">
      <alignment vertical="center"/>
      <protection hidden="1"/>
    </xf>
    <xf numFmtId="0" fontId="17" fillId="4" borderId="22" xfId="0" applyFont="1" applyFill="1" applyBorder="1" applyAlignment="1" applyProtection="1">
      <alignment vertical="center"/>
      <protection hidden="1"/>
    </xf>
    <xf numFmtId="0" fontId="17" fillId="4" borderId="23" xfId="0" applyFont="1" applyFill="1" applyBorder="1" applyAlignment="1" applyProtection="1">
      <alignment vertical="center"/>
      <protection hidden="1"/>
    </xf>
    <xf numFmtId="0" fontId="3" fillId="4" borderId="18" xfId="0" applyFont="1" applyFill="1" applyBorder="1" applyAlignment="1" applyProtection="1">
      <alignment vertical="center"/>
      <protection hidden="1"/>
    </xf>
    <xf numFmtId="0" fontId="0" fillId="0" borderId="0" xfId="0" applyFill="1" applyBorder="1" applyProtection="1">
      <protection hidden="1"/>
    </xf>
    <xf numFmtId="0" fontId="0" fillId="4" borderId="0" xfId="0" applyFill="1" applyBorder="1" applyAlignment="1" applyProtection="1">
      <alignment vertical="center"/>
      <protection hidden="1"/>
    </xf>
    <xf numFmtId="0" fontId="0" fillId="0" borderId="13" xfId="0" applyFill="1" applyBorder="1" applyProtection="1">
      <protection hidden="1"/>
    </xf>
    <xf numFmtId="0" fontId="26" fillId="0" borderId="0" xfId="0" applyFont="1" applyFill="1" applyAlignment="1" applyProtection="1">
      <alignment horizontal="left" vertical="center"/>
      <protection hidden="1"/>
    </xf>
    <xf numFmtId="0" fontId="17" fillId="0" borderId="0" xfId="0" applyFont="1" applyFill="1" applyAlignment="1" applyProtection="1">
      <alignment horizontal="left" vertical="center"/>
      <protection hidden="1"/>
    </xf>
    <xf numFmtId="0" fontId="42" fillId="5" borderId="0" xfId="0" applyFont="1" applyFill="1" applyBorder="1" applyAlignment="1" applyProtection="1">
      <alignment vertical="center"/>
      <protection hidden="1"/>
    </xf>
    <xf numFmtId="0" fontId="9" fillId="5" borderId="0" xfId="0" applyFont="1" applyFill="1" applyBorder="1" applyAlignment="1" applyProtection="1">
      <alignment horizontal="left" vertical="center"/>
      <protection hidden="1"/>
    </xf>
    <xf numFmtId="0" fontId="23" fillId="5" borderId="0" xfId="0" applyFont="1" applyFill="1" applyBorder="1" applyAlignment="1" applyProtection="1">
      <alignment horizontal="left" vertical="center"/>
      <protection hidden="1"/>
    </xf>
    <xf numFmtId="0" fontId="24" fillId="5" borderId="0" xfId="0" applyFont="1" applyFill="1" applyBorder="1" applyAlignment="1" applyProtection="1">
      <alignment vertical="center"/>
      <protection hidden="1"/>
    </xf>
    <xf numFmtId="0" fontId="43" fillId="5" borderId="0" xfId="0" applyFont="1" applyFill="1" applyBorder="1" applyAlignment="1" applyProtection="1">
      <alignment horizontal="left" vertical="center"/>
      <protection hidden="1"/>
    </xf>
    <xf numFmtId="2" fontId="41" fillId="5" borderId="0" xfId="0" applyNumberFormat="1" applyFont="1" applyFill="1" applyBorder="1" applyAlignment="1" applyProtection="1">
      <alignment vertical="center"/>
      <protection hidden="1"/>
    </xf>
    <xf numFmtId="0" fontId="41" fillId="5" borderId="0" xfId="0" applyFont="1" applyFill="1" applyBorder="1" applyAlignment="1" applyProtection="1">
      <alignment vertical="center"/>
      <protection hidden="1"/>
    </xf>
    <xf numFmtId="187" fontId="41" fillId="5" borderId="0" xfId="0" applyNumberFormat="1" applyFont="1" applyFill="1" applyBorder="1" applyAlignment="1" applyProtection="1">
      <alignment vertical="center"/>
      <protection hidden="1"/>
    </xf>
    <xf numFmtId="0" fontId="20" fillId="4" borderId="21" xfId="0" applyFont="1" applyFill="1" applyBorder="1" applyAlignment="1" applyProtection="1">
      <alignment vertical="center"/>
      <protection hidden="1"/>
    </xf>
    <xf numFmtId="0" fontId="40" fillId="0" borderId="0" xfId="0" applyFont="1" applyAlignment="1" applyProtection="1">
      <alignment horizontal="left" vertical="center"/>
      <protection hidden="1"/>
    </xf>
    <xf numFmtId="0" fontId="34" fillId="0" borderId="0" xfId="0" applyFont="1" applyFill="1" applyBorder="1" applyAlignment="1" applyProtection="1">
      <alignment vertical="center"/>
      <protection hidden="1"/>
    </xf>
    <xf numFmtId="0" fontId="12" fillId="5" borderId="5" xfId="0" applyFont="1" applyFill="1" applyBorder="1" applyAlignment="1" applyProtection="1">
      <alignment horizontal="left" vertical="center"/>
      <protection hidden="1"/>
    </xf>
    <xf numFmtId="0" fontId="10" fillId="5" borderId="5" xfId="0" applyFont="1" applyFill="1" applyBorder="1" applyAlignment="1" applyProtection="1">
      <alignment vertical="center"/>
      <protection hidden="1"/>
    </xf>
    <xf numFmtId="0" fontId="10" fillId="5" borderId="5" xfId="0" applyFont="1" applyFill="1" applyBorder="1" applyProtection="1">
      <protection hidden="1"/>
    </xf>
    <xf numFmtId="0" fontId="12" fillId="5" borderId="7" xfId="0" applyFont="1" applyFill="1" applyBorder="1" applyAlignment="1" applyProtection="1">
      <alignment horizontal="left" vertical="center"/>
      <protection hidden="1"/>
    </xf>
    <xf numFmtId="0" fontId="10" fillId="5" borderId="7" xfId="0" applyFont="1" applyFill="1" applyBorder="1" applyAlignment="1" applyProtection="1">
      <alignment vertical="center"/>
      <protection hidden="1"/>
    </xf>
    <xf numFmtId="0" fontId="10" fillId="5" borderId="7" xfId="0" applyFont="1" applyFill="1" applyBorder="1" applyProtection="1">
      <protection hidden="1"/>
    </xf>
    <xf numFmtId="0" fontId="10" fillId="5" borderId="57" xfId="0" applyFont="1" applyFill="1" applyBorder="1" applyAlignment="1" applyProtection="1">
      <alignment vertical="center"/>
      <protection hidden="1"/>
    </xf>
    <xf numFmtId="0" fontId="10" fillId="5" borderId="57" xfId="0" applyFont="1" applyFill="1" applyBorder="1" applyProtection="1">
      <protection hidden="1"/>
    </xf>
    <xf numFmtId="0" fontId="12" fillId="5" borderId="57" xfId="0" applyFont="1" applyFill="1" applyBorder="1" applyAlignment="1" applyProtection="1">
      <alignment horizontal="left" vertical="center"/>
      <protection hidden="1"/>
    </xf>
    <xf numFmtId="0" fontId="10" fillId="6" borderId="57" xfId="0" applyFont="1" applyFill="1" applyBorder="1" applyAlignment="1" applyProtection="1">
      <alignment vertical="center"/>
      <protection hidden="1"/>
    </xf>
    <xf numFmtId="0" fontId="10" fillId="6" borderId="59" xfId="0" applyFont="1" applyFill="1" applyBorder="1" applyAlignment="1" applyProtection="1">
      <alignment vertical="center"/>
      <protection hidden="1"/>
    </xf>
    <xf numFmtId="0" fontId="15" fillId="6" borderId="62" xfId="0" applyFont="1" applyFill="1" applyBorder="1" applyAlignment="1" applyProtection="1">
      <alignment horizontal="left" vertical="center"/>
      <protection hidden="1"/>
    </xf>
    <xf numFmtId="0" fontId="10" fillId="6" borderId="57" xfId="0" applyFont="1" applyFill="1" applyBorder="1" applyProtection="1">
      <protection hidden="1"/>
    </xf>
    <xf numFmtId="0" fontId="10" fillId="6" borderId="5" xfId="0" applyFont="1" applyFill="1" applyBorder="1" applyAlignment="1" applyProtection="1">
      <alignment vertical="center"/>
      <protection hidden="1"/>
    </xf>
    <xf numFmtId="0" fontId="10" fillId="6" borderId="58" xfId="0" applyFont="1" applyFill="1" applyBorder="1" applyAlignment="1" applyProtection="1">
      <alignment vertical="center"/>
      <protection hidden="1"/>
    </xf>
    <xf numFmtId="0" fontId="5" fillId="6" borderId="61" xfId="0" applyFont="1" applyFill="1" applyBorder="1" applyAlignment="1" applyProtection="1">
      <alignment vertical="center"/>
      <protection hidden="1"/>
    </xf>
    <xf numFmtId="0" fontId="10" fillId="6" borderId="5" xfId="0" applyFont="1" applyFill="1" applyBorder="1" applyProtection="1">
      <protection hidden="1"/>
    </xf>
    <xf numFmtId="0" fontId="10" fillId="6" borderId="7" xfId="0" applyFont="1" applyFill="1" applyBorder="1" applyAlignment="1" applyProtection="1">
      <alignment vertical="center"/>
      <protection hidden="1"/>
    </xf>
    <xf numFmtId="0" fontId="10" fillId="6" borderId="60" xfId="0" applyFont="1" applyFill="1" applyBorder="1" applyAlignment="1" applyProtection="1">
      <alignment vertical="center"/>
      <protection hidden="1"/>
    </xf>
    <xf numFmtId="0" fontId="15" fillId="6" borderId="63" xfId="0" applyFont="1" applyFill="1" applyBorder="1" applyAlignment="1" applyProtection="1">
      <alignment horizontal="left" vertical="center"/>
      <protection hidden="1"/>
    </xf>
    <xf numFmtId="0" fontId="10" fillId="6" borderId="7" xfId="0" applyFont="1" applyFill="1" applyBorder="1" applyProtection="1">
      <protection hidden="1"/>
    </xf>
    <xf numFmtId="0" fontId="0" fillId="6" borderId="0" xfId="0" applyFill="1" applyBorder="1" applyProtection="1">
      <protection hidden="1"/>
    </xf>
    <xf numFmtId="188" fontId="11" fillId="0" borderId="0" xfId="0" applyNumberFormat="1" applyFont="1" applyFill="1" applyBorder="1" applyAlignment="1" applyProtection="1">
      <alignment vertical="center"/>
      <protection hidden="1"/>
    </xf>
    <xf numFmtId="2" fontId="11" fillId="0" borderId="0" xfId="0" applyNumberFormat="1" applyFont="1" applyFill="1" applyBorder="1" applyAlignment="1" applyProtection="1">
      <alignment vertical="center"/>
      <protection hidden="1"/>
    </xf>
    <xf numFmtId="2" fontId="42" fillId="5" borderId="0" xfId="0" applyNumberFormat="1" applyFont="1" applyFill="1" applyBorder="1" applyAlignment="1" applyProtection="1">
      <alignment vertical="center"/>
      <protection hidden="1"/>
    </xf>
    <xf numFmtId="189" fontId="41" fillId="5" borderId="0" xfId="0" applyNumberFormat="1" applyFont="1" applyFill="1" applyBorder="1" applyAlignment="1" applyProtection="1">
      <alignment vertical="center"/>
      <protection hidden="1"/>
    </xf>
    <xf numFmtId="2" fontId="17" fillId="5" borderId="0" xfId="0" applyNumberFormat="1" applyFont="1" applyFill="1" applyBorder="1" applyAlignment="1" applyProtection="1">
      <alignment vertical="center"/>
      <protection hidden="1"/>
    </xf>
    <xf numFmtId="2" fontId="12" fillId="5" borderId="0" xfId="0" applyNumberFormat="1" applyFont="1" applyFill="1" applyBorder="1" applyAlignment="1" applyProtection="1">
      <alignment vertical="center"/>
      <protection hidden="1"/>
    </xf>
    <xf numFmtId="189" fontId="17" fillId="5" borderId="0" xfId="0" applyNumberFormat="1" applyFont="1" applyFill="1" applyBorder="1" applyAlignment="1" applyProtection="1">
      <alignment vertical="center"/>
      <protection hidden="1"/>
    </xf>
    <xf numFmtId="0" fontId="17" fillId="4" borderId="19" xfId="0" applyFont="1" applyFill="1" applyBorder="1" applyAlignment="1" applyProtection="1">
      <alignment vertical="center"/>
      <protection hidden="1"/>
    </xf>
    <xf numFmtId="0" fontId="17" fillId="4" borderId="21" xfId="0" applyFont="1" applyFill="1" applyBorder="1" applyAlignment="1" applyProtection="1">
      <alignment vertical="center"/>
      <protection hidden="1"/>
    </xf>
    <xf numFmtId="0" fontId="17" fillId="4" borderId="24" xfId="0" applyFont="1" applyFill="1" applyBorder="1" applyAlignment="1" applyProtection="1">
      <alignment vertical="center"/>
      <protection hidden="1"/>
    </xf>
    <xf numFmtId="0" fontId="17" fillId="4" borderId="0" xfId="0" applyFont="1" applyFill="1" applyAlignment="1" applyProtection="1">
      <alignment vertical="center"/>
      <protection hidden="1"/>
    </xf>
    <xf numFmtId="2" fontId="34" fillId="0" borderId="0" xfId="0" applyNumberFormat="1" applyFont="1" applyFill="1" applyBorder="1" applyAlignment="1" applyProtection="1">
      <protection hidden="1"/>
    </xf>
    <xf numFmtId="0" fontId="34" fillId="0" borderId="0" xfId="0" applyFont="1" applyFill="1" applyBorder="1" applyProtection="1">
      <protection hidden="1"/>
    </xf>
    <xf numFmtId="0" fontId="36" fillId="0" borderId="0" xfId="0" applyFont="1" applyFill="1" applyBorder="1" applyAlignment="1" applyProtection="1">
      <alignment horizontal="left"/>
      <protection hidden="1"/>
    </xf>
    <xf numFmtId="0" fontId="34" fillId="0" borderId="0" xfId="0" applyFont="1" applyFill="1" applyBorder="1" applyAlignment="1" applyProtection="1">
      <alignment horizontal="left"/>
      <protection hidden="1"/>
    </xf>
    <xf numFmtId="0" fontId="34" fillId="0" borderId="0" xfId="0" applyFont="1" applyFill="1" applyBorder="1" applyAlignment="1" applyProtection="1">
      <protection hidden="1"/>
    </xf>
    <xf numFmtId="2" fontId="34" fillId="0" borderId="0" xfId="0" applyNumberFormat="1" applyFont="1" applyFill="1" applyBorder="1" applyAlignment="1" applyProtection="1">
      <alignment vertical="center"/>
      <protection hidden="1"/>
    </xf>
    <xf numFmtId="189" fontId="34" fillId="0" borderId="0" xfId="0" applyNumberFormat="1" applyFont="1" applyFill="1" applyBorder="1" applyAlignment="1" applyProtection="1">
      <alignment vertical="center"/>
      <protection hidden="1"/>
    </xf>
    <xf numFmtId="1" fontId="34" fillId="0" borderId="0" xfId="0" applyNumberFormat="1" applyFont="1" applyFill="1" applyBorder="1" applyAlignment="1" applyProtection="1">
      <alignment horizontal="left" vertical="center"/>
      <protection hidden="1"/>
    </xf>
    <xf numFmtId="1" fontId="13" fillId="0" borderId="0" xfId="0" applyNumberFormat="1" applyFont="1" applyFill="1" applyBorder="1" applyAlignment="1" applyProtection="1">
      <alignment horizontal="left" vertical="center"/>
      <protection hidden="1"/>
    </xf>
    <xf numFmtId="1" fontId="11" fillId="0" borderId="0" xfId="0" applyNumberFormat="1" applyFont="1" applyFill="1" applyBorder="1" applyAlignment="1" applyProtection="1">
      <alignment horizontal="left" vertical="center"/>
      <protection hidden="1"/>
    </xf>
    <xf numFmtId="0" fontId="41" fillId="4" borderId="32" xfId="0" applyFont="1" applyFill="1" applyBorder="1" applyAlignment="1" applyProtection="1">
      <alignment horizontal="right" vertical="center"/>
      <protection hidden="1"/>
    </xf>
    <xf numFmtId="0" fontId="40" fillId="4" borderId="0" xfId="0" applyFont="1" applyFill="1" applyBorder="1" applyAlignment="1" applyProtection="1">
      <alignment horizontal="left" vertical="center"/>
      <protection hidden="1"/>
    </xf>
    <xf numFmtId="0" fontId="9" fillId="4" borderId="0" xfId="0" applyFont="1" applyFill="1" applyBorder="1" applyAlignment="1" applyProtection="1">
      <alignment vertical="center"/>
      <protection hidden="1"/>
    </xf>
    <xf numFmtId="2" fontId="41" fillId="4" borderId="0" xfId="0" applyNumberFormat="1" applyFont="1" applyFill="1" applyBorder="1" applyAlignment="1" applyProtection="1">
      <alignment vertical="center"/>
      <protection hidden="1"/>
    </xf>
    <xf numFmtId="2" fontId="17" fillId="4" borderId="0" xfId="0" applyNumberFormat="1" applyFont="1" applyFill="1" applyBorder="1" applyAlignment="1" applyProtection="1">
      <alignment vertical="center"/>
      <protection hidden="1"/>
    </xf>
    <xf numFmtId="0" fontId="0" fillId="4" borderId="0" xfId="0" applyFill="1" applyBorder="1" applyAlignment="1" applyProtection="1">
      <protection hidden="1"/>
    </xf>
    <xf numFmtId="0" fontId="0" fillId="4" borderId="0" xfId="0" applyFill="1" applyBorder="1" applyAlignment="1" applyProtection="1">
      <alignment horizontal="left" vertical="center"/>
      <protection hidden="1"/>
    </xf>
    <xf numFmtId="0" fontId="16" fillId="4" borderId="0" xfId="0" applyFont="1" applyFill="1" applyBorder="1" applyAlignment="1" applyProtection="1">
      <alignment vertical="center" textRotation="90"/>
      <protection hidden="1"/>
    </xf>
    <xf numFmtId="0" fontId="0" fillId="0" borderId="0" xfId="0" applyProtection="1">
      <protection hidden="1"/>
    </xf>
    <xf numFmtId="0" fontId="0" fillId="5" borderId="0" xfId="0" applyFill="1" applyBorder="1" applyAlignment="1" applyProtection="1">
      <alignment horizontal="left" vertical="center"/>
      <protection hidden="1"/>
    </xf>
    <xf numFmtId="0" fontId="32" fillId="4" borderId="0" xfId="0" applyFont="1" applyFill="1" applyBorder="1" applyAlignment="1" applyProtection="1">
      <alignment vertical="center"/>
      <protection hidden="1"/>
    </xf>
    <xf numFmtId="0" fontId="0" fillId="5" borderId="0" xfId="0" applyFill="1" applyBorder="1" applyAlignment="1" applyProtection="1">
      <alignment horizontal="left"/>
      <protection hidden="1"/>
    </xf>
    <xf numFmtId="189" fontId="42" fillId="5" borderId="0" xfId="0" applyNumberFormat="1" applyFont="1" applyFill="1" applyBorder="1" applyAlignment="1" applyProtection="1">
      <alignment vertical="center"/>
      <protection hidden="1"/>
    </xf>
    <xf numFmtId="0" fontId="0" fillId="4" borderId="20" xfId="0" applyFill="1" applyBorder="1" applyAlignment="1" applyProtection="1">
      <alignment vertical="center"/>
      <protection hidden="1"/>
    </xf>
    <xf numFmtId="0" fontId="54" fillId="4" borderId="0" xfId="0" applyFont="1" applyFill="1" applyProtection="1">
      <protection hidden="1"/>
    </xf>
    <xf numFmtId="0" fontId="40" fillId="4" borderId="0" xfId="0" applyFont="1" applyFill="1" applyBorder="1" applyAlignment="1" applyProtection="1">
      <alignment horizontal="right" vertical="center"/>
      <protection hidden="1"/>
    </xf>
    <xf numFmtId="0" fontId="0" fillId="5" borderId="0" xfId="0" applyFill="1" applyBorder="1" applyAlignment="1" applyProtection="1">
      <protection hidden="1"/>
    </xf>
    <xf numFmtId="0" fontId="0" fillId="4" borderId="0" xfId="0" applyFill="1" applyBorder="1" applyProtection="1">
      <protection hidden="1"/>
    </xf>
    <xf numFmtId="0" fontId="49" fillId="4" borderId="0" xfId="0" applyFont="1" applyFill="1" applyBorder="1" applyAlignment="1" applyProtection="1">
      <alignment vertical="center"/>
      <protection hidden="1"/>
    </xf>
    <xf numFmtId="0" fontId="48" fillId="4" borderId="0" xfId="0" applyFont="1" applyFill="1" applyBorder="1" applyAlignment="1" applyProtection="1">
      <alignment horizontal="left" vertical="center"/>
      <protection hidden="1"/>
    </xf>
    <xf numFmtId="0" fontId="42" fillId="4" borderId="0" xfId="0" applyFont="1" applyFill="1" applyBorder="1" applyAlignment="1" applyProtection="1">
      <alignment horizontal="left" vertical="center"/>
      <protection hidden="1"/>
    </xf>
    <xf numFmtId="0" fontId="38" fillId="4" borderId="0" xfId="0" applyFont="1" applyFill="1" applyBorder="1" applyAlignment="1" applyProtection="1">
      <alignment vertical="center"/>
      <protection hidden="1"/>
    </xf>
    <xf numFmtId="0" fontId="11" fillId="4" borderId="0" xfId="0" applyFont="1" applyFill="1" applyBorder="1" applyAlignment="1" applyProtection="1">
      <alignment horizontal="left" vertical="center"/>
      <protection hidden="1"/>
    </xf>
    <xf numFmtId="0" fontId="9" fillId="4" borderId="0" xfId="0" applyFont="1" applyFill="1" applyBorder="1" applyAlignment="1" applyProtection="1">
      <alignment horizontal="left" vertical="center"/>
      <protection hidden="1"/>
    </xf>
    <xf numFmtId="2" fontId="9" fillId="4" borderId="0" xfId="0" applyNumberFormat="1" applyFont="1" applyFill="1" applyBorder="1" applyAlignment="1" applyProtection="1">
      <alignment vertical="center"/>
      <protection hidden="1"/>
    </xf>
    <xf numFmtId="0" fontId="8" fillId="4" borderId="0" xfId="0" applyFont="1" applyFill="1" applyBorder="1" applyAlignment="1" applyProtection="1">
      <alignment horizontal="left" vertical="center"/>
      <protection hidden="1"/>
    </xf>
    <xf numFmtId="0" fontId="11" fillId="4" borderId="0" xfId="0" applyFont="1" applyFill="1" applyBorder="1" applyAlignment="1" applyProtection="1">
      <alignment vertical="center"/>
      <protection hidden="1"/>
    </xf>
    <xf numFmtId="0" fontId="21" fillId="4" borderId="0" xfId="0" applyFont="1" applyFill="1" applyBorder="1" applyAlignment="1" applyProtection="1">
      <alignment horizontal="left" vertical="center"/>
      <protection hidden="1"/>
    </xf>
    <xf numFmtId="2" fontId="11" fillId="4" borderId="0" xfId="0" applyNumberFormat="1" applyFont="1" applyFill="1" applyBorder="1" applyAlignment="1" applyProtection="1">
      <alignment vertical="center"/>
      <protection hidden="1"/>
    </xf>
    <xf numFmtId="0" fontId="42" fillId="0" borderId="0" xfId="0" applyFont="1" applyFill="1" applyBorder="1" applyAlignment="1" applyProtection="1">
      <alignment vertical="center"/>
      <protection hidden="1"/>
    </xf>
    <xf numFmtId="0" fontId="41" fillId="0" borderId="0" xfId="0" applyFont="1" applyFill="1" applyBorder="1" applyAlignment="1" applyProtection="1">
      <alignment vertical="center"/>
      <protection hidden="1"/>
    </xf>
    <xf numFmtId="0" fontId="49" fillId="5" borderId="0" xfId="0" applyFont="1" applyFill="1" applyBorder="1" applyAlignment="1" applyProtection="1">
      <alignment vertical="center"/>
      <protection hidden="1"/>
    </xf>
    <xf numFmtId="2" fontId="12" fillId="4" borderId="0" xfId="0" applyNumberFormat="1" applyFont="1" applyFill="1" applyBorder="1" applyAlignment="1" applyProtection="1">
      <alignment vertical="center"/>
      <protection hidden="1"/>
    </xf>
    <xf numFmtId="0" fontId="40" fillId="5" borderId="0" xfId="0" applyFont="1" applyFill="1" applyBorder="1" applyAlignment="1" applyProtection="1">
      <alignment vertical="center"/>
      <protection hidden="1"/>
    </xf>
    <xf numFmtId="0" fontId="5" fillId="6" borderId="62" xfId="0" applyFont="1" applyFill="1" applyBorder="1" applyAlignment="1" applyProtection="1">
      <alignment vertical="center"/>
      <protection hidden="1"/>
    </xf>
    <xf numFmtId="0" fontId="5" fillId="6" borderId="63" xfId="0" applyFont="1" applyFill="1" applyBorder="1" applyAlignment="1" applyProtection="1">
      <alignment horizontal="left" vertical="center"/>
      <protection hidden="1"/>
    </xf>
    <xf numFmtId="0" fontId="10" fillId="5" borderId="58" xfId="0" applyFont="1" applyFill="1" applyBorder="1" applyProtection="1">
      <protection hidden="1"/>
    </xf>
    <xf numFmtId="0" fontId="10" fillId="5" borderId="59" xfId="0" applyFont="1" applyFill="1" applyBorder="1" applyProtection="1">
      <protection hidden="1"/>
    </xf>
    <xf numFmtId="0" fontId="10" fillId="5" borderId="60" xfId="0" applyFont="1" applyFill="1" applyBorder="1" applyProtection="1">
      <protection hidden="1"/>
    </xf>
    <xf numFmtId="0" fontId="56" fillId="5" borderId="0" xfId="0" applyFont="1" applyFill="1" applyAlignment="1" applyProtection="1">
      <alignment horizontal="left" vertical="center"/>
      <protection hidden="1"/>
    </xf>
    <xf numFmtId="0" fontId="50" fillId="4" borderId="0" xfId="0" applyFont="1" applyFill="1" applyBorder="1" applyAlignment="1" applyProtection="1">
      <alignment vertical="center"/>
      <protection hidden="1"/>
    </xf>
    <xf numFmtId="0" fontId="47" fillId="4" borderId="0" xfId="0" applyFont="1" applyFill="1" applyBorder="1" applyAlignment="1" applyProtection="1">
      <alignment vertical="center"/>
      <protection hidden="1"/>
    </xf>
    <xf numFmtId="0" fontId="42" fillId="4" borderId="0" xfId="0" applyFont="1" applyFill="1" applyBorder="1" applyAlignment="1" applyProtection="1">
      <alignment vertical="center"/>
      <protection hidden="1"/>
    </xf>
    <xf numFmtId="187" fontId="41" fillId="4" borderId="0" xfId="0" applyNumberFormat="1" applyFont="1" applyFill="1" applyBorder="1" applyAlignment="1" applyProtection="1">
      <alignment vertical="center"/>
      <protection hidden="1"/>
    </xf>
    <xf numFmtId="0" fontId="40" fillId="6" borderId="0" xfId="0" applyFont="1" applyFill="1" applyBorder="1" applyAlignment="1" applyProtection="1">
      <alignment horizontal="left" vertical="center"/>
      <protection hidden="1"/>
    </xf>
    <xf numFmtId="0" fontId="40" fillId="0" borderId="0" xfId="0" applyFont="1" applyFill="1" applyBorder="1" applyAlignment="1" applyProtection="1">
      <alignment horizontal="left" vertical="center"/>
      <protection hidden="1"/>
    </xf>
    <xf numFmtId="0" fontId="17" fillId="6" borderId="0" xfId="0" applyFont="1" applyFill="1" applyBorder="1" applyAlignment="1" applyProtection="1">
      <alignment horizontal="left" vertical="center"/>
      <protection hidden="1"/>
    </xf>
    <xf numFmtId="0" fontId="41" fillId="4" borderId="0" xfId="0" applyFont="1" applyFill="1" applyBorder="1" applyAlignment="1" applyProtection="1">
      <alignment vertical="center"/>
      <protection hidden="1"/>
    </xf>
    <xf numFmtId="2" fontId="42" fillId="4" borderId="0" xfId="0" applyNumberFormat="1" applyFont="1" applyFill="1" applyBorder="1" applyAlignment="1" applyProtection="1">
      <alignment vertical="center"/>
      <protection hidden="1"/>
    </xf>
    <xf numFmtId="0" fontId="42" fillId="4" borderId="0" xfId="0" applyNumberFormat="1" applyFont="1" applyFill="1" applyBorder="1" applyAlignment="1" applyProtection="1">
      <alignment vertical="center"/>
      <protection hidden="1"/>
    </xf>
    <xf numFmtId="0" fontId="25" fillId="5" borderId="0" xfId="0" applyFont="1" applyFill="1" applyBorder="1" applyAlignment="1" applyProtection="1">
      <alignment vertical="center"/>
      <protection hidden="1"/>
    </xf>
    <xf numFmtId="0" fontId="48" fillId="4" borderId="0" xfId="0" applyFont="1" applyFill="1" applyBorder="1" applyAlignment="1" applyProtection="1">
      <alignment vertical="center"/>
      <protection hidden="1"/>
    </xf>
    <xf numFmtId="0" fontId="41" fillId="4" borderId="0" xfId="0" applyNumberFormat="1" applyFont="1" applyFill="1" applyBorder="1" applyAlignment="1" applyProtection="1">
      <alignment vertical="center"/>
      <protection hidden="1"/>
    </xf>
    <xf numFmtId="0" fontId="40" fillId="4" borderId="0" xfId="0" applyFont="1" applyFill="1" applyBorder="1" applyAlignment="1" applyProtection="1">
      <alignment vertical="center"/>
      <protection hidden="1"/>
    </xf>
    <xf numFmtId="0" fontId="23" fillId="4" borderId="0" xfId="0" applyFont="1" applyFill="1" applyBorder="1" applyAlignment="1" applyProtection="1">
      <alignment horizontal="left" vertical="center"/>
      <protection hidden="1"/>
    </xf>
    <xf numFmtId="0" fontId="51" fillId="4" borderId="0" xfId="0" applyFont="1" applyFill="1" applyBorder="1" applyAlignment="1" applyProtection="1">
      <alignment horizontal="left" vertical="center"/>
      <protection hidden="1"/>
    </xf>
    <xf numFmtId="0" fontId="0" fillId="5" borderId="0" xfId="0" applyFill="1" applyProtection="1">
      <protection hidden="1"/>
    </xf>
    <xf numFmtId="0" fontId="0" fillId="6" borderId="0" xfId="0" applyFill="1" applyBorder="1" applyAlignment="1" applyProtection="1">
      <protection hidden="1"/>
    </xf>
    <xf numFmtId="0" fontId="0" fillId="6" borderId="0" xfId="0" applyFill="1" applyProtection="1">
      <protection hidden="1"/>
    </xf>
    <xf numFmtId="0" fontId="23" fillId="5" borderId="0" xfId="0" applyFont="1" applyFill="1" applyAlignment="1" applyProtection="1">
      <alignment horizontal="left" vertical="center"/>
      <protection hidden="1"/>
    </xf>
    <xf numFmtId="0" fontId="21" fillId="5" borderId="0" xfId="0" applyFont="1" applyFill="1" applyAlignment="1" applyProtection="1">
      <alignment horizontal="left" vertical="center"/>
      <protection hidden="1"/>
    </xf>
    <xf numFmtId="0" fontId="41" fillId="5" borderId="0" xfId="0" applyFont="1" applyFill="1" applyAlignment="1" applyProtection="1">
      <alignment horizontal="left"/>
      <protection hidden="1"/>
    </xf>
    <xf numFmtId="0" fontId="42" fillId="5" borderId="0" xfId="0" applyFont="1" applyFill="1" applyBorder="1" applyProtection="1">
      <protection hidden="1"/>
    </xf>
    <xf numFmtId="0" fontId="17" fillId="6" borderId="0" xfId="0" applyFont="1" applyFill="1" applyAlignment="1" applyProtection="1">
      <alignment horizontal="left" vertical="center"/>
      <protection hidden="1"/>
    </xf>
    <xf numFmtId="0" fontId="17" fillId="5" borderId="0" xfId="0" applyFont="1" applyFill="1" applyProtection="1">
      <protection hidden="1"/>
    </xf>
    <xf numFmtId="0" fontId="17" fillId="8" borderId="2" xfId="0" applyFont="1" applyFill="1" applyBorder="1" applyAlignment="1" applyProtection="1">
      <alignment vertical="center"/>
      <protection hidden="1"/>
    </xf>
    <xf numFmtId="0" fontId="41" fillId="4" borderId="0" xfId="0" applyFont="1" applyFill="1" applyBorder="1" applyAlignment="1" applyProtection="1">
      <alignment horizontal="left" vertical="center"/>
      <protection hidden="1"/>
    </xf>
    <xf numFmtId="0" fontId="42" fillId="0" borderId="0" xfId="0" applyNumberFormat="1" applyFont="1" applyFill="1" applyBorder="1" applyAlignment="1" applyProtection="1">
      <alignment vertical="center"/>
      <protection hidden="1"/>
    </xf>
    <xf numFmtId="0" fontId="41" fillId="0" borderId="0" xfId="0" applyFont="1" applyFill="1" applyAlignment="1" applyProtection="1">
      <alignment horizontal="left" vertical="center"/>
      <protection hidden="1"/>
    </xf>
    <xf numFmtId="0" fontId="31" fillId="4" borderId="0" xfId="0" applyFont="1" applyFill="1" applyBorder="1" applyAlignment="1" applyProtection="1">
      <alignment vertical="center"/>
      <protection hidden="1"/>
    </xf>
    <xf numFmtId="2" fontId="41" fillId="4" borderId="0" xfId="0" applyNumberFormat="1" applyFont="1" applyFill="1" applyBorder="1" applyAlignment="1" applyProtection="1">
      <alignment horizontal="left" vertical="center"/>
      <protection hidden="1"/>
    </xf>
    <xf numFmtId="2" fontId="42" fillId="4" borderId="0" xfId="0" applyNumberFormat="1" applyFont="1" applyFill="1" applyBorder="1" applyAlignment="1" applyProtection="1">
      <alignment horizontal="left" vertical="center"/>
      <protection hidden="1"/>
    </xf>
    <xf numFmtId="0" fontId="28" fillId="4" borderId="0" xfId="0" applyFont="1" applyFill="1" applyBorder="1" applyAlignment="1" applyProtection="1">
      <alignment horizontal="left" vertical="center"/>
      <protection hidden="1"/>
    </xf>
    <xf numFmtId="0" fontId="32" fillId="4" borderId="0" xfId="0" applyFont="1" applyFill="1" applyBorder="1" applyAlignment="1" applyProtection="1">
      <alignment horizontal="left" vertical="center"/>
      <protection hidden="1"/>
    </xf>
    <xf numFmtId="188" fontId="41" fillId="4" borderId="0" xfId="0" applyNumberFormat="1" applyFont="1" applyFill="1" applyBorder="1" applyAlignment="1" applyProtection="1">
      <alignment vertical="center"/>
      <protection hidden="1"/>
    </xf>
    <xf numFmtId="2" fontId="57" fillId="5" borderId="0" xfId="0" applyNumberFormat="1" applyFont="1" applyFill="1" applyBorder="1" applyAlignment="1" applyProtection="1">
      <alignment horizontal="left" vertical="center"/>
      <protection hidden="1"/>
    </xf>
    <xf numFmtId="189" fontId="40" fillId="5" borderId="0" xfId="0" applyNumberFormat="1" applyFont="1" applyFill="1" applyAlignment="1" applyProtection="1">
      <alignment vertical="center"/>
      <protection hidden="1"/>
    </xf>
    <xf numFmtId="0" fontId="17" fillId="5" borderId="0" xfId="0" applyFont="1" applyFill="1" applyBorder="1" applyAlignment="1" applyProtection="1">
      <alignment horizontal="center" vertical="center"/>
      <protection hidden="1"/>
    </xf>
    <xf numFmtId="0" fontId="41" fillId="5" borderId="0" xfId="0" applyFont="1" applyFill="1" applyAlignment="1" applyProtection="1">
      <alignment vertical="center"/>
      <protection hidden="1"/>
    </xf>
    <xf numFmtId="2" fontId="41" fillId="5" borderId="0" xfId="0" applyNumberFormat="1" applyFont="1" applyFill="1" applyAlignment="1" applyProtection="1">
      <alignment vertical="center"/>
      <protection hidden="1"/>
    </xf>
    <xf numFmtId="187" fontId="41" fillId="5" borderId="0" xfId="0" applyNumberFormat="1" applyFont="1" applyFill="1" applyAlignment="1" applyProtection="1">
      <alignment vertical="center"/>
      <protection hidden="1"/>
    </xf>
    <xf numFmtId="2" fontId="40" fillId="5" borderId="0" xfId="0" applyNumberFormat="1" applyFont="1" applyFill="1" applyBorder="1" applyAlignment="1" applyProtection="1">
      <alignment vertical="center"/>
      <protection hidden="1"/>
    </xf>
    <xf numFmtId="0" fontId="41" fillId="5" borderId="0" xfId="0" applyNumberFormat="1" applyFont="1" applyFill="1" applyBorder="1" applyAlignment="1" applyProtection="1">
      <alignment vertical="center"/>
      <protection hidden="1"/>
    </xf>
    <xf numFmtId="0" fontId="42" fillId="4" borderId="21" xfId="0" applyFont="1" applyFill="1" applyBorder="1" applyAlignment="1" applyProtection="1">
      <alignment vertical="center"/>
      <protection hidden="1"/>
    </xf>
    <xf numFmtId="0" fontId="41" fillId="4" borderId="21" xfId="0" applyFont="1" applyFill="1" applyBorder="1" applyAlignment="1" applyProtection="1">
      <alignment vertical="center"/>
      <protection hidden="1"/>
    </xf>
    <xf numFmtId="0" fontId="44" fillId="4" borderId="0" xfId="0" applyFont="1" applyFill="1" applyBorder="1" applyProtection="1">
      <protection hidden="1"/>
    </xf>
    <xf numFmtId="0" fontId="41" fillId="4" borderId="0" xfId="0" applyFont="1" applyFill="1" applyBorder="1" applyAlignment="1" applyProtection="1">
      <alignment horizontal="right" vertical="center"/>
      <protection hidden="1"/>
    </xf>
    <xf numFmtId="0" fontId="44" fillId="4" borderId="18" xfId="0" applyFont="1" applyFill="1" applyBorder="1" applyProtection="1">
      <protection hidden="1"/>
    </xf>
    <xf numFmtId="0" fontId="44" fillId="4" borderId="20" xfId="0" applyFont="1" applyFill="1" applyBorder="1" applyProtection="1">
      <protection hidden="1"/>
    </xf>
    <xf numFmtId="0" fontId="44" fillId="4" borderId="21" xfId="0" applyFont="1" applyFill="1" applyBorder="1" applyProtection="1">
      <protection hidden="1"/>
    </xf>
    <xf numFmtId="0" fontId="44" fillId="4" borderId="22" xfId="0" applyFont="1" applyFill="1" applyBorder="1" applyProtection="1">
      <protection hidden="1"/>
    </xf>
    <xf numFmtId="0" fontId="44" fillId="4" borderId="23" xfId="0" applyFont="1" applyFill="1" applyBorder="1" applyProtection="1">
      <protection hidden="1"/>
    </xf>
    <xf numFmtId="0" fontId="44" fillId="4" borderId="24" xfId="0" applyFont="1" applyFill="1" applyBorder="1" applyProtection="1">
      <protection hidden="1"/>
    </xf>
    <xf numFmtId="0" fontId="44" fillId="4" borderId="18" xfId="0" applyFont="1" applyFill="1" applyBorder="1" applyAlignment="1" applyProtection="1">
      <protection hidden="1"/>
    </xf>
    <xf numFmtId="0" fontId="44" fillId="4" borderId="19" xfId="0" applyFont="1" applyFill="1" applyBorder="1" applyProtection="1">
      <protection hidden="1"/>
    </xf>
    <xf numFmtId="0" fontId="41" fillId="4" borderId="23" xfId="0" applyFont="1" applyFill="1" applyBorder="1" applyAlignment="1" applyProtection="1">
      <alignment horizontal="left" vertical="center"/>
      <protection hidden="1"/>
    </xf>
    <xf numFmtId="0" fontId="17" fillId="5" borderId="0" xfId="0" applyNumberFormat="1" applyFont="1" applyFill="1" applyBorder="1" applyAlignment="1" applyProtection="1">
      <alignment vertical="center"/>
      <protection hidden="1"/>
    </xf>
    <xf numFmtId="0" fontId="63" fillId="5" borderId="0" xfId="0" applyFont="1" applyFill="1" applyAlignment="1" applyProtection="1">
      <alignment horizontal="left" vertical="center"/>
      <protection hidden="1"/>
    </xf>
    <xf numFmtId="187" fontId="8" fillId="0" borderId="0" xfId="0" applyNumberFormat="1" applyFont="1" applyFill="1" applyBorder="1" applyAlignment="1" applyProtection="1">
      <alignment vertical="center"/>
      <protection hidden="1"/>
    </xf>
    <xf numFmtId="0" fontId="48" fillId="4" borderId="0" xfId="0" applyFont="1" applyFill="1" applyBorder="1" applyAlignment="1" applyProtection="1">
      <alignment horizontal="right" vertical="center"/>
      <protection hidden="1"/>
    </xf>
    <xf numFmtId="0" fontId="44" fillId="4" borderId="23" xfId="0" applyFont="1" applyFill="1" applyBorder="1" applyAlignment="1" applyProtection="1">
      <alignment horizontal="left"/>
      <protection hidden="1"/>
    </xf>
    <xf numFmtId="0" fontId="8" fillId="5" borderId="0" xfId="0" applyFont="1" applyFill="1" applyBorder="1" applyAlignment="1" applyProtection="1">
      <alignment horizontal="left" vertical="center"/>
      <protection hidden="1"/>
    </xf>
    <xf numFmtId="0" fontId="17" fillId="4" borderId="0" xfId="0" applyFont="1" applyFill="1" applyAlignment="1" applyProtection="1">
      <alignment horizontal="left" vertical="center"/>
      <protection hidden="1"/>
    </xf>
    <xf numFmtId="0" fontId="40" fillId="4" borderId="0" xfId="0" applyFont="1" applyFill="1" applyAlignment="1" applyProtection="1">
      <alignment horizontal="left" vertical="center"/>
      <protection hidden="1"/>
    </xf>
    <xf numFmtId="0" fontId="41" fillId="4" borderId="0" xfId="0" applyFont="1" applyFill="1" applyBorder="1" applyAlignment="1" applyProtection="1">
      <alignment horizontal="left"/>
      <protection hidden="1"/>
    </xf>
    <xf numFmtId="0" fontId="21" fillId="4" borderId="0" xfId="0" applyFont="1" applyFill="1" applyAlignment="1" applyProtection="1">
      <alignment horizontal="left" vertical="center"/>
      <protection hidden="1"/>
    </xf>
    <xf numFmtId="0" fontId="41" fillId="4" borderId="0" xfId="0" applyFont="1" applyFill="1" applyAlignment="1" applyProtection="1">
      <alignment horizontal="left"/>
      <protection hidden="1"/>
    </xf>
    <xf numFmtId="0" fontId="42" fillId="4" borderId="0" xfId="0" applyFont="1" applyFill="1" applyBorder="1" applyProtection="1">
      <protection hidden="1"/>
    </xf>
    <xf numFmtId="0" fontId="17" fillId="5" borderId="16" xfId="0" applyFont="1" applyFill="1" applyBorder="1" applyAlignment="1" applyProtection="1">
      <alignment vertical="center"/>
      <protection hidden="1"/>
    </xf>
    <xf numFmtId="0" fontId="17" fillId="5" borderId="36" xfId="0" applyFont="1" applyFill="1" applyBorder="1" applyAlignment="1" applyProtection="1">
      <alignment vertical="center"/>
      <protection hidden="1"/>
    </xf>
    <xf numFmtId="0" fontId="65" fillId="4" borderId="0" xfId="0" applyFont="1" applyFill="1" applyBorder="1" applyAlignment="1" applyProtection="1">
      <alignment vertical="center"/>
      <protection hidden="1"/>
    </xf>
    <xf numFmtId="0" fontId="69" fillId="4" borderId="0" xfId="0" applyFont="1" applyFill="1" applyBorder="1" applyAlignment="1" applyProtection="1">
      <alignment horizontal="left" vertical="center"/>
      <protection hidden="1"/>
    </xf>
    <xf numFmtId="0" fontId="17" fillId="4" borderId="48" xfId="0" applyFont="1" applyFill="1" applyBorder="1" applyAlignment="1" applyProtection="1">
      <alignment vertical="center"/>
      <protection hidden="1"/>
    </xf>
    <xf numFmtId="0" fontId="17" fillId="4" borderId="44" xfId="0" applyFont="1" applyFill="1" applyBorder="1" applyAlignment="1" applyProtection="1">
      <alignment vertical="center"/>
      <protection hidden="1"/>
    </xf>
    <xf numFmtId="0" fontId="17" fillId="4" borderId="67" xfId="0" applyFont="1" applyFill="1" applyBorder="1" applyAlignment="1" applyProtection="1">
      <alignment vertical="center"/>
      <protection hidden="1"/>
    </xf>
    <xf numFmtId="0" fontId="26" fillId="8" borderId="2" xfId="0" applyFont="1" applyFill="1" applyBorder="1" applyAlignment="1" applyProtection="1">
      <alignment vertical="center"/>
      <protection hidden="1"/>
    </xf>
    <xf numFmtId="0" fontId="26" fillId="8" borderId="3" xfId="0" applyFont="1" applyFill="1" applyBorder="1" applyAlignment="1" applyProtection="1">
      <alignment vertical="center"/>
      <protection hidden="1"/>
    </xf>
    <xf numFmtId="0" fontId="21" fillId="8" borderId="0" xfId="0" applyFont="1" applyFill="1" applyBorder="1" applyAlignment="1" applyProtection="1">
      <alignment horizontal="left" vertical="center"/>
      <protection hidden="1"/>
    </xf>
    <xf numFmtId="2" fontId="57" fillId="4" borderId="0" xfId="0" applyNumberFormat="1" applyFont="1" applyFill="1" applyBorder="1" applyAlignment="1" applyProtection="1">
      <alignment horizontal="left" vertical="center"/>
      <protection hidden="1"/>
    </xf>
    <xf numFmtId="0" fontId="0" fillId="5" borderId="0" xfId="0" applyFill="1" applyAlignment="1" applyProtection="1">
      <alignment horizontal="left" vertical="center"/>
      <protection hidden="1"/>
    </xf>
    <xf numFmtId="0" fontId="48" fillId="5" borderId="0" xfId="0" applyFont="1" applyFill="1" applyBorder="1" applyAlignment="1" applyProtection="1">
      <alignment horizontal="left" vertical="center"/>
      <protection hidden="1"/>
    </xf>
    <xf numFmtId="0" fontId="11" fillId="5" borderId="0" xfId="0" applyFont="1" applyFill="1" applyBorder="1" applyAlignment="1" applyProtection="1">
      <alignment horizontal="left" vertical="center"/>
      <protection hidden="1"/>
    </xf>
    <xf numFmtId="2" fontId="48" fillId="5" borderId="0" xfId="0" applyNumberFormat="1" applyFont="1" applyFill="1" applyBorder="1" applyAlignment="1" applyProtection="1">
      <alignment horizontal="left" vertical="center"/>
      <protection hidden="1"/>
    </xf>
    <xf numFmtId="0" fontId="72" fillId="5" borderId="0" xfId="0" applyFont="1" applyFill="1" applyBorder="1" applyAlignment="1" applyProtection="1">
      <alignment horizontal="left" vertical="center"/>
      <protection hidden="1"/>
    </xf>
    <xf numFmtId="0" fontId="64" fillId="5" borderId="0" xfId="0" applyFont="1" applyFill="1" applyBorder="1" applyAlignment="1" applyProtection="1">
      <alignment vertical="center"/>
      <protection hidden="1"/>
    </xf>
    <xf numFmtId="0" fontId="42" fillId="5" borderId="0" xfId="0" applyNumberFormat="1" applyFont="1" applyFill="1" applyBorder="1" applyAlignment="1" applyProtection="1">
      <alignment vertical="center"/>
      <protection hidden="1"/>
    </xf>
    <xf numFmtId="0" fontId="41" fillId="5" borderId="16" xfId="0" applyFont="1" applyFill="1" applyBorder="1" applyAlignment="1" applyProtection="1">
      <alignment vertical="center"/>
      <protection hidden="1"/>
    </xf>
    <xf numFmtId="0" fontId="41" fillId="5" borderId="36" xfId="0" applyFont="1" applyFill="1" applyBorder="1" applyAlignment="1" applyProtection="1">
      <alignment vertical="center"/>
      <protection hidden="1"/>
    </xf>
    <xf numFmtId="0" fontId="40" fillId="5" borderId="0" xfId="0" quotePrefix="1" applyFont="1" applyFill="1" applyBorder="1" applyAlignment="1" applyProtection="1">
      <alignment vertical="center"/>
      <protection hidden="1"/>
    </xf>
    <xf numFmtId="0" fontId="50" fillId="5" borderId="0" xfId="0" applyFont="1" applyFill="1" applyBorder="1" applyAlignment="1" applyProtection="1">
      <alignment vertical="center"/>
      <protection hidden="1"/>
    </xf>
    <xf numFmtId="0" fontId="17" fillId="5" borderId="0" xfId="0" applyFont="1" applyFill="1" applyBorder="1" applyAlignment="1" applyProtection="1">
      <alignment horizontal="right" vertical="center"/>
      <protection hidden="1"/>
    </xf>
    <xf numFmtId="0" fontId="40" fillId="5" borderId="0" xfId="0" applyNumberFormat="1" applyFont="1" applyFill="1" applyAlignment="1" applyProtection="1">
      <alignment vertical="center"/>
      <protection hidden="1"/>
    </xf>
    <xf numFmtId="187" fontId="42" fillId="5" borderId="0" xfId="0" applyNumberFormat="1" applyFont="1" applyFill="1" applyBorder="1" applyAlignment="1" applyProtection="1">
      <alignment vertical="center"/>
      <protection hidden="1"/>
    </xf>
    <xf numFmtId="2" fontId="40" fillId="5" borderId="0" xfId="0" applyNumberFormat="1" applyFont="1" applyFill="1" applyAlignment="1" applyProtection="1">
      <alignment vertical="center"/>
      <protection hidden="1"/>
    </xf>
    <xf numFmtId="0" fontId="40" fillId="5" borderId="0" xfId="0" applyFont="1" applyFill="1" applyAlignment="1" applyProtection="1">
      <alignment vertical="center"/>
      <protection hidden="1"/>
    </xf>
    <xf numFmtId="187" fontId="40" fillId="5" borderId="0" xfId="0" applyNumberFormat="1" applyFont="1" applyFill="1" applyAlignment="1" applyProtection="1">
      <alignment vertical="center"/>
      <protection hidden="1"/>
    </xf>
    <xf numFmtId="0" fontId="17" fillId="5" borderId="0" xfId="0" applyFont="1" applyFill="1" applyAlignment="1" applyProtection="1">
      <protection hidden="1"/>
    </xf>
    <xf numFmtId="0" fontId="17" fillId="5" borderId="0" xfId="0" applyFont="1" applyFill="1" applyBorder="1" applyAlignment="1" applyProtection="1">
      <protection hidden="1"/>
    </xf>
    <xf numFmtId="2" fontId="17" fillId="5" borderId="0" xfId="0" applyNumberFormat="1" applyFont="1" applyFill="1" applyBorder="1" applyAlignment="1" applyProtection="1">
      <protection hidden="1"/>
    </xf>
    <xf numFmtId="2" fontId="51" fillId="5" borderId="0" xfId="0" applyNumberFormat="1" applyFont="1" applyFill="1" applyBorder="1" applyAlignment="1" applyProtection="1">
      <alignment vertical="center"/>
      <protection hidden="1"/>
    </xf>
    <xf numFmtId="0" fontId="56" fillId="5" borderId="0" xfId="0" applyFont="1" applyFill="1" applyBorder="1" applyAlignment="1" applyProtection="1">
      <alignment horizontal="left" vertical="center"/>
      <protection hidden="1"/>
    </xf>
    <xf numFmtId="187" fontId="57" fillId="5" borderId="0" xfId="0" applyNumberFormat="1" applyFont="1" applyFill="1" applyAlignment="1" applyProtection="1">
      <alignment horizontal="left" vertical="center"/>
      <protection hidden="1"/>
    </xf>
    <xf numFmtId="0" fontId="57" fillId="5" borderId="0" xfId="0" applyFont="1" applyFill="1" applyBorder="1" applyAlignment="1" applyProtection="1">
      <alignment vertical="center"/>
      <protection hidden="1"/>
    </xf>
    <xf numFmtId="0" fontId="56" fillId="5" borderId="0" xfId="0" applyFont="1" applyFill="1" applyBorder="1" applyAlignment="1" applyProtection="1">
      <alignment vertical="center"/>
      <protection hidden="1"/>
    </xf>
    <xf numFmtId="0" fontId="56" fillId="5" borderId="0" xfId="0" applyFont="1" applyFill="1" applyProtection="1">
      <protection hidden="1"/>
    </xf>
    <xf numFmtId="0" fontId="72" fillId="5" borderId="0" xfId="0" applyFont="1" applyFill="1" applyAlignment="1" applyProtection="1">
      <alignment horizontal="left" vertical="center"/>
      <protection hidden="1"/>
    </xf>
    <xf numFmtId="0" fontId="44" fillId="5" borderId="0" xfId="0" applyFont="1" applyFill="1" applyAlignment="1" applyProtection="1">
      <alignment horizontal="left" vertical="center"/>
      <protection hidden="1"/>
    </xf>
    <xf numFmtId="0" fontId="26" fillId="5" borderId="0" xfId="0" applyFont="1" applyFill="1" applyProtection="1">
      <protection hidden="1"/>
    </xf>
    <xf numFmtId="0" fontId="18" fillId="0" borderId="0" xfId="0" applyFont="1" applyFill="1" applyAlignment="1" applyProtection="1">
      <alignment vertical="center"/>
      <protection hidden="1"/>
    </xf>
    <xf numFmtId="0" fontId="40" fillId="4" borderId="19" xfId="0" applyFont="1" applyFill="1" applyBorder="1" applyAlignment="1" applyProtection="1">
      <alignment horizontal="left" vertical="center"/>
      <protection hidden="1"/>
    </xf>
    <xf numFmtId="0" fontId="40" fillId="4" borderId="20" xfId="0" applyFont="1" applyFill="1" applyBorder="1" applyAlignment="1" applyProtection="1">
      <alignment horizontal="left" vertical="center"/>
      <protection hidden="1"/>
    </xf>
    <xf numFmtId="0" fontId="40" fillId="4" borderId="21" xfId="0" applyFont="1" applyFill="1" applyBorder="1" applyAlignment="1" applyProtection="1">
      <alignment horizontal="left" vertical="center"/>
      <protection hidden="1"/>
    </xf>
    <xf numFmtId="0" fontId="40" fillId="4" borderId="22" xfId="0" applyFont="1" applyFill="1" applyBorder="1" applyAlignment="1" applyProtection="1">
      <alignment horizontal="left" vertical="center"/>
      <protection hidden="1"/>
    </xf>
    <xf numFmtId="0" fontId="40" fillId="4" borderId="23" xfId="0" applyFont="1" applyFill="1" applyBorder="1" applyAlignment="1" applyProtection="1">
      <alignment horizontal="left" vertical="center"/>
      <protection hidden="1"/>
    </xf>
    <xf numFmtId="0" fontId="40" fillId="4" borderId="24" xfId="0" applyFont="1" applyFill="1" applyBorder="1" applyAlignment="1" applyProtection="1">
      <alignment horizontal="left" vertical="center"/>
      <protection hidden="1"/>
    </xf>
    <xf numFmtId="0" fontId="44" fillId="4" borderId="17" xfId="0" applyFont="1" applyFill="1" applyBorder="1" applyProtection="1">
      <protection hidden="1"/>
    </xf>
    <xf numFmtId="0" fontId="40" fillId="4" borderId="89" xfId="0" applyFont="1" applyFill="1" applyBorder="1" applyAlignment="1" applyProtection="1">
      <alignment horizontal="left" vertical="center"/>
      <protection hidden="1"/>
    </xf>
    <xf numFmtId="0" fontId="40" fillId="4" borderId="90" xfId="0" applyFont="1" applyFill="1" applyBorder="1" applyAlignment="1" applyProtection="1">
      <alignment horizontal="left" vertical="center"/>
      <protection hidden="1"/>
    </xf>
    <xf numFmtId="0" fontId="40" fillId="4" borderId="44" xfId="0" applyFont="1" applyFill="1" applyBorder="1" applyAlignment="1" applyProtection="1">
      <alignment horizontal="left" vertical="center"/>
      <protection hidden="1"/>
    </xf>
    <xf numFmtId="0" fontId="40" fillId="4" borderId="67" xfId="0" applyFont="1" applyFill="1" applyBorder="1" applyAlignment="1" applyProtection="1">
      <alignment horizontal="left" vertical="center"/>
      <protection hidden="1"/>
    </xf>
    <xf numFmtId="0" fontId="40" fillId="4" borderId="25" xfId="0" applyFont="1" applyFill="1" applyBorder="1" applyAlignment="1" applyProtection="1">
      <alignment horizontal="left" vertical="center"/>
      <protection hidden="1"/>
    </xf>
    <xf numFmtId="0" fontId="40" fillId="4" borderId="82" xfId="0" applyFont="1" applyFill="1" applyBorder="1" applyAlignment="1" applyProtection="1">
      <alignment horizontal="left" vertical="center"/>
      <protection hidden="1"/>
    </xf>
    <xf numFmtId="0" fontId="40" fillId="4" borderId="83" xfId="0" applyFont="1" applyFill="1" applyBorder="1" applyAlignment="1" applyProtection="1">
      <alignment horizontal="left" vertical="center"/>
      <protection hidden="1"/>
    </xf>
    <xf numFmtId="0" fontId="12" fillId="4" borderId="0" xfId="0" applyFont="1" applyFill="1" applyBorder="1" applyAlignment="1" applyProtection="1">
      <alignment horizontal="left" vertical="center"/>
      <protection hidden="1"/>
    </xf>
    <xf numFmtId="0" fontId="17" fillId="5" borderId="0" xfId="0" applyFont="1" applyFill="1" applyBorder="1" applyAlignment="1" applyProtection="1">
      <alignment horizontal="left" vertical="center"/>
      <protection hidden="1"/>
    </xf>
    <xf numFmtId="189" fontId="17" fillId="5" borderId="0" xfId="0" applyNumberFormat="1" applyFont="1" applyFill="1" applyBorder="1" applyAlignment="1" applyProtection="1">
      <alignment horizontal="left" vertical="center"/>
      <protection hidden="1"/>
    </xf>
    <xf numFmtId="0" fontId="49" fillId="6" borderId="0" xfId="0" applyFont="1" applyFill="1" applyBorder="1" applyAlignment="1" applyProtection="1">
      <alignment horizontal="left" vertical="center"/>
      <protection hidden="1"/>
    </xf>
    <xf numFmtId="0" fontId="12" fillId="5" borderId="0" xfId="0" applyFont="1" applyFill="1" applyBorder="1" applyAlignment="1" applyProtection="1">
      <alignment horizontal="left" vertical="center"/>
      <protection hidden="1"/>
    </xf>
    <xf numFmtId="2" fontId="41" fillId="5" borderId="0" xfId="0" applyNumberFormat="1" applyFont="1" applyFill="1" applyBorder="1" applyAlignment="1" applyProtection="1">
      <alignment horizontal="left" vertical="center"/>
      <protection hidden="1"/>
    </xf>
    <xf numFmtId="2" fontId="42" fillId="5" borderId="0" xfId="0" applyNumberFormat="1" applyFont="1" applyFill="1" applyBorder="1" applyAlignment="1" applyProtection="1">
      <alignment horizontal="left" vertical="center"/>
      <protection hidden="1"/>
    </xf>
    <xf numFmtId="0" fontId="42" fillId="5" borderId="0" xfId="0" applyFont="1" applyFill="1" applyBorder="1" applyAlignment="1" applyProtection="1">
      <alignment horizontal="left" vertical="center"/>
      <protection hidden="1"/>
    </xf>
    <xf numFmtId="187" fontId="41" fillId="5" borderId="0" xfId="0" applyNumberFormat="1" applyFont="1" applyFill="1" applyBorder="1" applyAlignment="1" applyProtection="1">
      <alignment horizontal="left" vertical="center"/>
      <protection hidden="1"/>
    </xf>
    <xf numFmtId="0" fontId="11" fillId="0" borderId="0" xfId="0" applyNumberFormat="1" applyFont="1" applyFill="1" applyBorder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left" vertical="center"/>
      <protection hidden="1"/>
    </xf>
    <xf numFmtId="2" fontId="11" fillId="0" borderId="0" xfId="0" applyNumberFormat="1" applyFont="1" applyFill="1" applyBorder="1" applyAlignment="1" applyProtection="1">
      <alignment horizontal="left" vertical="center"/>
      <protection hidden="1"/>
    </xf>
    <xf numFmtId="2" fontId="8" fillId="0" borderId="0" xfId="0" applyNumberFormat="1" applyFont="1" applyFill="1" applyBorder="1" applyAlignment="1" applyProtection="1">
      <alignment horizontal="left" vertical="center"/>
      <protection hidden="1"/>
    </xf>
    <xf numFmtId="187" fontId="9" fillId="0" borderId="0" xfId="0" applyNumberFormat="1" applyFont="1" applyFill="1" applyBorder="1" applyAlignment="1" applyProtection="1">
      <alignment horizontal="left" vertical="center"/>
      <protection hidden="1"/>
    </xf>
    <xf numFmtId="2" fontId="18" fillId="0" borderId="0" xfId="0" applyNumberFormat="1" applyFont="1" applyAlignment="1" applyProtection="1">
      <alignment horizontal="left" vertical="center"/>
      <protection hidden="1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11" fillId="0" borderId="0" xfId="0" applyFont="1" applyFill="1" applyBorder="1" applyAlignment="1" applyProtection="1">
      <alignment horizontal="left" vertical="center"/>
      <protection hidden="1"/>
    </xf>
    <xf numFmtId="0" fontId="17" fillId="0" borderId="0" xfId="0" applyFont="1" applyAlignment="1" applyProtection="1">
      <alignment horizontal="left" vertical="center"/>
      <protection hidden="1"/>
    </xf>
    <xf numFmtId="188" fontId="11" fillId="0" borderId="0" xfId="0" applyNumberFormat="1" applyFont="1" applyFill="1" applyBorder="1" applyAlignment="1" applyProtection="1">
      <alignment horizontal="left" vertical="center"/>
      <protection hidden="1"/>
    </xf>
    <xf numFmtId="0" fontId="34" fillId="0" borderId="0" xfId="0" applyFont="1" applyFill="1" applyBorder="1" applyAlignment="1" applyProtection="1">
      <alignment horizontal="center" vertical="center"/>
      <protection hidden="1"/>
    </xf>
    <xf numFmtId="0" fontId="34" fillId="0" borderId="0" xfId="0" applyFont="1" applyFill="1" applyBorder="1" applyAlignment="1" applyProtection="1">
      <alignment horizontal="center"/>
      <protection hidden="1"/>
    </xf>
    <xf numFmtId="0" fontId="17" fillId="4" borderId="0" xfId="0" applyFont="1" applyFill="1" applyBorder="1" applyAlignment="1" applyProtection="1">
      <alignment horizontal="left" vertical="center"/>
      <protection hidden="1"/>
    </xf>
    <xf numFmtId="0" fontId="49" fillId="5" borderId="0" xfId="0" applyFont="1" applyFill="1" applyBorder="1" applyAlignment="1" applyProtection="1">
      <alignment horizontal="left" vertical="center"/>
      <protection hidden="1"/>
    </xf>
    <xf numFmtId="0" fontId="41" fillId="5" borderId="0" xfId="0" applyNumberFormat="1" applyFont="1" applyFill="1" applyBorder="1" applyAlignment="1" applyProtection="1">
      <alignment horizontal="left" vertical="center"/>
      <protection hidden="1"/>
    </xf>
    <xf numFmtId="0" fontId="17" fillId="8" borderId="1" xfId="0" applyFont="1" applyFill="1" applyBorder="1" applyAlignment="1" applyProtection="1">
      <alignment horizontal="left" vertical="center"/>
      <protection hidden="1"/>
    </xf>
    <xf numFmtId="0" fontId="17" fillId="8" borderId="3" xfId="0" applyFont="1" applyFill="1" applyBorder="1" applyAlignment="1" applyProtection="1">
      <alignment horizontal="left" vertical="center"/>
      <protection hidden="1"/>
    </xf>
    <xf numFmtId="0" fontId="3" fillId="4" borderId="0" xfId="0" applyFont="1" applyFill="1" applyBorder="1" applyAlignment="1" applyProtection="1">
      <alignment horizontal="left" vertical="center"/>
      <protection hidden="1"/>
    </xf>
    <xf numFmtId="0" fontId="41" fillId="5" borderId="0" xfId="0" applyFont="1" applyFill="1" applyBorder="1" applyAlignment="1" applyProtection="1">
      <alignment horizontal="left" vertical="center"/>
      <protection hidden="1"/>
    </xf>
    <xf numFmtId="0" fontId="41" fillId="5" borderId="0" xfId="0" applyFont="1" applyFill="1" applyAlignment="1" applyProtection="1">
      <alignment horizontal="left" vertical="center"/>
      <protection hidden="1"/>
    </xf>
    <xf numFmtId="2" fontId="41" fillId="5" borderId="0" xfId="0" applyNumberFormat="1" applyFont="1" applyFill="1" applyAlignment="1" applyProtection="1">
      <alignment horizontal="left" vertical="center"/>
      <protection hidden="1"/>
    </xf>
    <xf numFmtId="1" fontId="41" fillId="5" borderId="0" xfId="0" applyNumberFormat="1" applyFont="1" applyFill="1" applyAlignment="1" applyProtection="1">
      <alignment horizontal="left" vertical="center"/>
      <protection hidden="1"/>
    </xf>
    <xf numFmtId="187" fontId="41" fillId="5" borderId="0" xfId="0" applyNumberFormat="1" applyFont="1" applyFill="1" applyAlignment="1" applyProtection="1">
      <alignment horizontal="left" vertical="center"/>
      <protection hidden="1"/>
    </xf>
    <xf numFmtId="188" fontId="41" fillId="5" borderId="0" xfId="0" applyNumberFormat="1" applyFont="1" applyFill="1" applyBorder="1" applyAlignment="1" applyProtection="1">
      <alignment horizontal="left" vertical="center"/>
      <protection hidden="1"/>
    </xf>
    <xf numFmtId="0" fontId="17" fillId="5" borderId="0" xfId="0" applyFont="1" applyFill="1" applyAlignment="1" applyProtection="1">
      <alignment horizontal="left" vertical="center"/>
      <protection hidden="1"/>
    </xf>
    <xf numFmtId="0" fontId="40" fillId="5" borderId="0" xfId="0" applyFont="1" applyFill="1" applyBorder="1" applyAlignment="1" applyProtection="1">
      <alignment horizontal="left" vertical="center"/>
      <protection hidden="1"/>
    </xf>
    <xf numFmtId="0" fontId="40" fillId="5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0" fontId="9" fillId="0" borderId="0" xfId="0" applyNumberFormat="1" applyFont="1" applyFill="1" applyBorder="1" applyAlignment="1" applyProtection="1">
      <alignment horizontal="left" vertical="center"/>
      <protection hidden="1"/>
    </xf>
    <xf numFmtId="189" fontId="40" fillId="5" borderId="0" xfId="0" applyNumberFormat="1" applyFont="1" applyFill="1" applyBorder="1" applyAlignment="1" applyProtection="1">
      <alignment horizontal="left" vertical="center"/>
      <protection hidden="1"/>
    </xf>
    <xf numFmtId="0" fontId="40" fillId="4" borderId="17" xfId="0" applyFont="1" applyFill="1" applyBorder="1" applyAlignment="1" applyProtection="1">
      <alignment horizontal="left" vertical="center"/>
      <protection hidden="1"/>
    </xf>
    <xf numFmtId="0" fontId="40" fillId="4" borderId="18" xfId="0" applyFont="1" applyFill="1" applyBorder="1" applyAlignment="1" applyProtection="1">
      <alignment horizontal="left" vertical="center"/>
      <protection hidden="1"/>
    </xf>
    <xf numFmtId="0" fontId="17" fillId="5" borderId="0" xfId="0" applyFont="1" applyFill="1" applyAlignment="1" applyProtection="1">
      <alignment horizontal="left"/>
      <protection hidden="1"/>
    </xf>
    <xf numFmtId="0" fontId="40" fillId="5" borderId="31" xfId="0" applyFont="1" applyFill="1" applyBorder="1" applyAlignment="1" applyProtection="1">
      <alignment horizontal="left" vertical="center"/>
      <protection hidden="1"/>
    </xf>
    <xf numFmtId="0" fontId="40" fillId="5" borderId="14" xfId="0" applyFont="1" applyFill="1" applyBorder="1" applyAlignment="1" applyProtection="1">
      <alignment horizontal="left" vertical="center"/>
      <protection hidden="1"/>
    </xf>
    <xf numFmtId="0" fontId="40" fillId="5" borderId="35" xfId="0" applyFont="1" applyFill="1" applyBorder="1" applyAlignment="1" applyProtection="1">
      <alignment horizontal="left" vertical="center"/>
      <protection hidden="1"/>
    </xf>
    <xf numFmtId="0" fontId="40" fillId="5" borderId="16" xfId="0" applyFont="1" applyFill="1" applyBorder="1" applyAlignment="1" applyProtection="1">
      <alignment horizontal="left" vertical="center"/>
      <protection hidden="1"/>
    </xf>
    <xf numFmtId="0" fontId="40" fillId="5" borderId="36" xfId="0" applyFont="1" applyFill="1" applyBorder="1" applyAlignment="1" applyProtection="1">
      <alignment horizontal="left" vertical="center"/>
      <protection hidden="1"/>
    </xf>
    <xf numFmtId="0" fontId="40" fillId="0" borderId="0" xfId="0" applyFont="1" applyAlignment="1" applyProtection="1">
      <alignment horizontal="right" vertical="center"/>
      <protection hidden="1"/>
    </xf>
    <xf numFmtId="0" fontId="34" fillId="0" borderId="0" xfId="0" applyFont="1" applyFill="1" applyAlignment="1" applyProtection="1">
      <alignment horizontal="center" vertical="center"/>
      <protection hidden="1"/>
    </xf>
    <xf numFmtId="1" fontId="9" fillId="0" borderId="0" xfId="0" applyNumberFormat="1" applyFont="1" applyFill="1" applyBorder="1" applyAlignment="1" applyProtection="1">
      <alignment horizontal="left" vertical="center"/>
      <protection hidden="1"/>
    </xf>
    <xf numFmtId="1" fontId="9" fillId="0" borderId="0" xfId="0" applyNumberFormat="1" applyFont="1" applyFill="1" applyBorder="1" applyAlignment="1" applyProtection="1">
      <alignment horizontal="left"/>
      <protection hidden="1"/>
    </xf>
    <xf numFmtId="0" fontId="58" fillId="0" borderId="0" xfId="0" applyFont="1" applyAlignment="1" applyProtection="1">
      <alignment horizontal="left" vertical="center"/>
      <protection hidden="1"/>
    </xf>
    <xf numFmtId="0" fontId="26" fillId="0" borderId="0" xfId="0" applyFont="1" applyAlignment="1" applyProtection="1">
      <alignment horizontal="left" vertical="center"/>
      <protection hidden="1"/>
    </xf>
    <xf numFmtId="49" fontId="11" fillId="0" borderId="0" xfId="0" applyNumberFormat="1" applyFont="1" applyFill="1" applyBorder="1" applyAlignment="1" applyProtection="1">
      <alignment horizontal="left" vertical="center"/>
      <protection hidden="1"/>
    </xf>
    <xf numFmtId="49" fontId="34" fillId="0" borderId="0" xfId="0" applyNumberFormat="1" applyFont="1" applyFill="1" applyBorder="1" applyAlignment="1" applyProtection="1">
      <alignment horizontal="left" vertical="center"/>
      <protection hidden="1"/>
    </xf>
    <xf numFmtId="2" fontId="34" fillId="0" borderId="0" xfId="0" applyNumberFormat="1" applyFont="1" applyFill="1" applyBorder="1" applyAlignment="1" applyProtection="1">
      <alignment horizontal="left" vertical="center"/>
      <protection hidden="1"/>
    </xf>
    <xf numFmtId="0" fontId="34" fillId="0" borderId="0" xfId="0" applyNumberFormat="1" applyFont="1" applyFill="1" applyBorder="1" applyAlignment="1" applyProtection="1">
      <alignment horizontal="left" vertical="center"/>
      <protection hidden="1"/>
    </xf>
    <xf numFmtId="0" fontId="40" fillId="4" borderId="46" xfId="0" applyFont="1" applyFill="1" applyBorder="1" applyAlignment="1" applyProtection="1">
      <alignment horizontal="left" vertical="center"/>
      <protection hidden="1"/>
    </xf>
    <xf numFmtId="0" fontId="40" fillId="5" borderId="38" xfId="0" applyFont="1" applyFill="1" applyBorder="1" applyAlignment="1" applyProtection="1">
      <alignment horizontal="left" vertical="center"/>
      <protection hidden="1"/>
    </xf>
    <xf numFmtId="0" fontId="40" fillId="5" borderId="39" xfId="0" applyFont="1" applyFill="1" applyBorder="1" applyAlignment="1" applyProtection="1">
      <alignment horizontal="left" vertical="center"/>
      <protection hidden="1"/>
    </xf>
    <xf numFmtId="0" fontId="40" fillId="0" borderId="0" xfId="0" applyFont="1" applyFill="1" applyAlignment="1" applyProtection="1">
      <alignment horizontal="left" vertical="center"/>
      <protection hidden="1"/>
    </xf>
    <xf numFmtId="0" fontId="40" fillId="2" borderId="0" xfId="0" applyFont="1" applyFill="1" applyAlignment="1" applyProtection="1">
      <alignment horizontal="left" vertical="center"/>
      <protection hidden="1"/>
    </xf>
    <xf numFmtId="0" fontId="45" fillId="5" borderId="0" xfId="0" applyFont="1" applyFill="1" applyBorder="1" applyAlignment="1" applyProtection="1">
      <alignment vertical="center"/>
      <protection hidden="1"/>
    </xf>
    <xf numFmtId="1" fontId="9" fillId="5" borderId="0" xfId="0" applyNumberFormat="1" applyFont="1" applyFill="1" applyBorder="1" applyAlignment="1" applyProtection="1">
      <alignment vertical="center"/>
      <protection hidden="1"/>
    </xf>
    <xf numFmtId="2" fontId="34" fillId="4" borderId="0" xfId="0" applyNumberFormat="1" applyFont="1" applyFill="1" applyBorder="1" applyAlignment="1" applyProtection="1">
      <protection hidden="1"/>
    </xf>
    <xf numFmtId="0" fontId="11" fillId="4" borderId="0" xfId="0" applyNumberFormat="1" applyFont="1" applyFill="1" applyBorder="1" applyAlignment="1" applyProtection="1">
      <alignment horizontal="left" vertical="center"/>
      <protection hidden="1"/>
    </xf>
    <xf numFmtId="0" fontId="26" fillId="0" borderId="0" xfId="0" applyFont="1" applyFill="1" applyAlignment="1" applyProtection="1">
      <alignment horizontal="left"/>
      <protection hidden="1"/>
    </xf>
    <xf numFmtId="188" fontId="40" fillId="0" borderId="0" xfId="0" applyNumberFormat="1" applyFont="1" applyAlignment="1" applyProtection="1">
      <alignment horizontal="center" vertical="center"/>
      <protection hidden="1"/>
    </xf>
    <xf numFmtId="188" fontId="40" fillId="0" borderId="0" xfId="0" applyNumberFormat="1" applyFont="1" applyAlignment="1" applyProtection="1">
      <alignment horizontal="left" vertical="center"/>
      <protection hidden="1"/>
    </xf>
    <xf numFmtId="0" fontId="68" fillId="0" borderId="0" xfId="0" applyFont="1" applyAlignment="1" applyProtection="1">
      <alignment horizontal="left" vertical="center"/>
      <protection hidden="1"/>
    </xf>
    <xf numFmtId="2" fontId="45" fillId="5" borderId="0" xfId="0" applyNumberFormat="1" applyFont="1" applyFill="1" applyBorder="1" applyAlignment="1" applyProtection="1">
      <alignment vertical="center"/>
      <protection hidden="1"/>
    </xf>
    <xf numFmtId="0" fontId="42" fillId="5" borderId="36" xfId="0" applyFont="1" applyFill="1" applyBorder="1" applyAlignment="1" applyProtection="1">
      <alignment vertical="center"/>
      <protection hidden="1"/>
    </xf>
    <xf numFmtId="0" fontId="68" fillId="0" borderId="0" xfId="0" applyFont="1" applyAlignment="1" applyProtection="1">
      <alignment horizontal="right" vertical="center"/>
      <protection hidden="1"/>
    </xf>
    <xf numFmtId="1" fontId="45" fillId="5" borderId="0" xfId="0" applyNumberFormat="1" applyFont="1" applyFill="1" applyBorder="1" applyAlignment="1" applyProtection="1">
      <alignment vertical="center"/>
      <protection hidden="1"/>
    </xf>
    <xf numFmtId="1" fontId="9" fillId="5" borderId="36" xfId="0" applyNumberFormat="1" applyFont="1" applyFill="1" applyBorder="1" applyAlignment="1" applyProtection="1">
      <alignment vertical="center"/>
      <protection hidden="1"/>
    </xf>
    <xf numFmtId="1" fontId="9" fillId="4" borderId="21" xfId="0" applyNumberFormat="1" applyFont="1" applyFill="1" applyBorder="1" applyAlignment="1" applyProtection="1">
      <alignment vertical="center"/>
      <protection hidden="1"/>
    </xf>
    <xf numFmtId="1" fontId="9" fillId="4" borderId="0" xfId="0" applyNumberFormat="1" applyFont="1" applyFill="1" applyBorder="1" applyAlignment="1" applyProtection="1">
      <alignment vertical="center"/>
      <protection hidden="1"/>
    </xf>
    <xf numFmtId="1" fontId="9" fillId="0" borderId="0" xfId="0" applyNumberFormat="1" applyFont="1" applyFill="1" applyBorder="1" applyAlignment="1" applyProtection="1">
      <alignment vertical="center"/>
      <protection hidden="1"/>
    </xf>
    <xf numFmtId="188" fontId="40" fillId="2" borderId="0" xfId="0" applyNumberFormat="1" applyFont="1" applyFill="1" applyAlignment="1" applyProtection="1">
      <alignment horizontal="left" vertical="center"/>
      <protection hidden="1"/>
    </xf>
    <xf numFmtId="0" fontId="45" fillId="5" borderId="0" xfId="0" applyNumberFormat="1" applyFont="1" applyFill="1" applyBorder="1" applyAlignment="1" applyProtection="1">
      <alignment vertical="center"/>
      <protection hidden="1"/>
    </xf>
    <xf numFmtId="0" fontId="70" fillId="0" borderId="0" xfId="0" applyFont="1" applyFill="1" applyAlignment="1" applyProtection="1">
      <alignment horizontal="left" vertical="center"/>
      <protection hidden="1"/>
    </xf>
    <xf numFmtId="0" fontId="61" fillId="0" borderId="0" xfId="0" applyFont="1" applyFill="1" applyAlignment="1" applyProtection="1">
      <alignment horizontal="left" vertical="center"/>
      <protection hidden="1"/>
    </xf>
    <xf numFmtId="0" fontId="11" fillId="5" borderId="37" xfId="0" applyFont="1" applyFill="1" applyBorder="1" applyAlignment="1" applyProtection="1">
      <alignment horizontal="left" vertical="center"/>
      <protection hidden="1"/>
    </xf>
    <xf numFmtId="0" fontId="11" fillId="5" borderId="38" xfId="0" applyFont="1" applyFill="1" applyBorder="1" applyAlignment="1" applyProtection="1">
      <alignment horizontal="left" vertical="center"/>
      <protection hidden="1"/>
    </xf>
    <xf numFmtId="0" fontId="11" fillId="4" borderId="23" xfId="0" applyFont="1" applyFill="1" applyBorder="1" applyAlignment="1" applyProtection="1">
      <alignment horizontal="left" vertical="center"/>
      <protection hidden="1"/>
    </xf>
    <xf numFmtId="2" fontId="68" fillId="0" borderId="0" xfId="0" applyNumberFormat="1" applyFont="1" applyAlignment="1" applyProtection="1">
      <alignment horizontal="left" vertical="center"/>
      <protection hidden="1"/>
    </xf>
    <xf numFmtId="0" fontId="9" fillId="4" borderId="0" xfId="0" applyNumberFormat="1" applyFont="1" applyFill="1" applyBorder="1" applyAlignment="1" applyProtection="1">
      <alignment horizontal="left" vertical="center"/>
      <protection hidden="1"/>
    </xf>
    <xf numFmtId="49" fontId="34" fillId="4" borderId="0" xfId="0" applyNumberFormat="1" applyFont="1" applyFill="1" applyBorder="1" applyAlignment="1" applyProtection="1">
      <alignment horizontal="left" vertical="center"/>
      <protection hidden="1"/>
    </xf>
    <xf numFmtId="49" fontId="11" fillId="4" borderId="0" xfId="0" applyNumberFormat="1" applyFont="1" applyFill="1" applyBorder="1" applyAlignment="1" applyProtection="1">
      <alignment horizontal="left" vertical="center"/>
      <protection hidden="1"/>
    </xf>
    <xf numFmtId="0" fontId="34" fillId="4" borderId="0" xfId="0" applyNumberFormat="1" applyFont="1" applyFill="1" applyBorder="1" applyAlignment="1" applyProtection="1">
      <alignment horizontal="left" vertical="center"/>
      <protection hidden="1"/>
    </xf>
    <xf numFmtId="2" fontId="17" fillId="5" borderId="0" xfId="0" applyNumberFormat="1" applyFont="1" applyFill="1" applyAlignment="1" applyProtection="1">
      <alignment vertical="center"/>
      <protection hidden="1"/>
    </xf>
    <xf numFmtId="0" fontId="40" fillId="5" borderId="0" xfId="0" applyFont="1" applyFill="1" applyAlignment="1" applyProtection="1">
      <alignment horizontal="left" vertical="center"/>
      <protection hidden="1"/>
    </xf>
    <xf numFmtId="187" fontId="42" fillId="0" borderId="0" xfId="0" applyNumberFormat="1" applyFont="1" applyFill="1" applyBorder="1" applyAlignment="1" applyProtection="1">
      <alignment horizontal="left" vertical="center"/>
      <protection hidden="1"/>
    </xf>
    <xf numFmtId="2" fontId="40" fillId="0" borderId="0" xfId="0" applyNumberFormat="1" applyFont="1" applyFill="1" applyAlignment="1" applyProtection="1">
      <alignment horizontal="left" vertical="center"/>
      <protection hidden="1"/>
    </xf>
    <xf numFmtId="0" fontId="40" fillId="0" borderId="0" xfId="0" applyFont="1" applyFill="1" applyAlignment="1" applyProtection="1">
      <alignment horizontal="left" vertical="center"/>
      <protection hidden="1"/>
    </xf>
    <xf numFmtId="0" fontId="48" fillId="0" borderId="0" xfId="0" applyNumberFormat="1" applyFont="1" applyFill="1" applyBorder="1" applyAlignment="1" applyProtection="1">
      <alignment horizontal="left" vertical="center"/>
      <protection hidden="1"/>
    </xf>
    <xf numFmtId="0" fontId="41" fillId="0" borderId="0" xfId="0" applyFont="1" applyFill="1" applyAlignment="1" applyProtection="1">
      <alignment horizontal="left" vertical="center"/>
      <protection hidden="1"/>
    </xf>
    <xf numFmtId="188" fontId="41" fillId="0" borderId="0" xfId="0" applyNumberFormat="1" applyFont="1" applyFill="1" applyBorder="1" applyAlignment="1" applyProtection="1">
      <alignment horizontal="left" vertical="center"/>
      <protection hidden="1"/>
    </xf>
    <xf numFmtId="0" fontId="41" fillId="0" borderId="0" xfId="0" applyFont="1" applyFill="1" applyBorder="1" applyAlignment="1" applyProtection="1">
      <alignment horizontal="left" vertical="center"/>
      <protection hidden="1"/>
    </xf>
    <xf numFmtId="2" fontId="42" fillId="0" borderId="0" xfId="0" applyNumberFormat="1" applyFont="1" applyFill="1" applyBorder="1" applyAlignment="1" applyProtection="1">
      <alignment horizontal="left" vertical="center"/>
      <protection hidden="1"/>
    </xf>
    <xf numFmtId="2" fontId="9" fillId="0" borderId="0" xfId="0" applyNumberFormat="1" applyFont="1" applyFill="1" applyBorder="1" applyAlignment="1" applyProtection="1">
      <alignment horizontal="left" vertical="center"/>
      <protection hidden="1"/>
    </xf>
    <xf numFmtId="2" fontId="51" fillId="0" borderId="0" xfId="0" applyNumberFormat="1" applyFont="1" applyFill="1" applyAlignment="1" applyProtection="1">
      <alignment horizontal="left" vertical="center"/>
      <protection hidden="1"/>
    </xf>
    <xf numFmtId="0" fontId="51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2" fontId="8" fillId="0" borderId="0" xfId="0" applyNumberFormat="1" applyFont="1" applyFill="1" applyBorder="1" applyAlignment="1" applyProtection="1">
      <alignment horizontal="left" vertical="center"/>
      <protection hidden="1"/>
    </xf>
    <xf numFmtId="188" fontId="48" fillId="0" borderId="0" xfId="0" applyNumberFormat="1" applyFont="1" applyFill="1" applyBorder="1" applyAlignment="1" applyProtection="1">
      <alignment horizontal="left" vertical="center"/>
      <protection hidden="1"/>
    </xf>
    <xf numFmtId="2" fontId="45" fillId="0" borderId="0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11" fillId="0" borderId="0" xfId="0" applyFont="1" applyFill="1" applyBorder="1" applyAlignment="1" applyProtection="1">
      <alignment horizontal="left" vertical="center"/>
      <protection hidden="1"/>
    </xf>
    <xf numFmtId="0" fontId="53" fillId="4" borderId="17" xfId="0" applyFont="1" applyFill="1" applyBorder="1" applyAlignment="1" applyProtection="1">
      <alignment horizontal="left" vertical="center"/>
      <protection hidden="1"/>
    </xf>
    <xf numFmtId="0" fontId="53" fillId="4" borderId="18" xfId="0" applyFont="1" applyFill="1" applyBorder="1" applyAlignment="1" applyProtection="1">
      <alignment horizontal="left" vertical="center"/>
      <protection hidden="1"/>
    </xf>
    <xf numFmtId="0" fontId="53" fillId="4" borderId="77" xfId="0" applyFont="1" applyFill="1" applyBorder="1" applyAlignment="1" applyProtection="1">
      <alignment horizontal="left" vertical="center"/>
      <protection hidden="1"/>
    </xf>
    <xf numFmtId="0" fontId="53" fillId="4" borderId="20" xfId="0" applyFont="1" applyFill="1" applyBorder="1" applyAlignment="1" applyProtection="1">
      <alignment horizontal="left" vertical="center"/>
      <protection hidden="1"/>
    </xf>
    <xf numFmtId="0" fontId="53" fillId="4" borderId="0" xfId="0" applyFont="1" applyFill="1" applyBorder="1" applyAlignment="1" applyProtection="1">
      <alignment horizontal="left" vertical="center"/>
      <protection hidden="1"/>
    </xf>
    <xf numFmtId="0" fontId="53" fillId="4" borderId="36" xfId="0" applyFont="1" applyFill="1" applyBorder="1" applyAlignment="1" applyProtection="1">
      <alignment horizontal="left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188" fontId="11" fillId="0" borderId="0" xfId="0" applyNumberFormat="1" applyFont="1" applyFill="1" applyBorder="1" applyAlignment="1" applyProtection="1">
      <alignment horizontal="left" vertical="center"/>
      <protection hidden="1"/>
    </xf>
    <xf numFmtId="187" fontId="48" fillId="0" borderId="0" xfId="0" applyNumberFormat="1" applyFont="1" applyFill="1" applyBorder="1" applyAlignment="1" applyProtection="1">
      <alignment horizontal="left" vertical="center"/>
      <protection hidden="1"/>
    </xf>
    <xf numFmtId="187" fontId="8" fillId="0" borderId="0" xfId="0" applyNumberFormat="1" applyFont="1" applyFill="1" applyBorder="1" applyAlignment="1" applyProtection="1">
      <alignment horizontal="left" vertical="center"/>
      <protection hidden="1"/>
    </xf>
    <xf numFmtId="2" fontId="34" fillId="0" borderId="0" xfId="0" applyNumberFormat="1" applyFont="1" applyFill="1" applyBorder="1" applyAlignment="1" applyProtection="1">
      <alignment horizontal="left"/>
      <protection hidden="1"/>
    </xf>
    <xf numFmtId="0" fontId="40" fillId="0" borderId="0" xfId="0" applyNumberFormat="1" applyFont="1" applyFill="1" applyAlignment="1" applyProtection="1">
      <alignment horizontal="left" vertical="center"/>
      <protection hidden="1"/>
    </xf>
    <xf numFmtId="188" fontId="9" fillId="0" borderId="0" xfId="0" applyNumberFormat="1" applyFont="1" applyFill="1" applyBorder="1" applyAlignment="1" applyProtection="1">
      <alignment horizontal="left" vertical="center"/>
      <protection hidden="1"/>
    </xf>
    <xf numFmtId="0" fontId="8" fillId="0" borderId="0" xfId="0" applyNumberFormat="1" applyFont="1" applyFill="1" applyBorder="1" applyAlignment="1" applyProtection="1">
      <alignment horizontal="left" vertical="center"/>
      <protection hidden="1"/>
    </xf>
    <xf numFmtId="0" fontId="34" fillId="0" borderId="0" xfId="0" applyFont="1" applyFill="1" applyBorder="1" applyAlignment="1" applyProtection="1">
      <alignment horizontal="center"/>
      <protection hidden="1"/>
    </xf>
    <xf numFmtId="2" fontId="34" fillId="0" borderId="0" xfId="0" applyNumberFormat="1" applyFont="1" applyFill="1" applyBorder="1" applyAlignment="1" applyProtection="1">
      <alignment horizontal="center"/>
      <protection hidden="1"/>
    </xf>
    <xf numFmtId="0" fontId="3" fillId="4" borderId="18" xfId="0" applyFont="1" applyFill="1" applyBorder="1" applyAlignment="1" applyProtection="1">
      <alignment horizontal="center" vertical="center"/>
      <protection hidden="1"/>
    </xf>
    <xf numFmtId="0" fontId="3" fillId="4" borderId="0" xfId="0" applyFont="1" applyFill="1" applyBorder="1" applyAlignment="1" applyProtection="1">
      <alignment horizontal="center" vertical="center"/>
      <protection hidden="1"/>
    </xf>
    <xf numFmtId="0" fontId="45" fillId="0" borderId="26" xfId="0" applyFont="1" applyFill="1" applyBorder="1" applyAlignment="1" applyProtection="1">
      <alignment horizontal="left" vertical="center"/>
      <protection locked="0" hidden="1"/>
    </xf>
    <xf numFmtId="0" fontId="45" fillId="0" borderId="27" xfId="0" applyFont="1" applyFill="1" applyBorder="1" applyAlignment="1" applyProtection="1">
      <alignment horizontal="left" vertical="center"/>
      <protection locked="0" hidden="1"/>
    </xf>
    <xf numFmtId="0" fontId="45" fillId="0" borderId="28" xfId="0" applyFont="1" applyFill="1" applyBorder="1" applyAlignment="1" applyProtection="1">
      <alignment horizontal="left" vertical="center"/>
      <protection locked="0" hidden="1"/>
    </xf>
    <xf numFmtId="0" fontId="24" fillId="0" borderId="26" xfId="0" applyFont="1" applyBorder="1" applyAlignment="1" applyProtection="1">
      <alignment horizontal="left" vertical="center"/>
      <protection locked="0" hidden="1"/>
    </xf>
    <xf numFmtId="0" fontId="24" fillId="0" borderId="27" xfId="0" applyFont="1" applyBorder="1" applyAlignment="1" applyProtection="1">
      <alignment horizontal="left" vertical="center"/>
      <protection locked="0" hidden="1"/>
    </xf>
    <xf numFmtId="0" fontId="24" fillId="0" borderId="28" xfId="0" applyFont="1" applyBorder="1" applyAlignment="1" applyProtection="1">
      <alignment horizontal="left" vertical="center"/>
      <protection locked="0" hidden="1"/>
    </xf>
    <xf numFmtId="0" fontId="52" fillId="4" borderId="18" xfId="0" applyFont="1" applyFill="1" applyBorder="1" applyAlignment="1" applyProtection="1">
      <alignment horizontal="center" vertical="center"/>
      <protection hidden="1"/>
    </xf>
    <xf numFmtId="0" fontId="52" fillId="4" borderId="0" xfId="0" applyFont="1" applyFill="1" applyBorder="1" applyAlignment="1" applyProtection="1">
      <alignment horizontal="center" vertical="center"/>
      <protection hidden="1"/>
    </xf>
    <xf numFmtId="2" fontId="24" fillId="0" borderId="26" xfId="0" applyNumberFormat="1" applyFont="1" applyBorder="1" applyAlignment="1" applyProtection="1">
      <alignment horizontal="left" vertical="center"/>
      <protection locked="0" hidden="1"/>
    </xf>
    <xf numFmtId="2" fontId="24" fillId="0" borderId="27" xfId="0" applyNumberFormat="1" applyFont="1" applyBorder="1" applyAlignment="1" applyProtection="1">
      <alignment horizontal="left" vertical="center"/>
      <protection locked="0" hidden="1"/>
    </xf>
    <xf numFmtId="2" fontId="24" fillId="0" borderId="28" xfId="0" applyNumberFormat="1" applyFont="1" applyBorder="1" applyAlignment="1" applyProtection="1">
      <alignment horizontal="left" vertical="center"/>
      <protection locked="0" hidden="1"/>
    </xf>
    <xf numFmtId="0" fontId="17" fillId="8" borderId="31" xfId="0" applyFont="1" applyFill="1" applyBorder="1" applyAlignment="1" applyProtection="1">
      <alignment horizontal="center" vertical="center"/>
      <protection hidden="1"/>
    </xf>
    <xf numFmtId="0" fontId="17" fillId="8" borderId="14" xfId="0" applyFont="1" applyFill="1" applyBorder="1" applyAlignment="1" applyProtection="1">
      <alignment horizontal="center" vertical="center"/>
      <protection hidden="1"/>
    </xf>
    <xf numFmtId="0" fontId="17" fillId="8" borderId="30" xfId="0" applyFont="1" applyFill="1" applyBorder="1" applyAlignment="1" applyProtection="1">
      <alignment horizontal="center" vertical="center"/>
      <protection hidden="1"/>
    </xf>
    <xf numFmtId="0" fontId="17" fillId="8" borderId="16" xfId="0" applyFont="1" applyFill="1" applyBorder="1" applyAlignment="1" applyProtection="1">
      <alignment horizontal="center" vertical="center"/>
      <protection hidden="1"/>
    </xf>
    <xf numFmtId="0" fontId="17" fillId="8" borderId="0" xfId="0" applyFont="1" applyFill="1" applyBorder="1" applyAlignment="1" applyProtection="1">
      <alignment horizontal="center" vertical="center"/>
      <protection hidden="1"/>
    </xf>
    <xf numFmtId="0" fontId="17" fillId="8" borderId="10" xfId="0" applyFont="1" applyFill="1" applyBorder="1" applyAlignment="1" applyProtection="1">
      <alignment horizontal="center" vertical="center"/>
      <protection hidden="1"/>
    </xf>
    <xf numFmtId="0" fontId="17" fillId="8" borderId="15" xfId="0" applyFont="1" applyFill="1" applyBorder="1" applyAlignment="1" applyProtection="1">
      <alignment horizontal="center" vertical="center"/>
      <protection hidden="1"/>
    </xf>
    <xf numFmtId="0" fontId="17" fillId="8" borderId="7" xfId="0" applyFont="1" applyFill="1" applyBorder="1" applyAlignment="1" applyProtection="1">
      <alignment horizontal="center" vertical="center"/>
      <protection hidden="1"/>
    </xf>
    <xf numFmtId="0" fontId="17" fillId="8" borderId="8" xfId="0" applyFont="1" applyFill="1" applyBorder="1" applyAlignment="1" applyProtection="1">
      <alignment horizontal="center" vertical="center"/>
      <protection hidden="1"/>
    </xf>
    <xf numFmtId="0" fontId="17" fillId="8" borderId="1" xfId="0" applyFont="1" applyFill="1" applyBorder="1" applyAlignment="1" applyProtection="1">
      <alignment horizontal="left" vertical="center"/>
      <protection hidden="1"/>
    </xf>
    <xf numFmtId="0" fontId="17" fillId="8" borderId="2" xfId="0" applyFont="1" applyFill="1" applyBorder="1" applyAlignment="1" applyProtection="1">
      <alignment horizontal="left" vertical="center"/>
      <protection hidden="1"/>
    </xf>
    <xf numFmtId="0" fontId="17" fillId="8" borderId="3" xfId="0" applyFont="1" applyFill="1" applyBorder="1" applyAlignment="1" applyProtection="1">
      <alignment horizontal="left" vertical="center"/>
      <protection hidden="1"/>
    </xf>
    <xf numFmtId="0" fontId="6" fillId="4" borderId="18" xfId="0" applyFont="1" applyFill="1" applyBorder="1" applyAlignment="1" applyProtection="1">
      <alignment horizontal="center" vertical="center"/>
      <protection hidden="1"/>
    </xf>
    <xf numFmtId="0" fontId="6" fillId="4" borderId="0" xfId="0" applyFont="1" applyFill="1" applyBorder="1" applyAlignment="1" applyProtection="1">
      <alignment horizontal="center" vertical="center"/>
      <protection hidden="1"/>
    </xf>
    <xf numFmtId="2" fontId="17" fillId="3" borderId="26" xfId="0" applyNumberFormat="1" applyFont="1" applyFill="1" applyBorder="1" applyAlignment="1" applyProtection="1">
      <alignment horizontal="left" vertical="center"/>
      <protection hidden="1"/>
    </xf>
    <xf numFmtId="0" fontId="17" fillId="3" borderId="27" xfId="0" applyFont="1" applyFill="1" applyBorder="1" applyAlignment="1" applyProtection="1">
      <alignment horizontal="left" vertical="center"/>
      <protection hidden="1"/>
    </xf>
    <xf numFmtId="0" fontId="17" fillId="3" borderId="28" xfId="0" applyFont="1" applyFill="1" applyBorder="1" applyAlignment="1" applyProtection="1">
      <alignment horizontal="left" vertical="center"/>
      <protection hidden="1"/>
    </xf>
    <xf numFmtId="0" fontId="17" fillId="8" borderId="55" xfId="0" applyFont="1" applyFill="1" applyBorder="1" applyAlignment="1" applyProtection="1">
      <alignment horizontal="center" vertical="center"/>
      <protection hidden="1"/>
    </xf>
    <xf numFmtId="0" fontId="17" fillId="8" borderId="5" xfId="0" applyFont="1" applyFill="1" applyBorder="1" applyAlignment="1" applyProtection="1">
      <alignment horizontal="center" vertical="center"/>
      <protection hidden="1"/>
    </xf>
    <xf numFmtId="0" fontId="17" fillId="8" borderId="6" xfId="0" applyFont="1" applyFill="1" applyBorder="1" applyAlignment="1" applyProtection="1">
      <alignment horizontal="center" vertical="center"/>
      <protection hidden="1"/>
    </xf>
    <xf numFmtId="0" fontId="45" fillId="0" borderId="72" xfId="0" applyFont="1" applyFill="1" applyBorder="1" applyAlignment="1" applyProtection="1">
      <alignment horizontal="center" vertical="center"/>
      <protection locked="0" hidden="1"/>
    </xf>
    <xf numFmtId="0" fontId="45" fillId="0" borderId="44" xfId="0" applyFont="1" applyFill="1" applyBorder="1" applyAlignment="1" applyProtection="1">
      <alignment horizontal="center" vertical="center"/>
      <protection locked="0" hidden="1"/>
    </xf>
    <xf numFmtId="0" fontId="45" fillId="0" borderId="56" xfId="0" applyFont="1" applyFill="1" applyBorder="1" applyAlignment="1" applyProtection="1">
      <alignment horizontal="center" vertical="center"/>
      <protection locked="0" hidden="1"/>
    </xf>
    <xf numFmtId="0" fontId="7" fillId="4" borderId="18" xfId="0" applyFont="1" applyFill="1" applyBorder="1" applyAlignment="1" applyProtection="1">
      <alignment horizontal="center" vertical="center"/>
      <protection hidden="1"/>
    </xf>
    <xf numFmtId="0" fontId="7" fillId="4" borderId="0" xfId="0" applyFont="1" applyFill="1" applyBorder="1" applyAlignment="1" applyProtection="1">
      <alignment horizontal="center" vertical="center"/>
      <protection hidden="1"/>
    </xf>
    <xf numFmtId="0" fontId="58" fillId="5" borderId="26" xfId="0" applyNumberFormat="1" applyFont="1" applyFill="1" applyBorder="1" applyAlignment="1" applyProtection="1">
      <alignment horizontal="left" vertical="center"/>
      <protection locked="0" hidden="1"/>
    </xf>
    <xf numFmtId="0" fontId="58" fillId="5" borderId="27" xfId="0" applyNumberFormat="1" applyFont="1" applyFill="1" applyBorder="1" applyAlignment="1" applyProtection="1">
      <alignment horizontal="left" vertical="center"/>
      <protection locked="0" hidden="1"/>
    </xf>
    <xf numFmtId="0" fontId="58" fillId="5" borderId="28" xfId="0" applyNumberFormat="1" applyFont="1" applyFill="1" applyBorder="1" applyAlignment="1" applyProtection="1">
      <alignment horizontal="left" vertical="center"/>
      <protection locked="0" hidden="1"/>
    </xf>
    <xf numFmtId="0" fontId="62" fillId="4" borderId="0" xfId="0" applyFont="1" applyFill="1" applyBorder="1" applyAlignment="1" applyProtection="1">
      <alignment horizontal="center" vertical="center"/>
      <protection hidden="1"/>
    </xf>
    <xf numFmtId="0" fontId="45" fillId="0" borderId="26" xfId="0" applyNumberFormat="1" applyFont="1" applyFill="1" applyBorder="1" applyAlignment="1" applyProtection="1">
      <alignment horizontal="left" vertical="center"/>
      <protection locked="0" hidden="1"/>
    </xf>
    <xf numFmtId="0" fontId="45" fillId="0" borderId="27" xfId="0" applyNumberFormat="1" applyFont="1" applyFill="1" applyBorder="1" applyAlignment="1" applyProtection="1">
      <alignment horizontal="left" vertical="center"/>
      <protection locked="0" hidden="1"/>
    </xf>
    <xf numFmtId="0" fontId="45" fillId="0" borderId="28" xfId="0" applyNumberFormat="1" applyFont="1" applyFill="1" applyBorder="1" applyAlignment="1" applyProtection="1">
      <alignment horizontal="left" vertical="center"/>
      <protection locked="0" hidden="1"/>
    </xf>
    <xf numFmtId="2" fontId="40" fillId="4" borderId="70" xfId="0" applyNumberFormat="1" applyFont="1" applyFill="1" applyBorder="1" applyAlignment="1" applyProtection="1">
      <alignment horizontal="center" vertical="center"/>
      <protection hidden="1"/>
    </xf>
    <xf numFmtId="2" fontId="40" fillId="4" borderId="45" xfId="0" applyNumberFormat="1" applyFont="1" applyFill="1" applyBorder="1" applyAlignment="1" applyProtection="1">
      <alignment horizontal="center" vertical="center"/>
      <protection hidden="1"/>
    </xf>
    <xf numFmtId="2" fontId="40" fillId="4" borderId="68" xfId="0" applyNumberFormat="1" applyFont="1" applyFill="1" applyBorder="1" applyAlignment="1" applyProtection="1">
      <alignment horizontal="center" vertical="center"/>
      <protection hidden="1"/>
    </xf>
    <xf numFmtId="0" fontId="40" fillId="4" borderId="47" xfId="0" applyFont="1" applyFill="1" applyBorder="1" applyAlignment="1" applyProtection="1">
      <alignment horizontal="left" vertical="center"/>
      <protection hidden="1"/>
    </xf>
    <xf numFmtId="0" fontId="40" fillId="4" borderId="45" xfId="0" applyFont="1" applyFill="1" applyBorder="1" applyAlignment="1" applyProtection="1">
      <alignment horizontal="left" vertical="center"/>
      <protection hidden="1"/>
    </xf>
    <xf numFmtId="0" fontId="40" fillId="4" borderId="65" xfId="0" applyFont="1" applyFill="1" applyBorder="1" applyAlignment="1" applyProtection="1">
      <alignment horizontal="left" vertical="center"/>
      <protection hidden="1"/>
    </xf>
    <xf numFmtId="21" fontId="40" fillId="0" borderId="0" xfId="0" quotePrefix="1" applyNumberFormat="1" applyFont="1" applyAlignment="1" applyProtection="1">
      <alignment horizontal="left" vertical="center"/>
      <protection hidden="1"/>
    </xf>
    <xf numFmtId="0" fontId="40" fillId="0" borderId="0" xfId="0" applyNumberFormat="1" applyFont="1" applyAlignment="1" applyProtection="1">
      <alignment horizontal="left" vertical="center"/>
      <protection hidden="1"/>
    </xf>
    <xf numFmtId="2" fontId="58" fillId="0" borderId="0" xfId="0" applyNumberFormat="1" applyFont="1" applyFill="1" applyAlignment="1" applyProtection="1">
      <alignment horizontal="center" vertical="center"/>
      <protection hidden="1"/>
    </xf>
    <xf numFmtId="0" fontId="42" fillId="3" borderId="26" xfId="0" applyNumberFormat="1" applyFont="1" applyFill="1" applyBorder="1" applyAlignment="1" applyProtection="1">
      <alignment horizontal="left" vertical="center"/>
      <protection hidden="1"/>
    </xf>
    <xf numFmtId="0" fontId="42" fillId="3" borderId="27" xfId="0" applyNumberFormat="1" applyFont="1" applyFill="1" applyBorder="1" applyAlignment="1" applyProtection="1">
      <alignment horizontal="left" vertical="center"/>
      <protection hidden="1"/>
    </xf>
    <xf numFmtId="0" fontId="42" fillId="3" borderId="28" xfId="0" applyNumberFormat="1" applyFont="1" applyFill="1" applyBorder="1" applyAlignment="1" applyProtection="1">
      <alignment horizontal="left" vertical="center"/>
      <protection hidden="1"/>
    </xf>
    <xf numFmtId="2" fontId="45" fillId="0" borderId="26" xfId="0" applyNumberFormat="1" applyFont="1" applyFill="1" applyBorder="1" applyAlignment="1" applyProtection="1">
      <alignment horizontal="left" vertical="center"/>
      <protection locked="0" hidden="1"/>
    </xf>
    <xf numFmtId="2" fontId="45" fillId="0" borderId="27" xfId="0" applyNumberFormat="1" applyFont="1" applyFill="1" applyBorder="1" applyAlignment="1" applyProtection="1">
      <alignment horizontal="left" vertical="center"/>
      <protection locked="0" hidden="1"/>
    </xf>
    <xf numFmtId="2" fontId="45" fillId="0" borderId="28" xfId="0" applyNumberFormat="1" applyFont="1" applyFill="1" applyBorder="1" applyAlignment="1" applyProtection="1">
      <alignment horizontal="left" vertical="center"/>
      <protection locked="0" hidden="1"/>
    </xf>
    <xf numFmtId="0" fontId="17" fillId="8" borderId="4" xfId="0" applyFont="1" applyFill="1" applyBorder="1" applyAlignment="1" applyProtection="1">
      <alignment horizontal="left" vertical="center"/>
      <protection hidden="1"/>
    </xf>
    <xf numFmtId="0" fontId="17" fillId="8" borderId="5" xfId="0" applyFont="1" applyFill="1" applyBorder="1" applyAlignment="1" applyProtection="1">
      <alignment horizontal="left" vertical="center"/>
      <protection hidden="1"/>
    </xf>
    <xf numFmtId="0" fontId="17" fillId="8" borderId="6" xfId="0" applyFont="1" applyFill="1" applyBorder="1" applyAlignment="1" applyProtection="1">
      <alignment horizontal="left" vertical="center"/>
      <protection hidden="1"/>
    </xf>
    <xf numFmtId="189" fontId="40" fillId="4" borderId="71" xfId="0" applyNumberFormat="1" applyFont="1" applyFill="1" applyBorder="1" applyAlignment="1" applyProtection="1">
      <alignment horizontal="center" vertical="center"/>
      <protection hidden="1"/>
    </xf>
    <xf numFmtId="189" fontId="40" fillId="4" borderId="46" xfId="0" applyNumberFormat="1" applyFont="1" applyFill="1" applyBorder="1" applyAlignment="1" applyProtection="1">
      <alignment horizontal="center" vertical="center"/>
      <protection hidden="1"/>
    </xf>
    <xf numFmtId="189" fontId="40" fillId="4" borderId="42" xfId="0" applyNumberFormat="1" applyFont="1" applyFill="1" applyBorder="1" applyAlignment="1" applyProtection="1">
      <alignment horizontal="center" vertical="center"/>
      <protection hidden="1"/>
    </xf>
    <xf numFmtId="189" fontId="40" fillId="4" borderId="75" xfId="0" applyNumberFormat="1" applyFont="1" applyFill="1" applyBorder="1" applyAlignment="1" applyProtection="1">
      <alignment horizontal="center" vertical="center"/>
      <protection hidden="1"/>
    </xf>
    <xf numFmtId="189" fontId="40" fillId="4" borderId="18" xfId="0" applyNumberFormat="1" applyFont="1" applyFill="1" applyBorder="1" applyAlignment="1" applyProtection="1">
      <alignment horizontal="center" vertical="center"/>
      <protection hidden="1"/>
    </xf>
    <xf numFmtId="189" fontId="40" fillId="4" borderId="19" xfId="0" applyNumberFormat="1" applyFont="1" applyFill="1" applyBorder="1" applyAlignment="1" applyProtection="1">
      <alignment horizontal="center" vertical="center"/>
      <protection hidden="1"/>
    </xf>
    <xf numFmtId="0" fontId="41" fillId="8" borderId="85" xfId="0" applyFont="1" applyFill="1" applyBorder="1" applyAlignment="1" applyProtection="1">
      <alignment horizontal="center" vertical="center"/>
      <protection hidden="1"/>
    </xf>
    <xf numFmtId="0" fontId="41" fillId="8" borderId="86" xfId="0" applyFont="1" applyFill="1" applyBorder="1" applyAlignment="1" applyProtection="1">
      <alignment horizontal="center" vertical="center"/>
      <protection hidden="1"/>
    </xf>
    <xf numFmtId="0" fontId="41" fillId="8" borderId="87" xfId="0" applyFont="1" applyFill="1" applyBorder="1" applyAlignment="1" applyProtection="1">
      <alignment horizontal="center" vertical="center"/>
      <protection hidden="1"/>
    </xf>
    <xf numFmtId="0" fontId="41" fillId="8" borderId="16" xfId="0" applyFont="1" applyFill="1" applyBorder="1" applyAlignment="1" applyProtection="1">
      <alignment horizontal="center" vertical="center"/>
      <protection hidden="1"/>
    </xf>
    <xf numFmtId="0" fontId="41" fillId="8" borderId="0" xfId="0" applyFont="1" applyFill="1" applyBorder="1" applyAlignment="1" applyProtection="1">
      <alignment horizontal="center" vertical="center"/>
      <protection hidden="1"/>
    </xf>
    <xf numFmtId="0" fontId="41" fillId="8" borderId="10" xfId="0" applyFont="1" applyFill="1" applyBorder="1" applyAlignment="1" applyProtection="1">
      <alignment horizontal="center" vertical="center"/>
      <protection hidden="1"/>
    </xf>
    <xf numFmtId="0" fontId="41" fillId="8" borderId="37" xfId="0" applyFont="1" applyFill="1" applyBorder="1" applyAlignment="1" applyProtection="1">
      <alignment horizontal="center" vertical="center"/>
      <protection hidden="1"/>
    </xf>
    <xf numFmtId="0" fontId="41" fillId="8" borderId="38" xfId="0" applyFont="1" applyFill="1" applyBorder="1" applyAlignment="1" applyProtection="1">
      <alignment horizontal="center" vertical="center"/>
      <protection hidden="1"/>
    </xf>
    <xf numFmtId="0" fontId="41" fillId="8" borderId="78" xfId="0" applyFont="1" applyFill="1" applyBorder="1" applyAlignment="1" applyProtection="1">
      <alignment horizontal="center" vertical="center"/>
      <protection hidden="1"/>
    </xf>
    <xf numFmtId="0" fontId="9" fillId="0" borderId="0" xfId="0" applyNumberFormat="1" applyFont="1" applyFill="1" applyBorder="1" applyAlignment="1" applyProtection="1">
      <alignment horizontal="left" vertical="center"/>
      <protection hidden="1"/>
    </xf>
    <xf numFmtId="0" fontId="17" fillId="8" borderId="76" xfId="0" applyFont="1" applyFill="1" applyBorder="1" applyAlignment="1" applyProtection="1">
      <alignment horizontal="left"/>
      <protection hidden="1"/>
    </xf>
    <xf numFmtId="0" fontId="17" fillId="8" borderId="33" xfId="0" applyFont="1" applyFill="1" applyBorder="1" applyAlignment="1" applyProtection="1">
      <alignment horizontal="left"/>
      <protection hidden="1"/>
    </xf>
    <xf numFmtId="0" fontId="17" fillId="8" borderId="34" xfId="0" applyFont="1" applyFill="1" applyBorder="1" applyAlignment="1" applyProtection="1">
      <alignment horizontal="left"/>
      <protection hidden="1"/>
    </xf>
    <xf numFmtId="0" fontId="58" fillId="0" borderId="29" xfId="0" applyFont="1" applyBorder="1" applyAlignment="1" applyProtection="1">
      <alignment horizontal="center" vertical="center"/>
      <protection locked="0" hidden="1"/>
    </xf>
    <xf numFmtId="0" fontId="58" fillId="0" borderId="14" xfId="0" applyFont="1" applyBorder="1" applyAlignment="1" applyProtection="1">
      <alignment horizontal="center" vertical="center"/>
      <protection locked="0" hidden="1"/>
    </xf>
    <xf numFmtId="0" fontId="58" fillId="0" borderId="75" xfId="0" applyFont="1" applyBorder="1" applyAlignment="1" applyProtection="1">
      <alignment horizontal="center" vertical="center"/>
      <protection locked="0" hidden="1"/>
    </xf>
    <xf numFmtId="0" fontId="58" fillId="0" borderId="18" xfId="0" applyFont="1" applyBorder="1" applyAlignment="1" applyProtection="1">
      <alignment horizontal="center" vertical="center"/>
      <protection locked="0" hidden="1"/>
    </xf>
    <xf numFmtId="0" fontId="40" fillId="4" borderId="80" xfId="0" applyFont="1" applyFill="1" applyBorder="1" applyAlignment="1" applyProtection="1">
      <alignment horizontal="left" vertical="center"/>
      <protection hidden="1"/>
    </xf>
    <xf numFmtId="0" fontId="40" fillId="4" borderId="79" xfId="0" applyFont="1" applyFill="1" applyBorder="1" applyAlignment="1" applyProtection="1">
      <alignment horizontal="left" vertical="center"/>
      <protection hidden="1"/>
    </xf>
    <xf numFmtId="0" fontId="40" fillId="4" borderId="81" xfId="0" applyFont="1" applyFill="1" applyBorder="1" applyAlignment="1" applyProtection="1">
      <alignment horizontal="left" vertical="center"/>
      <protection hidden="1"/>
    </xf>
    <xf numFmtId="0" fontId="40" fillId="4" borderId="17" xfId="0" applyFont="1" applyFill="1" applyBorder="1" applyAlignment="1" applyProtection="1">
      <alignment horizontal="left" vertical="center"/>
      <protection hidden="1"/>
    </xf>
    <xf numFmtId="0" fontId="40" fillId="4" borderId="18" xfId="0" applyFont="1" applyFill="1" applyBorder="1" applyAlignment="1" applyProtection="1">
      <alignment horizontal="left" vertical="center"/>
      <protection hidden="1"/>
    </xf>
    <xf numFmtId="0" fontId="40" fillId="4" borderId="77" xfId="0" applyFont="1" applyFill="1" applyBorder="1" applyAlignment="1" applyProtection="1">
      <alignment horizontal="left" vertical="center"/>
      <protection hidden="1"/>
    </xf>
    <xf numFmtId="0" fontId="17" fillId="8" borderId="9" xfId="0" applyFont="1" applyFill="1" applyBorder="1" applyAlignment="1" applyProtection="1">
      <alignment horizontal="left" vertical="center"/>
      <protection hidden="1"/>
    </xf>
    <xf numFmtId="0" fontId="58" fillId="0" borderId="71" xfId="0" applyFont="1" applyBorder="1" applyAlignment="1" applyProtection="1">
      <alignment horizontal="center" vertical="center"/>
      <protection locked="0" hidden="1"/>
    </xf>
    <xf numFmtId="0" fontId="58" fillId="0" borderId="46" xfId="0" applyFont="1" applyBorder="1" applyAlignment="1" applyProtection="1">
      <alignment horizontal="center" vertical="center"/>
      <protection locked="0" hidden="1"/>
    </xf>
    <xf numFmtId="0" fontId="51" fillId="4" borderId="72" xfId="0" applyFont="1" applyFill="1" applyBorder="1" applyAlignment="1" applyProtection="1">
      <alignment horizontal="center" vertical="center"/>
      <protection hidden="1"/>
    </xf>
    <xf numFmtId="0" fontId="51" fillId="4" borderId="44" xfId="0" applyFont="1" applyFill="1" applyBorder="1" applyAlignment="1" applyProtection="1">
      <alignment horizontal="center" vertical="center"/>
      <protection hidden="1"/>
    </xf>
    <xf numFmtId="1" fontId="9" fillId="4" borderId="41" xfId="0" applyNumberFormat="1" applyFont="1" applyFill="1" applyBorder="1" applyAlignment="1" applyProtection="1">
      <alignment horizontal="left" vertical="center"/>
      <protection hidden="1"/>
    </xf>
    <xf numFmtId="1" fontId="9" fillId="4" borderId="46" xfId="0" applyNumberFormat="1" applyFont="1" applyFill="1" applyBorder="1" applyAlignment="1" applyProtection="1">
      <alignment horizontal="left" vertical="center"/>
      <protection hidden="1"/>
    </xf>
    <xf numFmtId="1" fontId="9" fillId="4" borderId="66" xfId="0" applyNumberFormat="1" applyFont="1" applyFill="1" applyBorder="1" applyAlignment="1" applyProtection="1">
      <alignment horizontal="left" vertical="center"/>
      <protection hidden="1"/>
    </xf>
    <xf numFmtId="1" fontId="9" fillId="4" borderId="20" xfId="0" applyNumberFormat="1" applyFont="1" applyFill="1" applyBorder="1" applyAlignment="1" applyProtection="1">
      <alignment horizontal="left" vertical="center"/>
      <protection hidden="1"/>
    </xf>
    <xf numFmtId="1" fontId="9" fillId="4" borderId="0" xfId="0" applyNumberFormat="1" applyFont="1" applyFill="1" applyBorder="1" applyAlignment="1" applyProtection="1">
      <alignment horizontal="left" vertical="center"/>
      <protection hidden="1"/>
    </xf>
    <xf numFmtId="1" fontId="9" fillId="4" borderId="36" xfId="0" applyNumberFormat="1" applyFont="1" applyFill="1" applyBorder="1" applyAlignment="1" applyProtection="1">
      <alignment horizontal="left" vertical="center"/>
      <protection hidden="1"/>
    </xf>
    <xf numFmtId="0" fontId="51" fillId="4" borderId="71" xfId="0" applyFont="1" applyFill="1" applyBorder="1" applyAlignment="1" applyProtection="1">
      <alignment horizontal="center" vertical="center"/>
      <protection hidden="1"/>
    </xf>
    <xf numFmtId="0" fontId="51" fillId="4" borderId="46" xfId="0" applyFont="1" applyFill="1" applyBorder="1" applyAlignment="1" applyProtection="1">
      <alignment horizontal="center" vertical="center"/>
      <protection hidden="1"/>
    </xf>
    <xf numFmtId="188" fontId="8" fillId="0" borderId="0" xfId="0" applyNumberFormat="1" applyFont="1" applyFill="1" applyBorder="1" applyAlignment="1" applyProtection="1">
      <alignment horizontal="left" vertical="center"/>
      <protection hidden="1"/>
    </xf>
    <xf numFmtId="0" fontId="53" fillId="4" borderId="74" xfId="0" applyFont="1" applyFill="1" applyBorder="1" applyAlignment="1" applyProtection="1">
      <alignment horizontal="left" vertical="center"/>
      <protection hidden="1"/>
    </xf>
    <xf numFmtId="0" fontId="53" fillId="4" borderId="7" xfId="0" applyFont="1" applyFill="1" applyBorder="1" applyAlignment="1" applyProtection="1">
      <alignment horizontal="left" vertical="center"/>
      <protection hidden="1"/>
    </xf>
    <xf numFmtId="0" fontId="53" fillId="4" borderId="64" xfId="0" applyFont="1" applyFill="1" applyBorder="1" applyAlignment="1" applyProtection="1">
      <alignment horizontal="left" vertical="center"/>
      <protection hidden="1"/>
    </xf>
    <xf numFmtId="2" fontId="40" fillId="4" borderId="72" xfId="0" applyNumberFormat="1" applyFont="1" applyFill="1" applyBorder="1" applyAlignment="1" applyProtection="1">
      <alignment horizontal="center" vertical="center"/>
      <protection hidden="1"/>
    </xf>
    <xf numFmtId="0" fontId="40" fillId="4" borderId="44" xfId="0" applyNumberFormat="1" applyFont="1" applyFill="1" applyBorder="1" applyAlignment="1" applyProtection="1">
      <alignment horizontal="center" vertical="center"/>
      <protection hidden="1"/>
    </xf>
    <xf numFmtId="0" fontId="40" fillId="4" borderId="56" xfId="0" applyNumberFormat="1" applyFont="1" applyFill="1" applyBorder="1" applyAlignment="1" applyProtection="1">
      <alignment horizontal="center" vertical="center"/>
      <protection hidden="1"/>
    </xf>
    <xf numFmtId="0" fontId="17" fillId="8" borderId="91" xfId="0" applyFont="1" applyFill="1" applyBorder="1" applyAlignment="1" applyProtection="1">
      <alignment horizontal="left" vertical="center"/>
      <protection hidden="1"/>
    </xf>
    <xf numFmtId="0" fontId="17" fillId="8" borderId="92" xfId="0" applyFont="1" applyFill="1" applyBorder="1" applyAlignment="1" applyProtection="1">
      <alignment horizontal="left" vertical="center"/>
      <protection hidden="1"/>
    </xf>
    <xf numFmtId="0" fontId="17" fillId="7" borderId="3" xfId="0" applyFont="1" applyFill="1" applyBorder="1" applyAlignment="1" applyProtection="1">
      <alignment horizontal="left" vertical="center"/>
      <protection hidden="1"/>
    </xf>
    <xf numFmtId="0" fontId="17" fillId="7" borderId="9" xfId="0" applyFont="1" applyFill="1" applyBorder="1" applyAlignment="1" applyProtection="1">
      <alignment horizontal="left" vertical="center"/>
      <protection hidden="1"/>
    </xf>
    <xf numFmtId="0" fontId="50" fillId="4" borderId="88" xfId="0" applyFont="1" applyFill="1" applyBorder="1" applyAlignment="1" applyProtection="1">
      <alignment horizontal="left" vertical="center"/>
      <protection hidden="1"/>
    </xf>
    <xf numFmtId="0" fontId="50" fillId="4" borderId="43" xfId="0" applyFont="1" applyFill="1" applyBorder="1" applyAlignment="1" applyProtection="1">
      <alignment horizontal="left" vertical="center"/>
      <protection hidden="1"/>
    </xf>
    <xf numFmtId="188" fontId="40" fillId="4" borderId="93" xfId="0" applyNumberFormat="1" applyFont="1" applyFill="1" applyBorder="1" applyAlignment="1" applyProtection="1">
      <alignment horizontal="left" vertical="center"/>
      <protection hidden="1"/>
    </xf>
    <xf numFmtId="188" fontId="40" fillId="4" borderId="94" xfId="0" applyNumberFormat="1" applyFont="1" applyFill="1" applyBorder="1" applyAlignment="1" applyProtection="1">
      <alignment horizontal="left" vertical="center"/>
      <protection hidden="1"/>
    </xf>
    <xf numFmtId="188" fontId="40" fillId="4" borderId="54" xfId="0" applyNumberFormat="1" applyFont="1" applyFill="1" applyBorder="1" applyAlignment="1" applyProtection="1">
      <alignment horizontal="left" vertical="center"/>
      <protection hidden="1"/>
    </xf>
    <xf numFmtId="188" fontId="40" fillId="4" borderId="40" xfId="0" applyNumberFormat="1" applyFont="1" applyFill="1" applyBorder="1" applyAlignment="1" applyProtection="1">
      <alignment horizontal="left" vertical="center"/>
      <protection hidden="1"/>
    </xf>
    <xf numFmtId="0" fontId="14" fillId="0" borderId="0" xfId="0" applyFont="1" applyFill="1" applyBorder="1" applyAlignment="1" applyProtection="1">
      <alignment horizontal="left" vertical="center"/>
      <protection hidden="1"/>
    </xf>
    <xf numFmtId="0" fontId="17" fillId="7" borderId="84" xfId="0" applyFont="1" applyFill="1" applyBorder="1" applyAlignment="1" applyProtection="1">
      <alignment horizontal="left" vertical="center"/>
      <protection hidden="1"/>
    </xf>
    <xf numFmtId="0" fontId="17" fillId="7" borderId="73" xfId="0" applyFont="1" applyFill="1" applyBorder="1" applyAlignment="1" applyProtection="1">
      <alignment horizontal="left" vertical="center"/>
      <protection hidden="1"/>
    </xf>
    <xf numFmtId="2" fontId="40" fillId="4" borderId="54" xfId="0" applyNumberFormat="1" applyFont="1" applyFill="1" applyBorder="1" applyAlignment="1" applyProtection="1">
      <alignment horizontal="left" vertical="center"/>
      <protection hidden="1"/>
    </xf>
    <xf numFmtId="2" fontId="40" fillId="4" borderId="40" xfId="0" applyNumberFormat="1" applyFont="1" applyFill="1" applyBorder="1" applyAlignment="1" applyProtection="1">
      <alignment horizontal="left" vertical="center"/>
      <protection hidden="1"/>
    </xf>
    <xf numFmtId="0" fontId="40" fillId="4" borderId="54" xfId="0" applyNumberFormat="1" applyFont="1" applyFill="1" applyBorder="1" applyAlignment="1" applyProtection="1">
      <alignment horizontal="left" vertical="center"/>
      <protection hidden="1"/>
    </xf>
    <xf numFmtId="0" fontId="40" fillId="4" borderId="40" xfId="0" applyNumberFormat="1" applyFont="1" applyFill="1" applyBorder="1" applyAlignment="1" applyProtection="1">
      <alignment horizontal="left" vertical="center"/>
      <protection hidden="1"/>
    </xf>
    <xf numFmtId="0" fontId="58" fillId="0" borderId="54" xfId="0" applyNumberFormat="1" applyFont="1" applyFill="1" applyBorder="1" applyAlignment="1" applyProtection="1">
      <alignment horizontal="left" vertical="center"/>
      <protection locked="0" hidden="1"/>
    </xf>
    <xf numFmtId="0" fontId="58" fillId="0" borderId="40" xfId="0" applyNumberFormat="1" applyFont="1" applyFill="1" applyBorder="1" applyAlignment="1" applyProtection="1">
      <alignment horizontal="left" vertical="center"/>
      <protection locked="0" hidden="1"/>
    </xf>
    <xf numFmtId="0" fontId="50" fillId="4" borderId="95" xfId="0" applyFont="1" applyFill="1" applyBorder="1" applyAlignment="1" applyProtection="1">
      <alignment horizontal="left" vertical="center"/>
      <protection hidden="1"/>
    </xf>
    <xf numFmtId="0" fontId="50" fillId="4" borderId="69" xfId="0" applyFont="1" applyFill="1" applyBorder="1" applyAlignment="1" applyProtection="1">
      <alignment horizontal="left" vertical="center"/>
      <protection hidden="1"/>
    </xf>
    <xf numFmtId="2" fontId="40" fillId="4" borderId="71" xfId="0" applyNumberFormat="1" applyFont="1" applyFill="1" applyBorder="1" applyAlignment="1" applyProtection="1">
      <alignment horizontal="center" vertical="center"/>
      <protection hidden="1"/>
    </xf>
    <xf numFmtId="0" fontId="40" fillId="4" borderId="46" xfId="0" applyNumberFormat="1" applyFont="1" applyFill="1" applyBorder="1" applyAlignment="1" applyProtection="1">
      <alignment horizontal="center" vertical="center"/>
      <protection hidden="1"/>
    </xf>
    <xf numFmtId="0" fontId="17" fillId="5" borderId="0" xfId="0" applyFont="1" applyFill="1" applyAlignment="1" applyProtection="1">
      <alignment horizontal="center"/>
      <protection hidden="1"/>
    </xf>
    <xf numFmtId="0" fontId="40" fillId="5" borderId="0" xfId="0" applyFont="1" applyFill="1" applyAlignment="1" applyProtection="1">
      <alignment horizontal="left" vertical="center"/>
      <protection hidden="1"/>
    </xf>
    <xf numFmtId="2" fontId="40" fillId="5" borderId="0" xfId="0" applyNumberFormat="1" applyFont="1" applyFill="1" applyAlignment="1" applyProtection="1">
      <alignment horizontal="left" vertical="center"/>
      <protection hidden="1"/>
    </xf>
    <xf numFmtId="2" fontId="17" fillId="5" borderId="0" xfId="0" applyNumberFormat="1" applyFont="1" applyFill="1" applyAlignment="1" applyProtection="1">
      <alignment horizontal="left" vertical="center"/>
      <protection hidden="1"/>
    </xf>
    <xf numFmtId="2" fontId="41" fillId="5" borderId="0" xfId="0" applyNumberFormat="1" applyFont="1" applyFill="1" applyBorder="1" applyAlignment="1" applyProtection="1">
      <alignment horizontal="left" vertical="center"/>
      <protection hidden="1"/>
    </xf>
    <xf numFmtId="2" fontId="40" fillId="5" borderId="0" xfId="0" applyNumberFormat="1" applyFont="1" applyFill="1" applyBorder="1" applyAlignment="1" applyProtection="1">
      <alignment horizontal="left" vertical="center"/>
      <protection hidden="1"/>
    </xf>
    <xf numFmtId="2" fontId="17" fillId="5" borderId="0" xfId="0" applyNumberFormat="1" applyFont="1" applyFill="1" applyBorder="1" applyAlignment="1" applyProtection="1">
      <alignment horizontal="left" vertical="center"/>
      <protection hidden="1"/>
    </xf>
    <xf numFmtId="0" fontId="17" fillId="5" borderId="0" xfId="0" applyNumberFormat="1" applyFont="1" applyFill="1" applyBorder="1" applyAlignment="1" applyProtection="1">
      <alignment horizontal="left" vertical="center"/>
      <protection hidden="1"/>
    </xf>
    <xf numFmtId="0" fontId="17" fillId="5" borderId="0" xfId="0" applyFont="1" applyFill="1" applyBorder="1" applyAlignment="1" applyProtection="1">
      <alignment horizontal="left" vertical="center"/>
      <protection hidden="1"/>
    </xf>
    <xf numFmtId="0" fontId="42" fillId="5" borderId="0" xfId="0" applyNumberFormat="1" applyFont="1" applyFill="1" applyBorder="1" applyAlignment="1" applyProtection="1">
      <alignment horizontal="left" vertical="center"/>
      <protection hidden="1"/>
    </xf>
    <xf numFmtId="0" fontId="40" fillId="5" borderId="0" xfId="0" applyNumberFormat="1" applyFont="1" applyFill="1" applyAlignment="1" applyProtection="1">
      <alignment horizontal="left" vertical="center"/>
      <protection hidden="1"/>
    </xf>
    <xf numFmtId="0" fontId="41" fillId="5" borderId="0" xfId="0" applyNumberFormat="1" applyFont="1" applyFill="1" applyBorder="1" applyAlignment="1" applyProtection="1">
      <alignment horizontal="left" vertical="center"/>
      <protection hidden="1"/>
    </xf>
    <xf numFmtId="0" fontId="17" fillId="4" borderId="0" xfId="0" applyFont="1" applyFill="1" applyBorder="1" applyAlignment="1" applyProtection="1">
      <alignment horizontal="left" vertical="center"/>
      <protection hidden="1"/>
    </xf>
    <xf numFmtId="0" fontId="49" fillId="6" borderId="0" xfId="0" applyFont="1" applyFill="1" applyBorder="1" applyAlignment="1" applyProtection="1">
      <alignment horizontal="left" vertical="center"/>
      <protection hidden="1"/>
    </xf>
    <xf numFmtId="2" fontId="41" fillId="0" borderId="0" xfId="0" applyNumberFormat="1" applyFont="1" applyFill="1" applyBorder="1" applyAlignment="1" applyProtection="1">
      <alignment horizontal="left" vertical="center"/>
      <protection hidden="1"/>
    </xf>
    <xf numFmtId="2" fontId="42" fillId="5" borderId="0" xfId="0" applyNumberFormat="1" applyFont="1" applyFill="1" applyBorder="1" applyAlignment="1" applyProtection="1">
      <alignment horizontal="left" vertical="center"/>
      <protection hidden="1"/>
    </xf>
    <xf numFmtId="187" fontId="40" fillId="5" borderId="0" xfId="0" applyNumberFormat="1" applyFont="1" applyFill="1" applyAlignment="1" applyProtection="1">
      <alignment horizontal="left" vertical="center"/>
      <protection hidden="1"/>
    </xf>
    <xf numFmtId="187" fontId="41" fillId="5" borderId="0" xfId="0" applyNumberFormat="1" applyFont="1" applyFill="1" applyAlignment="1" applyProtection="1">
      <alignment horizontal="left" vertical="center"/>
      <protection hidden="1"/>
    </xf>
    <xf numFmtId="187" fontId="42" fillId="5" borderId="0" xfId="0" applyNumberFormat="1" applyFont="1" applyFill="1" applyBorder="1" applyAlignment="1" applyProtection="1">
      <alignment horizontal="left" vertical="center"/>
      <protection hidden="1"/>
    </xf>
    <xf numFmtId="187" fontId="41" fillId="5" borderId="0" xfId="0" applyNumberFormat="1" applyFont="1" applyFill="1" applyBorder="1" applyAlignment="1" applyProtection="1">
      <alignment horizontal="left" vertical="center"/>
      <protection hidden="1"/>
    </xf>
    <xf numFmtId="2" fontId="41" fillId="5" borderId="0" xfId="0" applyNumberFormat="1" applyFont="1" applyFill="1" applyAlignment="1" applyProtection="1">
      <alignment horizontal="left" vertical="center"/>
      <protection hidden="1"/>
    </xf>
    <xf numFmtId="0" fontId="41" fillId="5" borderId="0" xfId="0" applyFont="1" applyFill="1" applyAlignment="1" applyProtection="1">
      <alignment horizontal="left" vertical="center"/>
      <protection hidden="1"/>
    </xf>
    <xf numFmtId="0" fontId="40" fillId="5" borderId="0" xfId="0" applyFont="1" applyFill="1" applyBorder="1" applyAlignment="1" applyProtection="1">
      <alignment horizontal="left" vertical="center"/>
      <protection hidden="1"/>
    </xf>
    <xf numFmtId="189" fontId="40" fillId="5" borderId="0" xfId="0" applyNumberFormat="1" applyFont="1" applyFill="1" applyAlignment="1" applyProtection="1">
      <alignment horizontal="left" vertical="center"/>
      <protection hidden="1"/>
    </xf>
    <xf numFmtId="2" fontId="17" fillId="5" borderId="0" xfId="0" applyNumberFormat="1" applyFont="1" applyFill="1" applyBorder="1" applyAlignment="1" applyProtection="1">
      <alignment horizontal="left"/>
      <protection hidden="1"/>
    </xf>
    <xf numFmtId="2" fontId="51" fillId="5" borderId="0" xfId="0" applyNumberFormat="1" applyFont="1" applyFill="1" applyBorder="1" applyAlignment="1" applyProtection="1">
      <alignment horizontal="left" vertical="center"/>
      <protection hidden="1"/>
    </xf>
  </cellXfs>
  <cellStyles count="2">
    <cellStyle name="Normal" xfId="0" builtinId="0"/>
    <cellStyle name="เครื่องหมายจุลภาค 2" xfId="1"/>
  </cellStyles>
  <dxfs count="0"/>
  <tableStyles count="0" defaultTableStyle="TableStyleMedium2" defaultPivotStyle="PivotStyleLight16"/>
  <colors>
    <mruColors>
      <color rgb="FF006600"/>
      <color rgb="FF008000"/>
      <color rgb="FF0000FF"/>
      <color rgb="FFDDF1FF"/>
      <color rgb="FF99FF99"/>
      <color rgb="FFFFFF99"/>
      <color rgb="FFFF0066"/>
      <color rgb="FFFFFFCC"/>
      <color rgb="FFFF00FF"/>
      <color rgb="FFC9E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'Bearing FB_Pu'!$QC$9</c:f>
              <c:strCache>
                <c:ptCount val="1"/>
                <c:pt idx="0">
                  <c:v>ฐานราก</c:v>
                </c:pt>
              </c:strCache>
            </c:strRef>
          </c:tx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'Bearing FB_Pu'!$QD$10:$QH$10</c:f>
              <c:numCache>
                <c:formatCode>0.0</c:formatCode>
                <c:ptCount val="5"/>
                <c:pt idx="0">
                  <c:v>-0.5</c:v>
                </c:pt>
                <c:pt idx="1">
                  <c:v>0.5</c:v>
                </c:pt>
                <c:pt idx="2">
                  <c:v>0.5</c:v>
                </c:pt>
                <c:pt idx="3">
                  <c:v>-0.5</c:v>
                </c:pt>
                <c:pt idx="4">
                  <c:v>-0.5</c:v>
                </c:pt>
              </c:numCache>
            </c:numRef>
          </c:xVal>
          <c:yVal>
            <c:numRef>
              <c:f>'Bearing FB_Pu'!$QD$11:$QH$11</c:f>
              <c:numCache>
                <c:formatCode>0.0</c:formatCode>
                <c:ptCount val="5"/>
                <c:pt idx="0">
                  <c:v>0.5</c:v>
                </c:pt>
                <c:pt idx="1">
                  <c:v>0.5</c:v>
                </c:pt>
                <c:pt idx="2">
                  <c:v>-0.5</c:v>
                </c:pt>
                <c:pt idx="3">
                  <c:v>-0.5</c:v>
                </c:pt>
                <c:pt idx="4">
                  <c:v>0.5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'Bearing FB_Pu'!$QC$12</c:f>
              <c:strCache>
                <c:ptCount val="1"/>
                <c:pt idx="0">
                  <c:v>เสา</c:v>
                </c:pt>
              </c:strCache>
            </c:strRef>
          </c:tx>
          <c:spPr>
            <a:ln w="2540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'Bearing FB_Pu'!$QD$13:$QH$13</c:f>
              <c:numCache>
                <c:formatCode>General</c:formatCode>
                <c:ptCount val="5"/>
                <c:pt idx="0">
                  <c:v>-7.1428571428571438E-2</c:v>
                </c:pt>
                <c:pt idx="1">
                  <c:v>7.1428571428571438E-2</c:v>
                </c:pt>
                <c:pt idx="2">
                  <c:v>7.1428571428571438E-2</c:v>
                </c:pt>
                <c:pt idx="3">
                  <c:v>-7.1428571428571438E-2</c:v>
                </c:pt>
                <c:pt idx="4">
                  <c:v>-7.1428571428571438E-2</c:v>
                </c:pt>
              </c:numCache>
            </c:numRef>
          </c:xVal>
          <c:yVal>
            <c:numRef>
              <c:f>'Bearing FB_Pu'!$QD$14:$QH$14</c:f>
              <c:numCache>
                <c:formatCode>General</c:formatCode>
                <c:ptCount val="5"/>
                <c:pt idx="0">
                  <c:v>7.1428571428571438E-2</c:v>
                </c:pt>
                <c:pt idx="1">
                  <c:v>7.1428571428571438E-2</c:v>
                </c:pt>
                <c:pt idx="2">
                  <c:v>-7.1428571428571438E-2</c:v>
                </c:pt>
                <c:pt idx="3">
                  <c:v>-7.1428571428571438E-2</c:v>
                </c:pt>
                <c:pt idx="4">
                  <c:v>7.1428571428571438E-2</c:v>
                </c:pt>
              </c:numCache>
            </c:numRef>
          </c:yVal>
          <c:smooth val="0"/>
        </c:ser>
        <c:ser>
          <c:idx val="2"/>
          <c:order val="2"/>
          <c:spPr>
            <a:ln w="2540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'Bearing FB_Pu'!$QJ$13:$QK$13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7.1428571428571438E-2</c:v>
                </c:pt>
              </c:numCache>
            </c:numRef>
          </c:xVal>
          <c:yVal>
            <c:numRef>
              <c:f>'Bearing FB_Pu'!$QJ$14:$QK$14</c:f>
              <c:numCache>
                <c:formatCode>General</c:formatCode>
                <c:ptCount val="2"/>
                <c:pt idx="0">
                  <c:v>7.1428571428571438E-2</c:v>
                </c:pt>
                <c:pt idx="1">
                  <c:v>-7.1428571428571438E-2</c:v>
                </c:pt>
              </c:numCache>
            </c:numRef>
          </c:yVal>
          <c:smooth val="0"/>
        </c:ser>
        <c:ser>
          <c:idx val="3"/>
          <c:order val="3"/>
          <c:spPr>
            <a:ln w="2540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'Bearing FB_Pu'!$QM$13:$QN$13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7.1428571428571438E-2</c:v>
                </c:pt>
              </c:numCache>
            </c:numRef>
          </c:xVal>
          <c:yVal>
            <c:numRef>
              <c:f>'Bearing FB_Pu'!$QM$14:$QN$14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7.1428571428571438E-2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'Bearing FB_Pu'!$QC$15</c:f>
              <c:strCache>
                <c:ptCount val="1"/>
                <c:pt idx="0">
                  <c:v>BS</c:v>
                </c:pt>
              </c:strCache>
            </c:strRef>
          </c:tx>
          <c:spPr>
            <a:ln w="9525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'Bearing FB_Pu'!$QD$16:$QH$16</c:f>
              <c:numCache>
                <c:formatCode>0.0</c:formatCode>
                <c:ptCount val="5"/>
                <c:pt idx="0">
                  <c:v>-0.5</c:v>
                </c:pt>
                <c:pt idx="1">
                  <c:v>-0.22642857142857142</c:v>
                </c:pt>
                <c:pt idx="2">
                  <c:v>-0.22642857142857142</c:v>
                </c:pt>
                <c:pt idx="3">
                  <c:v>-0.5</c:v>
                </c:pt>
                <c:pt idx="4">
                  <c:v>-0.5</c:v>
                </c:pt>
              </c:numCache>
            </c:numRef>
          </c:xVal>
          <c:yVal>
            <c:numRef>
              <c:f>'Bearing FB_Pu'!$QD$17:$QH$17</c:f>
              <c:numCache>
                <c:formatCode>0.0</c:formatCode>
                <c:ptCount val="5"/>
                <c:pt idx="0">
                  <c:v>0.5</c:v>
                </c:pt>
                <c:pt idx="1">
                  <c:v>0.5</c:v>
                </c:pt>
                <c:pt idx="2">
                  <c:v>-0.5</c:v>
                </c:pt>
                <c:pt idx="3">
                  <c:v>-0.5</c:v>
                </c:pt>
                <c:pt idx="4">
                  <c:v>0.5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'Bearing FB_Pu'!$QC$18</c:f>
              <c:strCache>
                <c:ptCount val="1"/>
                <c:pt idx="0">
                  <c:v>PS</c:v>
                </c:pt>
              </c:strCache>
            </c:strRef>
          </c:tx>
          <c:spPr>
            <a:ln w="952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'Bearing FB_Pu'!$QD$19:$QH$19</c:f>
              <c:numCache>
                <c:formatCode>General</c:formatCode>
                <c:ptCount val="5"/>
                <c:pt idx="0">
                  <c:v>-0.14892857142857144</c:v>
                </c:pt>
                <c:pt idx="1">
                  <c:v>0.14892857142857144</c:v>
                </c:pt>
                <c:pt idx="2">
                  <c:v>0.14892857142857144</c:v>
                </c:pt>
                <c:pt idx="3">
                  <c:v>-0.14892857142857144</c:v>
                </c:pt>
                <c:pt idx="4">
                  <c:v>-0.14892857142857144</c:v>
                </c:pt>
              </c:numCache>
            </c:numRef>
          </c:xVal>
          <c:yVal>
            <c:numRef>
              <c:f>'Bearing FB_Pu'!$QD$20:$QH$20</c:f>
              <c:numCache>
                <c:formatCode>General</c:formatCode>
                <c:ptCount val="5"/>
                <c:pt idx="0">
                  <c:v>0.14892857142857144</c:v>
                </c:pt>
                <c:pt idx="1">
                  <c:v>0.14892857142857144</c:v>
                </c:pt>
                <c:pt idx="2">
                  <c:v>-0.14892857142857144</c:v>
                </c:pt>
                <c:pt idx="3">
                  <c:v>-0.14892857142857144</c:v>
                </c:pt>
                <c:pt idx="4">
                  <c:v>0.14892857142857144</c:v>
                </c:pt>
              </c:numCache>
            </c:numRef>
          </c:yVal>
          <c:smooth val="0"/>
        </c:ser>
        <c:ser>
          <c:idx val="6"/>
          <c:order val="6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FB_Pu'!$QD$22:$QE$22</c:f>
              <c:numCache>
                <c:formatCode>General</c:formatCode>
                <c:ptCount val="2"/>
                <c:pt idx="0" formatCode="0.0">
                  <c:v>-0.22642857142857142</c:v>
                </c:pt>
                <c:pt idx="1">
                  <c:v>-7.1428571428571438E-2</c:v>
                </c:pt>
              </c:numCache>
            </c:numRef>
          </c:xVal>
          <c:yVal>
            <c:numRef>
              <c:f>'Bearing FB_Pu'!$QD$23:$QE$23</c:f>
              <c:numCache>
                <c:formatCode>General</c:formatCode>
                <c:ptCount val="2"/>
                <c:pt idx="0" formatCode="0.0">
                  <c:v>-0.64285714285714279</c:v>
                </c:pt>
                <c:pt idx="1">
                  <c:v>-0.64285714285714279</c:v>
                </c:pt>
              </c:numCache>
            </c:numRef>
          </c:yVal>
          <c:smooth val="0"/>
        </c:ser>
        <c:ser>
          <c:idx val="7"/>
          <c:order val="7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FB_Pu'!$QG$22:$QH$22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7.1428571428571438E-2</c:v>
                </c:pt>
              </c:numCache>
            </c:numRef>
          </c:xVal>
          <c:yVal>
            <c:numRef>
              <c:f>'Bearing FB_Pu'!$QG$23:$QH$23</c:f>
              <c:numCache>
                <c:formatCode>General</c:formatCode>
                <c:ptCount val="2"/>
                <c:pt idx="0">
                  <c:v>-0.64285714285714279</c:v>
                </c:pt>
                <c:pt idx="1">
                  <c:v>-0.64285714285714279</c:v>
                </c:pt>
              </c:numCache>
            </c:numRef>
          </c:yVal>
          <c:smooth val="0"/>
        </c:ser>
        <c:ser>
          <c:idx val="8"/>
          <c:order val="8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FB_Pu'!$QJ$22:$QK$22</c:f>
              <c:numCache>
                <c:formatCode>General</c:formatCode>
                <c:ptCount val="2"/>
                <c:pt idx="0">
                  <c:v>7.1428571428571438E-2</c:v>
                </c:pt>
                <c:pt idx="1">
                  <c:v>0.14892857142857144</c:v>
                </c:pt>
              </c:numCache>
            </c:numRef>
          </c:xVal>
          <c:yVal>
            <c:numRef>
              <c:f>'Bearing FB_Pu'!$QJ$23:$QK$23</c:f>
              <c:numCache>
                <c:formatCode>General</c:formatCode>
                <c:ptCount val="2"/>
                <c:pt idx="0">
                  <c:v>-0.64285714285714279</c:v>
                </c:pt>
                <c:pt idx="1">
                  <c:v>-0.64285714285714279</c:v>
                </c:pt>
              </c:numCache>
            </c:numRef>
          </c:yVal>
          <c:smooth val="0"/>
        </c:ser>
        <c:ser>
          <c:idx val="9"/>
          <c:order val="9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FB_Pu'!$QM$22:$QN$22</c:f>
              <c:numCache>
                <c:formatCode>0.0</c:formatCode>
                <c:ptCount val="2"/>
                <c:pt idx="0">
                  <c:v>-0.22642857142857142</c:v>
                </c:pt>
                <c:pt idx="1">
                  <c:v>-0.22642857142857142</c:v>
                </c:pt>
              </c:numCache>
            </c:numRef>
          </c:xVal>
          <c:yVal>
            <c:numRef>
              <c:f>'Bearing FB_Pu'!$QM$23:$QN$23</c:f>
              <c:numCache>
                <c:formatCode>General</c:formatCode>
                <c:ptCount val="2"/>
                <c:pt idx="0">
                  <c:v>-0.62142857142857144</c:v>
                </c:pt>
                <c:pt idx="1">
                  <c:v>-0.66428571428571426</c:v>
                </c:pt>
              </c:numCache>
            </c:numRef>
          </c:yVal>
          <c:smooth val="0"/>
        </c:ser>
        <c:ser>
          <c:idx val="10"/>
          <c:order val="10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FB_Pu'!$QP$22:$QQ$22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-7.1428571428571438E-2</c:v>
                </c:pt>
              </c:numCache>
            </c:numRef>
          </c:xVal>
          <c:yVal>
            <c:numRef>
              <c:f>'Bearing FB_Pu'!$QP$23:$QQ$23</c:f>
              <c:numCache>
                <c:formatCode>General</c:formatCode>
                <c:ptCount val="2"/>
                <c:pt idx="0">
                  <c:v>-0.62142857142857144</c:v>
                </c:pt>
                <c:pt idx="1">
                  <c:v>-0.66428571428571426</c:v>
                </c:pt>
              </c:numCache>
            </c:numRef>
          </c:yVal>
          <c:smooth val="0"/>
        </c:ser>
        <c:ser>
          <c:idx val="11"/>
          <c:order val="11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FB_Pu'!$QS$22:$QT$22</c:f>
              <c:numCache>
                <c:formatCode>General</c:formatCode>
                <c:ptCount val="2"/>
                <c:pt idx="0">
                  <c:v>7.1428571428571438E-2</c:v>
                </c:pt>
                <c:pt idx="1">
                  <c:v>7.1428571428571438E-2</c:v>
                </c:pt>
              </c:numCache>
            </c:numRef>
          </c:xVal>
          <c:yVal>
            <c:numRef>
              <c:f>'Bearing FB_Pu'!$QS$23:$QT$23</c:f>
              <c:numCache>
                <c:formatCode>General</c:formatCode>
                <c:ptCount val="2"/>
                <c:pt idx="0">
                  <c:v>-0.62142857142857144</c:v>
                </c:pt>
                <c:pt idx="1">
                  <c:v>-0.66428571428571426</c:v>
                </c:pt>
              </c:numCache>
            </c:numRef>
          </c:yVal>
          <c:smooth val="0"/>
        </c:ser>
        <c:ser>
          <c:idx val="12"/>
          <c:order val="12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FB_Pu'!$QV$22:$QW$22</c:f>
              <c:numCache>
                <c:formatCode>General</c:formatCode>
                <c:ptCount val="2"/>
                <c:pt idx="0">
                  <c:v>0.14892857142857144</c:v>
                </c:pt>
                <c:pt idx="1">
                  <c:v>0.14892857142857144</c:v>
                </c:pt>
              </c:numCache>
            </c:numRef>
          </c:xVal>
          <c:yVal>
            <c:numRef>
              <c:f>'Bearing FB_Pu'!$QV$23:$QW$23</c:f>
              <c:numCache>
                <c:formatCode>General</c:formatCode>
                <c:ptCount val="2"/>
                <c:pt idx="0">
                  <c:v>-0.62142857142857144</c:v>
                </c:pt>
                <c:pt idx="1">
                  <c:v>-0.66428571428571426</c:v>
                </c:pt>
              </c:numCache>
            </c:numRef>
          </c:yVal>
          <c:smooth val="0"/>
        </c:ser>
        <c:ser>
          <c:idx val="13"/>
          <c:order val="13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FB_Pu'!$QD$25:$QE$25</c:f>
              <c:numCache>
                <c:formatCode>General</c:formatCode>
                <c:ptCount val="2"/>
                <c:pt idx="0">
                  <c:v>0.6428571428571429</c:v>
                </c:pt>
                <c:pt idx="1">
                  <c:v>0.6428571428571429</c:v>
                </c:pt>
              </c:numCache>
            </c:numRef>
          </c:xVal>
          <c:yVal>
            <c:numRef>
              <c:f>'Bearing FB_Pu'!$QD$26:$QE$26</c:f>
              <c:numCache>
                <c:formatCode>General</c:formatCode>
                <c:ptCount val="2"/>
                <c:pt idx="0">
                  <c:v>0.14892857142857144</c:v>
                </c:pt>
                <c:pt idx="1">
                  <c:v>7.1428571428571438E-2</c:v>
                </c:pt>
              </c:numCache>
            </c:numRef>
          </c:yVal>
          <c:smooth val="0"/>
        </c:ser>
        <c:ser>
          <c:idx val="14"/>
          <c:order val="14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FB_Pu'!$QG$25:$QH$25</c:f>
              <c:numCache>
                <c:formatCode>General</c:formatCode>
                <c:ptCount val="2"/>
                <c:pt idx="0">
                  <c:v>0.6428571428571429</c:v>
                </c:pt>
                <c:pt idx="1">
                  <c:v>0.6428571428571429</c:v>
                </c:pt>
              </c:numCache>
            </c:numRef>
          </c:xVal>
          <c:yVal>
            <c:numRef>
              <c:f>'Bearing FB_Pu'!$QG$26:$QH$26</c:f>
              <c:numCache>
                <c:formatCode>General</c:formatCode>
                <c:ptCount val="2"/>
                <c:pt idx="0">
                  <c:v>7.1428571428571438E-2</c:v>
                </c:pt>
                <c:pt idx="1">
                  <c:v>-7.1428571428571438E-2</c:v>
                </c:pt>
              </c:numCache>
            </c:numRef>
          </c:yVal>
          <c:smooth val="0"/>
        </c:ser>
        <c:ser>
          <c:idx val="15"/>
          <c:order val="15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FB_Pu'!$QJ$25:$QK$25</c:f>
              <c:numCache>
                <c:formatCode>General</c:formatCode>
                <c:ptCount val="2"/>
                <c:pt idx="0">
                  <c:v>0.6428571428571429</c:v>
                </c:pt>
                <c:pt idx="1">
                  <c:v>0.6428571428571429</c:v>
                </c:pt>
              </c:numCache>
            </c:numRef>
          </c:xVal>
          <c:yVal>
            <c:numRef>
              <c:f>'Bearing FB_Pu'!$QJ$26:$QK$26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-0.14892857142857144</c:v>
                </c:pt>
              </c:numCache>
            </c:numRef>
          </c:yVal>
          <c:smooth val="0"/>
        </c:ser>
        <c:ser>
          <c:idx val="16"/>
          <c:order val="1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FB_Pu'!$QM$25:$QN$25</c:f>
              <c:numCache>
                <c:formatCode>General</c:formatCode>
                <c:ptCount val="2"/>
                <c:pt idx="0">
                  <c:v>0.62142857142857144</c:v>
                </c:pt>
                <c:pt idx="1">
                  <c:v>0.66428571428571437</c:v>
                </c:pt>
              </c:numCache>
            </c:numRef>
          </c:xVal>
          <c:yVal>
            <c:numRef>
              <c:f>'Bearing FB_Pu'!$QM$26:$QN$26</c:f>
              <c:numCache>
                <c:formatCode>General</c:formatCode>
                <c:ptCount val="2"/>
                <c:pt idx="0">
                  <c:v>0.14892857142857144</c:v>
                </c:pt>
                <c:pt idx="1">
                  <c:v>0.14892857142857144</c:v>
                </c:pt>
              </c:numCache>
            </c:numRef>
          </c:yVal>
          <c:smooth val="0"/>
        </c:ser>
        <c:ser>
          <c:idx val="17"/>
          <c:order val="17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FB_Pu'!$QP$25:$QQ$25</c:f>
              <c:numCache>
                <c:formatCode>General</c:formatCode>
                <c:ptCount val="2"/>
                <c:pt idx="0">
                  <c:v>0.62142857142857144</c:v>
                </c:pt>
                <c:pt idx="1">
                  <c:v>0.66428571428571437</c:v>
                </c:pt>
              </c:numCache>
            </c:numRef>
          </c:xVal>
          <c:yVal>
            <c:numRef>
              <c:f>'Bearing FB_Pu'!$QP$26:$QQ$26</c:f>
              <c:numCache>
                <c:formatCode>General</c:formatCode>
                <c:ptCount val="2"/>
                <c:pt idx="0">
                  <c:v>7.1428571428571438E-2</c:v>
                </c:pt>
                <c:pt idx="1">
                  <c:v>7.1428571428571438E-2</c:v>
                </c:pt>
              </c:numCache>
            </c:numRef>
          </c:yVal>
          <c:smooth val="0"/>
        </c:ser>
        <c:ser>
          <c:idx val="18"/>
          <c:order val="18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FB_Pu'!$QS$25:$QT$25</c:f>
              <c:numCache>
                <c:formatCode>General</c:formatCode>
                <c:ptCount val="2"/>
                <c:pt idx="0">
                  <c:v>0.62142857142857144</c:v>
                </c:pt>
                <c:pt idx="1">
                  <c:v>0.66428571428571437</c:v>
                </c:pt>
              </c:numCache>
            </c:numRef>
          </c:xVal>
          <c:yVal>
            <c:numRef>
              <c:f>'Bearing FB_Pu'!$QS$26:$QT$26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-7.1428571428571438E-2</c:v>
                </c:pt>
              </c:numCache>
            </c:numRef>
          </c:yVal>
          <c:smooth val="0"/>
        </c:ser>
        <c:ser>
          <c:idx val="19"/>
          <c:order val="19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FB_Pu'!$QV$25:$QW$25</c:f>
              <c:numCache>
                <c:formatCode>General</c:formatCode>
                <c:ptCount val="2"/>
                <c:pt idx="0">
                  <c:v>0.62142857142857144</c:v>
                </c:pt>
                <c:pt idx="1">
                  <c:v>0.66428571428571437</c:v>
                </c:pt>
              </c:numCache>
            </c:numRef>
          </c:xVal>
          <c:yVal>
            <c:numRef>
              <c:f>'Bearing FB_Pu'!$QV$26:$QW$26</c:f>
              <c:numCache>
                <c:formatCode>General</c:formatCode>
                <c:ptCount val="2"/>
                <c:pt idx="0">
                  <c:v>-0.14892857142857144</c:v>
                </c:pt>
                <c:pt idx="1">
                  <c:v>-0.14892857142857144</c:v>
                </c:pt>
              </c:numCache>
            </c:numRef>
          </c:yVal>
          <c:smooth val="0"/>
        </c:ser>
        <c:ser>
          <c:idx val="20"/>
          <c:order val="20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FB_Pu'!$QD$28:$QE$28</c:f>
              <c:numCache>
                <c:formatCode>General</c:formatCode>
                <c:ptCount val="2"/>
                <c:pt idx="0">
                  <c:v>-0.6428571428571429</c:v>
                </c:pt>
                <c:pt idx="1">
                  <c:v>-0.6428571428571429</c:v>
                </c:pt>
              </c:numCache>
            </c:numRef>
          </c:xVal>
          <c:yVal>
            <c:numRef>
              <c:f>'Bearing FB_Pu'!$QD$29:$QE$29</c:f>
              <c:numCache>
                <c:formatCode>0.0</c:formatCode>
                <c:ptCount val="2"/>
                <c:pt idx="0">
                  <c:v>0.5</c:v>
                </c:pt>
                <c:pt idx="1">
                  <c:v>-0.5</c:v>
                </c:pt>
              </c:numCache>
            </c:numRef>
          </c:yVal>
          <c:smooth val="0"/>
        </c:ser>
        <c:ser>
          <c:idx val="21"/>
          <c:order val="21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FB_Pu'!$QG$28:$QH$28</c:f>
              <c:numCache>
                <c:formatCode>General</c:formatCode>
                <c:ptCount val="2"/>
                <c:pt idx="0">
                  <c:v>-0.66428571428571437</c:v>
                </c:pt>
                <c:pt idx="1">
                  <c:v>-0.62142857142857144</c:v>
                </c:pt>
              </c:numCache>
            </c:numRef>
          </c:xVal>
          <c:yVal>
            <c:numRef>
              <c:f>'Bearing FB_Pu'!$QG$29:$QH$29</c:f>
              <c:numCache>
                <c:formatCode>0.0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</c:ser>
        <c:ser>
          <c:idx val="22"/>
          <c:order val="22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FB_Pu'!$QJ$28:$QK$28</c:f>
              <c:numCache>
                <c:formatCode>General</c:formatCode>
                <c:ptCount val="2"/>
                <c:pt idx="0">
                  <c:v>-0.66428571428571437</c:v>
                </c:pt>
                <c:pt idx="1">
                  <c:v>-0.62142857142857144</c:v>
                </c:pt>
              </c:numCache>
            </c:numRef>
          </c:xVal>
          <c:yVal>
            <c:numRef>
              <c:f>'Bearing FB_Pu'!$QJ$29:$QK$29</c:f>
              <c:numCache>
                <c:formatCode>0.0</c:formatCode>
                <c:ptCount val="2"/>
                <c:pt idx="0">
                  <c:v>-0.5</c:v>
                </c:pt>
                <c:pt idx="1">
                  <c:v>-0.5</c:v>
                </c:pt>
              </c:numCache>
            </c:numRef>
          </c:yVal>
          <c:smooth val="0"/>
        </c:ser>
        <c:ser>
          <c:idx val="23"/>
          <c:order val="23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FB_Pu'!$QD$31:$QE$31</c:f>
              <c:numCache>
                <c:formatCode>0.0</c:formatCode>
                <c:ptCount val="2"/>
                <c:pt idx="0">
                  <c:v>-0.5</c:v>
                </c:pt>
                <c:pt idx="1">
                  <c:v>0.5</c:v>
                </c:pt>
              </c:numCache>
            </c:numRef>
          </c:xVal>
          <c:yVal>
            <c:numRef>
              <c:f>'Bearing FB_Pu'!$QD$32:$QE$32</c:f>
              <c:numCache>
                <c:formatCode>General</c:formatCode>
                <c:ptCount val="2"/>
                <c:pt idx="0">
                  <c:v>0.6428571428571429</c:v>
                </c:pt>
                <c:pt idx="1">
                  <c:v>0.6428571428571429</c:v>
                </c:pt>
              </c:numCache>
            </c:numRef>
          </c:yVal>
          <c:smooth val="0"/>
        </c:ser>
        <c:ser>
          <c:idx val="24"/>
          <c:order val="24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FB_Pu'!$QG$31:$QH$31</c:f>
              <c:numCache>
                <c:formatCode>0.0</c:formatCode>
                <c:ptCount val="2"/>
                <c:pt idx="0">
                  <c:v>-0.5</c:v>
                </c:pt>
                <c:pt idx="1">
                  <c:v>-0.5</c:v>
                </c:pt>
              </c:numCache>
            </c:numRef>
          </c:xVal>
          <c:yVal>
            <c:numRef>
              <c:f>'Bearing FB_Pu'!$QG$32:$QH$32</c:f>
              <c:numCache>
                <c:formatCode>General</c:formatCode>
                <c:ptCount val="2"/>
                <c:pt idx="0">
                  <c:v>0.66428571428571437</c:v>
                </c:pt>
                <c:pt idx="1">
                  <c:v>0.62142857142857144</c:v>
                </c:pt>
              </c:numCache>
            </c:numRef>
          </c:yVal>
          <c:smooth val="0"/>
        </c:ser>
        <c:ser>
          <c:idx val="25"/>
          <c:order val="2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FB_Pu'!$QJ$31:$QK$31</c:f>
              <c:numCache>
                <c:formatCode>0.0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'Bearing FB_Pu'!$QJ$32:$QK$32</c:f>
              <c:numCache>
                <c:formatCode>General</c:formatCode>
                <c:ptCount val="2"/>
                <c:pt idx="0">
                  <c:v>0.66428571428571437</c:v>
                </c:pt>
                <c:pt idx="1">
                  <c:v>0.62142857142857144</c:v>
                </c:pt>
              </c:numCache>
            </c:numRef>
          </c:yVal>
          <c:smooth val="0"/>
        </c:ser>
        <c:ser>
          <c:idx val="26"/>
          <c:order val="26"/>
          <c:tx>
            <c:strRef>
              <c:f>'Bearing FB_Pu'!$QJ$10</c:f>
              <c:strCache>
                <c:ptCount val="1"/>
                <c:pt idx="0">
                  <c:v>A = 1.4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7.7843284886456865E-2"/>
                  <c:y val="-2.36178843186988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FB_Pu'!$QL$10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'Bearing FB_Pu'!$QL$11</c:f>
              <c:numCache>
                <c:formatCode>General</c:formatCode>
                <c:ptCount val="1"/>
                <c:pt idx="0">
                  <c:v>0.6428571428571429</c:v>
                </c:pt>
              </c:numCache>
            </c:numRef>
          </c:yVal>
          <c:smooth val="0"/>
        </c:ser>
        <c:ser>
          <c:idx val="27"/>
          <c:order val="27"/>
          <c:tx>
            <c:strRef>
              <c:f>'Bearing FB_Pu'!$QJ$11</c:f>
              <c:strCache>
                <c:ptCount val="1"/>
                <c:pt idx="0">
                  <c:v>B = 1.4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6.6362081019670088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FB_Pu'!$QN$10</c:f>
              <c:numCache>
                <c:formatCode>General</c:formatCode>
                <c:ptCount val="1"/>
                <c:pt idx="0">
                  <c:v>-0.6428571428571429</c:v>
                </c:pt>
              </c:numCache>
            </c:numRef>
          </c:xVal>
          <c:yVal>
            <c:numRef>
              <c:f>'Bearing FB_Pu'!$QN$11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8"/>
          <c:order val="28"/>
          <c:tx>
            <c:strRef>
              <c:f>'Bearing FB_Pu'!$QY$25</c:f>
              <c:strCache>
                <c:ptCount val="1"/>
                <c:pt idx="0">
                  <c:v>b1 = 0.2</c:v>
                </c:pt>
              </c:strCache>
            </c:strRef>
          </c:tx>
          <c:marker>
            <c:symbol val="none"/>
          </c:marker>
          <c:dLbls>
            <c:txPr>
              <a:bodyPr rot="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FB_Pu'!$RB$25</c:f>
              <c:numCache>
                <c:formatCode>General</c:formatCode>
                <c:ptCount val="1"/>
                <c:pt idx="0">
                  <c:v>0.6428571428571429</c:v>
                </c:pt>
              </c:numCache>
            </c:numRef>
          </c:xVal>
          <c:yVal>
            <c:numRef>
              <c:f>'Bearing FB_Pu'!$RB$26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9"/>
          <c:order val="29"/>
          <c:tx>
            <c:strRef>
              <c:f>'Bearing FB_Pu'!$QY$26</c:f>
              <c:strCache>
                <c:ptCount val="1"/>
                <c:pt idx="0">
                  <c:v>d/2 = 0.1085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FB_Pu'!$RD$25</c:f>
              <c:numCache>
                <c:formatCode>General</c:formatCode>
                <c:ptCount val="1"/>
                <c:pt idx="0">
                  <c:v>0.6428571428571429</c:v>
                </c:pt>
              </c:numCache>
            </c:numRef>
          </c:xVal>
          <c:yVal>
            <c:numRef>
              <c:f>'Bearing FB_Pu'!$RD$26</c:f>
              <c:numCache>
                <c:formatCode>General</c:formatCode>
                <c:ptCount val="1"/>
                <c:pt idx="0">
                  <c:v>0.11017857142857143</c:v>
                </c:pt>
              </c:numCache>
            </c:numRef>
          </c:yVal>
          <c:smooth val="0"/>
        </c:ser>
        <c:ser>
          <c:idx val="30"/>
          <c:order val="30"/>
          <c:tx>
            <c:strRef>
              <c:f>'Bearing FB_Pu'!$QY$26</c:f>
              <c:strCache>
                <c:ptCount val="1"/>
                <c:pt idx="0">
                  <c:v>d/2 = 0.1085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FB_Pu'!$RF$25</c:f>
              <c:numCache>
                <c:formatCode>General</c:formatCode>
                <c:ptCount val="1"/>
                <c:pt idx="0">
                  <c:v>0.6428571428571429</c:v>
                </c:pt>
              </c:numCache>
            </c:numRef>
          </c:xVal>
          <c:yVal>
            <c:numRef>
              <c:f>'Bearing FB_Pu'!$RF$26</c:f>
              <c:numCache>
                <c:formatCode>General</c:formatCode>
                <c:ptCount val="1"/>
                <c:pt idx="0">
                  <c:v>-0.11017857142857143</c:v>
                </c:pt>
              </c:numCache>
            </c:numRef>
          </c:yVal>
          <c:smooth val="0"/>
        </c:ser>
        <c:ser>
          <c:idx val="31"/>
          <c:order val="31"/>
          <c:tx>
            <c:strRef>
              <c:f>'Bearing FB_Pu'!$QY$22</c:f>
              <c:strCache>
                <c:ptCount val="1"/>
                <c:pt idx="0">
                  <c:v>a1 = 0.2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8.4548986917998864E-2"/>
                  <c:y val="-2.36178843186988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FB_Pu'!$RB$22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'Bearing FB_Pu'!$RB$23</c:f>
              <c:numCache>
                <c:formatCode>0.0</c:formatCode>
                <c:ptCount val="1"/>
                <c:pt idx="0">
                  <c:v>-0.64285714285714279</c:v>
                </c:pt>
              </c:numCache>
            </c:numRef>
          </c:yVal>
          <c:smooth val="0"/>
        </c:ser>
        <c:ser>
          <c:idx val="32"/>
          <c:order val="32"/>
          <c:tx>
            <c:strRef>
              <c:f>'Bearing FB_Pu'!$QY$21</c:f>
              <c:strCache>
                <c:ptCount val="1"/>
                <c:pt idx="0">
                  <c:v>d = 0.217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9.2703949697711216E-2"/>
                  <c:y val="2.361815669970102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FB_Pu'!$RD$22</c:f>
              <c:numCache>
                <c:formatCode>0.0</c:formatCode>
                <c:ptCount val="1"/>
                <c:pt idx="0">
                  <c:v>-0.14892857142857144</c:v>
                </c:pt>
              </c:numCache>
            </c:numRef>
          </c:xVal>
          <c:yVal>
            <c:numRef>
              <c:f>'Bearing FB_Pu'!$RD$23</c:f>
              <c:numCache>
                <c:formatCode>0.0</c:formatCode>
                <c:ptCount val="1"/>
                <c:pt idx="0">
                  <c:v>-0.64285714285714279</c:v>
                </c:pt>
              </c:numCache>
            </c:numRef>
          </c:yVal>
          <c:smooth val="0"/>
        </c:ser>
        <c:ser>
          <c:idx val="33"/>
          <c:order val="33"/>
          <c:tx>
            <c:strRef>
              <c:f>'Bearing FB_Pu'!$QY$23</c:f>
              <c:strCache>
                <c:ptCount val="1"/>
                <c:pt idx="0">
                  <c:v>d/2 = 0.1085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0.1136745342422165"/>
                  <c:y val="2.361815669970102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FB_Pu'!$RF$22</c:f>
              <c:numCache>
                <c:formatCode>General</c:formatCode>
                <c:ptCount val="1"/>
                <c:pt idx="0">
                  <c:v>0.11017857142857143</c:v>
                </c:pt>
              </c:numCache>
            </c:numRef>
          </c:xVal>
          <c:yVal>
            <c:numRef>
              <c:f>'Bearing FB_Pu'!$RF$23</c:f>
              <c:numCache>
                <c:formatCode>0.0</c:formatCode>
                <c:ptCount val="1"/>
                <c:pt idx="0">
                  <c:v>-0.64285714285714279</c:v>
                </c:pt>
              </c:numCache>
            </c:numRef>
          </c:yVal>
          <c:smooth val="0"/>
        </c:ser>
        <c:ser>
          <c:idx val="34"/>
          <c:order val="34"/>
          <c:tx>
            <c:strRef>
              <c:f>'Bearing FB_Pu'!$QJ$19</c:f>
              <c:strCache>
                <c:ptCount val="1"/>
                <c:pt idx="0">
                  <c:v>0.417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6.5855091851871814E-2"/>
                  <c:y val="-2.282225941130839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FF0000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FB_Pu'!$QL$19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'Bearing FB_Pu'!$QL$20</c:f>
              <c:numCache>
                <c:formatCode>General</c:formatCode>
                <c:ptCount val="1"/>
                <c:pt idx="0">
                  <c:v>0.14892857142857144</c:v>
                </c:pt>
              </c:numCache>
            </c:numRef>
          </c:yVal>
          <c:smooth val="0"/>
        </c:ser>
        <c:ser>
          <c:idx val="35"/>
          <c:order val="35"/>
          <c:tx>
            <c:strRef>
              <c:f>'Bearing FB_Pu'!$QJ$20</c:f>
              <c:strCache>
                <c:ptCount val="1"/>
                <c:pt idx="0">
                  <c:v>0.417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1.7786636549829472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FF0000"/>
                    </a:solidFill>
                  </a:defRPr>
                </a:pPr>
                <a:endParaRPr lang="th-TH"/>
              </a:p>
            </c:txPr>
            <c:dLblPos val="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FB_Pu'!$QN$19</c:f>
              <c:numCache>
                <c:formatCode>General</c:formatCode>
                <c:ptCount val="1"/>
                <c:pt idx="0">
                  <c:v>0.14892857142857144</c:v>
                </c:pt>
              </c:numCache>
            </c:numRef>
          </c:xVal>
          <c:yVal>
            <c:numRef>
              <c:f>'Bearing FB_Pu'!$QN$20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6"/>
          <c:order val="36"/>
          <c:tx>
            <c:v>X</c:v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FB_Pu'!$QQ$10</c:f>
              <c:numCache>
                <c:formatCode>General</c:formatCode>
                <c:ptCount val="1"/>
                <c:pt idx="0">
                  <c:v>0.8</c:v>
                </c:pt>
              </c:numCache>
            </c:numRef>
          </c:xVal>
          <c:yVal>
            <c:numRef>
              <c:f>'Bearing FB_Pu'!$QQ$11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7"/>
          <c:order val="37"/>
          <c:tx>
            <c:v>Y</c:v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FB_Pu'!$QS$10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'Bearing FB_Pu'!$QS$11</c:f>
              <c:numCache>
                <c:formatCode>General</c:formatCode>
                <c:ptCount val="1"/>
                <c:pt idx="0">
                  <c:v>0.8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243008"/>
        <c:axId val="275243584"/>
      </c:scatterChart>
      <c:valAx>
        <c:axId val="275243008"/>
        <c:scaling>
          <c:orientation val="minMax"/>
          <c:max val="0.8"/>
          <c:min val="-0.8"/>
        </c:scaling>
        <c:delete val="0"/>
        <c:axPos val="b"/>
        <c:numFmt formatCode="0.0" sourceLinked="1"/>
        <c:majorTickMark val="none"/>
        <c:minorTickMark val="none"/>
        <c:tickLblPos val="none"/>
        <c:spPr>
          <a:ln w="6350">
            <a:solidFill>
              <a:schemeClr val="bg1">
                <a:lumMod val="75000"/>
              </a:schemeClr>
            </a:solidFill>
            <a:prstDash val="lgDashDot"/>
          </a:ln>
        </c:spPr>
        <c:crossAx val="275243584"/>
        <c:crosses val="autoZero"/>
        <c:crossBetween val="midCat"/>
        <c:majorUnit val="0.2"/>
        <c:minorUnit val="0.05"/>
      </c:valAx>
      <c:valAx>
        <c:axId val="275243584"/>
        <c:scaling>
          <c:orientation val="minMax"/>
          <c:max val="0.8"/>
          <c:min val="-0.8"/>
        </c:scaling>
        <c:delete val="0"/>
        <c:axPos val="l"/>
        <c:numFmt formatCode="0.0" sourceLinked="1"/>
        <c:majorTickMark val="none"/>
        <c:minorTickMark val="none"/>
        <c:tickLblPos val="none"/>
        <c:spPr>
          <a:ln w="6350">
            <a:solidFill>
              <a:schemeClr val="bg1">
                <a:lumMod val="75000"/>
              </a:schemeClr>
            </a:solidFill>
            <a:prstDash val="lgDashDot"/>
          </a:ln>
        </c:spPr>
        <c:crossAx val="275243008"/>
        <c:crosses val="autoZero"/>
        <c:crossBetween val="midCat"/>
        <c:majorUnit val="0.2"/>
        <c:minorUnit val="0.05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377" l="0.70000000000000062" r="0.70000000000000062" t="0.75000000000000377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'Bearing FB_Pu'!$QD$36:$QI$36</c:f>
              <c:numCache>
                <c:formatCode>0.0</c:formatCode>
                <c:ptCount val="6"/>
                <c:pt idx="0" formatCode="General">
                  <c:v>-7.1428571428571438E-2</c:v>
                </c:pt>
                <c:pt idx="1">
                  <c:v>-0.5</c:v>
                </c:pt>
                <c:pt idx="2">
                  <c:v>-0.5</c:v>
                </c:pt>
                <c:pt idx="3">
                  <c:v>0.5</c:v>
                </c:pt>
                <c:pt idx="4">
                  <c:v>0.5</c:v>
                </c:pt>
                <c:pt idx="5" formatCode="General">
                  <c:v>7.1428571428571438E-2</c:v>
                </c:pt>
              </c:numCache>
            </c:numRef>
          </c:xVal>
          <c:yVal>
            <c:numRef>
              <c:f>'Bearing FB_Pu'!$QD$37:$QI$37</c:f>
              <c:numCache>
                <c:formatCode>General</c:formatCode>
                <c:ptCount val="6"/>
                <c:pt idx="0">
                  <c:v>0.2142857142857143</c:v>
                </c:pt>
                <c:pt idx="1">
                  <c:v>0.2142857142857143</c:v>
                </c:pt>
                <c:pt idx="2">
                  <c:v>0</c:v>
                </c:pt>
                <c:pt idx="3">
                  <c:v>0</c:v>
                </c:pt>
                <c:pt idx="4">
                  <c:v>0.2142857142857143</c:v>
                </c:pt>
                <c:pt idx="5">
                  <c:v>0.2142857142857143</c:v>
                </c:pt>
              </c:numCache>
            </c:numRef>
          </c:yVal>
          <c:smooth val="0"/>
        </c:ser>
        <c:ser>
          <c:idx val="1"/>
          <c:order val="1"/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'Bearing FB_Pu'!$QD$39:$QE$39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-7.1428571428571438E-2</c:v>
                </c:pt>
              </c:numCache>
            </c:numRef>
          </c:xVal>
          <c:yVal>
            <c:numRef>
              <c:f>'Bearing FB_Pu'!$QD$40:$QE$40</c:f>
              <c:numCache>
                <c:formatCode>General</c:formatCode>
                <c:ptCount val="2"/>
                <c:pt idx="0">
                  <c:v>0.2142857142857143</c:v>
                </c:pt>
                <c:pt idx="1">
                  <c:v>0.8</c:v>
                </c:pt>
              </c:numCache>
            </c:numRef>
          </c:yVal>
          <c:smooth val="0"/>
        </c:ser>
        <c:ser>
          <c:idx val="2"/>
          <c:order val="2"/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'Bearing FB_Pu'!$QG$39:$QH$39</c:f>
              <c:numCache>
                <c:formatCode>General</c:formatCode>
                <c:ptCount val="2"/>
                <c:pt idx="0">
                  <c:v>7.1428571428571438E-2</c:v>
                </c:pt>
                <c:pt idx="1">
                  <c:v>7.1428571428571438E-2</c:v>
                </c:pt>
              </c:numCache>
            </c:numRef>
          </c:xVal>
          <c:yVal>
            <c:numRef>
              <c:f>'Bearing FB_Pu'!$QG$40:$QH$40</c:f>
              <c:numCache>
                <c:formatCode>General</c:formatCode>
                <c:ptCount val="2"/>
                <c:pt idx="0">
                  <c:v>0.2142857142857143</c:v>
                </c:pt>
                <c:pt idx="1">
                  <c:v>0.8</c:v>
                </c:pt>
              </c:numCache>
            </c:numRef>
          </c:yVal>
          <c:smooth val="0"/>
        </c:ser>
        <c:ser>
          <c:idx val="3"/>
          <c:order val="3"/>
          <c:spPr>
            <a:ln w="9525">
              <a:solidFill>
                <a:prstClr val="black"/>
              </a:solidFill>
              <a:prstDash val="dash"/>
            </a:ln>
          </c:spPr>
          <c:marker>
            <c:symbol val="none"/>
          </c:marker>
          <c:xVal>
            <c:numRef>
              <c:f>'Bearing FB_Pu'!$QJ$39:$QK$39</c:f>
              <c:numCache>
                <c:formatCode>General</c:formatCode>
                <c:ptCount val="2"/>
                <c:pt idx="0">
                  <c:v>-0.14285714285714288</c:v>
                </c:pt>
                <c:pt idx="1">
                  <c:v>0.14285714285714288</c:v>
                </c:pt>
              </c:numCache>
            </c:numRef>
          </c:xVal>
          <c:yVal>
            <c:numRef>
              <c:f>'Bearing FB_Pu'!$QJ$40:$QK$40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'Bearing FB_Pu'!$QC$8:$QE$8</c:f>
              <c:strCache>
                <c:ptCount val="1"/>
                <c:pt idx="0">
                  <c:v>0.30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FB_Pu'!$QD$42:$QE$42</c:f>
              <c:numCache>
                <c:formatCode>General</c:formatCode>
                <c:ptCount val="2"/>
                <c:pt idx="0">
                  <c:v>-0.6428571428571429</c:v>
                </c:pt>
                <c:pt idx="1">
                  <c:v>-0.6428571428571429</c:v>
                </c:pt>
              </c:numCache>
            </c:numRef>
          </c:xVal>
          <c:yVal>
            <c:numRef>
              <c:f>'Bearing FB_Pu'!$QD$43:$QE$43</c:f>
              <c:numCache>
                <c:formatCode>General</c:formatCode>
                <c:ptCount val="2"/>
                <c:pt idx="0">
                  <c:v>0</c:v>
                </c:pt>
                <c:pt idx="1">
                  <c:v>0.2142857142857143</c:v>
                </c:pt>
              </c:numCache>
            </c:numRef>
          </c:yVal>
          <c:smooth val="0"/>
        </c:ser>
        <c:ser>
          <c:idx val="5"/>
          <c:order val="5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FB_Pu'!$QD$45:$QE$45</c:f>
              <c:numCache>
                <c:formatCode>0.0</c:formatCode>
                <c:ptCount val="2"/>
                <c:pt idx="0" formatCode="General">
                  <c:v>7.1428571428571438E-2</c:v>
                </c:pt>
                <c:pt idx="1">
                  <c:v>0.5</c:v>
                </c:pt>
              </c:numCache>
            </c:numRef>
          </c:xVal>
          <c:yVal>
            <c:numRef>
              <c:f>'Bearing FB_Pu'!$QD$46:$QE$46</c:f>
              <c:numCache>
                <c:formatCode>General</c:formatCode>
                <c:ptCount val="2"/>
                <c:pt idx="0">
                  <c:v>0.35714285714285721</c:v>
                </c:pt>
                <c:pt idx="1">
                  <c:v>0.35714285714285721</c:v>
                </c:pt>
              </c:numCache>
            </c:numRef>
          </c:yVal>
          <c:smooth val="0"/>
        </c:ser>
        <c:ser>
          <c:idx val="7"/>
          <c:order val="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FB_Pu'!$QG$42:$QH$42</c:f>
              <c:numCache>
                <c:formatCode>General</c:formatCode>
                <c:ptCount val="2"/>
                <c:pt idx="0">
                  <c:v>-0.66428571428571437</c:v>
                </c:pt>
                <c:pt idx="1">
                  <c:v>-0.62142857142857144</c:v>
                </c:pt>
              </c:numCache>
            </c:numRef>
          </c:xVal>
          <c:yVal>
            <c:numRef>
              <c:f>'Bearing FB_Pu'!$QG$43:$QH$43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8"/>
          <c:order val="7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FB_Pu'!$QJ$42:$QK$42</c:f>
              <c:numCache>
                <c:formatCode>General</c:formatCode>
                <c:ptCount val="2"/>
                <c:pt idx="0">
                  <c:v>-0.66428571428571437</c:v>
                </c:pt>
                <c:pt idx="1">
                  <c:v>-0.62142857142857144</c:v>
                </c:pt>
              </c:numCache>
            </c:numRef>
          </c:xVal>
          <c:yVal>
            <c:numRef>
              <c:f>'Bearing FB_Pu'!$QJ$43:$QK$43</c:f>
              <c:numCache>
                <c:formatCode>General</c:formatCode>
                <c:ptCount val="2"/>
                <c:pt idx="0">
                  <c:v>0.2142857142857143</c:v>
                </c:pt>
                <c:pt idx="1">
                  <c:v>0.2142857142857143</c:v>
                </c:pt>
              </c:numCache>
            </c:numRef>
          </c:yVal>
          <c:smooth val="0"/>
        </c:ser>
        <c:ser>
          <c:idx val="6"/>
          <c:order val="8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FB_Pu'!$QG$45:$QH$45</c:f>
              <c:numCache>
                <c:formatCode>0.0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'Bearing FB_Pu'!$QG$46:$QH$46</c:f>
              <c:numCache>
                <c:formatCode>General</c:formatCode>
                <c:ptCount val="2"/>
                <c:pt idx="0">
                  <c:v>0.37857142857142861</c:v>
                </c:pt>
                <c:pt idx="1">
                  <c:v>0.3357142857142858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'Bearing FB_Pu'!$QM$42</c:f>
              <c:strCache>
                <c:ptCount val="1"/>
                <c:pt idx="0">
                  <c:v>T = 0.3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6.6362081019670088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FB_Pu'!$QO$42</c:f>
              <c:numCache>
                <c:formatCode>General</c:formatCode>
                <c:ptCount val="1"/>
                <c:pt idx="0">
                  <c:v>-0.6428571428571429</c:v>
                </c:pt>
              </c:numCache>
            </c:numRef>
          </c:xVal>
          <c:yVal>
            <c:numRef>
              <c:f>'Bearing FB_Pu'!$QO$43</c:f>
              <c:numCache>
                <c:formatCode>General</c:formatCode>
                <c:ptCount val="1"/>
                <c:pt idx="0">
                  <c:v>0.10714285714285715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'Bearing FB_Pu'!$QM$45</c:f>
              <c:strCache>
                <c:ptCount val="1"/>
                <c:pt idx="0">
                  <c:v>X = 0.6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7.7576625390465684E-2"/>
                  <c:y val="-2.986166906993139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FB_Pu'!$QO$45</c:f>
              <c:numCache>
                <c:formatCode>General</c:formatCode>
                <c:ptCount val="1"/>
                <c:pt idx="0">
                  <c:v>0.2857142857142857</c:v>
                </c:pt>
              </c:numCache>
            </c:numRef>
          </c:xVal>
          <c:yVal>
            <c:numRef>
              <c:f>'Bearing FB_Pu'!$QO$46</c:f>
              <c:numCache>
                <c:formatCode>General</c:formatCode>
                <c:ptCount val="1"/>
                <c:pt idx="0">
                  <c:v>0.35714285714285721</c:v>
                </c:pt>
              </c:numCache>
            </c:numRef>
          </c:yVal>
          <c:smooth val="0"/>
        </c:ser>
        <c:ser>
          <c:idx val="11"/>
          <c:order val="11"/>
          <c:tx>
            <c:strRef>
              <c:f>'Bearing FB_Pu'!$QR$48</c:f>
              <c:strCache>
                <c:ptCount val="1"/>
                <c:pt idx="0">
                  <c:v>10000  kg/sq.m.</c:v>
                </c:pt>
              </c:strCache>
            </c:strRef>
          </c:tx>
          <c:spPr>
            <a:ln w="6350">
              <a:solidFill>
                <a:srgbClr val="FF00FF"/>
              </a:solidFill>
              <a:headEnd type="arrow" w="med" len="sm"/>
              <a:tailEnd type="none"/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FF00FF"/>
                </a:solidFill>
                <a:headEnd type="none" w="med" len="sm"/>
                <a:tailEnd type="none"/>
              </a:ln>
            </c:spPr>
          </c:dPt>
          <c:dPt>
            <c:idx val="3"/>
            <c:bubble3D val="0"/>
            <c:spPr>
              <a:ln w="6350">
                <a:solidFill>
                  <a:srgbClr val="FF00FF"/>
                </a:solidFill>
                <a:headEnd type="none" w="med" len="sm"/>
                <a:tailEnd type="arrow" w="med" len="sm"/>
              </a:ln>
            </c:spPr>
          </c:dPt>
          <c:xVal>
            <c:numRef>
              <c:f>'Bearing FB_Pu'!$QD$48:$QG$48</c:f>
              <c:numCache>
                <c:formatCode>General</c:formatCode>
                <c:ptCount val="4"/>
                <c:pt idx="0" formatCode="0.0">
                  <c:v>-0.5</c:v>
                </c:pt>
                <c:pt idx="1">
                  <c:v>-0.5</c:v>
                </c:pt>
                <c:pt idx="2" formatCode="0.0">
                  <c:v>0.5</c:v>
                </c:pt>
                <c:pt idx="3" formatCode="0.0">
                  <c:v>0.5</c:v>
                </c:pt>
              </c:numCache>
            </c:numRef>
          </c:xVal>
          <c:yVal>
            <c:numRef>
              <c:f>'Bearing FB_Pu'!$QD$49:$QG$49</c:f>
              <c:numCache>
                <c:formatCode>General</c:formatCode>
                <c:ptCount val="4"/>
                <c:pt idx="0">
                  <c:v>0</c:v>
                </c:pt>
                <c:pt idx="1">
                  <c:v>-7.4999999999999997E-2</c:v>
                </c:pt>
                <c:pt idx="2">
                  <c:v>-7.4999999999999997E-2</c:v>
                </c:pt>
                <c:pt idx="3">
                  <c:v>0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'Bearing FB_Pu'!$QR$48</c:f>
              <c:strCache>
                <c:ptCount val="1"/>
                <c:pt idx="0">
                  <c:v>10000  kg/sq.m.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</a:defRPr>
                </a:pPr>
                <a:endParaRPr lang="th-TH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FB_Pu'!$QU$48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'Bearing FB_Pu'!$QU$49</c:f>
              <c:numCache>
                <c:formatCode>General</c:formatCode>
                <c:ptCount val="1"/>
                <c:pt idx="0">
                  <c:v>-7.4999999999999997E-2</c:v>
                </c:pt>
              </c:numCache>
            </c:numRef>
          </c:yVal>
          <c:smooth val="0"/>
        </c:ser>
        <c:ser>
          <c:idx val="13"/>
          <c:order val="13"/>
          <c:spPr>
            <a:ln w="6350">
              <a:solidFill>
                <a:srgbClr val="FF00FF"/>
              </a:solidFill>
              <a:headEnd type="arrow" w="med" len="sm"/>
            </a:ln>
          </c:spPr>
          <c:marker>
            <c:symbol val="none"/>
          </c:marker>
          <c:xVal>
            <c:numRef>
              <c:f>'Bearing FB_Pu'!$QI$48:$QJ$48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'Bearing FB_Pu'!$QI$49:$QJ$49</c:f>
              <c:numCache>
                <c:formatCode>General</c:formatCode>
                <c:ptCount val="2"/>
                <c:pt idx="0">
                  <c:v>0</c:v>
                </c:pt>
                <c:pt idx="1">
                  <c:v>-7.4999999999999997E-2</c:v>
                </c:pt>
              </c:numCache>
            </c:numRef>
          </c:yVal>
          <c:smooth val="0"/>
        </c:ser>
        <c:ser>
          <c:idx val="14"/>
          <c:order val="14"/>
          <c:spPr>
            <a:ln w="6350">
              <a:solidFill>
                <a:srgbClr val="FF00FF"/>
              </a:solidFill>
              <a:headEnd type="arrow" w="med" len="sm"/>
            </a:ln>
          </c:spPr>
          <c:marker>
            <c:symbol val="none"/>
          </c:marker>
          <c:xVal>
            <c:numRef>
              <c:f>'Bearing FB_Pu'!$QL$48:$QM$48</c:f>
              <c:numCache>
                <c:formatCode>General</c:formatCode>
                <c:ptCount val="2"/>
                <c:pt idx="0">
                  <c:v>-0.25</c:v>
                </c:pt>
                <c:pt idx="1">
                  <c:v>-0.25</c:v>
                </c:pt>
              </c:numCache>
            </c:numRef>
          </c:xVal>
          <c:yVal>
            <c:numRef>
              <c:f>'Bearing FB_Pu'!$QL$49:$QM$49</c:f>
              <c:numCache>
                <c:formatCode>General</c:formatCode>
                <c:ptCount val="2"/>
                <c:pt idx="0">
                  <c:v>0</c:v>
                </c:pt>
                <c:pt idx="1">
                  <c:v>-7.4999999999999997E-2</c:v>
                </c:pt>
              </c:numCache>
            </c:numRef>
          </c:yVal>
          <c:smooth val="0"/>
        </c:ser>
        <c:ser>
          <c:idx val="15"/>
          <c:order val="15"/>
          <c:spPr>
            <a:ln w="6350">
              <a:solidFill>
                <a:srgbClr val="FF00FF"/>
              </a:solidFill>
              <a:headEnd type="arrow" w="med" len="sm"/>
            </a:ln>
          </c:spPr>
          <c:marker>
            <c:symbol val="none"/>
          </c:marker>
          <c:xVal>
            <c:numRef>
              <c:f>'Bearing FB_Pu'!$QO$48:$QP$48</c:f>
              <c:numCache>
                <c:formatCode>General</c:formatCode>
                <c:ptCount val="2"/>
                <c:pt idx="0">
                  <c:v>0.25</c:v>
                </c:pt>
                <c:pt idx="1">
                  <c:v>0.25</c:v>
                </c:pt>
              </c:numCache>
            </c:numRef>
          </c:xVal>
          <c:yVal>
            <c:numRef>
              <c:f>'Bearing FB_Pu'!$QO$49:$QP$49</c:f>
              <c:numCache>
                <c:formatCode>General</c:formatCode>
                <c:ptCount val="2"/>
                <c:pt idx="0">
                  <c:v>0</c:v>
                </c:pt>
                <c:pt idx="1">
                  <c:v>-7.4999999999999997E-2</c:v>
                </c:pt>
              </c:numCache>
            </c:numRef>
          </c:yVal>
          <c:smooth val="0"/>
        </c:ser>
        <c:ser>
          <c:idx val="16"/>
          <c:order val="16"/>
          <c:spPr>
            <a:ln w="50800" cap="flat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'Bearing FB_Pu'!$QD$51:$QE$51</c:f>
              <c:numCache>
                <c:formatCode>0.0</c:formatCode>
                <c:ptCount val="2"/>
                <c:pt idx="0">
                  <c:v>-7.1428571428571438E-2</c:v>
                </c:pt>
                <c:pt idx="1">
                  <c:v>-0.5</c:v>
                </c:pt>
              </c:numCache>
            </c:numRef>
          </c:xVal>
          <c:yVal>
            <c:numRef>
              <c:f>'Bearing FB_Pu'!$QD$52:$QE$52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yVal>
          <c:smooth val="0"/>
        </c:ser>
        <c:ser>
          <c:idx val="17"/>
          <c:order val="17"/>
          <c:spPr>
            <a:ln w="50800" cap="flat">
              <a:solidFill>
                <a:srgbClr val="F79646">
                  <a:lumMod val="50000"/>
                </a:srgbClr>
              </a:solidFill>
            </a:ln>
          </c:spPr>
          <c:marker>
            <c:symbol val="none"/>
          </c:marker>
          <c:xVal>
            <c:numRef>
              <c:f>'Bearing FB_Pu'!$QG$51:$QH$51</c:f>
              <c:numCache>
                <c:formatCode>General</c:formatCode>
                <c:ptCount val="2"/>
                <c:pt idx="0" formatCode="0.0">
                  <c:v>0.5</c:v>
                </c:pt>
                <c:pt idx="1">
                  <c:v>7.1428571428571438E-2</c:v>
                </c:pt>
              </c:numCache>
            </c:numRef>
          </c:xVal>
          <c:yVal>
            <c:numRef>
              <c:f>'Bearing FB_Pu'!$QG$52:$QH$52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244736"/>
        <c:axId val="275245888"/>
      </c:scatterChart>
      <c:valAx>
        <c:axId val="275244736"/>
        <c:scaling>
          <c:orientation val="minMax"/>
          <c:max val="0.8"/>
          <c:min val="-0.8"/>
        </c:scaling>
        <c:delete val="1"/>
        <c:axPos val="b"/>
        <c:numFmt formatCode="General" sourceLinked="1"/>
        <c:majorTickMark val="none"/>
        <c:minorTickMark val="none"/>
        <c:tickLblPos val="none"/>
        <c:crossAx val="275245888"/>
        <c:crosses val="autoZero"/>
        <c:crossBetween val="midCat"/>
      </c:valAx>
      <c:valAx>
        <c:axId val="275245888"/>
        <c:scaling>
          <c:orientation val="minMax"/>
          <c:max val="0.9"/>
          <c:min val="-0.2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6350">
            <a:solidFill>
              <a:schemeClr val="bg1">
                <a:lumMod val="75000"/>
              </a:schemeClr>
            </a:solidFill>
            <a:prstDash val="lgDashDot"/>
          </a:ln>
        </c:spPr>
        <c:crossAx val="275244736"/>
        <c:crosses val="autoZero"/>
        <c:crossBetween val="midCat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'Bearing FB_Pu'!$QC$9</c:f>
              <c:strCache>
                <c:ptCount val="1"/>
                <c:pt idx="0">
                  <c:v>ฐานราก</c:v>
                </c:pt>
              </c:strCache>
            </c:strRef>
          </c:tx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'Bearing FB_Pu'!$QD$10:$QH$10</c:f>
              <c:numCache>
                <c:formatCode>0.0</c:formatCode>
                <c:ptCount val="5"/>
                <c:pt idx="0">
                  <c:v>-0.5</c:v>
                </c:pt>
                <c:pt idx="1">
                  <c:v>0.5</c:v>
                </c:pt>
                <c:pt idx="2">
                  <c:v>0.5</c:v>
                </c:pt>
                <c:pt idx="3">
                  <c:v>-0.5</c:v>
                </c:pt>
                <c:pt idx="4">
                  <c:v>-0.5</c:v>
                </c:pt>
              </c:numCache>
            </c:numRef>
          </c:xVal>
          <c:yVal>
            <c:numRef>
              <c:f>'Bearing FB_Pu'!$QD$11:$QH$11</c:f>
              <c:numCache>
                <c:formatCode>0.0</c:formatCode>
                <c:ptCount val="5"/>
                <c:pt idx="0">
                  <c:v>0.5</c:v>
                </c:pt>
                <c:pt idx="1">
                  <c:v>0.5</c:v>
                </c:pt>
                <c:pt idx="2">
                  <c:v>-0.5</c:v>
                </c:pt>
                <c:pt idx="3">
                  <c:v>-0.5</c:v>
                </c:pt>
                <c:pt idx="4">
                  <c:v>0.5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'Bearing FB_Pu'!$QC$12</c:f>
              <c:strCache>
                <c:ptCount val="1"/>
                <c:pt idx="0">
                  <c:v>เสา</c:v>
                </c:pt>
              </c:strCache>
            </c:strRef>
          </c:tx>
          <c:spPr>
            <a:ln w="2540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'Bearing FB_Pu'!$QD$13:$QH$13</c:f>
              <c:numCache>
                <c:formatCode>General</c:formatCode>
                <c:ptCount val="5"/>
                <c:pt idx="0">
                  <c:v>-7.1428571428571438E-2</c:v>
                </c:pt>
                <c:pt idx="1">
                  <c:v>7.1428571428571438E-2</c:v>
                </c:pt>
                <c:pt idx="2">
                  <c:v>7.1428571428571438E-2</c:v>
                </c:pt>
                <c:pt idx="3">
                  <c:v>-7.1428571428571438E-2</c:v>
                </c:pt>
                <c:pt idx="4">
                  <c:v>-7.1428571428571438E-2</c:v>
                </c:pt>
              </c:numCache>
            </c:numRef>
          </c:xVal>
          <c:yVal>
            <c:numRef>
              <c:f>'Bearing FB_Pu'!$QD$14:$QH$14</c:f>
              <c:numCache>
                <c:formatCode>General</c:formatCode>
                <c:ptCount val="5"/>
                <c:pt idx="0">
                  <c:v>7.1428571428571438E-2</c:v>
                </c:pt>
                <c:pt idx="1">
                  <c:v>7.1428571428571438E-2</c:v>
                </c:pt>
                <c:pt idx="2">
                  <c:v>-7.1428571428571438E-2</c:v>
                </c:pt>
                <c:pt idx="3">
                  <c:v>-7.1428571428571438E-2</c:v>
                </c:pt>
                <c:pt idx="4">
                  <c:v>7.1428571428571438E-2</c:v>
                </c:pt>
              </c:numCache>
            </c:numRef>
          </c:yVal>
          <c:smooth val="0"/>
        </c:ser>
        <c:ser>
          <c:idx val="2"/>
          <c:order val="2"/>
          <c:spPr>
            <a:ln w="2540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'Bearing FB_Pu'!$QJ$13:$QK$13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7.1428571428571438E-2</c:v>
                </c:pt>
              </c:numCache>
            </c:numRef>
          </c:xVal>
          <c:yVal>
            <c:numRef>
              <c:f>'Bearing FB_Pu'!$QJ$14:$QK$14</c:f>
              <c:numCache>
                <c:formatCode>General</c:formatCode>
                <c:ptCount val="2"/>
                <c:pt idx="0">
                  <c:v>7.1428571428571438E-2</c:v>
                </c:pt>
                <c:pt idx="1">
                  <c:v>-7.1428571428571438E-2</c:v>
                </c:pt>
              </c:numCache>
            </c:numRef>
          </c:yVal>
          <c:smooth val="0"/>
        </c:ser>
        <c:ser>
          <c:idx val="3"/>
          <c:order val="3"/>
          <c:spPr>
            <a:ln w="2540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'Bearing FB_Pu'!$QM$13:$QN$13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7.1428571428571438E-2</c:v>
                </c:pt>
              </c:numCache>
            </c:numRef>
          </c:xVal>
          <c:yVal>
            <c:numRef>
              <c:f>'Bearing FB_Pu'!$QM$14:$QN$14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7.1428571428571438E-2</c:v>
                </c:pt>
              </c:numCache>
            </c:numRef>
          </c:yVal>
          <c:smooth val="0"/>
        </c:ser>
        <c:ser>
          <c:idx val="20"/>
          <c:order val="4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FB_Pu'!$QD$28:$QE$28</c:f>
              <c:numCache>
                <c:formatCode>General</c:formatCode>
                <c:ptCount val="2"/>
                <c:pt idx="0">
                  <c:v>-0.6428571428571429</c:v>
                </c:pt>
                <c:pt idx="1">
                  <c:v>-0.6428571428571429</c:v>
                </c:pt>
              </c:numCache>
            </c:numRef>
          </c:xVal>
          <c:yVal>
            <c:numRef>
              <c:f>'Bearing FB_Pu'!$QD$29:$QE$29</c:f>
              <c:numCache>
                <c:formatCode>0.0</c:formatCode>
                <c:ptCount val="2"/>
                <c:pt idx="0">
                  <c:v>0.5</c:v>
                </c:pt>
                <c:pt idx="1">
                  <c:v>-0.5</c:v>
                </c:pt>
              </c:numCache>
            </c:numRef>
          </c:yVal>
          <c:smooth val="0"/>
        </c:ser>
        <c:ser>
          <c:idx val="21"/>
          <c:order val="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FB_Pu'!$QG$28:$QH$28</c:f>
              <c:numCache>
                <c:formatCode>General</c:formatCode>
                <c:ptCount val="2"/>
                <c:pt idx="0">
                  <c:v>-0.66428571428571437</c:v>
                </c:pt>
                <c:pt idx="1">
                  <c:v>-0.62142857142857144</c:v>
                </c:pt>
              </c:numCache>
            </c:numRef>
          </c:xVal>
          <c:yVal>
            <c:numRef>
              <c:f>'Bearing FB_Pu'!$QG$29:$QH$29</c:f>
              <c:numCache>
                <c:formatCode>0.0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</c:ser>
        <c:ser>
          <c:idx val="22"/>
          <c:order val="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FB_Pu'!$QJ$28:$QK$28</c:f>
              <c:numCache>
                <c:formatCode>General</c:formatCode>
                <c:ptCount val="2"/>
                <c:pt idx="0">
                  <c:v>-0.66428571428571437</c:v>
                </c:pt>
                <c:pt idx="1">
                  <c:v>-0.62142857142857144</c:v>
                </c:pt>
              </c:numCache>
            </c:numRef>
          </c:xVal>
          <c:yVal>
            <c:numRef>
              <c:f>'Bearing FB_Pu'!$QJ$29:$QK$29</c:f>
              <c:numCache>
                <c:formatCode>0.0</c:formatCode>
                <c:ptCount val="2"/>
                <c:pt idx="0">
                  <c:v>-0.5</c:v>
                </c:pt>
                <c:pt idx="1">
                  <c:v>-0.5</c:v>
                </c:pt>
              </c:numCache>
            </c:numRef>
          </c:yVal>
          <c:smooth val="0"/>
        </c:ser>
        <c:ser>
          <c:idx val="23"/>
          <c:order val="7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FB_Pu'!$QD$31:$QE$31</c:f>
              <c:numCache>
                <c:formatCode>0.0</c:formatCode>
                <c:ptCount val="2"/>
                <c:pt idx="0">
                  <c:v>-0.5</c:v>
                </c:pt>
                <c:pt idx="1">
                  <c:v>0.5</c:v>
                </c:pt>
              </c:numCache>
            </c:numRef>
          </c:xVal>
          <c:yVal>
            <c:numRef>
              <c:f>'Bearing FB_Pu'!$QD$32:$QE$32</c:f>
              <c:numCache>
                <c:formatCode>General</c:formatCode>
                <c:ptCount val="2"/>
                <c:pt idx="0">
                  <c:v>0.6428571428571429</c:v>
                </c:pt>
                <c:pt idx="1">
                  <c:v>0.6428571428571429</c:v>
                </c:pt>
              </c:numCache>
            </c:numRef>
          </c:yVal>
          <c:smooth val="0"/>
        </c:ser>
        <c:ser>
          <c:idx val="24"/>
          <c:order val="8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FB_Pu'!$QG$31:$QH$31</c:f>
              <c:numCache>
                <c:formatCode>0.0</c:formatCode>
                <c:ptCount val="2"/>
                <c:pt idx="0">
                  <c:v>-0.5</c:v>
                </c:pt>
                <c:pt idx="1">
                  <c:v>-0.5</c:v>
                </c:pt>
              </c:numCache>
            </c:numRef>
          </c:xVal>
          <c:yVal>
            <c:numRef>
              <c:f>'Bearing FB_Pu'!$QG$32:$QH$32</c:f>
              <c:numCache>
                <c:formatCode>General</c:formatCode>
                <c:ptCount val="2"/>
                <c:pt idx="0">
                  <c:v>0.66428571428571437</c:v>
                </c:pt>
                <c:pt idx="1">
                  <c:v>0.62142857142857144</c:v>
                </c:pt>
              </c:numCache>
            </c:numRef>
          </c:yVal>
          <c:smooth val="0"/>
        </c:ser>
        <c:ser>
          <c:idx val="25"/>
          <c:order val="9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FB_Pu'!$QJ$31:$QK$31</c:f>
              <c:numCache>
                <c:formatCode>0.0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'Bearing FB_Pu'!$QJ$32:$QK$32</c:f>
              <c:numCache>
                <c:formatCode>General</c:formatCode>
                <c:ptCount val="2"/>
                <c:pt idx="0">
                  <c:v>0.66428571428571437</c:v>
                </c:pt>
                <c:pt idx="1">
                  <c:v>0.62142857142857144</c:v>
                </c:pt>
              </c:numCache>
            </c:numRef>
          </c:yVal>
          <c:smooth val="0"/>
        </c:ser>
        <c:ser>
          <c:idx val="26"/>
          <c:order val="10"/>
          <c:tx>
            <c:strRef>
              <c:f>'Bearing FB_Pu'!$QC$3:$QE$3</c:f>
              <c:strCache>
                <c:ptCount val="1"/>
                <c:pt idx="0">
                  <c:v>1.40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5.7940178639453874E-2"/>
                  <c:y val="-2.282225941130839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FB_Pu'!$QL$10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'Bearing FB_Pu'!$QL$11</c:f>
              <c:numCache>
                <c:formatCode>General</c:formatCode>
                <c:ptCount val="1"/>
                <c:pt idx="0">
                  <c:v>0.6428571428571429</c:v>
                </c:pt>
              </c:numCache>
            </c:numRef>
          </c:yVal>
          <c:smooth val="0"/>
        </c:ser>
        <c:ser>
          <c:idx val="27"/>
          <c:order val="11"/>
          <c:tx>
            <c:strRef>
              <c:f>'Bearing FB_Pu'!$QC$4:$QE$4</c:f>
              <c:strCache>
                <c:ptCount val="1"/>
                <c:pt idx="0">
                  <c:v>1.40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6.4725710457085778E-2"/>
                  <c:y val="-6.3418644058463362E-17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FB_Pu'!$QN$10</c:f>
              <c:numCache>
                <c:formatCode>General</c:formatCode>
                <c:ptCount val="1"/>
                <c:pt idx="0">
                  <c:v>-0.6428571428571429</c:v>
                </c:pt>
              </c:numCache>
            </c:numRef>
          </c:xVal>
          <c:yVal>
            <c:numRef>
              <c:f>'Bearing FB_Pu'!$QN$11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4"/>
          <c:order val="12"/>
          <c:tx>
            <c:strRef>
              <c:f>'Bearing FB_Pu'!$QJ$19</c:f>
              <c:strCache>
                <c:ptCount val="1"/>
                <c:pt idx="0">
                  <c:v>0.417</c:v>
                </c:pt>
              </c:strCache>
            </c:strRef>
          </c:tx>
          <c:marker>
            <c:symbol val="none"/>
          </c:marker>
          <c:xVal>
            <c:numRef>
              <c:f>'Bearing FB_Pu'!$QL$19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'Bearing FB_Pu'!$QL$20</c:f>
              <c:numCache>
                <c:formatCode>General</c:formatCode>
                <c:ptCount val="1"/>
                <c:pt idx="0">
                  <c:v>0.14892857142857144</c:v>
                </c:pt>
              </c:numCache>
            </c:numRef>
          </c:yVal>
          <c:smooth val="0"/>
        </c:ser>
        <c:ser>
          <c:idx val="35"/>
          <c:order val="13"/>
          <c:tx>
            <c:strRef>
              <c:f>'Bearing FB_Pu'!$QJ$20</c:f>
              <c:strCache>
                <c:ptCount val="1"/>
                <c:pt idx="0">
                  <c:v>0.417</c:v>
                </c:pt>
              </c:strCache>
            </c:strRef>
          </c:tx>
          <c:marker>
            <c:symbol val="none"/>
          </c:marker>
          <c:xVal>
            <c:numRef>
              <c:f>'Bearing FB_Pu'!$QN$19</c:f>
              <c:numCache>
                <c:formatCode>General</c:formatCode>
                <c:ptCount val="1"/>
                <c:pt idx="0">
                  <c:v>0.14892857142857144</c:v>
                </c:pt>
              </c:numCache>
            </c:numRef>
          </c:xVal>
          <c:yVal>
            <c:numRef>
              <c:f>'Bearing FB_Pu'!$QN$20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4"/>
          <c:order val="14"/>
          <c:spPr>
            <a:ln w="19050" cap="flat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'Bearing FB_Pu'!$QD$84:$QE$84</c:f>
              <c:numCache>
                <c:formatCode>0.0</c:formatCode>
                <c:ptCount val="2"/>
                <c:pt idx="0">
                  <c:v>-0.4464285714285714</c:v>
                </c:pt>
                <c:pt idx="1">
                  <c:v>0.4464285714285714</c:v>
                </c:pt>
              </c:numCache>
            </c:numRef>
          </c:xVal>
          <c:yVal>
            <c:numRef>
              <c:f>'Bearing FB_Pu'!$QD$85:$QE$85</c:f>
              <c:numCache>
                <c:formatCode>General</c:formatCode>
                <c:ptCount val="2"/>
                <c:pt idx="0">
                  <c:v>0.25</c:v>
                </c:pt>
                <c:pt idx="1">
                  <c:v>0.25</c:v>
                </c:pt>
              </c:numCache>
            </c:numRef>
          </c:yVal>
          <c:smooth val="0"/>
        </c:ser>
        <c:ser>
          <c:idx val="5"/>
          <c:order val="15"/>
          <c:spPr>
            <a:ln w="19050" cap="flat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'Bearing FB_Pu'!$QG$84:$QH$84</c:f>
              <c:numCache>
                <c:formatCode>General</c:formatCode>
                <c:ptCount val="2"/>
                <c:pt idx="0">
                  <c:v>-0.25</c:v>
                </c:pt>
                <c:pt idx="1">
                  <c:v>-0.25</c:v>
                </c:pt>
              </c:numCache>
            </c:numRef>
          </c:xVal>
          <c:yVal>
            <c:numRef>
              <c:f>'Bearing FB_Pu'!$QG$85:$QH$85</c:f>
              <c:numCache>
                <c:formatCode>General</c:formatCode>
                <c:ptCount val="2"/>
                <c:pt idx="0">
                  <c:v>0.4464285714285714</c:v>
                </c:pt>
                <c:pt idx="1">
                  <c:v>-0.4464285714285714</c:v>
                </c:pt>
              </c:numCache>
            </c:numRef>
          </c:yVal>
          <c:smooth val="0"/>
        </c:ser>
        <c:ser>
          <c:idx val="6"/>
          <c:order val="16"/>
          <c:spPr>
            <a:ln w="6350">
              <a:solidFill>
                <a:srgbClr val="008000"/>
              </a:solidFill>
              <a:headEnd type="arrow" w="sm" len="sm"/>
              <a:tailEnd type="arrow" w="sm" len="sm"/>
            </a:ln>
          </c:spPr>
          <c:marker>
            <c:symbol val="none"/>
          </c:marker>
          <c:xVal>
            <c:numRef>
              <c:f>'Bearing FB_Pu'!$QK$84:$QL$84</c:f>
              <c:numCache>
                <c:formatCode>0.0</c:formatCode>
                <c:ptCount val="2"/>
                <c:pt idx="0">
                  <c:v>-0.4464285714285714</c:v>
                </c:pt>
                <c:pt idx="1">
                  <c:v>0.4464285714285714</c:v>
                </c:pt>
              </c:numCache>
            </c:numRef>
          </c:xVal>
          <c:yVal>
            <c:numRef>
              <c:f>'Bearing FB_Pu'!$QK$85:$QL$85</c:f>
              <c:numCache>
                <c:formatCode>General</c:formatCode>
                <c:ptCount val="2"/>
                <c:pt idx="0">
                  <c:v>-0.25</c:v>
                </c:pt>
                <c:pt idx="1">
                  <c:v>-0.25</c:v>
                </c:pt>
              </c:numCache>
            </c:numRef>
          </c:yVal>
          <c:smooth val="0"/>
        </c:ser>
        <c:ser>
          <c:idx val="7"/>
          <c:order val="17"/>
          <c:spPr>
            <a:ln w="635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'Bearing FB_Pu'!$QN$84:$QO$84</c:f>
              <c:numCache>
                <c:formatCode>0.0</c:formatCode>
                <c:ptCount val="2"/>
                <c:pt idx="0">
                  <c:v>-0.4464285714285714</c:v>
                </c:pt>
                <c:pt idx="1">
                  <c:v>-0.4464285714285714</c:v>
                </c:pt>
              </c:numCache>
            </c:numRef>
          </c:xVal>
          <c:yVal>
            <c:numRef>
              <c:f>'Bearing FB_Pu'!$QN$85:$QO$85</c:f>
              <c:numCache>
                <c:formatCode>General</c:formatCode>
                <c:ptCount val="2"/>
                <c:pt idx="0">
                  <c:v>-0.22857142857142856</c:v>
                </c:pt>
                <c:pt idx="1">
                  <c:v>-0.27142857142857141</c:v>
                </c:pt>
              </c:numCache>
            </c:numRef>
          </c:yVal>
          <c:smooth val="0"/>
        </c:ser>
        <c:ser>
          <c:idx val="8"/>
          <c:order val="18"/>
          <c:spPr>
            <a:ln w="635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'Bearing FB_Pu'!$QQ$84:$QR$84</c:f>
              <c:numCache>
                <c:formatCode>0.0</c:formatCode>
                <c:ptCount val="2"/>
                <c:pt idx="0">
                  <c:v>0.4464285714285714</c:v>
                </c:pt>
                <c:pt idx="1">
                  <c:v>0.4464285714285714</c:v>
                </c:pt>
              </c:numCache>
            </c:numRef>
          </c:xVal>
          <c:yVal>
            <c:numRef>
              <c:f>'Bearing FB_Pu'!$QQ$85:$QR$85</c:f>
              <c:numCache>
                <c:formatCode>General</c:formatCode>
                <c:ptCount val="2"/>
                <c:pt idx="0">
                  <c:v>-0.22857142857142856</c:v>
                </c:pt>
                <c:pt idx="1">
                  <c:v>-0.27142857142857141</c:v>
                </c:pt>
              </c:numCache>
            </c:numRef>
          </c:yVal>
          <c:smooth val="0"/>
        </c:ser>
        <c:ser>
          <c:idx val="9"/>
          <c:order val="19"/>
          <c:spPr>
            <a:ln w="6350">
              <a:solidFill>
                <a:srgbClr val="008000"/>
              </a:solidFill>
            </a:ln>
          </c:spPr>
          <c:marker>
            <c:symbol val="circle"/>
            <c:size val="6"/>
            <c:spPr>
              <a:noFill/>
              <a:ln w="6350">
                <a:solidFill>
                  <a:srgbClr val="008000"/>
                </a:solidFill>
              </a:ln>
            </c:spPr>
          </c:marker>
          <c:xVal>
            <c:numRef>
              <c:f>'Bearing FB_Pu'!$QT$84</c:f>
              <c:numCache>
                <c:formatCode>General</c:formatCode>
                <c:ptCount val="1"/>
                <c:pt idx="0">
                  <c:v>-0.25</c:v>
                </c:pt>
              </c:numCache>
            </c:numRef>
          </c:xVal>
          <c:yVal>
            <c:numRef>
              <c:f>'Bearing FB_Pu'!$QT$85</c:f>
              <c:numCache>
                <c:formatCode>General</c:formatCode>
                <c:ptCount val="1"/>
                <c:pt idx="0">
                  <c:v>-0.25</c:v>
                </c:pt>
              </c:numCache>
            </c:numRef>
          </c:yVal>
          <c:smooth val="0"/>
        </c:ser>
        <c:ser>
          <c:idx val="10"/>
          <c:order val="20"/>
          <c:tx>
            <c:strRef>
              <c:f>'Bearing FB_Pu'!$QD$72</c:f>
              <c:strCache>
                <c:ptCount val="1"/>
                <c:pt idx="0">
                  <c:v>8DB16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7.9315069106975333E-2"/>
                  <c:y val="-2.360989715648715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FB_Pu'!$QV$84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'Bearing FB_Pu'!$QV$85</c:f>
              <c:numCache>
                <c:formatCode>General</c:formatCode>
                <c:ptCount val="1"/>
                <c:pt idx="0">
                  <c:v>-0.25</c:v>
                </c:pt>
              </c:numCache>
            </c:numRef>
          </c:yVal>
          <c:smooth val="0"/>
        </c:ser>
        <c:ser>
          <c:idx val="11"/>
          <c:order val="21"/>
          <c:spPr>
            <a:ln w="6350">
              <a:solidFill>
                <a:srgbClr val="008000"/>
              </a:solidFill>
              <a:headEnd type="arrow" w="sm" len="sm"/>
              <a:tailEnd type="arrow" w="sm" len="sm"/>
            </a:ln>
          </c:spPr>
          <c:marker>
            <c:symbol val="none"/>
          </c:marker>
          <c:xVal>
            <c:numRef>
              <c:f>'Bearing FB_Pu'!$QK$87:$QL$87</c:f>
              <c:numCache>
                <c:formatCode>General</c:formatCode>
                <c:ptCount val="2"/>
                <c:pt idx="0">
                  <c:v>0.25</c:v>
                </c:pt>
                <c:pt idx="1">
                  <c:v>0.25</c:v>
                </c:pt>
              </c:numCache>
            </c:numRef>
          </c:xVal>
          <c:yVal>
            <c:numRef>
              <c:f>'Bearing FB_Pu'!$QK$88:$QL$88</c:f>
              <c:numCache>
                <c:formatCode>General</c:formatCode>
                <c:ptCount val="2"/>
                <c:pt idx="0">
                  <c:v>0.4464285714285714</c:v>
                </c:pt>
                <c:pt idx="1">
                  <c:v>-0.4464285714285714</c:v>
                </c:pt>
              </c:numCache>
            </c:numRef>
          </c:yVal>
          <c:smooth val="0"/>
        </c:ser>
        <c:ser>
          <c:idx val="12"/>
          <c:order val="22"/>
          <c:spPr>
            <a:ln w="635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'Bearing FB_Pu'!$QN$87:$QO$87</c:f>
              <c:numCache>
                <c:formatCode>General</c:formatCode>
                <c:ptCount val="2"/>
                <c:pt idx="0">
                  <c:v>0.22857142857142856</c:v>
                </c:pt>
                <c:pt idx="1">
                  <c:v>0.27142857142857141</c:v>
                </c:pt>
              </c:numCache>
            </c:numRef>
          </c:xVal>
          <c:yVal>
            <c:numRef>
              <c:f>'Bearing FB_Pu'!$QN$88:$QO$88</c:f>
              <c:numCache>
                <c:formatCode>General</c:formatCode>
                <c:ptCount val="2"/>
                <c:pt idx="0">
                  <c:v>0.4464285714285714</c:v>
                </c:pt>
                <c:pt idx="1">
                  <c:v>0.4464285714285714</c:v>
                </c:pt>
              </c:numCache>
            </c:numRef>
          </c:yVal>
          <c:smooth val="0"/>
        </c:ser>
        <c:ser>
          <c:idx val="13"/>
          <c:order val="23"/>
          <c:spPr>
            <a:ln w="635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'Bearing FB_Pu'!$QQ$87:$QR$87</c:f>
              <c:numCache>
                <c:formatCode>General</c:formatCode>
                <c:ptCount val="2"/>
                <c:pt idx="0">
                  <c:v>0.22857142857142856</c:v>
                </c:pt>
                <c:pt idx="1">
                  <c:v>0.27142857142857141</c:v>
                </c:pt>
              </c:numCache>
            </c:numRef>
          </c:xVal>
          <c:yVal>
            <c:numRef>
              <c:f>'Bearing FB_Pu'!$QQ$88:$QR$88</c:f>
              <c:numCache>
                <c:formatCode>General</c:formatCode>
                <c:ptCount val="2"/>
                <c:pt idx="0">
                  <c:v>-0.4464285714285714</c:v>
                </c:pt>
                <c:pt idx="1">
                  <c:v>-0.4464285714285714</c:v>
                </c:pt>
              </c:numCache>
            </c:numRef>
          </c:yVal>
          <c:smooth val="0"/>
        </c:ser>
        <c:ser>
          <c:idx val="14"/>
          <c:order val="24"/>
          <c:spPr>
            <a:ln>
              <a:solidFill>
                <a:srgbClr val="008000"/>
              </a:solidFill>
            </a:ln>
          </c:spPr>
          <c:marker>
            <c:symbol val="circle"/>
            <c:size val="6"/>
            <c:spPr>
              <a:noFill/>
              <a:ln w="6350">
                <a:solidFill>
                  <a:srgbClr val="008000"/>
                </a:solidFill>
              </a:ln>
            </c:spPr>
          </c:marker>
          <c:xVal>
            <c:numRef>
              <c:f>'Bearing FB_Pu'!$QT$87</c:f>
              <c:numCache>
                <c:formatCode>General</c:formatCode>
                <c:ptCount val="1"/>
                <c:pt idx="0">
                  <c:v>0.25</c:v>
                </c:pt>
              </c:numCache>
            </c:numRef>
          </c:xVal>
          <c:yVal>
            <c:numRef>
              <c:f>'Bearing FB_Pu'!$QT$88</c:f>
              <c:numCache>
                <c:formatCode>General</c:formatCode>
                <c:ptCount val="1"/>
                <c:pt idx="0">
                  <c:v>0.25</c:v>
                </c:pt>
              </c:numCache>
            </c:numRef>
          </c:yVal>
          <c:smooth val="0"/>
        </c:ser>
        <c:ser>
          <c:idx val="15"/>
          <c:order val="25"/>
          <c:tx>
            <c:strRef>
              <c:f>'Bearing FB_Pu'!$QH$72</c:f>
              <c:strCache>
                <c:ptCount val="1"/>
                <c:pt idx="0">
                  <c:v>8DB16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6.6682615921766122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/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FB_Pu'!$QV$87</c:f>
              <c:numCache>
                <c:formatCode>General</c:formatCode>
                <c:ptCount val="1"/>
                <c:pt idx="0">
                  <c:v>0.25</c:v>
                </c:pt>
              </c:numCache>
            </c:numRef>
          </c:xVal>
          <c:yVal>
            <c:numRef>
              <c:f>'Bearing FB_Pu'!$QV$88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16"/>
          <c:order val="26"/>
          <c:tx>
            <c:v>PLAN</c:v>
          </c:tx>
          <c:marker>
            <c:symbol val="none"/>
          </c:marker>
          <c:dLbls>
            <c:txPr>
              <a:bodyPr/>
              <a:lstStyle/>
              <a:p>
                <a:pPr>
                  <a:defRPr sz="1000" b="1">
                    <a:solidFill>
                      <a:srgbClr val="006600"/>
                    </a:solidFill>
                  </a:defRPr>
                </a:pPr>
                <a:endParaRPr lang="th-TH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FB_Pu'!$QX$84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'Bearing FB_Pu'!$QX$85</c:f>
              <c:numCache>
                <c:formatCode>0.0</c:formatCode>
                <c:ptCount val="1"/>
                <c:pt idx="0">
                  <c:v>-0.5</c:v>
                </c:pt>
              </c:numCache>
            </c:numRef>
          </c:yVal>
          <c:smooth val="0"/>
        </c:ser>
        <c:ser>
          <c:idx val="17"/>
          <c:order val="27"/>
          <c:tx>
            <c:v>X</c:v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FB_Pu'!$QQ$10</c:f>
              <c:numCache>
                <c:formatCode>General</c:formatCode>
                <c:ptCount val="1"/>
                <c:pt idx="0">
                  <c:v>0.8</c:v>
                </c:pt>
              </c:numCache>
            </c:numRef>
          </c:xVal>
          <c:yVal>
            <c:numRef>
              <c:f>'Bearing FB_Pu'!$QQ$11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18"/>
          <c:order val="28"/>
          <c:tx>
            <c:v>Y</c:v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FB_Pu'!$QS$10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'Bearing FB_Pu'!$QS$11</c:f>
              <c:numCache>
                <c:formatCode>General</c:formatCode>
                <c:ptCount val="1"/>
                <c:pt idx="0">
                  <c:v>0.8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250496"/>
        <c:axId val="279814144"/>
      </c:scatterChart>
      <c:valAx>
        <c:axId val="275250496"/>
        <c:scaling>
          <c:orientation val="minMax"/>
          <c:max val="0.8"/>
          <c:min val="-0.8"/>
        </c:scaling>
        <c:delete val="0"/>
        <c:axPos val="b"/>
        <c:numFmt formatCode="0.0" sourceLinked="1"/>
        <c:majorTickMark val="none"/>
        <c:minorTickMark val="none"/>
        <c:tickLblPos val="none"/>
        <c:spPr>
          <a:ln w="6350">
            <a:solidFill>
              <a:schemeClr val="bg1">
                <a:lumMod val="75000"/>
              </a:schemeClr>
            </a:solidFill>
            <a:prstDash val="lgDashDot"/>
          </a:ln>
        </c:spPr>
        <c:crossAx val="279814144"/>
        <c:crosses val="autoZero"/>
        <c:crossBetween val="midCat"/>
        <c:majorUnit val="0.2"/>
        <c:minorUnit val="0.05"/>
      </c:valAx>
      <c:valAx>
        <c:axId val="279814144"/>
        <c:scaling>
          <c:orientation val="minMax"/>
          <c:max val="0.8"/>
          <c:min val="-0.8"/>
        </c:scaling>
        <c:delete val="0"/>
        <c:axPos val="l"/>
        <c:numFmt formatCode="0.0" sourceLinked="1"/>
        <c:majorTickMark val="none"/>
        <c:minorTickMark val="none"/>
        <c:tickLblPos val="none"/>
        <c:spPr>
          <a:ln w="6350">
            <a:solidFill>
              <a:schemeClr val="bg1">
                <a:lumMod val="75000"/>
              </a:schemeClr>
            </a:solidFill>
            <a:prstDash val="lgDashDot"/>
          </a:ln>
        </c:spPr>
        <c:crossAx val="275250496"/>
        <c:crosses val="autoZero"/>
        <c:crossBetween val="midCat"/>
        <c:majorUnit val="0.2"/>
        <c:minorUnit val="0.05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389" l="0.70000000000000062" r="0.70000000000000062" t="0.75000000000000389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'Bearing FB_Pu'!$QD$36:$QI$36</c:f>
              <c:numCache>
                <c:formatCode>0.0</c:formatCode>
                <c:ptCount val="6"/>
                <c:pt idx="0" formatCode="General">
                  <c:v>-7.1428571428571438E-2</c:v>
                </c:pt>
                <c:pt idx="1">
                  <c:v>-0.5</c:v>
                </c:pt>
                <c:pt idx="2">
                  <c:v>-0.5</c:v>
                </c:pt>
                <c:pt idx="3">
                  <c:v>0.5</c:v>
                </c:pt>
                <c:pt idx="4">
                  <c:v>0.5</c:v>
                </c:pt>
                <c:pt idx="5" formatCode="General">
                  <c:v>7.1428571428571438E-2</c:v>
                </c:pt>
              </c:numCache>
            </c:numRef>
          </c:xVal>
          <c:yVal>
            <c:numRef>
              <c:f>'Bearing FB_Pu'!$QD$37:$QI$37</c:f>
              <c:numCache>
                <c:formatCode>General</c:formatCode>
                <c:ptCount val="6"/>
                <c:pt idx="0">
                  <c:v>0.2142857142857143</c:v>
                </c:pt>
                <c:pt idx="1">
                  <c:v>0.2142857142857143</c:v>
                </c:pt>
                <c:pt idx="2">
                  <c:v>0</c:v>
                </c:pt>
                <c:pt idx="3">
                  <c:v>0</c:v>
                </c:pt>
                <c:pt idx="4">
                  <c:v>0.2142857142857143</c:v>
                </c:pt>
                <c:pt idx="5">
                  <c:v>0.2142857142857143</c:v>
                </c:pt>
              </c:numCache>
            </c:numRef>
          </c:yVal>
          <c:smooth val="0"/>
        </c:ser>
        <c:ser>
          <c:idx val="1"/>
          <c:order val="1"/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'Bearing FB_Pu'!$QD$39:$QE$39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-7.1428571428571438E-2</c:v>
                </c:pt>
              </c:numCache>
            </c:numRef>
          </c:xVal>
          <c:yVal>
            <c:numRef>
              <c:f>'Bearing FB_Pu'!$QD$40:$QE$40</c:f>
              <c:numCache>
                <c:formatCode>General</c:formatCode>
                <c:ptCount val="2"/>
                <c:pt idx="0">
                  <c:v>0.2142857142857143</c:v>
                </c:pt>
                <c:pt idx="1">
                  <c:v>0.8</c:v>
                </c:pt>
              </c:numCache>
            </c:numRef>
          </c:yVal>
          <c:smooth val="0"/>
        </c:ser>
        <c:ser>
          <c:idx val="2"/>
          <c:order val="2"/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'Bearing FB_Pu'!$QG$39:$QH$39</c:f>
              <c:numCache>
                <c:formatCode>General</c:formatCode>
                <c:ptCount val="2"/>
                <c:pt idx="0">
                  <c:v>7.1428571428571438E-2</c:v>
                </c:pt>
                <c:pt idx="1">
                  <c:v>7.1428571428571438E-2</c:v>
                </c:pt>
              </c:numCache>
            </c:numRef>
          </c:xVal>
          <c:yVal>
            <c:numRef>
              <c:f>'Bearing FB_Pu'!$QG$40:$QH$40</c:f>
              <c:numCache>
                <c:formatCode>General</c:formatCode>
                <c:ptCount val="2"/>
                <c:pt idx="0">
                  <c:v>0.2142857142857143</c:v>
                </c:pt>
                <c:pt idx="1">
                  <c:v>0.8</c:v>
                </c:pt>
              </c:numCache>
            </c:numRef>
          </c:yVal>
          <c:smooth val="0"/>
        </c:ser>
        <c:ser>
          <c:idx val="3"/>
          <c:order val="3"/>
          <c:spPr>
            <a:ln w="9525">
              <a:solidFill>
                <a:prstClr val="black"/>
              </a:solidFill>
              <a:prstDash val="dash"/>
            </a:ln>
          </c:spPr>
          <c:marker>
            <c:symbol val="none"/>
          </c:marker>
          <c:xVal>
            <c:numRef>
              <c:f>'Bearing FB_Pu'!$QJ$39:$QK$39</c:f>
              <c:numCache>
                <c:formatCode>General</c:formatCode>
                <c:ptCount val="2"/>
                <c:pt idx="0">
                  <c:v>-0.14285714285714288</c:v>
                </c:pt>
                <c:pt idx="1">
                  <c:v>0.14285714285714288</c:v>
                </c:pt>
              </c:numCache>
            </c:numRef>
          </c:xVal>
          <c:yVal>
            <c:numRef>
              <c:f>'Bearing FB_Pu'!$QJ$40:$QK$40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'Bearing FB_Pu'!$QC$8:$QE$8</c:f>
              <c:strCache>
                <c:ptCount val="1"/>
                <c:pt idx="0">
                  <c:v>0.30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FB_Pu'!$QD$42:$QE$42</c:f>
              <c:numCache>
                <c:formatCode>General</c:formatCode>
                <c:ptCount val="2"/>
                <c:pt idx="0">
                  <c:v>-0.6428571428571429</c:v>
                </c:pt>
                <c:pt idx="1">
                  <c:v>-0.6428571428571429</c:v>
                </c:pt>
              </c:numCache>
            </c:numRef>
          </c:xVal>
          <c:yVal>
            <c:numRef>
              <c:f>'Bearing FB_Pu'!$QD$43:$QE$43</c:f>
              <c:numCache>
                <c:formatCode>General</c:formatCode>
                <c:ptCount val="2"/>
                <c:pt idx="0">
                  <c:v>0</c:v>
                </c:pt>
                <c:pt idx="1">
                  <c:v>0.2142857142857143</c:v>
                </c:pt>
              </c:numCache>
            </c:numRef>
          </c:yVal>
          <c:smooth val="0"/>
        </c:ser>
        <c:ser>
          <c:idx val="7"/>
          <c:order val="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FB_Pu'!$QG$42:$QH$42</c:f>
              <c:numCache>
                <c:formatCode>General</c:formatCode>
                <c:ptCount val="2"/>
                <c:pt idx="0">
                  <c:v>-0.66428571428571437</c:v>
                </c:pt>
                <c:pt idx="1">
                  <c:v>-0.62142857142857144</c:v>
                </c:pt>
              </c:numCache>
            </c:numRef>
          </c:xVal>
          <c:yVal>
            <c:numRef>
              <c:f>'Bearing FB_Pu'!$QG$43:$QH$43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8"/>
          <c:order val="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FB_Pu'!$QJ$42:$QK$42</c:f>
              <c:numCache>
                <c:formatCode>General</c:formatCode>
                <c:ptCount val="2"/>
                <c:pt idx="0">
                  <c:v>-0.66428571428571437</c:v>
                </c:pt>
                <c:pt idx="1">
                  <c:v>-0.62142857142857144</c:v>
                </c:pt>
              </c:numCache>
            </c:numRef>
          </c:xVal>
          <c:yVal>
            <c:numRef>
              <c:f>'Bearing FB_Pu'!$QJ$43:$QK$43</c:f>
              <c:numCache>
                <c:formatCode>General</c:formatCode>
                <c:ptCount val="2"/>
                <c:pt idx="0">
                  <c:v>0.2142857142857143</c:v>
                </c:pt>
                <c:pt idx="1">
                  <c:v>0.2142857142857143</c:v>
                </c:pt>
              </c:numCache>
            </c:numRef>
          </c:yVal>
          <c:smooth val="0"/>
        </c:ser>
        <c:ser>
          <c:idx val="9"/>
          <c:order val="7"/>
          <c:tx>
            <c:strRef>
              <c:f>'Bearing FB_Pu'!$QC$8:$QE$8</c:f>
              <c:strCache>
                <c:ptCount val="1"/>
                <c:pt idx="0">
                  <c:v>0.30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6.4725710457085778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FB_Pu'!$QO$42</c:f>
              <c:numCache>
                <c:formatCode>General</c:formatCode>
                <c:ptCount val="1"/>
                <c:pt idx="0">
                  <c:v>-0.6428571428571429</c:v>
                </c:pt>
              </c:numCache>
            </c:numRef>
          </c:xVal>
          <c:yVal>
            <c:numRef>
              <c:f>'Bearing FB_Pu'!$QO$43</c:f>
              <c:numCache>
                <c:formatCode>General</c:formatCode>
                <c:ptCount val="1"/>
                <c:pt idx="0">
                  <c:v>0.10714285714285715</c:v>
                </c:pt>
              </c:numCache>
            </c:numRef>
          </c:yVal>
          <c:smooth val="0"/>
        </c:ser>
        <c:ser>
          <c:idx val="16"/>
          <c:order val="8"/>
          <c:spPr>
            <a:ln w="50800" cap="flat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'Bearing FB_Pu'!$QD$51:$QE$51</c:f>
              <c:numCache>
                <c:formatCode>0.0</c:formatCode>
                <c:ptCount val="2"/>
                <c:pt idx="0">
                  <c:v>-7.1428571428571438E-2</c:v>
                </c:pt>
                <c:pt idx="1">
                  <c:v>-0.5</c:v>
                </c:pt>
              </c:numCache>
            </c:numRef>
          </c:xVal>
          <c:yVal>
            <c:numRef>
              <c:f>'Bearing FB_Pu'!$QD$52:$QE$52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yVal>
          <c:smooth val="0"/>
        </c:ser>
        <c:ser>
          <c:idx val="17"/>
          <c:order val="9"/>
          <c:spPr>
            <a:ln w="50800" cap="flat">
              <a:solidFill>
                <a:srgbClr val="F79646">
                  <a:lumMod val="50000"/>
                </a:srgbClr>
              </a:solidFill>
            </a:ln>
          </c:spPr>
          <c:marker>
            <c:symbol val="none"/>
          </c:marker>
          <c:xVal>
            <c:numRef>
              <c:f>'Bearing FB_Pu'!$QG$51:$QH$51</c:f>
              <c:numCache>
                <c:formatCode>General</c:formatCode>
                <c:ptCount val="2"/>
                <c:pt idx="0" formatCode="0.0">
                  <c:v>0.5</c:v>
                </c:pt>
                <c:pt idx="1">
                  <c:v>7.1428571428571438E-2</c:v>
                </c:pt>
              </c:numCache>
            </c:numRef>
          </c:xVal>
          <c:yVal>
            <c:numRef>
              <c:f>'Bearing FB_Pu'!$QG$52:$QH$52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yVal>
          <c:smooth val="0"/>
        </c:ser>
        <c:ser>
          <c:idx val="5"/>
          <c:order val="10"/>
          <c:spPr>
            <a:ln w="635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'Bearing FB_Pu'!$QD$54:$QE$54</c:f>
              <c:numCache>
                <c:formatCode>0.0</c:formatCode>
                <c:ptCount val="2"/>
                <c:pt idx="0" formatCode="General">
                  <c:v>-0.5714285714285714</c:v>
                </c:pt>
                <c:pt idx="1">
                  <c:v>-0.5</c:v>
                </c:pt>
              </c:numCache>
            </c:numRef>
          </c:xVal>
          <c:yVal>
            <c:numRef>
              <c:f>'Bearing FB_Pu'!$QD$55:$QE$55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6"/>
          <c:order val="11"/>
          <c:spPr>
            <a:ln w="635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'Bearing FB_Pu'!$QG$54:$QH$54</c:f>
              <c:numCache>
                <c:formatCode>General</c:formatCode>
                <c:ptCount val="2"/>
                <c:pt idx="0" formatCode="0.0">
                  <c:v>0.5</c:v>
                </c:pt>
                <c:pt idx="1">
                  <c:v>0.5714285714285714</c:v>
                </c:pt>
              </c:numCache>
            </c:numRef>
          </c:xVal>
          <c:yVal>
            <c:numRef>
              <c:f>'Bearing FB_Pu'!$QG$55:$QH$55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10"/>
          <c:order val="12"/>
          <c:spPr>
            <a:ln w="635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'Bearing FB_Pu'!$QD$57:$QE$57</c:f>
              <c:numCache>
                <c:formatCode>General</c:formatCode>
                <c:ptCount val="2"/>
                <c:pt idx="0">
                  <c:v>-0.5714285714285714</c:v>
                </c:pt>
                <c:pt idx="1">
                  <c:v>0.5714285714285714</c:v>
                </c:pt>
              </c:numCache>
            </c:numRef>
          </c:xVal>
          <c:yVal>
            <c:numRef>
              <c:f>'Bearing FB_Pu'!$QD$58:$QE$58</c:f>
              <c:numCache>
                <c:formatCode>General</c:formatCode>
                <c:ptCount val="2"/>
                <c:pt idx="0">
                  <c:v>-3.5714285714285719E-2</c:v>
                </c:pt>
                <c:pt idx="1">
                  <c:v>-3.5714285714285719E-2</c:v>
                </c:pt>
              </c:numCache>
            </c:numRef>
          </c:yVal>
          <c:smooth val="0"/>
        </c:ser>
        <c:ser>
          <c:idx val="11"/>
          <c:order val="13"/>
          <c:spPr>
            <a:ln w="635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'Bearing FB_Pu'!$QD$60:$QE$60</c:f>
              <c:numCache>
                <c:formatCode>General</c:formatCode>
                <c:ptCount val="2"/>
                <c:pt idx="0">
                  <c:v>-0.5714285714285714</c:v>
                </c:pt>
                <c:pt idx="1">
                  <c:v>0.5714285714285714</c:v>
                </c:pt>
              </c:numCache>
            </c:numRef>
          </c:xVal>
          <c:yVal>
            <c:numRef>
              <c:f>'Bearing FB_Pu'!$QD$61:$QE$61</c:f>
              <c:numCache>
                <c:formatCode>General</c:formatCode>
                <c:ptCount val="2"/>
                <c:pt idx="0">
                  <c:v>-0.10714285714285715</c:v>
                </c:pt>
                <c:pt idx="1">
                  <c:v>-0.10714285714285715</c:v>
                </c:pt>
              </c:numCache>
            </c:numRef>
          </c:yVal>
          <c:smooth val="0"/>
        </c:ser>
        <c:ser>
          <c:idx val="12"/>
          <c:order val="14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FB_Pu'!$QK$54:$QL$54</c:f>
              <c:numCache>
                <c:formatCode>General</c:formatCode>
                <c:ptCount val="2"/>
                <c:pt idx="0">
                  <c:v>-0.6428571428571429</c:v>
                </c:pt>
                <c:pt idx="1">
                  <c:v>-0.6428571428571429</c:v>
                </c:pt>
              </c:numCache>
            </c:numRef>
          </c:xVal>
          <c:yVal>
            <c:numRef>
              <c:f>'Bearing FB_Pu'!$QK$55:$QL$55</c:f>
              <c:numCache>
                <c:formatCode>General</c:formatCode>
                <c:ptCount val="2"/>
                <c:pt idx="0">
                  <c:v>0</c:v>
                </c:pt>
                <c:pt idx="1">
                  <c:v>-3.5714285714285719E-2</c:v>
                </c:pt>
              </c:numCache>
            </c:numRef>
          </c:yVal>
          <c:smooth val="0"/>
        </c:ser>
        <c:ser>
          <c:idx val="13"/>
          <c:order val="15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FB_Pu'!$QN$54:$QO$54</c:f>
              <c:numCache>
                <c:formatCode>General</c:formatCode>
                <c:ptCount val="2"/>
                <c:pt idx="0">
                  <c:v>-0.6428571428571429</c:v>
                </c:pt>
                <c:pt idx="1">
                  <c:v>-0.6428571428571429</c:v>
                </c:pt>
              </c:numCache>
            </c:numRef>
          </c:xVal>
          <c:yVal>
            <c:numRef>
              <c:f>'Bearing FB_Pu'!$QN$55:$QO$55</c:f>
              <c:numCache>
                <c:formatCode>General</c:formatCode>
                <c:ptCount val="2"/>
                <c:pt idx="0">
                  <c:v>-3.5714285714285719E-2</c:v>
                </c:pt>
                <c:pt idx="1">
                  <c:v>-0.10714285714285715</c:v>
                </c:pt>
              </c:numCache>
            </c:numRef>
          </c:yVal>
          <c:smooth val="0"/>
        </c:ser>
        <c:ser>
          <c:idx val="14"/>
          <c:order val="1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FB_Pu'!$QQ$42:$QR$42</c:f>
              <c:numCache>
                <c:formatCode>General</c:formatCode>
                <c:ptCount val="2"/>
                <c:pt idx="0">
                  <c:v>-0.66428571428571437</c:v>
                </c:pt>
                <c:pt idx="1">
                  <c:v>-0.62142857142857144</c:v>
                </c:pt>
              </c:numCache>
            </c:numRef>
          </c:xVal>
          <c:yVal>
            <c:numRef>
              <c:f>'Bearing FB_Pu'!$QQ$43:$QR$43</c:f>
              <c:numCache>
                <c:formatCode>General</c:formatCode>
                <c:ptCount val="2"/>
                <c:pt idx="0">
                  <c:v>-3.5714285714285719E-2</c:v>
                </c:pt>
                <c:pt idx="1">
                  <c:v>-3.5714285714285719E-2</c:v>
                </c:pt>
              </c:numCache>
            </c:numRef>
          </c:yVal>
          <c:smooth val="0"/>
        </c:ser>
        <c:ser>
          <c:idx val="15"/>
          <c:order val="17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FB_Pu'!$QT$42:$QU$42</c:f>
              <c:numCache>
                <c:formatCode>General</c:formatCode>
                <c:ptCount val="2"/>
                <c:pt idx="0">
                  <c:v>-0.66428571428571437</c:v>
                </c:pt>
                <c:pt idx="1">
                  <c:v>-0.62142857142857144</c:v>
                </c:pt>
              </c:numCache>
            </c:numRef>
          </c:xVal>
          <c:yVal>
            <c:numRef>
              <c:f>'Bearing FB_Pu'!$QT$43:$QU$43</c:f>
              <c:numCache>
                <c:formatCode>General</c:formatCode>
                <c:ptCount val="2"/>
                <c:pt idx="0">
                  <c:v>-0.10714285714285715</c:v>
                </c:pt>
                <c:pt idx="1">
                  <c:v>-0.10714285714285715</c:v>
                </c:pt>
              </c:numCache>
            </c:numRef>
          </c:yVal>
          <c:smooth val="0"/>
        </c:ser>
        <c:ser>
          <c:idx val="18"/>
          <c:order val="18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FB_Pu'!$QJ$51:$QK$51</c:f>
              <c:numCache>
                <c:formatCode>General</c:formatCode>
                <c:ptCount val="2"/>
                <c:pt idx="0">
                  <c:v>-0.6428571428571429</c:v>
                </c:pt>
                <c:pt idx="1">
                  <c:v>-0.6428571428571429</c:v>
                </c:pt>
              </c:numCache>
            </c:numRef>
          </c:xVal>
          <c:yVal>
            <c:numRef>
              <c:f>'Bearing FB_Pu'!$QJ$52:$QK$52</c:f>
              <c:numCache>
                <c:formatCode>General</c:formatCode>
                <c:ptCount val="2"/>
                <c:pt idx="0">
                  <c:v>0.7</c:v>
                </c:pt>
                <c:pt idx="1">
                  <c:v>0.2142857142857143</c:v>
                </c:pt>
              </c:numCache>
            </c:numRef>
          </c:yVal>
          <c:smooth val="0"/>
        </c:ser>
        <c:ser>
          <c:idx val="19"/>
          <c:order val="19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FB_Pu'!$QM$51:$QN$51</c:f>
              <c:numCache>
                <c:formatCode>General</c:formatCode>
                <c:ptCount val="2"/>
                <c:pt idx="0">
                  <c:v>-0.66428571428571437</c:v>
                </c:pt>
                <c:pt idx="1">
                  <c:v>-0.62142857142857144</c:v>
                </c:pt>
              </c:numCache>
            </c:numRef>
          </c:xVal>
          <c:yVal>
            <c:numRef>
              <c:f>'Bearing FB_Pu'!$QM$52:$QN$52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yVal>
          <c:smooth val="0"/>
        </c:ser>
        <c:ser>
          <c:idx val="20"/>
          <c:order val="20"/>
          <c:tx>
            <c:strRef>
              <c:f>'Bearing FB_Pu'!$QP$51</c:f>
              <c:strCache>
                <c:ptCount val="1"/>
                <c:pt idx="0">
                  <c:v>0.70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6.4725710457085778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FB_Pu'!$QR$51</c:f>
              <c:numCache>
                <c:formatCode>General</c:formatCode>
                <c:ptCount val="1"/>
                <c:pt idx="0">
                  <c:v>-0.6428571428571429</c:v>
                </c:pt>
              </c:numCache>
            </c:numRef>
          </c:xVal>
          <c:yVal>
            <c:numRef>
              <c:f>'Bearing FB_Pu'!$QR$52</c:f>
              <c:numCache>
                <c:formatCode>General</c:formatCode>
                <c:ptCount val="1"/>
                <c:pt idx="0">
                  <c:v>0.45714285714285713</c:v>
                </c:pt>
              </c:numCache>
            </c:numRef>
          </c:yVal>
          <c:smooth val="0"/>
        </c:ser>
        <c:ser>
          <c:idx val="21"/>
          <c:order val="21"/>
          <c:tx>
            <c:strRef>
              <c:f>'Bearing FB_Pu'!$QG$57</c:f>
              <c:strCache>
                <c:ptCount val="1"/>
                <c:pt idx="0">
                  <c:v>0.05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FB_Pu'!$QI$57</c:f>
              <c:numCache>
                <c:formatCode>General</c:formatCode>
                <c:ptCount val="1"/>
                <c:pt idx="0">
                  <c:v>-0.6428571428571429</c:v>
                </c:pt>
              </c:numCache>
            </c:numRef>
          </c:xVal>
          <c:yVal>
            <c:numRef>
              <c:f>'Bearing FB_Pu'!$QI$58</c:f>
              <c:numCache>
                <c:formatCode>General</c:formatCode>
                <c:ptCount val="1"/>
                <c:pt idx="0">
                  <c:v>-1.785714285714286E-2</c:v>
                </c:pt>
              </c:numCache>
            </c:numRef>
          </c:yVal>
          <c:smooth val="0"/>
        </c:ser>
        <c:ser>
          <c:idx val="22"/>
          <c:order val="22"/>
          <c:tx>
            <c:strRef>
              <c:f>'Bearing FB_Pu'!$QG$60</c:f>
              <c:strCache>
                <c:ptCount val="1"/>
                <c:pt idx="0">
                  <c:v>0.10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FB_Pu'!$QI$60</c:f>
              <c:numCache>
                <c:formatCode>General</c:formatCode>
                <c:ptCount val="1"/>
                <c:pt idx="0">
                  <c:v>-0.6428571428571429</c:v>
                </c:pt>
              </c:numCache>
            </c:numRef>
          </c:xVal>
          <c:yVal>
            <c:numRef>
              <c:f>'Bearing FB_Pu'!$QI$61</c:f>
              <c:numCache>
                <c:formatCode>General</c:formatCode>
                <c:ptCount val="1"/>
                <c:pt idx="0">
                  <c:v>-7.1428571428571438E-2</c:v>
                </c:pt>
              </c:numCache>
            </c:numRef>
          </c:yVal>
          <c:smooth val="0"/>
        </c:ser>
        <c:ser>
          <c:idx val="26"/>
          <c:order val="23"/>
          <c:spPr>
            <a:ln w="15875" cap="flat">
              <a:solidFill>
                <a:srgbClr val="008000"/>
              </a:solidFill>
              <a:prstDash val="sysDash"/>
              <a:round/>
            </a:ln>
          </c:spPr>
          <c:marker>
            <c:symbol val="none"/>
          </c:marker>
          <c:xVal>
            <c:numRef>
              <c:f>'Bearing FB_Pu'!$QD$66:$QF$66</c:f>
              <c:numCache>
                <c:formatCode>General</c:formatCode>
                <c:ptCount val="3"/>
                <c:pt idx="0">
                  <c:v>-5.000000000000001E-2</c:v>
                </c:pt>
                <c:pt idx="1">
                  <c:v>-5.000000000000001E-2</c:v>
                </c:pt>
                <c:pt idx="2">
                  <c:v>-0.22857142857142859</c:v>
                </c:pt>
              </c:numCache>
            </c:numRef>
          </c:xVal>
          <c:yVal>
            <c:numRef>
              <c:f>'Bearing FB_Pu'!$QD$67:$QF$67</c:f>
              <c:numCache>
                <c:formatCode>General</c:formatCode>
                <c:ptCount val="3"/>
                <c:pt idx="0">
                  <c:v>0.8</c:v>
                </c:pt>
                <c:pt idx="1">
                  <c:v>8.9285714285714302E-2</c:v>
                </c:pt>
                <c:pt idx="2">
                  <c:v>8.9285714285714302E-2</c:v>
                </c:pt>
              </c:numCache>
            </c:numRef>
          </c:yVal>
          <c:smooth val="0"/>
        </c:ser>
        <c:ser>
          <c:idx val="23"/>
          <c:order val="24"/>
          <c:spPr>
            <a:ln w="19050" cap="flat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'Bearing FB_Pu'!$QG$63:$QL$63</c:f>
              <c:numCache>
                <c:formatCode>General</c:formatCode>
                <c:ptCount val="6"/>
                <c:pt idx="0">
                  <c:v>-0.4464285714285714</c:v>
                </c:pt>
                <c:pt idx="1">
                  <c:v>-0.4464285714285714</c:v>
                </c:pt>
                <c:pt idx="2">
                  <c:v>-0.4464285714285714</c:v>
                </c:pt>
                <c:pt idx="3" formatCode="0.0">
                  <c:v>0.4464285714285714</c:v>
                </c:pt>
                <c:pt idx="4" formatCode="0.0">
                  <c:v>0.4464285714285714</c:v>
                </c:pt>
                <c:pt idx="5" formatCode="0.0">
                  <c:v>0.4464285714285714</c:v>
                </c:pt>
              </c:numCache>
            </c:numRef>
          </c:xVal>
          <c:yVal>
            <c:numRef>
              <c:f>'Bearing FB_Pu'!$QG$64:$QL$64</c:f>
              <c:numCache>
                <c:formatCode>General</c:formatCode>
                <c:ptCount val="6"/>
                <c:pt idx="0">
                  <c:v>0.16071428571428573</c:v>
                </c:pt>
                <c:pt idx="1">
                  <c:v>5.3571428571428575E-2</c:v>
                </c:pt>
                <c:pt idx="2">
                  <c:v>5.3571428571428575E-2</c:v>
                </c:pt>
                <c:pt idx="3">
                  <c:v>5.3571428571428575E-2</c:v>
                </c:pt>
                <c:pt idx="4">
                  <c:v>0.16071428571428573</c:v>
                </c:pt>
                <c:pt idx="5">
                  <c:v>5.3571428571428575E-2</c:v>
                </c:pt>
              </c:numCache>
            </c:numRef>
          </c:yVal>
          <c:smooth val="0"/>
        </c:ser>
        <c:ser>
          <c:idx val="24"/>
          <c:order val="25"/>
          <c:spPr>
            <a:ln w="15875" cap="flat">
              <a:solidFill>
                <a:srgbClr val="008000"/>
              </a:solidFill>
              <a:prstDash val="sysDash"/>
            </a:ln>
          </c:spPr>
          <c:marker>
            <c:symbol val="none"/>
          </c:marker>
          <c:xVal>
            <c:numRef>
              <c:f>'Bearing FB_Pu'!$QH$66:$QJ$66</c:f>
              <c:numCache>
                <c:formatCode>General</c:formatCode>
                <c:ptCount val="3"/>
                <c:pt idx="0">
                  <c:v>5.000000000000001E-2</c:v>
                </c:pt>
                <c:pt idx="1">
                  <c:v>5.000000000000001E-2</c:v>
                </c:pt>
                <c:pt idx="2">
                  <c:v>0.22857142857142859</c:v>
                </c:pt>
              </c:numCache>
            </c:numRef>
          </c:xVal>
          <c:yVal>
            <c:numRef>
              <c:f>'Bearing FB_Pu'!$QH$67:$QJ$67</c:f>
              <c:numCache>
                <c:formatCode>General</c:formatCode>
                <c:ptCount val="3"/>
                <c:pt idx="0">
                  <c:v>0.8</c:v>
                </c:pt>
                <c:pt idx="1">
                  <c:v>8.9285714285714302E-2</c:v>
                </c:pt>
                <c:pt idx="2">
                  <c:v>8.9285714285714302E-2</c:v>
                </c:pt>
              </c:numCache>
            </c:numRef>
          </c:yVal>
          <c:smooth val="0"/>
        </c:ser>
        <c:ser>
          <c:idx val="25"/>
          <c:order val="26"/>
          <c:tx>
            <c:strRef>
              <c:f>'Bearing FB_Pu'!$QC$68</c:f>
              <c:strCache>
                <c:ptCount val="1"/>
                <c:pt idx="0">
                  <c:v>เม็ดเหล็ก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rgbClr val="C0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'Bearing FB_Pu'!$QD$70:$RG$70</c:f>
              <c:numCache>
                <c:formatCode>General</c:formatCode>
                <c:ptCount val="30"/>
                <c:pt idx="0">
                  <c:v>-0.43214285714285711</c:v>
                </c:pt>
                <c:pt idx="1">
                  <c:v>-0.30867346938775508</c:v>
                </c:pt>
                <c:pt idx="2">
                  <c:v>-0.18520408163265306</c:v>
                </c:pt>
                <c:pt idx="3">
                  <c:v>-6.1734693877551025E-2</c:v>
                </c:pt>
                <c:pt idx="4">
                  <c:v>6.1734693877551011E-2</c:v>
                </c:pt>
                <c:pt idx="5">
                  <c:v>0.18520408163265306</c:v>
                </c:pt>
                <c:pt idx="6">
                  <c:v>0.30867346938775508</c:v>
                </c:pt>
                <c:pt idx="7">
                  <c:v>0.43214285714285711</c:v>
                </c:pt>
                <c:pt idx="8">
                  <c:v>-0.43214285714285711</c:v>
                </c:pt>
                <c:pt idx="9">
                  <c:v>-0.43214285714285711</c:v>
                </c:pt>
                <c:pt idx="10">
                  <c:v>-0.43214285714285711</c:v>
                </c:pt>
                <c:pt idx="11">
                  <c:v>-0.43214285714285711</c:v>
                </c:pt>
                <c:pt idx="12">
                  <c:v>-0.43214285714285711</c:v>
                </c:pt>
                <c:pt idx="13">
                  <c:v>-0.43214285714285711</c:v>
                </c:pt>
                <c:pt idx="14">
                  <c:v>-0.43214285714285711</c:v>
                </c:pt>
                <c:pt idx="15">
                  <c:v>-0.43214285714285711</c:v>
                </c:pt>
                <c:pt idx="16">
                  <c:v>-0.43214285714285711</c:v>
                </c:pt>
                <c:pt idx="17">
                  <c:v>-0.43214285714285711</c:v>
                </c:pt>
                <c:pt idx="18">
                  <c:v>-0.43214285714285711</c:v>
                </c:pt>
                <c:pt idx="19">
                  <c:v>-0.43214285714285711</c:v>
                </c:pt>
                <c:pt idx="20">
                  <c:v>-0.43214285714285711</c:v>
                </c:pt>
                <c:pt idx="21">
                  <c:v>-0.43214285714285711</c:v>
                </c:pt>
                <c:pt idx="22">
                  <c:v>-0.43214285714285711</c:v>
                </c:pt>
                <c:pt idx="23">
                  <c:v>-0.43214285714285711</c:v>
                </c:pt>
                <c:pt idx="24">
                  <c:v>-0.43214285714285711</c:v>
                </c:pt>
                <c:pt idx="25">
                  <c:v>-0.43214285714285711</c:v>
                </c:pt>
                <c:pt idx="26">
                  <c:v>-0.43214285714285711</c:v>
                </c:pt>
                <c:pt idx="27">
                  <c:v>-0.43214285714285711</c:v>
                </c:pt>
                <c:pt idx="28">
                  <c:v>-0.43214285714285711</c:v>
                </c:pt>
                <c:pt idx="29">
                  <c:v>0.43214285714285711</c:v>
                </c:pt>
              </c:numCache>
            </c:numRef>
          </c:xVal>
          <c:yVal>
            <c:numRef>
              <c:f>'Bearing FB_Pu'!$QD$71:$RG$71</c:f>
              <c:numCache>
                <c:formatCode>General</c:formatCode>
                <c:ptCount val="30"/>
                <c:pt idx="0">
                  <c:v>6.7857142857142866E-2</c:v>
                </c:pt>
                <c:pt idx="1">
                  <c:v>6.7857142857142866E-2</c:v>
                </c:pt>
                <c:pt idx="2">
                  <c:v>6.7857142857142866E-2</c:v>
                </c:pt>
                <c:pt idx="3">
                  <c:v>6.7857142857142866E-2</c:v>
                </c:pt>
                <c:pt idx="4">
                  <c:v>6.7857142857142866E-2</c:v>
                </c:pt>
                <c:pt idx="5">
                  <c:v>6.7857142857142866E-2</c:v>
                </c:pt>
                <c:pt idx="6">
                  <c:v>6.7857142857142866E-2</c:v>
                </c:pt>
                <c:pt idx="7">
                  <c:v>6.7857142857142866E-2</c:v>
                </c:pt>
                <c:pt idx="8">
                  <c:v>6.7857142857142866E-2</c:v>
                </c:pt>
                <c:pt idx="9">
                  <c:v>6.7857142857142866E-2</c:v>
                </c:pt>
                <c:pt idx="10">
                  <c:v>6.7857142857142866E-2</c:v>
                </c:pt>
                <c:pt idx="11">
                  <c:v>6.7857142857142866E-2</c:v>
                </c:pt>
                <c:pt idx="12">
                  <c:v>6.7857142857142866E-2</c:v>
                </c:pt>
                <c:pt idx="13">
                  <c:v>6.7857142857142866E-2</c:v>
                </c:pt>
                <c:pt idx="14">
                  <c:v>6.7857142857142866E-2</c:v>
                </c:pt>
                <c:pt idx="15">
                  <c:v>6.7857142857142866E-2</c:v>
                </c:pt>
                <c:pt idx="16">
                  <c:v>6.7857142857142866E-2</c:v>
                </c:pt>
                <c:pt idx="17">
                  <c:v>6.7857142857142866E-2</c:v>
                </c:pt>
                <c:pt idx="18">
                  <c:v>6.7857142857142866E-2</c:v>
                </c:pt>
                <c:pt idx="19">
                  <c:v>6.7857142857142866E-2</c:v>
                </c:pt>
                <c:pt idx="20">
                  <c:v>6.7857142857142866E-2</c:v>
                </c:pt>
                <c:pt idx="21">
                  <c:v>6.7857142857142866E-2</c:v>
                </c:pt>
                <c:pt idx="22">
                  <c:v>6.7857142857142866E-2</c:v>
                </c:pt>
                <c:pt idx="23">
                  <c:v>6.7857142857142866E-2</c:v>
                </c:pt>
                <c:pt idx="24">
                  <c:v>6.7857142857142866E-2</c:v>
                </c:pt>
                <c:pt idx="25">
                  <c:v>6.7857142857142866E-2</c:v>
                </c:pt>
                <c:pt idx="26">
                  <c:v>6.7857142857142866E-2</c:v>
                </c:pt>
                <c:pt idx="27">
                  <c:v>6.7857142857142866E-2</c:v>
                </c:pt>
                <c:pt idx="28">
                  <c:v>6.7857142857142866E-2</c:v>
                </c:pt>
                <c:pt idx="29">
                  <c:v>6.7857142857142866E-2</c:v>
                </c:pt>
              </c:numCache>
            </c:numRef>
          </c:yVal>
          <c:smooth val="0"/>
        </c:ser>
        <c:ser>
          <c:idx val="27"/>
          <c:order val="27"/>
          <c:tx>
            <c:strRef>
              <c:f>'Bearing FB_Pu'!$QK$57</c:f>
              <c:strCache>
                <c:ptCount val="1"/>
                <c:pt idx="0">
                  <c:v>Lean  0.05 m.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FB_Pu'!$QP$57</c:f>
              <c:numCache>
                <c:formatCode>General</c:formatCode>
                <c:ptCount val="1"/>
                <c:pt idx="0">
                  <c:v>0.5714285714285714</c:v>
                </c:pt>
              </c:numCache>
            </c:numRef>
          </c:xVal>
          <c:yVal>
            <c:numRef>
              <c:f>'Bearing FB_Pu'!$QP$58</c:f>
              <c:numCache>
                <c:formatCode>General</c:formatCode>
                <c:ptCount val="1"/>
                <c:pt idx="0">
                  <c:v>-1.785714285714286E-2</c:v>
                </c:pt>
              </c:numCache>
            </c:numRef>
          </c:yVal>
          <c:smooth val="0"/>
        </c:ser>
        <c:ser>
          <c:idx val="28"/>
          <c:order val="28"/>
          <c:tx>
            <c:strRef>
              <c:f>'Bearing FB_Pu'!$QK$60</c:f>
              <c:strCache>
                <c:ptCount val="1"/>
                <c:pt idx="0">
                  <c:v>Sand  0.10 m.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FB_Pu'!$QP$60</c:f>
              <c:numCache>
                <c:formatCode>General</c:formatCode>
                <c:ptCount val="1"/>
                <c:pt idx="0">
                  <c:v>0.5714285714285714</c:v>
                </c:pt>
              </c:numCache>
            </c:numRef>
          </c:xVal>
          <c:yVal>
            <c:numRef>
              <c:f>'Bearing FB_Pu'!$QP$61</c:f>
              <c:numCache>
                <c:formatCode>General</c:formatCode>
                <c:ptCount val="1"/>
                <c:pt idx="0">
                  <c:v>-7.1428571428571438E-2</c:v>
                </c:pt>
              </c:numCache>
            </c:numRef>
          </c:yVal>
          <c:smooth val="0"/>
        </c:ser>
        <c:ser>
          <c:idx val="29"/>
          <c:order val="29"/>
          <c:tx>
            <c:strRef>
              <c:f>'Bearing FB_Pu'!$QD$72</c:f>
              <c:strCache>
                <c:ptCount val="1"/>
                <c:pt idx="0">
                  <c:v>8DB16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9"/>
            <c:spPr>
              <a:noFill/>
              <a:ln w="6350">
                <a:solidFill>
                  <a:srgbClr val="0000FF"/>
                </a:solidFill>
              </a:ln>
            </c:spPr>
          </c:marker>
          <c:dPt>
            <c:idx val="1"/>
            <c:marker>
              <c:symbol val="none"/>
            </c:marker>
            <c:bubble3D val="0"/>
          </c:dPt>
          <c:dPt>
            <c:idx val="2"/>
            <c:marker>
              <c:symbol val="none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FB_Pu'!$QD$73:$QF$73</c:f>
              <c:numCache>
                <c:formatCode>General</c:formatCode>
                <c:ptCount val="3"/>
                <c:pt idx="0">
                  <c:v>0.43214285714285711</c:v>
                </c:pt>
                <c:pt idx="1">
                  <c:v>0.43214285714285711</c:v>
                </c:pt>
                <c:pt idx="2">
                  <c:v>0.5714285714285714</c:v>
                </c:pt>
              </c:numCache>
            </c:numRef>
          </c:xVal>
          <c:yVal>
            <c:numRef>
              <c:f>'Bearing FB_Pu'!$QD$74:$QF$74</c:f>
              <c:numCache>
                <c:formatCode>General</c:formatCode>
                <c:ptCount val="3"/>
                <c:pt idx="0">
                  <c:v>6.7857142857142866E-2</c:v>
                </c:pt>
                <c:pt idx="1">
                  <c:v>0.32142857142857145</c:v>
                </c:pt>
                <c:pt idx="2">
                  <c:v>0.32142857142857145</c:v>
                </c:pt>
              </c:numCache>
            </c:numRef>
          </c:yVal>
          <c:smooth val="0"/>
        </c:ser>
        <c:ser>
          <c:idx val="30"/>
          <c:order val="30"/>
          <c:tx>
            <c:strRef>
              <c:f>'Bearing FB_Pu'!$QH$72</c:f>
              <c:strCache>
                <c:ptCount val="1"/>
                <c:pt idx="0">
                  <c:v>8DB16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0000FF"/>
                </a:solidFill>
                <a:headEnd type="none" w="sm" len="sm"/>
              </a:ln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FB_Pu'!$QH$73:$QJ$73</c:f>
              <c:numCache>
                <c:formatCode>General</c:formatCode>
                <c:ptCount val="3"/>
                <c:pt idx="0">
                  <c:v>0.37857142857142856</c:v>
                </c:pt>
                <c:pt idx="1">
                  <c:v>0.37857142857142856</c:v>
                </c:pt>
                <c:pt idx="2">
                  <c:v>0.5714285714285714</c:v>
                </c:pt>
              </c:numCache>
            </c:numRef>
          </c:xVal>
          <c:yVal>
            <c:numRef>
              <c:f>'Bearing FB_Pu'!$QH$74:$QJ$74</c:f>
              <c:numCache>
                <c:formatCode>General</c:formatCode>
                <c:ptCount val="3"/>
                <c:pt idx="0">
                  <c:v>5.3571428571428575E-2</c:v>
                </c:pt>
                <c:pt idx="1">
                  <c:v>0.40714285714285714</c:v>
                </c:pt>
                <c:pt idx="2">
                  <c:v>0.40714285714285714</c:v>
                </c:pt>
              </c:numCache>
            </c:numRef>
          </c:yVal>
          <c:smooth val="0"/>
        </c:ser>
        <c:ser>
          <c:idx val="31"/>
          <c:order val="31"/>
          <c:spPr>
            <a:ln w="6350">
              <a:solidFill>
                <a:srgbClr val="0000FF"/>
              </a:solidFill>
              <a:headEnd type="triangle" w="sm" len="sm"/>
              <a:tailEnd type="none" w="sm" len="sm"/>
            </a:ln>
          </c:spPr>
          <c:marker>
            <c:symbol val="none"/>
          </c:marker>
          <c:xVal>
            <c:numRef>
              <c:f>'Bearing FB_Pu'!$QD$77:$QE$77</c:f>
              <c:numCache>
                <c:formatCode>General</c:formatCode>
                <c:ptCount val="2"/>
                <c:pt idx="0" formatCode="0.0">
                  <c:v>-0.5</c:v>
                </c:pt>
                <c:pt idx="1">
                  <c:v>-0.55000000000000004</c:v>
                </c:pt>
              </c:numCache>
            </c:numRef>
          </c:xVal>
          <c:yVal>
            <c:numRef>
              <c:f>'Bearing FB_Pu'!$QD$78:$QE$78</c:f>
              <c:numCache>
                <c:formatCode>General</c:formatCode>
                <c:ptCount val="2"/>
                <c:pt idx="0">
                  <c:v>0.28571428571428575</c:v>
                </c:pt>
                <c:pt idx="1">
                  <c:v>0.28571428571428575</c:v>
                </c:pt>
              </c:numCache>
            </c:numRef>
          </c:yVal>
          <c:smooth val="0"/>
        </c:ser>
        <c:ser>
          <c:idx val="32"/>
          <c:order val="32"/>
          <c:tx>
            <c:strRef>
              <c:f>'Bearing FB_Pu'!$QI$2:$QK$2</c:f>
              <c:strCache>
                <c:ptCount val="1"/>
                <c:pt idx="0">
                  <c:v>0.075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FB_Pu'!$QG$77:$QH$77</c:f>
              <c:numCache>
                <c:formatCode>General</c:formatCode>
                <c:ptCount val="2"/>
                <c:pt idx="0">
                  <c:v>-0.4464285714285714</c:v>
                </c:pt>
                <c:pt idx="1">
                  <c:v>-0.39642857142857141</c:v>
                </c:pt>
              </c:numCache>
            </c:numRef>
          </c:xVal>
          <c:yVal>
            <c:numRef>
              <c:f>'Bearing FB_Pu'!$QG$78:$QH$78</c:f>
              <c:numCache>
                <c:formatCode>General</c:formatCode>
                <c:ptCount val="2"/>
                <c:pt idx="0">
                  <c:v>0.28571428571428575</c:v>
                </c:pt>
                <c:pt idx="1">
                  <c:v>0.28571428571428575</c:v>
                </c:pt>
              </c:numCache>
            </c:numRef>
          </c:yVal>
          <c:smooth val="0"/>
        </c:ser>
        <c:ser>
          <c:idx val="33"/>
          <c:order val="33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FB_Pu'!$QJ$77:$QK$77</c:f>
              <c:numCache>
                <c:formatCode>0.0</c:formatCode>
                <c:ptCount val="2"/>
                <c:pt idx="0">
                  <c:v>-0.5</c:v>
                </c:pt>
                <c:pt idx="1">
                  <c:v>-0.5</c:v>
                </c:pt>
              </c:numCache>
            </c:numRef>
          </c:xVal>
          <c:yVal>
            <c:numRef>
              <c:f>'Bearing FB_Pu'!$QJ$78:$QK$78</c:f>
              <c:numCache>
                <c:formatCode>General</c:formatCode>
                <c:ptCount val="2"/>
                <c:pt idx="0">
                  <c:v>0.26428571428571435</c:v>
                </c:pt>
                <c:pt idx="1">
                  <c:v>0.30714285714285716</c:v>
                </c:pt>
              </c:numCache>
            </c:numRef>
          </c:yVal>
          <c:smooth val="0"/>
        </c:ser>
        <c:ser>
          <c:idx val="34"/>
          <c:order val="34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FB_Pu'!$QM$77:$QN$77</c:f>
              <c:numCache>
                <c:formatCode>General</c:formatCode>
                <c:ptCount val="2"/>
                <c:pt idx="0">
                  <c:v>-0.4464285714285714</c:v>
                </c:pt>
                <c:pt idx="1">
                  <c:v>-0.4464285714285714</c:v>
                </c:pt>
              </c:numCache>
            </c:numRef>
          </c:xVal>
          <c:yVal>
            <c:numRef>
              <c:f>'Bearing FB_Pu'!$QM$78:$QN$78</c:f>
              <c:numCache>
                <c:formatCode>General</c:formatCode>
                <c:ptCount val="2"/>
                <c:pt idx="0">
                  <c:v>0.26428571428571435</c:v>
                </c:pt>
                <c:pt idx="1">
                  <c:v>0.30714285714285716</c:v>
                </c:pt>
              </c:numCache>
            </c:numRef>
          </c:yVal>
          <c:smooth val="0"/>
        </c:ser>
        <c:ser>
          <c:idx val="35"/>
          <c:order val="35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FB_Pu'!$QD$80:$QE$80</c:f>
              <c:numCache>
                <c:formatCode>General</c:formatCode>
                <c:ptCount val="2"/>
                <c:pt idx="0">
                  <c:v>0.64285714285714279</c:v>
                </c:pt>
                <c:pt idx="1">
                  <c:v>0.64285714285714279</c:v>
                </c:pt>
              </c:numCache>
            </c:numRef>
          </c:xVal>
          <c:yVal>
            <c:numRef>
              <c:f>'Bearing FB_Pu'!$QD$81:$QE$81</c:f>
              <c:numCache>
                <c:formatCode>General</c:formatCode>
                <c:ptCount val="2"/>
                <c:pt idx="0">
                  <c:v>0</c:v>
                </c:pt>
                <c:pt idx="1">
                  <c:v>5.3571428571428575E-2</c:v>
                </c:pt>
              </c:numCache>
            </c:numRef>
          </c:yVal>
          <c:smooth val="0"/>
        </c:ser>
        <c:ser>
          <c:idx val="36"/>
          <c:order val="3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FB_Pu'!$QG$80:$QH$80</c:f>
              <c:numCache>
                <c:formatCode>General</c:formatCode>
                <c:ptCount val="2"/>
                <c:pt idx="0">
                  <c:v>0.62142857142857133</c:v>
                </c:pt>
                <c:pt idx="1">
                  <c:v>0.66428571428571426</c:v>
                </c:pt>
              </c:numCache>
            </c:numRef>
          </c:xVal>
          <c:yVal>
            <c:numRef>
              <c:f>'Bearing FB_Pu'!$QG$81:$QH$81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37"/>
          <c:order val="37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FB_Pu'!$QJ$80:$QK$80</c:f>
              <c:numCache>
                <c:formatCode>General</c:formatCode>
                <c:ptCount val="2"/>
                <c:pt idx="0">
                  <c:v>0.62142857142857133</c:v>
                </c:pt>
                <c:pt idx="1">
                  <c:v>0.66428571428571426</c:v>
                </c:pt>
              </c:numCache>
            </c:numRef>
          </c:xVal>
          <c:yVal>
            <c:numRef>
              <c:f>'Bearing FB_Pu'!$QJ$81:$QK$81</c:f>
              <c:numCache>
                <c:formatCode>General</c:formatCode>
                <c:ptCount val="2"/>
                <c:pt idx="0">
                  <c:v>5.3571428571428575E-2</c:v>
                </c:pt>
                <c:pt idx="1">
                  <c:v>5.3571428571428575E-2</c:v>
                </c:pt>
              </c:numCache>
            </c:numRef>
          </c:yVal>
          <c:smooth val="0"/>
        </c:ser>
        <c:ser>
          <c:idx val="38"/>
          <c:order val="38"/>
          <c:tx>
            <c:strRef>
              <c:f>'Bearing FB_Pu'!$QI$2:$QK$2</c:f>
              <c:strCache>
                <c:ptCount val="1"/>
                <c:pt idx="0">
                  <c:v>0.075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FB_Pu'!$QM$80:$QO$80</c:f>
              <c:numCache>
                <c:formatCode>General</c:formatCode>
                <c:ptCount val="3"/>
                <c:pt idx="0">
                  <c:v>0.64285714285714279</c:v>
                </c:pt>
                <c:pt idx="1">
                  <c:v>0.64285714285714279</c:v>
                </c:pt>
                <c:pt idx="2">
                  <c:v>0.71428571428571419</c:v>
                </c:pt>
              </c:numCache>
            </c:numRef>
          </c:xVal>
          <c:yVal>
            <c:numRef>
              <c:f>'Bearing FB_Pu'!$QM$81:$QO$81</c:f>
              <c:numCache>
                <c:formatCode>General</c:formatCode>
                <c:ptCount val="3"/>
                <c:pt idx="0">
                  <c:v>5.3571428571428575E-2</c:v>
                </c:pt>
                <c:pt idx="1">
                  <c:v>0.10714285714285715</c:v>
                </c:pt>
                <c:pt idx="2">
                  <c:v>0.10714285714285715</c:v>
                </c:pt>
              </c:numCache>
            </c:numRef>
          </c:yVal>
          <c:smooth val="0"/>
        </c:ser>
        <c:ser>
          <c:idx val="39"/>
          <c:order val="39"/>
          <c:tx>
            <c:v>SECTION</c:v>
          </c:tx>
          <c:marker>
            <c:symbol val="none"/>
          </c:marker>
          <c:dLbls>
            <c:txPr>
              <a:bodyPr/>
              <a:lstStyle/>
              <a:p>
                <a:pPr>
                  <a:defRPr b="1">
                    <a:solidFill>
                      <a:srgbClr val="006600"/>
                    </a:solidFill>
                  </a:defRPr>
                </a:pPr>
                <a:endParaRPr lang="th-TH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FB_Pu'!$QX$87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'Bearing FB_Pu'!$QX$88</c:f>
              <c:numCache>
                <c:formatCode>General</c:formatCode>
                <c:ptCount val="1"/>
                <c:pt idx="0">
                  <c:v>-0.10714285714285715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817600"/>
        <c:axId val="283805952"/>
      </c:scatterChart>
      <c:valAx>
        <c:axId val="279817600"/>
        <c:scaling>
          <c:orientation val="minMax"/>
          <c:max val="0.8"/>
          <c:min val="-0.8"/>
        </c:scaling>
        <c:delete val="1"/>
        <c:axPos val="b"/>
        <c:numFmt formatCode="General" sourceLinked="1"/>
        <c:majorTickMark val="out"/>
        <c:minorTickMark val="none"/>
        <c:tickLblPos val="none"/>
        <c:crossAx val="283805952"/>
        <c:crosses val="autoZero"/>
        <c:crossBetween val="midCat"/>
      </c:valAx>
      <c:valAx>
        <c:axId val="283805952"/>
        <c:scaling>
          <c:orientation val="minMax"/>
          <c:max val="0.9"/>
          <c:min val="-0.2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6350">
            <a:solidFill>
              <a:schemeClr val="bg1">
                <a:lumMod val="75000"/>
              </a:schemeClr>
            </a:solidFill>
            <a:prstDash val="lgDashDot"/>
          </a:ln>
        </c:spPr>
        <c:crossAx val="279817600"/>
        <c:crosses val="autoZero"/>
        <c:crossBetween val="midCat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'Bearing FB_Pu'!$QD$36:$QI$36</c:f>
              <c:numCache>
                <c:formatCode>0.0</c:formatCode>
                <c:ptCount val="6"/>
                <c:pt idx="0" formatCode="General">
                  <c:v>-7.1428571428571438E-2</c:v>
                </c:pt>
                <c:pt idx="1">
                  <c:v>-0.5</c:v>
                </c:pt>
                <c:pt idx="2">
                  <c:v>-0.5</c:v>
                </c:pt>
                <c:pt idx="3">
                  <c:v>0.5</c:v>
                </c:pt>
                <c:pt idx="4">
                  <c:v>0.5</c:v>
                </c:pt>
                <c:pt idx="5" formatCode="General">
                  <c:v>7.1428571428571438E-2</c:v>
                </c:pt>
              </c:numCache>
            </c:numRef>
          </c:xVal>
          <c:yVal>
            <c:numRef>
              <c:f>'Bearing FB_Pu'!$QD$37:$QI$37</c:f>
              <c:numCache>
                <c:formatCode>General</c:formatCode>
                <c:ptCount val="6"/>
                <c:pt idx="0">
                  <c:v>0.2142857142857143</c:v>
                </c:pt>
                <c:pt idx="1">
                  <c:v>0.2142857142857143</c:v>
                </c:pt>
                <c:pt idx="2">
                  <c:v>0</c:v>
                </c:pt>
                <c:pt idx="3">
                  <c:v>0</c:v>
                </c:pt>
                <c:pt idx="4">
                  <c:v>0.2142857142857143</c:v>
                </c:pt>
                <c:pt idx="5">
                  <c:v>0.2142857142857143</c:v>
                </c:pt>
              </c:numCache>
            </c:numRef>
          </c:yVal>
          <c:smooth val="0"/>
        </c:ser>
        <c:ser>
          <c:idx val="1"/>
          <c:order val="1"/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'Bearing FB_Pu'!$QD$39:$QE$39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-7.1428571428571438E-2</c:v>
                </c:pt>
              </c:numCache>
            </c:numRef>
          </c:xVal>
          <c:yVal>
            <c:numRef>
              <c:f>'Bearing FB_Pu'!$QD$40:$QE$40</c:f>
              <c:numCache>
                <c:formatCode>General</c:formatCode>
                <c:ptCount val="2"/>
                <c:pt idx="0">
                  <c:v>0.2142857142857143</c:v>
                </c:pt>
                <c:pt idx="1">
                  <c:v>0.8</c:v>
                </c:pt>
              </c:numCache>
            </c:numRef>
          </c:yVal>
          <c:smooth val="0"/>
        </c:ser>
        <c:ser>
          <c:idx val="2"/>
          <c:order val="2"/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'Bearing FB_Pu'!$QG$39:$QH$39</c:f>
              <c:numCache>
                <c:formatCode>General</c:formatCode>
                <c:ptCount val="2"/>
                <c:pt idx="0">
                  <c:v>7.1428571428571438E-2</c:v>
                </c:pt>
                <c:pt idx="1">
                  <c:v>7.1428571428571438E-2</c:v>
                </c:pt>
              </c:numCache>
            </c:numRef>
          </c:xVal>
          <c:yVal>
            <c:numRef>
              <c:f>'Bearing FB_Pu'!$QG$40:$QH$40</c:f>
              <c:numCache>
                <c:formatCode>General</c:formatCode>
                <c:ptCount val="2"/>
                <c:pt idx="0">
                  <c:v>0.2142857142857143</c:v>
                </c:pt>
                <c:pt idx="1">
                  <c:v>0.8</c:v>
                </c:pt>
              </c:numCache>
            </c:numRef>
          </c:yVal>
          <c:smooth val="0"/>
        </c:ser>
        <c:ser>
          <c:idx val="3"/>
          <c:order val="3"/>
          <c:spPr>
            <a:ln w="9525">
              <a:solidFill>
                <a:prstClr val="black"/>
              </a:solidFill>
              <a:prstDash val="dash"/>
            </a:ln>
          </c:spPr>
          <c:marker>
            <c:symbol val="none"/>
          </c:marker>
          <c:xVal>
            <c:numRef>
              <c:f>'Bearing FB_Pu'!$QJ$39:$QK$39</c:f>
              <c:numCache>
                <c:formatCode>General</c:formatCode>
                <c:ptCount val="2"/>
                <c:pt idx="0">
                  <c:v>-0.14285714285714288</c:v>
                </c:pt>
                <c:pt idx="1">
                  <c:v>0.14285714285714288</c:v>
                </c:pt>
              </c:numCache>
            </c:numRef>
          </c:xVal>
          <c:yVal>
            <c:numRef>
              <c:f>'Bearing FB_Pu'!$QJ$40:$QK$40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'Bearing FB_Pu'!$QC$8:$QE$8</c:f>
              <c:strCache>
                <c:ptCount val="1"/>
                <c:pt idx="0">
                  <c:v>0.30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FB_Pu'!$QD$42:$QE$42</c:f>
              <c:numCache>
                <c:formatCode>General</c:formatCode>
                <c:ptCount val="2"/>
                <c:pt idx="0">
                  <c:v>-0.6428571428571429</c:v>
                </c:pt>
                <c:pt idx="1">
                  <c:v>-0.6428571428571429</c:v>
                </c:pt>
              </c:numCache>
            </c:numRef>
          </c:xVal>
          <c:yVal>
            <c:numRef>
              <c:f>'Bearing FB_Pu'!$QD$43:$QE$43</c:f>
              <c:numCache>
                <c:formatCode>General</c:formatCode>
                <c:ptCount val="2"/>
                <c:pt idx="0">
                  <c:v>0</c:v>
                </c:pt>
                <c:pt idx="1">
                  <c:v>0.2142857142857143</c:v>
                </c:pt>
              </c:numCache>
            </c:numRef>
          </c:yVal>
          <c:smooth val="0"/>
        </c:ser>
        <c:ser>
          <c:idx val="5"/>
          <c:order val="5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FB_Pu'!$QD$45:$QE$45</c:f>
              <c:numCache>
                <c:formatCode>0.0</c:formatCode>
                <c:ptCount val="2"/>
                <c:pt idx="0" formatCode="General">
                  <c:v>7.1428571428571438E-2</c:v>
                </c:pt>
                <c:pt idx="1">
                  <c:v>0.5</c:v>
                </c:pt>
              </c:numCache>
            </c:numRef>
          </c:xVal>
          <c:yVal>
            <c:numRef>
              <c:f>'Bearing FB_Pu'!$QD$46:$QE$46</c:f>
              <c:numCache>
                <c:formatCode>General</c:formatCode>
                <c:ptCount val="2"/>
                <c:pt idx="0">
                  <c:v>0.35714285714285721</c:v>
                </c:pt>
                <c:pt idx="1">
                  <c:v>0.35714285714285721</c:v>
                </c:pt>
              </c:numCache>
            </c:numRef>
          </c:yVal>
          <c:smooth val="0"/>
        </c:ser>
        <c:ser>
          <c:idx val="7"/>
          <c:order val="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FB_Pu'!$QG$42:$QH$42</c:f>
              <c:numCache>
                <c:formatCode>General</c:formatCode>
                <c:ptCount val="2"/>
                <c:pt idx="0">
                  <c:v>-0.66428571428571437</c:v>
                </c:pt>
                <c:pt idx="1">
                  <c:v>-0.62142857142857144</c:v>
                </c:pt>
              </c:numCache>
            </c:numRef>
          </c:xVal>
          <c:yVal>
            <c:numRef>
              <c:f>'Bearing FB_Pu'!$QG$43:$QH$43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8"/>
          <c:order val="7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FB_Pu'!$QJ$42:$QK$42</c:f>
              <c:numCache>
                <c:formatCode>General</c:formatCode>
                <c:ptCount val="2"/>
                <c:pt idx="0">
                  <c:v>-0.66428571428571437</c:v>
                </c:pt>
                <c:pt idx="1">
                  <c:v>-0.62142857142857144</c:v>
                </c:pt>
              </c:numCache>
            </c:numRef>
          </c:xVal>
          <c:yVal>
            <c:numRef>
              <c:f>'Bearing FB_Pu'!$QJ$43:$QK$43</c:f>
              <c:numCache>
                <c:formatCode>General</c:formatCode>
                <c:ptCount val="2"/>
                <c:pt idx="0">
                  <c:v>0.2142857142857143</c:v>
                </c:pt>
                <c:pt idx="1">
                  <c:v>0.2142857142857143</c:v>
                </c:pt>
              </c:numCache>
            </c:numRef>
          </c:yVal>
          <c:smooth val="0"/>
        </c:ser>
        <c:ser>
          <c:idx val="6"/>
          <c:order val="8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FB_Pu'!$QG$45:$QH$45</c:f>
              <c:numCache>
                <c:formatCode>0.0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'Bearing FB_Pu'!$QG$46:$QH$46</c:f>
              <c:numCache>
                <c:formatCode>General</c:formatCode>
                <c:ptCount val="2"/>
                <c:pt idx="0">
                  <c:v>0.37857142857142861</c:v>
                </c:pt>
                <c:pt idx="1">
                  <c:v>0.3357142857142858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'Bearing FB_Pu'!$QM$42</c:f>
              <c:strCache>
                <c:ptCount val="1"/>
                <c:pt idx="0">
                  <c:v>T = 0.3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9.0263522319973977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7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FB_Pu'!$QO$42</c:f>
              <c:numCache>
                <c:formatCode>General</c:formatCode>
                <c:ptCount val="1"/>
                <c:pt idx="0">
                  <c:v>-0.6428571428571429</c:v>
                </c:pt>
              </c:numCache>
            </c:numRef>
          </c:xVal>
          <c:yVal>
            <c:numRef>
              <c:f>'Bearing FB_Pu'!$QO$43</c:f>
              <c:numCache>
                <c:formatCode>General</c:formatCode>
                <c:ptCount val="1"/>
                <c:pt idx="0">
                  <c:v>0.10714285714285715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'Bearing FB_Pu'!$QM$45</c:f>
              <c:strCache>
                <c:ptCount val="1"/>
                <c:pt idx="0">
                  <c:v>X = 0.6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0.10422979797979799"/>
                  <c:y val="-3.219982078853048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7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FB_Pu'!$QO$45</c:f>
              <c:numCache>
                <c:formatCode>General</c:formatCode>
                <c:ptCount val="1"/>
                <c:pt idx="0">
                  <c:v>0.2857142857142857</c:v>
                </c:pt>
              </c:numCache>
            </c:numRef>
          </c:xVal>
          <c:yVal>
            <c:numRef>
              <c:f>'Bearing FB_Pu'!$QO$46</c:f>
              <c:numCache>
                <c:formatCode>General</c:formatCode>
                <c:ptCount val="1"/>
                <c:pt idx="0">
                  <c:v>0.35714285714285721</c:v>
                </c:pt>
              </c:numCache>
            </c:numRef>
          </c:yVal>
          <c:smooth val="0"/>
        </c:ser>
        <c:ser>
          <c:idx val="11"/>
          <c:order val="11"/>
          <c:tx>
            <c:strRef>
              <c:f>'Bearing FB_Pu'!$QR$48</c:f>
              <c:strCache>
                <c:ptCount val="1"/>
                <c:pt idx="0">
                  <c:v>10000  kg/sq.m.</c:v>
                </c:pt>
              </c:strCache>
            </c:strRef>
          </c:tx>
          <c:spPr>
            <a:ln w="6350">
              <a:solidFill>
                <a:srgbClr val="FF00FF"/>
              </a:solidFill>
              <a:headEnd type="arrow" w="sm" len="sm"/>
              <a:tailEnd type="none"/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FF00FF"/>
                </a:solidFill>
                <a:headEnd type="none" w="sm" len="sm"/>
                <a:tailEnd type="none"/>
              </a:ln>
            </c:spPr>
          </c:dPt>
          <c:dPt>
            <c:idx val="3"/>
            <c:bubble3D val="0"/>
            <c:spPr>
              <a:ln w="6350">
                <a:solidFill>
                  <a:srgbClr val="FF00FF"/>
                </a:solidFill>
                <a:headEnd type="none" w="sm" len="sm"/>
                <a:tailEnd type="arrow" w="sm" len="sm"/>
              </a:ln>
            </c:spPr>
          </c:dPt>
          <c:xVal>
            <c:numRef>
              <c:f>'Bearing FB_Pu'!$QD$48:$QG$48</c:f>
              <c:numCache>
                <c:formatCode>General</c:formatCode>
                <c:ptCount val="4"/>
                <c:pt idx="0" formatCode="0.0">
                  <c:v>-0.5</c:v>
                </c:pt>
                <c:pt idx="1">
                  <c:v>-0.5</c:v>
                </c:pt>
                <c:pt idx="2" formatCode="0.0">
                  <c:v>0.5</c:v>
                </c:pt>
                <c:pt idx="3" formatCode="0.0">
                  <c:v>0.5</c:v>
                </c:pt>
              </c:numCache>
            </c:numRef>
          </c:xVal>
          <c:yVal>
            <c:numRef>
              <c:f>'Bearing FB_Pu'!$QD$49:$QG$49</c:f>
              <c:numCache>
                <c:formatCode>General</c:formatCode>
                <c:ptCount val="4"/>
                <c:pt idx="0">
                  <c:v>0</c:v>
                </c:pt>
                <c:pt idx="1">
                  <c:v>-7.4999999999999997E-2</c:v>
                </c:pt>
                <c:pt idx="2">
                  <c:v>-7.4999999999999997E-2</c:v>
                </c:pt>
                <c:pt idx="3">
                  <c:v>0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'Bearing FB_Pu'!$QR$48</c:f>
              <c:strCache>
                <c:ptCount val="1"/>
                <c:pt idx="0">
                  <c:v>10000  kg/sq.m.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0.12559184587813621"/>
                  <c:y val="7.482469839151489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700">
                    <a:solidFill>
                      <a:sysClr val="windowText" lastClr="000000"/>
                    </a:solidFill>
                  </a:defRPr>
                </a:pPr>
                <a:endParaRPr lang="th-TH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FB_Pu'!$QU$48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'Bearing FB_Pu'!$QU$49</c:f>
              <c:numCache>
                <c:formatCode>General</c:formatCode>
                <c:ptCount val="1"/>
                <c:pt idx="0">
                  <c:v>-7.4999999999999997E-2</c:v>
                </c:pt>
              </c:numCache>
            </c:numRef>
          </c:yVal>
          <c:smooth val="0"/>
        </c:ser>
        <c:ser>
          <c:idx val="13"/>
          <c:order val="13"/>
          <c:spPr>
            <a:ln w="6350">
              <a:solidFill>
                <a:srgbClr val="FF00FF"/>
              </a:solidFill>
              <a:headEnd type="arrow" w="sm" len="sm"/>
            </a:ln>
          </c:spPr>
          <c:marker>
            <c:symbol val="none"/>
          </c:marker>
          <c:xVal>
            <c:numRef>
              <c:f>'Bearing FB_Pu'!$QI$48:$QJ$48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'Bearing FB_Pu'!$QI$49:$QJ$49</c:f>
              <c:numCache>
                <c:formatCode>General</c:formatCode>
                <c:ptCount val="2"/>
                <c:pt idx="0">
                  <c:v>0</c:v>
                </c:pt>
                <c:pt idx="1">
                  <c:v>-7.4999999999999997E-2</c:v>
                </c:pt>
              </c:numCache>
            </c:numRef>
          </c:yVal>
          <c:smooth val="0"/>
        </c:ser>
        <c:ser>
          <c:idx val="14"/>
          <c:order val="14"/>
          <c:spPr>
            <a:ln w="6350">
              <a:solidFill>
                <a:srgbClr val="FF00FF"/>
              </a:solidFill>
              <a:headEnd type="arrow" w="sm" len="sm"/>
            </a:ln>
          </c:spPr>
          <c:marker>
            <c:symbol val="none"/>
          </c:marker>
          <c:xVal>
            <c:numRef>
              <c:f>'Bearing FB_Pu'!$QL$48:$QM$48</c:f>
              <c:numCache>
                <c:formatCode>General</c:formatCode>
                <c:ptCount val="2"/>
                <c:pt idx="0">
                  <c:v>-0.25</c:v>
                </c:pt>
                <c:pt idx="1">
                  <c:v>-0.25</c:v>
                </c:pt>
              </c:numCache>
            </c:numRef>
          </c:xVal>
          <c:yVal>
            <c:numRef>
              <c:f>'Bearing FB_Pu'!$QL$49:$QM$49</c:f>
              <c:numCache>
                <c:formatCode>General</c:formatCode>
                <c:ptCount val="2"/>
                <c:pt idx="0">
                  <c:v>0</c:v>
                </c:pt>
                <c:pt idx="1">
                  <c:v>-7.4999999999999997E-2</c:v>
                </c:pt>
              </c:numCache>
            </c:numRef>
          </c:yVal>
          <c:smooth val="0"/>
        </c:ser>
        <c:ser>
          <c:idx val="15"/>
          <c:order val="15"/>
          <c:spPr>
            <a:ln w="6350">
              <a:solidFill>
                <a:srgbClr val="FF00FF"/>
              </a:solidFill>
              <a:headEnd type="arrow" w="sm" len="sm"/>
            </a:ln>
          </c:spPr>
          <c:marker>
            <c:symbol val="none"/>
          </c:marker>
          <c:xVal>
            <c:numRef>
              <c:f>'Bearing FB_Pu'!$QO$48:$QP$48</c:f>
              <c:numCache>
                <c:formatCode>General</c:formatCode>
                <c:ptCount val="2"/>
                <c:pt idx="0">
                  <c:v>0.25</c:v>
                </c:pt>
                <c:pt idx="1">
                  <c:v>0.25</c:v>
                </c:pt>
              </c:numCache>
            </c:numRef>
          </c:xVal>
          <c:yVal>
            <c:numRef>
              <c:f>'Bearing FB_Pu'!$QO$49:$QP$49</c:f>
              <c:numCache>
                <c:formatCode>General</c:formatCode>
                <c:ptCount val="2"/>
                <c:pt idx="0">
                  <c:v>0</c:v>
                </c:pt>
                <c:pt idx="1">
                  <c:v>-7.4999999999999997E-2</c:v>
                </c:pt>
              </c:numCache>
            </c:numRef>
          </c:yVal>
          <c:smooth val="0"/>
        </c:ser>
        <c:ser>
          <c:idx val="16"/>
          <c:order val="16"/>
          <c:spPr>
            <a:ln w="50800" cap="flat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'Bearing FB_Pu'!$QD$51:$QE$51</c:f>
              <c:numCache>
                <c:formatCode>0.0</c:formatCode>
                <c:ptCount val="2"/>
                <c:pt idx="0">
                  <c:v>-7.1428571428571438E-2</c:v>
                </c:pt>
                <c:pt idx="1">
                  <c:v>-0.5</c:v>
                </c:pt>
              </c:numCache>
            </c:numRef>
          </c:xVal>
          <c:yVal>
            <c:numRef>
              <c:f>'Bearing FB_Pu'!$QD$52:$QE$52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yVal>
          <c:smooth val="0"/>
        </c:ser>
        <c:ser>
          <c:idx val="17"/>
          <c:order val="17"/>
          <c:spPr>
            <a:ln w="50800" cap="flat">
              <a:solidFill>
                <a:srgbClr val="F79646">
                  <a:lumMod val="50000"/>
                </a:srgbClr>
              </a:solidFill>
            </a:ln>
          </c:spPr>
          <c:marker>
            <c:symbol val="none"/>
          </c:marker>
          <c:xVal>
            <c:numRef>
              <c:f>'Bearing FB_Pu'!$QG$51:$QH$51</c:f>
              <c:numCache>
                <c:formatCode>General</c:formatCode>
                <c:ptCount val="2"/>
                <c:pt idx="0" formatCode="0.0">
                  <c:v>0.5</c:v>
                </c:pt>
                <c:pt idx="1">
                  <c:v>7.1428571428571438E-2</c:v>
                </c:pt>
              </c:numCache>
            </c:numRef>
          </c:xVal>
          <c:yVal>
            <c:numRef>
              <c:f>'Bearing FB_Pu'!$QG$52:$QH$52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807104"/>
        <c:axId val="283808256"/>
      </c:scatterChart>
      <c:valAx>
        <c:axId val="283807104"/>
        <c:scaling>
          <c:orientation val="minMax"/>
          <c:max val="0.8"/>
          <c:min val="-0.8"/>
        </c:scaling>
        <c:delete val="1"/>
        <c:axPos val="b"/>
        <c:numFmt formatCode="General" sourceLinked="1"/>
        <c:majorTickMark val="none"/>
        <c:minorTickMark val="none"/>
        <c:tickLblPos val="none"/>
        <c:crossAx val="283808256"/>
        <c:crosses val="autoZero"/>
        <c:crossBetween val="midCat"/>
      </c:valAx>
      <c:valAx>
        <c:axId val="283808256"/>
        <c:scaling>
          <c:orientation val="minMax"/>
          <c:max val="0.9"/>
          <c:min val="-0.2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6350">
            <a:solidFill>
              <a:schemeClr val="bg1">
                <a:lumMod val="75000"/>
              </a:schemeClr>
            </a:solidFill>
            <a:prstDash val="lgDashDot"/>
          </a:ln>
        </c:spPr>
        <c:crossAx val="283807104"/>
        <c:crosses val="autoZero"/>
        <c:crossBetween val="midCat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'Bearing FB_Pu'!$QC$9</c:f>
              <c:strCache>
                <c:ptCount val="1"/>
                <c:pt idx="0">
                  <c:v>ฐานราก</c:v>
                </c:pt>
              </c:strCache>
            </c:strRef>
          </c:tx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'Bearing FB_Pu'!$QD$10:$QH$10</c:f>
              <c:numCache>
                <c:formatCode>0.0</c:formatCode>
                <c:ptCount val="5"/>
                <c:pt idx="0">
                  <c:v>-0.5</c:v>
                </c:pt>
                <c:pt idx="1">
                  <c:v>0.5</c:v>
                </c:pt>
                <c:pt idx="2">
                  <c:v>0.5</c:v>
                </c:pt>
                <c:pt idx="3">
                  <c:v>-0.5</c:v>
                </c:pt>
                <c:pt idx="4">
                  <c:v>-0.5</c:v>
                </c:pt>
              </c:numCache>
            </c:numRef>
          </c:xVal>
          <c:yVal>
            <c:numRef>
              <c:f>'Bearing FB_Pu'!$QD$11:$QH$11</c:f>
              <c:numCache>
                <c:formatCode>0.0</c:formatCode>
                <c:ptCount val="5"/>
                <c:pt idx="0">
                  <c:v>0.5</c:v>
                </c:pt>
                <c:pt idx="1">
                  <c:v>0.5</c:v>
                </c:pt>
                <c:pt idx="2">
                  <c:v>-0.5</c:v>
                </c:pt>
                <c:pt idx="3">
                  <c:v>-0.5</c:v>
                </c:pt>
                <c:pt idx="4">
                  <c:v>0.5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'Bearing FB_Pu'!$QC$12</c:f>
              <c:strCache>
                <c:ptCount val="1"/>
                <c:pt idx="0">
                  <c:v>เสา</c:v>
                </c:pt>
              </c:strCache>
            </c:strRef>
          </c:tx>
          <c:spPr>
            <a:ln w="25400" cap="sq">
              <a:solidFill>
                <a:srgbClr val="008000"/>
              </a:solidFill>
              <a:miter lim="800000"/>
            </a:ln>
          </c:spPr>
          <c:marker>
            <c:symbol val="none"/>
          </c:marker>
          <c:xVal>
            <c:numRef>
              <c:f>'Bearing FB_Pu'!$QD$13:$QH$13</c:f>
              <c:numCache>
                <c:formatCode>General</c:formatCode>
                <c:ptCount val="5"/>
                <c:pt idx="0">
                  <c:v>-7.1428571428571438E-2</c:v>
                </c:pt>
                <c:pt idx="1">
                  <c:v>7.1428571428571438E-2</c:v>
                </c:pt>
                <c:pt idx="2">
                  <c:v>7.1428571428571438E-2</c:v>
                </c:pt>
                <c:pt idx="3">
                  <c:v>-7.1428571428571438E-2</c:v>
                </c:pt>
                <c:pt idx="4">
                  <c:v>-7.1428571428571438E-2</c:v>
                </c:pt>
              </c:numCache>
            </c:numRef>
          </c:xVal>
          <c:yVal>
            <c:numRef>
              <c:f>'Bearing FB_Pu'!$QD$14:$QH$14</c:f>
              <c:numCache>
                <c:formatCode>General</c:formatCode>
                <c:ptCount val="5"/>
                <c:pt idx="0">
                  <c:v>7.1428571428571438E-2</c:v>
                </c:pt>
                <c:pt idx="1">
                  <c:v>7.1428571428571438E-2</c:v>
                </c:pt>
                <c:pt idx="2">
                  <c:v>-7.1428571428571438E-2</c:v>
                </c:pt>
                <c:pt idx="3">
                  <c:v>-7.1428571428571438E-2</c:v>
                </c:pt>
                <c:pt idx="4">
                  <c:v>7.1428571428571438E-2</c:v>
                </c:pt>
              </c:numCache>
            </c:numRef>
          </c:yVal>
          <c:smooth val="0"/>
        </c:ser>
        <c:ser>
          <c:idx val="2"/>
          <c:order val="2"/>
          <c:spPr>
            <a:ln w="2540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'Bearing FB_Pu'!$QJ$13:$QK$13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7.1428571428571438E-2</c:v>
                </c:pt>
              </c:numCache>
            </c:numRef>
          </c:xVal>
          <c:yVal>
            <c:numRef>
              <c:f>'Bearing FB_Pu'!$QJ$14:$QK$14</c:f>
              <c:numCache>
                <c:formatCode>General</c:formatCode>
                <c:ptCount val="2"/>
                <c:pt idx="0">
                  <c:v>7.1428571428571438E-2</c:v>
                </c:pt>
                <c:pt idx="1">
                  <c:v>-7.1428571428571438E-2</c:v>
                </c:pt>
              </c:numCache>
            </c:numRef>
          </c:yVal>
          <c:smooth val="0"/>
        </c:ser>
        <c:ser>
          <c:idx val="3"/>
          <c:order val="3"/>
          <c:spPr>
            <a:ln w="2540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'Bearing FB_Pu'!$QM$13:$QN$13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7.1428571428571438E-2</c:v>
                </c:pt>
              </c:numCache>
            </c:numRef>
          </c:xVal>
          <c:yVal>
            <c:numRef>
              <c:f>'Bearing FB_Pu'!$QM$14:$QN$14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7.1428571428571438E-2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'Bearing FB_Pu'!$QC$15</c:f>
              <c:strCache>
                <c:ptCount val="1"/>
                <c:pt idx="0">
                  <c:v>BS</c:v>
                </c:pt>
              </c:strCache>
            </c:strRef>
          </c:tx>
          <c:spPr>
            <a:ln w="9525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'Bearing FB_Pu'!$QD$16:$QH$16</c:f>
              <c:numCache>
                <c:formatCode>0.0</c:formatCode>
                <c:ptCount val="5"/>
                <c:pt idx="0">
                  <c:v>-0.5</c:v>
                </c:pt>
                <c:pt idx="1">
                  <c:v>-0.22642857142857142</c:v>
                </c:pt>
                <c:pt idx="2">
                  <c:v>-0.22642857142857142</c:v>
                </c:pt>
                <c:pt idx="3">
                  <c:v>-0.5</c:v>
                </c:pt>
                <c:pt idx="4">
                  <c:v>-0.5</c:v>
                </c:pt>
              </c:numCache>
            </c:numRef>
          </c:xVal>
          <c:yVal>
            <c:numRef>
              <c:f>'Bearing FB_Pu'!$QD$17:$QH$17</c:f>
              <c:numCache>
                <c:formatCode>0.0</c:formatCode>
                <c:ptCount val="5"/>
                <c:pt idx="0">
                  <c:v>0.5</c:v>
                </c:pt>
                <c:pt idx="1">
                  <c:v>0.5</c:v>
                </c:pt>
                <c:pt idx="2">
                  <c:v>-0.5</c:v>
                </c:pt>
                <c:pt idx="3">
                  <c:v>-0.5</c:v>
                </c:pt>
                <c:pt idx="4">
                  <c:v>0.5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'Bearing FB_Pu'!$QC$18</c:f>
              <c:strCache>
                <c:ptCount val="1"/>
                <c:pt idx="0">
                  <c:v>PS</c:v>
                </c:pt>
              </c:strCache>
            </c:strRef>
          </c:tx>
          <c:spPr>
            <a:ln w="952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'Bearing FB_Pu'!$QD$19:$QH$19</c:f>
              <c:numCache>
                <c:formatCode>General</c:formatCode>
                <c:ptCount val="5"/>
                <c:pt idx="0">
                  <c:v>-0.14892857142857144</c:v>
                </c:pt>
                <c:pt idx="1">
                  <c:v>0.14892857142857144</c:v>
                </c:pt>
                <c:pt idx="2">
                  <c:v>0.14892857142857144</c:v>
                </c:pt>
                <c:pt idx="3">
                  <c:v>-0.14892857142857144</c:v>
                </c:pt>
                <c:pt idx="4">
                  <c:v>-0.14892857142857144</c:v>
                </c:pt>
              </c:numCache>
            </c:numRef>
          </c:xVal>
          <c:yVal>
            <c:numRef>
              <c:f>'Bearing FB_Pu'!$QD$20:$QH$20</c:f>
              <c:numCache>
                <c:formatCode>General</c:formatCode>
                <c:ptCount val="5"/>
                <c:pt idx="0">
                  <c:v>0.14892857142857144</c:v>
                </c:pt>
                <c:pt idx="1">
                  <c:v>0.14892857142857144</c:v>
                </c:pt>
                <c:pt idx="2">
                  <c:v>-0.14892857142857144</c:v>
                </c:pt>
                <c:pt idx="3">
                  <c:v>-0.14892857142857144</c:v>
                </c:pt>
                <c:pt idx="4">
                  <c:v>0.14892857142857144</c:v>
                </c:pt>
              </c:numCache>
            </c:numRef>
          </c:yVal>
          <c:smooth val="0"/>
        </c:ser>
        <c:ser>
          <c:idx val="6"/>
          <c:order val="6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FB_Pu'!$QD$22:$QE$22</c:f>
              <c:numCache>
                <c:formatCode>General</c:formatCode>
                <c:ptCount val="2"/>
                <c:pt idx="0" formatCode="0.0">
                  <c:v>-0.22642857142857142</c:v>
                </c:pt>
                <c:pt idx="1">
                  <c:v>-7.1428571428571438E-2</c:v>
                </c:pt>
              </c:numCache>
            </c:numRef>
          </c:xVal>
          <c:yVal>
            <c:numRef>
              <c:f>'Bearing FB_Pu'!$QD$23:$QE$23</c:f>
              <c:numCache>
                <c:formatCode>General</c:formatCode>
                <c:ptCount val="2"/>
                <c:pt idx="0" formatCode="0.0">
                  <c:v>-0.64285714285714279</c:v>
                </c:pt>
                <c:pt idx="1">
                  <c:v>-0.64285714285714279</c:v>
                </c:pt>
              </c:numCache>
            </c:numRef>
          </c:yVal>
          <c:smooth val="0"/>
        </c:ser>
        <c:ser>
          <c:idx val="7"/>
          <c:order val="7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FB_Pu'!$QG$22:$QH$22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7.1428571428571438E-2</c:v>
                </c:pt>
              </c:numCache>
            </c:numRef>
          </c:xVal>
          <c:yVal>
            <c:numRef>
              <c:f>'Bearing FB_Pu'!$QG$23:$QH$23</c:f>
              <c:numCache>
                <c:formatCode>General</c:formatCode>
                <c:ptCount val="2"/>
                <c:pt idx="0">
                  <c:v>-0.64285714285714279</c:v>
                </c:pt>
                <c:pt idx="1">
                  <c:v>-0.64285714285714279</c:v>
                </c:pt>
              </c:numCache>
            </c:numRef>
          </c:yVal>
          <c:smooth val="0"/>
        </c:ser>
        <c:ser>
          <c:idx val="9"/>
          <c:order val="8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FB_Pu'!$QM$22:$QN$22</c:f>
              <c:numCache>
                <c:formatCode>0.0</c:formatCode>
                <c:ptCount val="2"/>
                <c:pt idx="0">
                  <c:v>-0.22642857142857142</c:v>
                </c:pt>
                <c:pt idx="1">
                  <c:v>-0.22642857142857142</c:v>
                </c:pt>
              </c:numCache>
            </c:numRef>
          </c:xVal>
          <c:yVal>
            <c:numRef>
              <c:f>'Bearing FB_Pu'!$QM$23:$QN$23</c:f>
              <c:numCache>
                <c:formatCode>General</c:formatCode>
                <c:ptCount val="2"/>
                <c:pt idx="0">
                  <c:v>-0.62142857142857144</c:v>
                </c:pt>
                <c:pt idx="1">
                  <c:v>-0.66428571428571426</c:v>
                </c:pt>
              </c:numCache>
            </c:numRef>
          </c:yVal>
          <c:smooth val="0"/>
        </c:ser>
        <c:ser>
          <c:idx val="10"/>
          <c:order val="9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FB_Pu'!$QP$22:$QQ$22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-7.1428571428571438E-2</c:v>
                </c:pt>
              </c:numCache>
            </c:numRef>
          </c:xVal>
          <c:yVal>
            <c:numRef>
              <c:f>'Bearing FB_Pu'!$QP$23:$QQ$23</c:f>
              <c:numCache>
                <c:formatCode>General</c:formatCode>
                <c:ptCount val="2"/>
                <c:pt idx="0">
                  <c:v>-0.62142857142857144</c:v>
                </c:pt>
                <c:pt idx="1">
                  <c:v>-0.66428571428571426</c:v>
                </c:pt>
              </c:numCache>
            </c:numRef>
          </c:yVal>
          <c:smooth val="0"/>
        </c:ser>
        <c:ser>
          <c:idx val="11"/>
          <c:order val="10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FB_Pu'!$QS$22:$QT$22</c:f>
              <c:numCache>
                <c:formatCode>General</c:formatCode>
                <c:ptCount val="2"/>
                <c:pt idx="0">
                  <c:v>7.1428571428571438E-2</c:v>
                </c:pt>
                <c:pt idx="1">
                  <c:v>7.1428571428571438E-2</c:v>
                </c:pt>
              </c:numCache>
            </c:numRef>
          </c:xVal>
          <c:yVal>
            <c:numRef>
              <c:f>'Bearing FB_Pu'!$QS$23:$QT$23</c:f>
              <c:numCache>
                <c:formatCode>General</c:formatCode>
                <c:ptCount val="2"/>
                <c:pt idx="0">
                  <c:v>-0.62142857142857144</c:v>
                </c:pt>
                <c:pt idx="1">
                  <c:v>-0.66428571428571426</c:v>
                </c:pt>
              </c:numCache>
            </c:numRef>
          </c:yVal>
          <c:smooth val="0"/>
        </c:ser>
        <c:ser>
          <c:idx val="14"/>
          <c:order val="11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FB_Pu'!$QG$25:$QH$25</c:f>
              <c:numCache>
                <c:formatCode>General</c:formatCode>
                <c:ptCount val="2"/>
                <c:pt idx="0">
                  <c:v>0.6428571428571429</c:v>
                </c:pt>
                <c:pt idx="1">
                  <c:v>0.6428571428571429</c:v>
                </c:pt>
              </c:numCache>
            </c:numRef>
          </c:xVal>
          <c:yVal>
            <c:numRef>
              <c:f>'Bearing FB_Pu'!$QG$26:$QH$26</c:f>
              <c:numCache>
                <c:formatCode>General</c:formatCode>
                <c:ptCount val="2"/>
                <c:pt idx="0">
                  <c:v>7.1428571428571438E-2</c:v>
                </c:pt>
                <c:pt idx="1">
                  <c:v>-7.1428571428571438E-2</c:v>
                </c:pt>
              </c:numCache>
            </c:numRef>
          </c:yVal>
          <c:smooth val="0"/>
        </c:ser>
        <c:ser>
          <c:idx val="17"/>
          <c:order val="12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FB_Pu'!$QP$25:$QQ$25</c:f>
              <c:numCache>
                <c:formatCode>General</c:formatCode>
                <c:ptCount val="2"/>
                <c:pt idx="0">
                  <c:v>0.62142857142857144</c:v>
                </c:pt>
                <c:pt idx="1">
                  <c:v>0.66428571428571437</c:v>
                </c:pt>
              </c:numCache>
            </c:numRef>
          </c:xVal>
          <c:yVal>
            <c:numRef>
              <c:f>'Bearing FB_Pu'!$QP$26:$QQ$26</c:f>
              <c:numCache>
                <c:formatCode>General</c:formatCode>
                <c:ptCount val="2"/>
                <c:pt idx="0">
                  <c:v>7.1428571428571438E-2</c:v>
                </c:pt>
                <c:pt idx="1">
                  <c:v>7.1428571428571438E-2</c:v>
                </c:pt>
              </c:numCache>
            </c:numRef>
          </c:yVal>
          <c:smooth val="0"/>
        </c:ser>
        <c:ser>
          <c:idx val="18"/>
          <c:order val="13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FB_Pu'!$QS$25:$QT$25</c:f>
              <c:numCache>
                <c:formatCode>General</c:formatCode>
                <c:ptCount val="2"/>
                <c:pt idx="0">
                  <c:v>0.62142857142857144</c:v>
                </c:pt>
                <c:pt idx="1">
                  <c:v>0.66428571428571437</c:v>
                </c:pt>
              </c:numCache>
            </c:numRef>
          </c:xVal>
          <c:yVal>
            <c:numRef>
              <c:f>'Bearing FB_Pu'!$QS$26:$QT$26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-7.1428571428571438E-2</c:v>
                </c:pt>
              </c:numCache>
            </c:numRef>
          </c:yVal>
          <c:smooth val="0"/>
        </c:ser>
        <c:ser>
          <c:idx val="20"/>
          <c:order val="14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FB_Pu'!$QD$28:$QE$28</c:f>
              <c:numCache>
                <c:formatCode>General</c:formatCode>
                <c:ptCount val="2"/>
                <c:pt idx="0">
                  <c:v>-0.6428571428571429</c:v>
                </c:pt>
                <c:pt idx="1">
                  <c:v>-0.6428571428571429</c:v>
                </c:pt>
              </c:numCache>
            </c:numRef>
          </c:xVal>
          <c:yVal>
            <c:numRef>
              <c:f>'Bearing FB_Pu'!$QD$29:$QE$29</c:f>
              <c:numCache>
                <c:formatCode>0.0</c:formatCode>
                <c:ptCount val="2"/>
                <c:pt idx="0">
                  <c:v>0.5</c:v>
                </c:pt>
                <c:pt idx="1">
                  <c:v>-0.5</c:v>
                </c:pt>
              </c:numCache>
            </c:numRef>
          </c:yVal>
          <c:smooth val="0"/>
        </c:ser>
        <c:ser>
          <c:idx val="21"/>
          <c:order val="1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FB_Pu'!$QG$28:$QH$28</c:f>
              <c:numCache>
                <c:formatCode>General</c:formatCode>
                <c:ptCount val="2"/>
                <c:pt idx="0">
                  <c:v>-0.66428571428571437</c:v>
                </c:pt>
                <c:pt idx="1">
                  <c:v>-0.62142857142857144</c:v>
                </c:pt>
              </c:numCache>
            </c:numRef>
          </c:xVal>
          <c:yVal>
            <c:numRef>
              <c:f>'Bearing FB_Pu'!$QG$29:$QH$29</c:f>
              <c:numCache>
                <c:formatCode>0.0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</c:ser>
        <c:ser>
          <c:idx val="22"/>
          <c:order val="1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FB_Pu'!$QJ$28:$QK$28</c:f>
              <c:numCache>
                <c:formatCode>General</c:formatCode>
                <c:ptCount val="2"/>
                <c:pt idx="0">
                  <c:v>-0.66428571428571437</c:v>
                </c:pt>
                <c:pt idx="1">
                  <c:v>-0.62142857142857144</c:v>
                </c:pt>
              </c:numCache>
            </c:numRef>
          </c:xVal>
          <c:yVal>
            <c:numRef>
              <c:f>'Bearing FB_Pu'!$QJ$29:$QK$29</c:f>
              <c:numCache>
                <c:formatCode>0.0</c:formatCode>
                <c:ptCount val="2"/>
                <c:pt idx="0">
                  <c:v>-0.5</c:v>
                </c:pt>
                <c:pt idx="1">
                  <c:v>-0.5</c:v>
                </c:pt>
              </c:numCache>
            </c:numRef>
          </c:yVal>
          <c:smooth val="0"/>
        </c:ser>
        <c:ser>
          <c:idx val="23"/>
          <c:order val="17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FB_Pu'!$QD$31:$QE$31</c:f>
              <c:numCache>
                <c:formatCode>0.0</c:formatCode>
                <c:ptCount val="2"/>
                <c:pt idx="0">
                  <c:v>-0.5</c:v>
                </c:pt>
                <c:pt idx="1">
                  <c:v>0.5</c:v>
                </c:pt>
              </c:numCache>
            </c:numRef>
          </c:xVal>
          <c:yVal>
            <c:numRef>
              <c:f>'Bearing FB_Pu'!$QD$32:$QE$32</c:f>
              <c:numCache>
                <c:formatCode>General</c:formatCode>
                <c:ptCount val="2"/>
                <c:pt idx="0">
                  <c:v>0.6428571428571429</c:v>
                </c:pt>
                <c:pt idx="1">
                  <c:v>0.6428571428571429</c:v>
                </c:pt>
              </c:numCache>
            </c:numRef>
          </c:yVal>
          <c:smooth val="0"/>
        </c:ser>
        <c:ser>
          <c:idx val="24"/>
          <c:order val="18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FB_Pu'!$QG$31:$QH$31</c:f>
              <c:numCache>
                <c:formatCode>0.0</c:formatCode>
                <c:ptCount val="2"/>
                <c:pt idx="0">
                  <c:v>-0.5</c:v>
                </c:pt>
                <c:pt idx="1">
                  <c:v>-0.5</c:v>
                </c:pt>
              </c:numCache>
            </c:numRef>
          </c:xVal>
          <c:yVal>
            <c:numRef>
              <c:f>'Bearing FB_Pu'!$QG$32:$QH$32</c:f>
              <c:numCache>
                <c:formatCode>General</c:formatCode>
                <c:ptCount val="2"/>
                <c:pt idx="0">
                  <c:v>0.66428571428571437</c:v>
                </c:pt>
                <c:pt idx="1">
                  <c:v>0.62142857142857144</c:v>
                </c:pt>
              </c:numCache>
            </c:numRef>
          </c:yVal>
          <c:smooth val="0"/>
        </c:ser>
        <c:ser>
          <c:idx val="25"/>
          <c:order val="19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FB_Pu'!$QJ$31:$QK$31</c:f>
              <c:numCache>
                <c:formatCode>0.0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'Bearing FB_Pu'!$QJ$32:$QK$32</c:f>
              <c:numCache>
                <c:formatCode>General</c:formatCode>
                <c:ptCount val="2"/>
                <c:pt idx="0">
                  <c:v>0.66428571428571437</c:v>
                </c:pt>
                <c:pt idx="1">
                  <c:v>0.62142857142857144</c:v>
                </c:pt>
              </c:numCache>
            </c:numRef>
          </c:yVal>
          <c:smooth val="0"/>
        </c:ser>
        <c:ser>
          <c:idx val="26"/>
          <c:order val="20"/>
          <c:tx>
            <c:strRef>
              <c:f>'Bearing FB_Pu'!$QJ$10</c:f>
              <c:strCache>
                <c:ptCount val="1"/>
                <c:pt idx="0">
                  <c:v>A = 1.4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0.10456622678396883"/>
                  <c:y val="-2.702712609970675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7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FB_Pu'!$QL$10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'Bearing FB_Pu'!$QL$11</c:f>
              <c:numCache>
                <c:formatCode>General</c:formatCode>
                <c:ptCount val="1"/>
                <c:pt idx="0">
                  <c:v>0.6428571428571429</c:v>
                </c:pt>
              </c:numCache>
            </c:numRef>
          </c:yVal>
          <c:smooth val="0"/>
        </c:ser>
        <c:ser>
          <c:idx val="27"/>
          <c:order val="21"/>
          <c:tx>
            <c:strRef>
              <c:f>'Bearing FB_Pu'!$QJ$11</c:f>
              <c:strCache>
                <c:ptCount val="1"/>
                <c:pt idx="0">
                  <c:v>B = 1.4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9.0263522319973977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7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FB_Pu'!$QN$10</c:f>
              <c:numCache>
                <c:formatCode>General</c:formatCode>
                <c:ptCount val="1"/>
                <c:pt idx="0">
                  <c:v>-0.6428571428571429</c:v>
                </c:pt>
              </c:numCache>
            </c:numRef>
          </c:xVal>
          <c:yVal>
            <c:numRef>
              <c:f>'Bearing FB_Pu'!$QN$11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8"/>
          <c:order val="22"/>
          <c:tx>
            <c:strRef>
              <c:f>'Bearing FB_Pu'!$QY$25</c:f>
              <c:strCache>
                <c:ptCount val="1"/>
                <c:pt idx="0">
                  <c:v>b1 = 0.2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9.0263522319973977E-2"/>
                  <c:y val="-4.7415820229282764E-17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7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FB_Pu'!$RB$25</c:f>
              <c:numCache>
                <c:formatCode>General</c:formatCode>
                <c:ptCount val="1"/>
                <c:pt idx="0">
                  <c:v>0.6428571428571429</c:v>
                </c:pt>
              </c:numCache>
            </c:numRef>
          </c:xVal>
          <c:yVal>
            <c:numRef>
              <c:f>'Bearing FB_Pu'!$RB$26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0"/>
          <c:order val="23"/>
          <c:tx>
            <c:strRef>
              <c:f>'Bearing FB_Pu'!$QY$26</c:f>
              <c:strCache>
                <c:ptCount val="1"/>
                <c:pt idx="0">
                  <c:v>d/2 = 0.1085</c:v>
                </c:pt>
              </c:strCache>
            </c:strRef>
          </c:tx>
          <c:marker>
            <c:symbol val="none"/>
          </c:marker>
          <c:xVal>
            <c:numRef>
              <c:f>'Bearing FB_Pu'!$RF$25</c:f>
              <c:numCache>
                <c:formatCode>General</c:formatCode>
                <c:ptCount val="1"/>
                <c:pt idx="0">
                  <c:v>0.6428571428571429</c:v>
                </c:pt>
              </c:numCache>
            </c:numRef>
          </c:xVal>
          <c:yVal>
            <c:numRef>
              <c:f>'Bearing FB_Pu'!$RF$26</c:f>
              <c:numCache>
                <c:formatCode>General</c:formatCode>
                <c:ptCount val="1"/>
                <c:pt idx="0">
                  <c:v>-0.11017857142857143</c:v>
                </c:pt>
              </c:numCache>
            </c:numRef>
          </c:yVal>
          <c:smooth val="0"/>
        </c:ser>
        <c:ser>
          <c:idx val="31"/>
          <c:order val="24"/>
          <c:tx>
            <c:strRef>
              <c:f>'Bearing FB_Pu'!$QY$22</c:f>
              <c:strCache>
                <c:ptCount val="1"/>
                <c:pt idx="0">
                  <c:v>a1 = 0.2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0.11310117302052788"/>
                  <c:y val="3.220022808732488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7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FB_Pu'!$RB$22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'Bearing FB_Pu'!$RB$23</c:f>
              <c:numCache>
                <c:formatCode>0.0</c:formatCode>
                <c:ptCount val="1"/>
                <c:pt idx="0">
                  <c:v>-0.64285714285714279</c:v>
                </c:pt>
              </c:numCache>
            </c:numRef>
          </c:yVal>
          <c:smooth val="0"/>
        </c:ser>
        <c:ser>
          <c:idx val="32"/>
          <c:order val="25"/>
          <c:tx>
            <c:strRef>
              <c:f>'Bearing FB_Pu'!$QY$21</c:f>
              <c:strCache>
                <c:ptCount val="1"/>
                <c:pt idx="0">
                  <c:v>d = 0.217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0.12348525578364293"/>
                  <c:y val="-3.219982078853048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7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FB_Pu'!$RD$22</c:f>
              <c:numCache>
                <c:formatCode>0.0</c:formatCode>
                <c:ptCount val="1"/>
                <c:pt idx="0">
                  <c:v>-0.14892857142857144</c:v>
                </c:pt>
              </c:numCache>
            </c:numRef>
          </c:xVal>
          <c:yVal>
            <c:numRef>
              <c:f>'Bearing FB_Pu'!$RD$23</c:f>
              <c:numCache>
                <c:formatCode>0.0</c:formatCode>
                <c:ptCount val="1"/>
                <c:pt idx="0">
                  <c:v>-0.64285714285714279</c:v>
                </c:pt>
              </c:numCache>
            </c:numRef>
          </c:yVal>
          <c:smooth val="0"/>
        </c:ser>
        <c:ser>
          <c:idx val="34"/>
          <c:order val="26"/>
          <c:tx>
            <c:strRef>
              <c:f>'Bearing FB_Pu'!$QJ$19</c:f>
              <c:strCache>
                <c:ptCount val="1"/>
                <c:pt idx="0">
                  <c:v>0.417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9.8223118279569865E-2"/>
                  <c:y val="-3.428181003584231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700">
                    <a:solidFill>
                      <a:srgbClr val="FF0000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FB_Pu'!$QL$19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'Bearing FB_Pu'!$QL$20</c:f>
              <c:numCache>
                <c:formatCode>General</c:formatCode>
                <c:ptCount val="1"/>
                <c:pt idx="0">
                  <c:v>0.14892857142857144</c:v>
                </c:pt>
              </c:numCache>
            </c:numRef>
          </c:yVal>
          <c:smooth val="0"/>
        </c:ser>
        <c:ser>
          <c:idx val="35"/>
          <c:order val="27"/>
          <c:tx>
            <c:strRef>
              <c:f>'Bearing FB_Pu'!$QJ$20</c:f>
              <c:strCache>
                <c:ptCount val="1"/>
                <c:pt idx="0">
                  <c:v>0.417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2.8449820788530492E-2"/>
                  <c:y val="5.2157402252212262E-17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700">
                    <a:solidFill>
                      <a:srgbClr val="FF0000"/>
                    </a:solidFill>
                  </a:defRPr>
                </a:pPr>
                <a:endParaRPr lang="th-TH"/>
              </a:p>
            </c:txPr>
            <c:dLblPos val="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FB_Pu'!$QN$19</c:f>
              <c:numCache>
                <c:formatCode>General</c:formatCode>
                <c:ptCount val="1"/>
                <c:pt idx="0">
                  <c:v>0.14892857142857144</c:v>
                </c:pt>
              </c:numCache>
            </c:numRef>
          </c:xVal>
          <c:yVal>
            <c:numRef>
              <c:f>'Bearing FB_Pu'!$QN$20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8"/>
          <c:order val="28"/>
          <c:tx>
            <c:v>X</c:v>
          </c:tx>
          <c:marker>
            <c:symbol val="none"/>
          </c:marker>
          <c:dLbls>
            <c:txPr>
              <a:bodyPr/>
              <a:lstStyle/>
              <a:p>
                <a:pPr>
                  <a:defRPr sz="7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FB_Pu'!$QQ$10</c:f>
              <c:numCache>
                <c:formatCode>General</c:formatCode>
                <c:ptCount val="1"/>
                <c:pt idx="0">
                  <c:v>0.8</c:v>
                </c:pt>
              </c:numCache>
            </c:numRef>
          </c:xVal>
          <c:yVal>
            <c:numRef>
              <c:f>'Bearing FB_Pu'!$QQ$11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12"/>
          <c:order val="29"/>
          <c:tx>
            <c:v>Y</c:v>
          </c:tx>
          <c:marker>
            <c:symbol val="none"/>
          </c:marker>
          <c:dLbls>
            <c:txPr>
              <a:bodyPr/>
              <a:lstStyle/>
              <a:p>
                <a:pPr>
                  <a:defRPr sz="700"/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FB_Pu'!$QS$10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'Bearing FB_Pu'!$QS$11</c:f>
              <c:numCache>
                <c:formatCode>General</c:formatCode>
                <c:ptCount val="1"/>
                <c:pt idx="0">
                  <c:v>0.8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5221440"/>
        <c:axId val="285222016"/>
      </c:scatterChart>
      <c:valAx>
        <c:axId val="285221440"/>
        <c:scaling>
          <c:orientation val="minMax"/>
          <c:max val="0.8"/>
          <c:min val="-0.8"/>
        </c:scaling>
        <c:delete val="0"/>
        <c:axPos val="b"/>
        <c:numFmt formatCode="0.0" sourceLinked="1"/>
        <c:majorTickMark val="none"/>
        <c:minorTickMark val="none"/>
        <c:tickLblPos val="none"/>
        <c:spPr>
          <a:ln w="6350">
            <a:solidFill>
              <a:schemeClr val="bg1">
                <a:lumMod val="75000"/>
              </a:schemeClr>
            </a:solidFill>
            <a:prstDash val="lgDashDot"/>
          </a:ln>
        </c:spPr>
        <c:crossAx val="285222016"/>
        <c:crosses val="autoZero"/>
        <c:crossBetween val="midCat"/>
        <c:majorUnit val="0.2"/>
        <c:minorUnit val="0.05"/>
      </c:valAx>
      <c:valAx>
        <c:axId val="285222016"/>
        <c:scaling>
          <c:orientation val="minMax"/>
          <c:max val="0.8"/>
          <c:min val="-0.8"/>
        </c:scaling>
        <c:delete val="0"/>
        <c:axPos val="l"/>
        <c:numFmt formatCode="0.0" sourceLinked="1"/>
        <c:majorTickMark val="none"/>
        <c:minorTickMark val="none"/>
        <c:tickLblPos val="none"/>
        <c:spPr>
          <a:ln w="6350">
            <a:solidFill>
              <a:schemeClr val="bg1">
                <a:lumMod val="75000"/>
              </a:schemeClr>
            </a:solidFill>
            <a:prstDash val="lgDashDot"/>
          </a:ln>
        </c:spPr>
        <c:crossAx val="285221440"/>
        <c:crosses val="autoZero"/>
        <c:crossBetween val="midCat"/>
        <c:majorUnit val="0.2"/>
        <c:minorUnit val="0.05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4" l="0.70000000000000062" r="0.70000000000000062" t="0.750000000000004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'Bearing FB_Pu'!$QC$9</c:f>
              <c:strCache>
                <c:ptCount val="1"/>
                <c:pt idx="0">
                  <c:v>ฐานราก</c:v>
                </c:pt>
              </c:strCache>
            </c:strRef>
          </c:tx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'Bearing FB_Pu'!$QD$10:$QH$10</c:f>
              <c:numCache>
                <c:formatCode>0.0</c:formatCode>
                <c:ptCount val="5"/>
                <c:pt idx="0">
                  <c:v>-0.5</c:v>
                </c:pt>
                <c:pt idx="1">
                  <c:v>0.5</c:v>
                </c:pt>
                <c:pt idx="2">
                  <c:v>0.5</c:v>
                </c:pt>
                <c:pt idx="3">
                  <c:v>-0.5</c:v>
                </c:pt>
                <c:pt idx="4">
                  <c:v>-0.5</c:v>
                </c:pt>
              </c:numCache>
            </c:numRef>
          </c:xVal>
          <c:yVal>
            <c:numRef>
              <c:f>'Bearing FB_Pu'!$QD$11:$QH$11</c:f>
              <c:numCache>
                <c:formatCode>0.0</c:formatCode>
                <c:ptCount val="5"/>
                <c:pt idx="0">
                  <c:v>0.5</c:v>
                </c:pt>
                <c:pt idx="1">
                  <c:v>0.5</c:v>
                </c:pt>
                <c:pt idx="2">
                  <c:v>-0.5</c:v>
                </c:pt>
                <c:pt idx="3">
                  <c:v>-0.5</c:v>
                </c:pt>
                <c:pt idx="4">
                  <c:v>0.5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'Bearing FB_Pu'!$QC$12</c:f>
              <c:strCache>
                <c:ptCount val="1"/>
                <c:pt idx="0">
                  <c:v>เสา</c:v>
                </c:pt>
              </c:strCache>
            </c:strRef>
          </c:tx>
          <c:spPr>
            <a:ln w="25400" cap="sq">
              <a:solidFill>
                <a:srgbClr val="008000"/>
              </a:solidFill>
              <a:miter lim="800000"/>
            </a:ln>
          </c:spPr>
          <c:marker>
            <c:symbol val="none"/>
          </c:marker>
          <c:xVal>
            <c:numRef>
              <c:f>'Bearing FB_Pu'!$QD$13:$QH$13</c:f>
              <c:numCache>
                <c:formatCode>General</c:formatCode>
                <c:ptCount val="5"/>
                <c:pt idx="0">
                  <c:v>-7.1428571428571438E-2</c:v>
                </c:pt>
                <c:pt idx="1">
                  <c:v>7.1428571428571438E-2</c:v>
                </c:pt>
                <c:pt idx="2">
                  <c:v>7.1428571428571438E-2</c:v>
                </c:pt>
                <c:pt idx="3">
                  <c:v>-7.1428571428571438E-2</c:v>
                </c:pt>
                <c:pt idx="4">
                  <c:v>-7.1428571428571438E-2</c:v>
                </c:pt>
              </c:numCache>
            </c:numRef>
          </c:xVal>
          <c:yVal>
            <c:numRef>
              <c:f>'Bearing FB_Pu'!$QD$14:$QH$14</c:f>
              <c:numCache>
                <c:formatCode>General</c:formatCode>
                <c:ptCount val="5"/>
                <c:pt idx="0">
                  <c:v>7.1428571428571438E-2</c:v>
                </c:pt>
                <c:pt idx="1">
                  <c:v>7.1428571428571438E-2</c:v>
                </c:pt>
                <c:pt idx="2">
                  <c:v>-7.1428571428571438E-2</c:v>
                </c:pt>
                <c:pt idx="3">
                  <c:v>-7.1428571428571438E-2</c:v>
                </c:pt>
                <c:pt idx="4">
                  <c:v>7.1428571428571438E-2</c:v>
                </c:pt>
              </c:numCache>
            </c:numRef>
          </c:yVal>
          <c:smooth val="0"/>
        </c:ser>
        <c:ser>
          <c:idx val="2"/>
          <c:order val="2"/>
          <c:spPr>
            <a:ln w="2540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'Bearing FB_Pu'!$QJ$13:$QK$13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7.1428571428571438E-2</c:v>
                </c:pt>
              </c:numCache>
            </c:numRef>
          </c:xVal>
          <c:yVal>
            <c:numRef>
              <c:f>'Bearing FB_Pu'!$QJ$14:$QK$14</c:f>
              <c:numCache>
                <c:formatCode>General</c:formatCode>
                <c:ptCount val="2"/>
                <c:pt idx="0">
                  <c:v>7.1428571428571438E-2</c:v>
                </c:pt>
                <c:pt idx="1">
                  <c:v>-7.1428571428571438E-2</c:v>
                </c:pt>
              </c:numCache>
            </c:numRef>
          </c:yVal>
          <c:smooth val="0"/>
        </c:ser>
        <c:ser>
          <c:idx val="3"/>
          <c:order val="3"/>
          <c:spPr>
            <a:ln w="2540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'Bearing FB_Pu'!$QM$13:$QN$13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7.1428571428571438E-2</c:v>
                </c:pt>
              </c:numCache>
            </c:numRef>
          </c:xVal>
          <c:yVal>
            <c:numRef>
              <c:f>'Bearing FB_Pu'!$QM$14:$QN$14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7.1428571428571438E-2</c:v>
                </c:pt>
              </c:numCache>
            </c:numRef>
          </c:yVal>
          <c:smooth val="0"/>
        </c:ser>
        <c:ser>
          <c:idx val="20"/>
          <c:order val="4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FB_Pu'!$QD$28:$QE$28</c:f>
              <c:numCache>
                <c:formatCode>General</c:formatCode>
                <c:ptCount val="2"/>
                <c:pt idx="0">
                  <c:v>-0.6428571428571429</c:v>
                </c:pt>
                <c:pt idx="1">
                  <c:v>-0.6428571428571429</c:v>
                </c:pt>
              </c:numCache>
            </c:numRef>
          </c:xVal>
          <c:yVal>
            <c:numRef>
              <c:f>'Bearing FB_Pu'!$QD$29:$QE$29</c:f>
              <c:numCache>
                <c:formatCode>0.0</c:formatCode>
                <c:ptCount val="2"/>
                <c:pt idx="0">
                  <c:v>0.5</c:v>
                </c:pt>
                <c:pt idx="1">
                  <c:v>-0.5</c:v>
                </c:pt>
              </c:numCache>
            </c:numRef>
          </c:yVal>
          <c:smooth val="0"/>
        </c:ser>
        <c:ser>
          <c:idx val="21"/>
          <c:order val="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FB_Pu'!$QG$28:$QH$28</c:f>
              <c:numCache>
                <c:formatCode>General</c:formatCode>
                <c:ptCount val="2"/>
                <c:pt idx="0">
                  <c:v>-0.66428571428571437</c:v>
                </c:pt>
                <c:pt idx="1">
                  <c:v>-0.62142857142857144</c:v>
                </c:pt>
              </c:numCache>
            </c:numRef>
          </c:xVal>
          <c:yVal>
            <c:numRef>
              <c:f>'Bearing FB_Pu'!$QG$29:$QH$29</c:f>
              <c:numCache>
                <c:formatCode>0.0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</c:ser>
        <c:ser>
          <c:idx val="22"/>
          <c:order val="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FB_Pu'!$QJ$28:$QK$28</c:f>
              <c:numCache>
                <c:formatCode>General</c:formatCode>
                <c:ptCount val="2"/>
                <c:pt idx="0">
                  <c:v>-0.66428571428571437</c:v>
                </c:pt>
                <c:pt idx="1">
                  <c:v>-0.62142857142857144</c:v>
                </c:pt>
              </c:numCache>
            </c:numRef>
          </c:xVal>
          <c:yVal>
            <c:numRef>
              <c:f>'Bearing FB_Pu'!$QJ$29:$QK$29</c:f>
              <c:numCache>
                <c:formatCode>0.0</c:formatCode>
                <c:ptCount val="2"/>
                <c:pt idx="0">
                  <c:v>-0.5</c:v>
                </c:pt>
                <c:pt idx="1">
                  <c:v>-0.5</c:v>
                </c:pt>
              </c:numCache>
            </c:numRef>
          </c:yVal>
          <c:smooth val="0"/>
        </c:ser>
        <c:ser>
          <c:idx val="23"/>
          <c:order val="7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FB_Pu'!$QD$31:$QE$31</c:f>
              <c:numCache>
                <c:formatCode>0.0</c:formatCode>
                <c:ptCount val="2"/>
                <c:pt idx="0">
                  <c:v>-0.5</c:v>
                </c:pt>
                <c:pt idx="1">
                  <c:v>0.5</c:v>
                </c:pt>
              </c:numCache>
            </c:numRef>
          </c:xVal>
          <c:yVal>
            <c:numRef>
              <c:f>'Bearing FB_Pu'!$QD$32:$QE$32</c:f>
              <c:numCache>
                <c:formatCode>General</c:formatCode>
                <c:ptCount val="2"/>
                <c:pt idx="0">
                  <c:v>0.6428571428571429</c:v>
                </c:pt>
                <c:pt idx="1">
                  <c:v>0.6428571428571429</c:v>
                </c:pt>
              </c:numCache>
            </c:numRef>
          </c:yVal>
          <c:smooth val="0"/>
        </c:ser>
        <c:ser>
          <c:idx val="24"/>
          <c:order val="8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FB_Pu'!$QG$31:$QH$31</c:f>
              <c:numCache>
                <c:formatCode>0.0</c:formatCode>
                <c:ptCount val="2"/>
                <c:pt idx="0">
                  <c:v>-0.5</c:v>
                </c:pt>
                <c:pt idx="1">
                  <c:v>-0.5</c:v>
                </c:pt>
              </c:numCache>
            </c:numRef>
          </c:xVal>
          <c:yVal>
            <c:numRef>
              <c:f>'Bearing FB_Pu'!$QG$32:$QH$32</c:f>
              <c:numCache>
                <c:formatCode>General</c:formatCode>
                <c:ptCount val="2"/>
                <c:pt idx="0">
                  <c:v>0.66428571428571437</c:v>
                </c:pt>
                <c:pt idx="1">
                  <c:v>0.62142857142857144</c:v>
                </c:pt>
              </c:numCache>
            </c:numRef>
          </c:yVal>
          <c:smooth val="0"/>
        </c:ser>
        <c:ser>
          <c:idx val="25"/>
          <c:order val="9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FB_Pu'!$QJ$31:$QK$31</c:f>
              <c:numCache>
                <c:formatCode>0.0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'Bearing FB_Pu'!$QJ$32:$QK$32</c:f>
              <c:numCache>
                <c:formatCode>General</c:formatCode>
                <c:ptCount val="2"/>
                <c:pt idx="0">
                  <c:v>0.66428571428571437</c:v>
                </c:pt>
                <c:pt idx="1">
                  <c:v>0.62142857142857144</c:v>
                </c:pt>
              </c:numCache>
            </c:numRef>
          </c:yVal>
          <c:smooth val="0"/>
        </c:ser>
        <c:ser>
          <c:idx val="26"/>
          <c:order val="10"/>
          <c:tx>
            <c:strRef>
              <c:f>'Bearing FB_Pu'!$QC$3:$QE$3</c:f>
              <c:strCache>
                <c:ptCount val="1"/>
                <c:pt idx="0">
                  <c:v>1.40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4.7882407407407429E-2"/>
                  <c:y val="-1.939537037037037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FB_Pu'!$QL$10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'Bearing FB_Pu'!$QL$11</c:f>
              <c:numCache>
                <c:formatCode>General</c:formatCode>
                <c:ptCount val="1"/>
                <c:pt idx="0">
                  <c:v>0.6428571428571429</c:v>
                </c:pt>
              </c:numCache>
            </c:numRef>
          </c:yVal>
          <c:smooth val="0"/>
        </c:ser>
        <c:ser>
          <c:idx val="27"/>
          <c:order val="11"/>
          <c:tx>
            <c:strRef>
              <c:f>'Bearing FB_Pu'!$QC$4:$QE$4</c:f>
              <c:strCache>
                <c:ptCount val="1"/>
                <c:pt idx="0">
                  <c:v>1.40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5.3490046296296313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FB_Pu'!$QN$10</c:f>
              <c:numCache>
                <c:formatCode>General</c:formatCode>
                <c:ptCount val="1"/>
                <c:pt idx="0">
                  <c:v>-0.6428571428571429</c:v>
                </c:pt>
              </c:numCache>
            </c:numRef>
          </c:xVal>
          <c:yVal>
            <c:numRef>
              <c:f>'Bearing FB_Pu'!$QN$11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4"/>
          <c:order val="12"/>
          <c:tx>
            <c:strRef>
              <c:f>'Bearing FB_Pu'!$QJ$19</c:f>
              <c:strCache>
                <c:ptCount val="1"/>
                <c:pt idx="0">
                  <c:v>0.417</c:v>
                </c:pt>
              </c:strCache>
            </c:strRef>
          </c:tx>
          <c:marker>
            <c:symbol val="none"/>
          </c:marker>
          <c:xVal>
            <c:numRef>
              <c:f>'Bearing FB_Pu'!$QL$19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'Bearing FB_Pu'!$QL$20</c:f>
              <c:numCache>
                <c:formatCode>General</c:formatCode>
                <c:ptCount val="1"/>
                <c:pt idx="0">
                  <c:v>0.14892857142857144</c:v>
                </c:pt>
              </c:numCache>
            </c:numRef>
          </c:yVal>
          <c:smooth val="0"/>
        </c:ser>
        <c:ser>
          <c:idx val="35"/>
          <c:order val="13"/>
          <c:tx>
            <c:strRef>
              <c:f>'Bearing FB_Pu'!$QJ$20</c:f>
              <c:strCache>
                <c:ptCount val="1"/>
                <c:pt idx="0">
                  <c:v>0.417</c:v>
                </c:pt>
              </c:strCache>
            </c:strRef>
          </c:tx>
          <c:marker>
            <c:symbol val="none"/>
          </c:marker>
          <c:xVal>
            <c:numRef>
              <c:f>'Bearing FB_Pu'!$QN$19</c:f>
              <c:numCache>
                <c:formatCode>General</c:formatCode>
                <c:ptCount val="1"/>
                <c:pt idx="0">
                  <c:v>0.14892857142857144</c:v>
                </c:pt>
              </c:numCache>
            </c:numRef>
          </c:xVal>
          <c:yVal>
            <c:numRef>
              <c:f>'Bearing FB_Pu'!$QN$20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4"/>
          <c:order val="14"/>
          <c:spPr>
            <a:ln w="25400" cap="flat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'Bearing FB_Pu'!$QD$84:$QE$84</c:f>
              <c:numCache>
                <c:formatCode>0.0</c:formatCode>
                <c:ptCount val="2"/>
                <c:pt idx="0">
                  <c:v>-0.4464285714285714</c:v>
                </c:pt>
                <c:pt idx="1">
                  <c:v>0.4464285714285714</c:v>
                </c:pt>
              </c:numCache>
            </c:numRef>
          </c:xVal>
          <c:yVal>
            <c:numRef>
              <c:f>'Bearing FB_Pu'!$QD$85:$QE$85</c:f>
              <c:numCache>
                <c:formatCode>General</c:formatCode>
                <c:ptCount val="2"/>
                <c:pt idx="0">
                  <c:v>0.25</c:v>
                </c:pt>
                <c:pt idx="1">
                  <c:v>0.25</c:v>
                </c:pt>
              </c:numCache>
            </c:numRef>
          </c:yVal>
          <c:smooth val="0"/>
        </c:ser>
        <c:ser>
          <c:idx val="5"/>
          <c:order val="15"/>
          <c:spPr>
            <a:ln w="25400" cap="flat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'Bearing FB_Pu'!$QG$84:$QH$84</c:f>
              <c:numCache>
                <c:formatCode>General</c:formatCode>
                <c:ptCount val="2"/>
                <c:pt idx="0">
                  <c:v>-0.25</c:v>
                </c:pt>
                <c:pt idx="1">
                  <c:v>-0.25</c:v>
                </c:pt>
              </c:numCache>
            </c:numRef>
          </c:xVal>
          <c:yVal>
            <c:numRef>
              <c:f>'Bearing FB_Pu'!$QG$85:$QH$85</c:f>
              <c:numCache>
                <c:formatCode>General</c:formatCode>
                <c:ptCount val="2"/>
                <c:pt idx="0">
                  <c:v>0.4464285714285714</c:v>
                </c:pt>
                <c:pt idx="1">
                  <c:v>-0.4464285714285714</c:v>
                </c:pt>
              </c:numCache>
            </c:numRef>
          </c:yVal>
          <c:smooth val="0"/>
        </c:ser>
        <c:ser>
          <c:idx val="6"/>
          <c:order val="16"/>
          <c:spPr>
            <a:ln w="6350">
              <a:solidFill>
                <a:srgbClr val="008000"/>
              </a:solidFill>
              <a:headEnd type="arrow" w="sm" len="sm"/>
              <a:tailEnd type="arrow" w="sm" len="sm"/>
            </a:ln>
          </c:spPr>
          <c:marker>
            <c:symbol val="none"/>
          </c:marker>
          <c:xVal>
            <c:numRef>
              <c:f>'Bearing FB_Pu'!$QK$84:$QL$84</c:f>
              <c:numCache>
                <c:formatCode>0.0</c:formatCode>
                <c:ptCount val="2"/>
                <c:pt idx="0">
                  <c:v>-0.4464285714285714</c:v>
                </c:pt>
                <c:pt idx="1">
                  <c:v>0.4464285714285714</c:v>
                </c:pt>
              </c:numCache>
            </c:numRef>
          </c:xVal>
          <c:yVal>
            <c:numRef>
              <c:f>'Bearing FB_Pu'!$QK$85:$QL$85</c:f>
              <c:numCache>
                <c:formatCode>General</c:formatCode>
                <c:ptCount val="2"/>
                <c:pt idx="0">
                  <c:v>-0.25</c:v>
                </c:pt>
                <c:pt idx="1">
                  <c:v>-0.25</c:v>
                </c:pt>
              </c:numCache>
            </c:numRef>
          </c:yVal>
          <c:smooth val="0"/>
        </c:ser>
        <c:ser>
          <c:idx val="7"/>
          <c:order val="17"/>
          <c:spPr>
            <a:ln w="635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'Bearing FB_Pu'!$QN$84:$QO$84</c:f>
              <c:numCache>
                <c:formatCode>0.0</c:formatCode>
                <c:ptCount val="2"/>
                <c:pt idx="0">
                  <c:v>-0.4464285714285714</c:v>
                </c:pt>
                <c:pt idx="1">
                  <c:v>-0.4464285714285714</c:v>
                </c:pt>
              </c:numCache>
            </c:numRef>
          </c:xVal>
          <c:yVal>
            <c:numRef>
              <c:f>'Bearing FB_Pu'!$QN$85:$QO$85</c:f>
              <c:numCache>
                <c:formatCode>General</c:formatCode>
                <c:ptCount val="2"/>
                <c:pt idx="0">
                  <c:v>-0.22857142857142856</c:v>
                </c:pt>
                <c:pt idx="1">
                  <c:v>-0.27142857142857141</c:v>
                </c:pt>
              </c:numCache>
            </c:numRef>
          </c:yVal>
          <c:smooth val="0"/>
        </c:ser>
        <c:ser>
          <c:idx val="8"/>
          <c:order val="18"/>
          <c:spPr>
            <a:ln w="635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'Bearing FB_Pu'!$QQ$84:$QR$84</c:f>
              <c:numCache>
                <c:formatCode>0.0</c:formatCode>
                <c:ptCount val="2"/>
                <c:pt idx="0">
                  <c:v>0.4464285714285714</c:v>
                </c:pt>
                <c:pt idx="1">
                  <c:v>0.4464285714285714</c:v>
                </c:pt>
              </c:numCache>
            </c:numRef>
          </c:xVal>
          <c:yVal>
            <c:numRef>
              <c:f>'Bearing FB_Pu'!$QQ$85:$QR$85</c:f>
              <c:numCache>
                <c:formatCode>General</c:formatCode>
                <c:ptCount val="2"/>
                <c:pt idx="0">
                  <c:v>-0.22857142857142856</c:v>
                </c:pt>
                <c:pt idx="1">
                  <c:v>-0.27142857142857141</c:v>
                </c:pt>
              </c:numCache>
            </c:numRef>
          </c:yVal>
          <c:smooth val="0"/>
        </c:ser>
        <c:ser>
          <c:idx val="9"/>
          <c:order val="19"/>
          <c:spPr>
            <a:ln w="6350">
              <a:solidFill>
                <a:srgbClr val="008000"/>
              </a:solidFill>
            </a:ln>
          </c:spPr>
          <c:marker>
            <c:symbol val="circle"/>
            <c:size val="6"/>
            <c:spPr>
              <a:noFill/>
              <a:ln w="6350">
                <a:solidFill>
                  <a:srgbClr val="008000"/>
                </a:solidFill>
              </a:ln>
            </c:spPr>
          </c:marker>
          <c:xVal>
            <c:numRef>
              <c:f>'Bearing FB_Pu'!$QT$84</c:f>
              <c:numCache>
                <c:formatCode>General</c:formatCode>
                <c:ptCount val="1"/>
                <c:pt idx="0">
                  <c:v>-0.25</c:v>
                </c:pt>
              </c:numCache>
            </c:numRef>
          </c:xVal>
          <c:yVal>
            <c:numRef>
              <c:f>'Bearing FB_Pu'!$QT$85</c:f>
              <c:numCache>
                <c:formatCode>General</c:formatCode>
                <c:ptCount val="1"/>
                <c:pt idx="0">
                  <c:v>-0.25</c:v>
                </c:pt>
              </c:numCache>
            </c:numRef>
          </c:yVal>
          <c:smooth val="0"/>
        </c:ser>
        <c:ser>
          <c:idx val="10"/>
          <c:order val="20"/>
          <c:tx>
            <c:strRef>
              <c:f>'Bearing FB_Pu'!$QD$72</c:f>
              <c:strCache>
                <c:ptCount val="1"/>
                <c:pt idx="0">
                  <c:v>8DB16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6.5557870370370364E-2"/>
                  <c:y val="-2.007152777777795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FB_Pu'!$QV$84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'Bearing FB_Pu'!$QV$85</c:f>
              <c:numCache>
                <c:formatCode>General</c:formatCode>
                <c:ptCount val="1"/>
                <c:pt idx="0">
                  <c:v>-0.25</c:v>
                </c:pt>
              </c:numCache>
            </c:numRef>
          </c:yVal>
          <c:smooth val="0"/>
        </c:ser>
        <c:ser>
          <c:idx val="11"/>
          <c:order val="21"/>
          <c:spPr>
            <a:ln w="6350">
              <a:solidFill>
                <a:srgbClr val="008000"/>
              </a:solidFill>
              <a:headEnd type="arrow" w="sm" len="sm"/>
              <a:tailEnd type="arrow" w="sm" len="sm"/>
            </a:ln>
          </c:spPr>
          <c:marker>
            <c:symbol val="none"/>
          </c:marker>
          <c:xVal>
            <c:numRef>
              <c:f>'Bearing FB_Pu'!$QK$87:$QL$87</c:f>
              <c:numCache>
                <c:formatCode>General</c:formatCode>
                <c:ptCount val="2"/>
                <c:pt idx="0">
                  <c:v>0.25</c:v>
                </c:pt>
                <c:pt idx="1">
                  <c:v>0.25</c:v>
                </c:pt>
              </c:numCache>
            </c:numRef>
          </c:xVal>
          <c:yVal>
            <c:numRef>
              <c:f>'Bearing FB_Pu'!$QK$88:$QL$88</c:f>
              <c:numCache>
                <c:formatCode>General</c:formatCode>
                <c:ptCount val="2"/>
                <c:pt idx="0">
                  <c:v>0.4464285714285714</c:v>
                </c:pt>
                <c:pt idx="1">
                  <c:v>-0.4464285714285714</c:v>
                </c:pt>
              </c:numCache>
            </c:numRef>
          </c:yVal>
          <c:smooth val="0"/>
        </c:ser>
        <c:ser>
          <c:idx val="12"/>
          <c:order val="22"/>
          <c:spPr>
            <a:ln w="635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'Bearing FB_Pu'!$QN$87:$QO$87</c:f>
              <c:numCache>
                <c:formatCode>General</c:formatCode>
                <c:ptCount val="2"/>
                <c:pt idx="0">
                  <c:v>0.22857142857142856</c:v>
                </c:pt>
                <c:pt idx="1">
                  <c:v>0.27142857142857141</c:v>
                </c:pt>
              </c:numCache>
            </c:numRef>
          </c:xVal>
          <c:yVal>
            <c:numRef>
              <c:f>'Bearing FB_Pu'!$QN$88:$QO$88</c:f>
              <c:numCache>
                <c:formatCode>General</c:formatCode>
                <c:ptCount val="2"/>
                <c:pt idx="0">
                  <c:v>0.4464285714285714</c:v>
                </c:pt>
                <c:pt idx="1">
                  <c:v>0.4464285714285714</c:v>
                </c:pt>
              </c:numCache>
            </c:numRef>
          </c:yVal>
          <c:smooth val="0"/>
        </c:ser>
        <c:ser>
          <c:idx val="13"/>
          <c:order val="23"/>
          <c:spPr>
            <a:ln w="635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'Bearing FB_Pu'!$QQ$87:$QR$87</c:f>
              <c:numCache>
                <c:formatCode>General</c:formatCode>
                <c:ptCount val="2"/>
                <c:pt idx="0">
                  <c:v>0.22857142857142856</c:v>
                </c:pt>
                <c:pt idx="1">
                  <c:v>0.27142857142857141</c:v>
                </c:pt>
              </c:numCache>
            </c:numRef>
          </c:xVal>
          <c:yVal>
            <c:numRef>
              <c:f>'Bearing FB_Pu'!$QQ$88:$QR$88</c:f>
              <c:numCache>
                <c:formatCode>General</c:formatCode>
                <c:ptCount val="2"/>
                <c:pt idx="0">
                  <c:v>-0.4464285714285714</c:v>
                </c:pt>
                <c:pt idx="1">
                  <c:v>-0.4464285714285714</c:v>
                </c:pt>
              </c:numCache>
            </c:numRef>
          </c:yVal>
          <c:smooth val="0"/>
        </c:ser>
        <c:ser>
          <c:idx val="14"/>
          <c:order val="24"/>
          <c:spPr>
            <a:ln>
              <a:solidFill>
                <a:srgbClr val="008000"/>
              </a:solidFill>
            </a:ln>
          </c:spPr>
          <c:marker>
            <c:symbol val="circle"/>
            <c:size val="6"/>
            <c:spPr>
              <a:noFill/>
              <a:ln w="6350">
                <a:solidFill>
                  <a:srgbClr val="008000"/>
                </a:solidFill>
              </a:ln>
            </c:spPr>
          </c:marker>
          <c:xVal>
            <c:numRef>
              <c:f>'Bearing FB_Pu'!$QT$87</c:f>
              <c:numCache>
                <c:formatCode>General</c:formatCode>
                <c:ptCount val="1"/>
                <c:pt idx="0">
                  <c:v>0.25</c:v>
                </c:pt>
              </c:numCache>
            </c:numRef>
          </c:xVal>
          <c:yVal>
            <c:numRef>
              <c:f>'Bearing FB_Pu'!$QT$88</c:f>
              <c:numCache>
                <c:formatCode>General</c:formatCode>
                <c:ptCount val="1"/>
                <c:pt idx="0">
                  <c:v>0.25</c:v>
                </c:pt>
              </c:numCache>
            </c:numRef>
          </c:yVal>
          <c:smooth val="0"/>
        </c:ser>
        <c:ser>
          <c:idx val="15"/>
          <c:order val="25"/>
          <c:tx>
            <c:strRef>
              <c:f>'Bearing FB_Pu'!$QH$72</c:f>
              <c:strCache>
                <c:ptCount val="1"/>
                <c:pt idx="0">
                  <c:v>8DB16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5.4842361111111466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/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FB_Pu'!$QV$87</c:f>
              <c:numCache>
                <c:formatCode>General</c:formatCode>
                <c:ptCount val="1"/>
                <c:pt idx="0">
                  <c:v>0.25</c:v>
                </c:pt>
              </c:numCache>
            </c:numRef>
          </c:xVal>
          <c:yVal>
            <c:numRef>
              <c:f>'Bearing FB_Pu'!$QV$88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16"/>
          <c:order val="26"/>
          <c:tx>
            <c:v>PLAN</c:v>
          </c:tx>
          <c:marker>
            <c:symbol val="none"/>
          </c:marker>
          <c:dLbls>
            <c:dLbl>
              <c:idx val="0"/>
              <c:layout>
                <c:manualLayout>
                  <c:x val="-6.4448148148148199E-2"/>
                  <c:y val="9.711689814814825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000" b="1">
                    <a:solidFill>
                      <a:srgbClr val="006600"/>
                    </a:solidFill>
                  </a:defRPr>
                </a:pPr>
                <a:endParaRPr lang="th-TH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FB_Pu'!$QX$84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'Bearing FB_Pu'!$QX$85</c:f>
              <c:numCache>
                <c:formatCode>0.0</c:formatCode>
                <c:ptCount val="1"/>
                <c:pt idx="0">
                  <c:v>-0.5</c:v>
                </c:pt>
              </c:numCache>
            </c:numRef>
          </c:yVal>
          <c:smooth val="0"/>
        </c:ser>
        <c:ser>
          <c:idx val="17"/>
          <c:order val="27"/>
          <c:tx>
            <c:v>X</c:v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FB_Pu'!$QQ$10</c:f>
              <c:numCache>
                <c:formatCode>General</c:formatCode>
                <c:ptCount val="1"/>
                <c:pt idx="0">
                  <c:v>0.8</c:v>
                </c:pt>
              </c:numCache>
            </c:numRef>
          </c:xVal>
          <c:yVal>
            <c:numRef>
              <c:f>'Bearing FB_Pu'!$QQ$11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18"/>
          <c:order val="28"/>
          <c:tx>
            <c:v>Y</c:v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FB_Pu'!$QS$10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'Bearing FB_Pu'!$QS$11</c:f>
              <c:numCache>
                <c:formatCode>General</c:formatCode>
                <c:ptCount val="1"/>
                <c:pt idx="0">
                  <c:v>0.8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5224320"/>
        <c:axId val="285224896"/>
      </c:scatterChart>
      <c:valAx>
        <c:axId val="285224320"/>
        <c:scaling>
          <c:orientation val="minMax"/>
          <c:max val="0.8"/>
          <c:min val="-0.8"/>
        </c:scaling>
        <c:delete val="0"/>
        <c:axPos val="b"/>
        <c:numFmt formatCode="0.0" sourceLinked="1"/>
        <c:majorTickMark val="none"/>
        <c:minorTickMark val="none"/>
        <c:tickLblPos val="none"/>
        <c:spPr>
          <a:ln w="6350">
            <a:solidFill>
              <a:schemeClr val="bg1">
                <a:lumMod val="75000"/>
              </a:schemeClr>
            </a:solidFill>
            <a:prstDash val="lgDashDot"/>
          </a:ln>
        </c:spPr>
        <c:crossAx val="285224896"/>
        <c:crosses val="autoZero"/>
        <c:crossBetween val="midCat"/>
        <c:majorUnit val="0.2"/>
        <c:minorUnit val="0.05"/>
      </c:valAx>
      <c:valAx>
        <c:axId val="285224896"/>
        <c:scaling>
          <c:orientation val="minMax"/>
          <c:max val="0.8"/>
          <c:min val="-0.8"/>
        </c:scaling>
        <c:delete val="0"/>
        <c:axPos val="l"/>
        <c:numFmt formatCode="0.0" sourceLinked="1"/>
        <c:majorTickMark val="none"/>
        <c:minorTickMark val="none"/>
        <c:tickLblPos val="none"/>
        <c:spPr>
          <a:ln w="6350">
            <a:solidFill>
              <a:schemeClr val="bg1">
                <a:lumMod val="75000"/>
              </a:schemeClr>
            </a:solidFill>
            <a:prstDash val="lgDashDot"/>
          </a:ln>
        </c:spPr>
        <c:crossAx val="285224320"/>
        <c:crosses val="autoZero"/>
        <c:crossBetween val="midCat"/>
        <c:majorUnit val="0.2"/>
        <c:minorUnit val="0.05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411" l="0.70000000000000062" r="0.70000000000000062" t="0.75000000000000411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'Bearing FB_Pu'!$QD$36:$QI$36</c:f>
              <c:numCache>
                <c:formatCode>0.0</c:formatCode>
                <c:ptCount val="6"/>
                <c:pt idx="0" formatCode="General">
                  <c:v>-7.1428571428571438E-2</c:v>
                </c:pt>
                <c:pt idx="1">
                  <c:v>-0.5</c:v>
                </c:pt>
                <c:pt idx="2">
                  <c:v>-0.5</c:v>
                </c:pt>
                <c:pt idx="3">
                  <c:v>0.5</c:v>
                </c:pt>
                <c:pt idx="4">
                  <c:v>0.5</c:v>
                </c:pt>
                <c:pt idx="5" formatCode="General">
                  <c:v>7.1428571428571438E-2</c:v>
                </c:pt>
              </c:numCache>
            </c:numRef>
          </c:xVal>
          <c:yVal>
            <c:numRef>
              <c:f>'Bearing FB_Pu'!$QD$37:$QI$37</c:f>
              <c:numCache>
                <c:formatCode>General</c:formatCode>
                <c:ptCount val="6"/>
                <c:pt idx="0">
                  <c:v>0.2142857142857143</c:v>
                </c:pt>
                <c:pt idx="1">
                  <c:v>0.2142857142857143</c:v>
                </c:pt>
                <c:pt idx="2">
                  <c:v>0</c:v>
                </c:pt>
                <c:pt idx="3">
                  <c:v>0</c:v>
                </c:pt>
                <c:pt idx="4">
                  <c:v>0.2142857142857143</c:v>
                </c:pt>
                <c:pt idx="5">
                  <c:v>0.2142857142857143</c:v>
                </c:pt>
              </c:numCache>
            </c:numRef>
          </c:yVal>
          <c:smooth val="0"/>
        </c:ser>
        <c:ser>
          <c:idx val="1"/>
          <c:order val="1"/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'Bearing FB_Pu'!$QD$39:$QE$39</c:f>
              <c:numCache>
                <c:formatCode>General</c:formatCode>
                <c:ptCount val="2"/>
                <c:pt idx="0">
                  <c:v>-7.1428571428571438E-2</c:v>
                </c:pt>
                <c:pt idx="1">
                  <c:v>-7.1428571428571438E-2</c:v>
                </c:pt>
              </c:numCache>
            </c:numRef>
          </c:xVal>
          <c:yVal>
            <c:numRef>
              <c:f>'Bearing FB_Pu'!$QD$40:$QE$40</c:f>
              <c:numCache>
                <c:formatCode>General</c:formatCode>
                <c:ptCount val="2"/>
                <c:pt idx="0">
                  <c:v>0.2142857142857143</c:v>
                </c:pt>
                <c:pt idx="1">
                  <c:v>0.8</c:v>
                </c:pt>
              </c:numCache>
            </c:numRef>
          </c:yVal>
          <c:smooth val="0"/>
        </c:ser>
        <c:ser>
          <c:idx val="2"/>
          <c:order val="2"/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'Bearing FB_Pu'!$QG$39:$QH$39</c:f>
              <c:numCache>
                <c:formatCode>General</c:formatCode>
                <c:ptCount val="2"/>
                <c:pt idx="0">
                  <c:v>7.1428571428571438E-2</c:v>
                </c:pt>
                <c:pt idx="1">
                  <c:v>7.1428571428571438E-2</c:v>
                </c:pt>
              </c:numCache>
            </c:numRef>
          </c:xVal>
          <c:yVal>
            <c:numRef>
              <c:f>'Bearing FB_Pu'!$QG$40:$QH$40</c:f>
              <c:numCache>
                <c:formatCode>General</c:formatCode>
                <c:ptCount val="2"/>
                <c:pt idx="0">
                  <c:v>0.2142857142857143</c:v>
                </c:pt>
                <c:pt idx="1">
                  <c:v>0.8</c:v>
                </c:pt>
              </c:numCache>
            </c:numRef>
          </c:yVal>
          <c:smooth val="0"/>
        </c:ser>
        <c:ser>
          <c:idx val="3"/>
          <c:order val="3"/>
          <c:spPr>
            <a:ln w="9525">
              <a:solidFill>
                <a:prstClr val="black"/>
              </a:solidFill>
              <a:prstDash val="dash"/>
            </a:ln>
          </c:spPr>
          <c:marker>
            <c:symbol val="none"/>
          </c:marker>
          <c:xVal>
            <c:numRef>
              <c:f>'Bearing FB_Pu'!$QJ$39:$QK$39</c:f>
              <c:numCache>
                <c:formatCode>General</c:formatCode>
                <c:ptCount val="2"/>
                <c:pt idx="0">
                  <c:v>-0.14285714285714288</c:v>
                </c:pt>
                <c:pt idx="1">
                  <c:v>0.14285714285714288</c:v>
                </c:pt>
              </c:numCache>
            </c:numRef>
          </c:xVal>
          <c:yVal>
            <c:numRef>
              <c:f>'Bearing FB_Pu'!$QJ$40:$QK$40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'Bearing FB_Pu'!$QC$8:$QE$8</c:f>
              <c:strCache>
                <c:ptCount val="1"/>
                <c:pt idx="0">
                  <c:v>0.30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FB_Pu'!$QD$42:$QE$42</c:f>
              <c:numCache>
                <c:formatCode>General</c:formatCode>
                <c:ptCount val="2"/>
                <c:pt idx="0">
                  <c:v>-0.6428571428571429</c:v>
                </c:pt>
                <c:pt idx="1">
                  <c:v>-0.6428571428571429</c:v>
                </c:pt>
              </c:numCache>
            </c:numRef>
          </c:xVal>
          <c:yVal>
            <c:numRef>
              <c:f>'Bearing FB_Pu'!$QD$43:$QE$43</c:f>
              <c:numCache>
                <c:formatCode>General</c:formatCode>
                <c:ptCount val="2"/>
                <c:pt idx="0">
                  <c:v>0</c:v>
                </c:pt>
                <c:pt idx="1">
                  <c:v>0.2142857142857143</c:v>
                </c:pt>
              </c:numCache>
            </c:numRef>
          </c:yVal>
          <c:smooth val="0"/>
        </c:ser>
        <c:ser>
          <c:idx val="7"/>
          <c:order val="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FB_Pu'!$QG$42:$QH$42</c:f>
              <c:numCache>
                <c:formatCode>General</c:formatCode>
                <c:ptCount val="2"/>
                <c:pt idx="0">
                  <c:v>-0.66428571428571437</c:v>
                </c:pt>
                <c:pt idx="1">
                  <c:v>-0.62142857142857144</c:v>
                </c:pt>
              </c:numCache>
            </c:numRef>
          </c:xVal>
          <c:yVal>
            <c:numRef>
              <c:f>'Bearing FB_Pu'!$QG$43:$QH$43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8"/>
          <c:order val="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FB_Pu'!$QJ$42:$QK$42</c:f>
              <c:numCache>
                <c:formatCode>General</c:formatCode>
                <c:ptCount val="2"/>
                <c:pt idx="0">
                  <c:v>-0.66428571428571437</c:v>
                </c:pt>
                <c:pt idx="1">
                  <c:v>-0.62142857142857144</c:v>
                </c:pt>
              </c:numCache>
            </c:numRef>
          </c:xVal>
          <c:yVal>
            <c:numRef>
              <c:f>'Bearing FB_Pu'!$QJ$43:$QK$43</c:f>
              <c:numCache>
                <c:formatCode>General</c:formatCode>
                <c:ptCount val="2"/>
                <c:pt idx="0">
                  <c:v>0.2142857142857143</c:v>
                </c:pt>
                <c:pt idx="1">
                  <c:v>0.2142857142857143</c:v>
                </c:pt>
              </c:numCache>
            </c:numRef>
          </c:yVal>
          <c:smooth val="0"/>
        </c:ser>
        <c:ser>
          <c:idx val="9"/>
          <c:order val="7"/>
          <c:tx>
            <c:strRef>
              <c:f>'Bearing FB_Pu'!$QC$8:$QE$8</c:f>
              <c:strCache>
                <c:ptCount val="1"/>
                <c:pt idx="0">
                  <c:v>0.30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5.3490046296296313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FB_Pu'!$QO$42</c:f>
              <c:numCache>
                <c:formatCode>General</c:formatCode>
                <c:ptCount val="1"/>
                <c:pt idx="0">
                  <c:v>-0.6428571428571429</c:v>
                </c:pt>
              </c:numCache>
            </c:numRef>
          </c:xVal>
          <c:yVal>
            <c:numRef>
              <c:f>'Bearing FB_Pu'!$QO$43</c:f>
              <c:numCache>
                <c:formatCode>General</c:formatCode>
                <c:ptCount val="1"/>
                <c:pt idx="0">
                  <c:v>0.10714285714285715</c:v>
                </c:pt>
              </c:numCache>
            </c:numRef>
          </c:yVal>
          <c:smooth val="0"/>
        </c:ser>
        <c:ser>
          <c:idx val="16"/>
          <c:order val="8"/>
          <c:spPr>
            <a:ln w="50800" cap="flat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'Bearing FB_Pu'!$QD$51:$QE$51</c:f>
              <c:numCache>
                <c:formatCode>0.0</c:formatCode>
                <c:ptCount val="2"/>
                <c:pt idx="0">
                  <c:v>-7.1428571428571438E-2</c:v>
                </c:pt>
                <c:pt idx="1">
                  <c:v>-0.5</c:v>
                </c:pt>
              </c:numCache>
            </c:numRef>
          </c:xVal>
          <c:yVal>
            <c:numRef>
              <c:f>'Bearing FB_Pu'!$QD$52:$QE$52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yVal>
          <c:smooth val="0"/>
        </c:ser>
        <c:ser>
          <c:idx val="17"/>
          <c:order val="9"/>
          <c:spPr>
            <a:ln w="50800" cap="flat">
              <a:solidFill>
                <a:srgbClr val="F79646">
                  <a:lumMod val="50000"/>
                </a:srgbClr>
              </a:solidFill>
            </a:ln>
          </c:spPr>
          <c:marker>
            <c:symbol val="none"/>
          </c:marker>
          <c:xVal>
            <c:numRef>
              <c:f>'Bearing FB_Pu'!$QG$51:$QH$51</c:f>
              <c:numCache>
                <c:formatCode>General</c:formatCode>
                <c:ptCount val="2"/>
                <c:pt idx="0" formatCode="0.0">
                  <c:v>0.5</c:v>
                </c:pt>
                <c:pt idx="1">
                  <c:v>7.1428571428571438E-2</c:v>
                </c:pt>
              </c:numCache>
            </c:numRef>
          </c:xVal>
          <c:yVal>
            <c:numRef>
              <c:f>'Bearing FB_Pu'!$QG$52:$QH$52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yVal>
          <c:smooth val="0"/>
        </c:ser>
        <c:ser>
          <c:idx val="5"/>
          <c:order val="10"/>
          <c:spPr>
            <a:ln w="635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'Bearing FB_Pu'!$QD$54:$QE$54</c:f>
              <c:numCache>
                <c:formatCode>0.0</c:formatCode>
                <c:ptCount val="2"/>
                <c:pt idx="0" formatCode="General">
                  <c:v>-0.5714285714285714</c:v>
                </c:pt>
                <c:pt idx="1">
                  <c:v>-0.5</c:v>
                </c:pt>
              </c:numCache>
            </c:numRef>
          </c:xVal>
          <c:yVal>
            <c:numRef>
              <c:f>'Bearing FB_Pu'!$QD$55:$QE$55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6"/>
          <c:order val="11"/>
          <c:spPr>
            <a:ln w="635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'Bearing FB_Pu'!$QG$54:$QH$54</c:f>
              <c:numCache>
                <c:formatCode>General</c:formatCode>
                <c:ptCount val="2"/>
                <c:pt idx="0" formatCode="0.0">
                  <c:v>0.5</c:v>
                </c:pt>
                <c:pt idx="1">
                  <c:v>0.5714285714285714</c:v>
                </c:pt>
              </c:numCache>
            </c:numRef>
          </c:xVal>
          <c:yVal>
            <c:numRef>
              <c:f>'Bearing FB_Pu'!$QG$55:$QH$55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10"/>
          <c:order val="12"/>
          <c:spPr>
            <a:ln w="635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'Bearing FB_Pu'!$QD$57:$QE$57</c:f>
              <c:numCache>
                <c:formatCode>General</c:formatCode>
                <c:ptCount val="2"/>
                <c:pt idx="0">
                  <c:v>-0.5714285714285714</c:v>
                </c:pt>
                <c:pt idx="1">
                  <c:v>0.5714285714285714</c:v>
                </c:pt>
              </c:numCache>
            </c:numRef>
          </c:xVal>
          <c:yVal>
            <c:numRef>
              <c:f>'Bearing FB_Pu'!$QD$58:$QE$58</c:f>
              <c:numCache>
                <c:formatCode>General</c:formatCode>
                <c:ptCount val="2"/>
                <c:pt idx="0">
                  <c:v>-3.5714285714285719E-2</c:v>
                </c:pt>
                <c:pt idx="1">
                  <c:v>-3.5714285714285719E-2</c:v>
                </c:pt>
              </c:numCache>
            </c:numRef>
          </c:yVal>
          <c:smooth val="0"/>
        </c:ser>
        <c:ser>
          <c:idx val="11"/>
          <c:order val="13"/>
          <c:spPr>
            <a:ln w="635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'Bearing FB_Pu'!$QD$60:$QE$60</c:f>
              <c:numCache>
                <c:formatCode>General</c:formatCode>
                <c:ptCount val="2"/>
                <c:pt idx="0">
                  <c:v>-0.5714285714285714</c:v>
                </c:pt>
                <c:pt idx="1">
                  <c:v>0.5714285714285714</c:v>
                </c:pt>
              </c:numCache>
            </c:numRef>
          </c:xVal>
          <c:yVal>
            <c:numRef>
              <c:f>'Bearing FB_Pu'!$QD$61:$QE$61</c:f>
              <c:numCache>
                <c:formatCode>General</c:formatCode>
                <c:ptCount val="2"/>
                <c:pt idx="0">
                  <c:v>-0.10714285714285715</c:v>
                </c:pt>
                <c:pt idx="1">
                  <c:v>-0.10714285714285715</c:v>
                </c:pt>
              </c:numCache>
            </c:numRef>
          </c:yVal>
          <c:smooth val="0"/>
        </c:ser>
        <c:ser>
          <c:idx val="12"/>
          <c:order val="14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FB_Pu'!$QK$54:$QL$54</c:f>
              <c:numCache>
                <c:formatCode>General</c:formatCode>
                <c:ptCount val="2"/>
                <c:pt idx="0">
                  <c:v>-0.6428571428571429</c:v>
                </c:pt>
                <c:pt idx="1">
                  <c:v>-0.6428571428571429</c:v>
                </c:pt>
              </c:numCache>
            </c:numRef>
          </c:xVal>
          <c:yVal>
            <c:numRef>
              <c:f>'Bearing FB_Pu'!$QK$55:$QL$55</c:f>
              <c:numCache>
                <c:formatCode>General</c:formatCode>
                <c:ptCount val="2"/>
                <c:pt idx="0">
                  <c:v>0</c:v>
                </c:pt>
                <c:pt idx="1">
                  <c:v>-3.5714285714285719E-2</c:v>
                </c:pt>
              </c:numCache>
            </c:numRef>
          </c:yVal>
          <c:smooth val="0"/>
        </c:ser>
        <c:ser>
          <c:idx val="13"/>
          <c:order val="15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FB_Pu'!$QN$54:$QO$54</c:f>
              <c:numCache>
                <c:formatCode>General</c:formatCode>
                <c:ptCount val="2"/>
                <c:pt idx="0">
                  <c:v>-0.6428571428571429</c:v>
                </c:pt>
                <c:pt idx="1">
                  <c:v>-0.6428571428571429</c:v>
                </c:pt>
              </c:numCache>
            </c:numRef>
          </c:xVal>
          <c:yVal>
            <c:numRef>
              <c:f>'Bearing FB_Pu'!$QN$55:$QO$55</c:f>
              <c:numCache>
                <c:formatCode>General</c:formatCode>
                <c:ptCount val="2"/>
                <c:pt idx="0">
                  <c:v>-3.5714285714285719E-2</c:v>
                </c:pt>
                <c:pt idx="1">
                  <c:v>-0.10714285714285715</c:v>
                </c:pt>
              </c:numCache>
            </c:numRef>
          </c:yVal>
          <c:smooth val="0"/>
        </c:ser>
        <c:ser>
          <c:idx val="14"/>
          <c:order val="1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FB_Pu'!$QQ$42:$QR$42</c:f>
              <c:numCache>
                <c:formatCode>General</c:formatCode>
                <c:ptCount val="2"/>
                <c:pt idx="0">
                  <c:v>-0.66428571428571437</c:v>
                </c:pt>
                <c:pt idx="1">
                  <c:v>-0.62142857142857144</c:v>
                </c:pt>
              </c:numCache>
            </c:numRef>
          </c:xVal>
          <c:yVal>
            <c:numRef>
              <c:f>'Bearing FB_Pu'!$QQ$43:$QR$43</c:f>
              <c:numCache>
                <c:formatCode>General</c:formatCode>
                <c:ptCount val="2"/>
                <c:pt idx="0">
                  <c:v>-3.5714285714285719E-2</c:v>
                </c:pt>
                <c:pt idx="1">
                  <c:v>-3.5714285714285719E-2</c:v>
                </c:pt>
              </c:numCache>
            </c:numRef>
          </c:yVal>
          <c:smooth val="0"/>
        </c:ser>
        <c:ser>
          <c:idx val="15"/>
          <c:order val="17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FB_Pu'!$QT$42:$QU$42</c:f>
              <c:numCache>
                <c:formatCode>General</c:formatCode>
                <c:ptCount val="2"/>
                <c:pt idx="0">
                  <c:v>-0.66428571428571437</c:v>
                </c:pt>
                <c:pt idx="1">
                  <c:v>-0.62142857142857144</c:v>
                </c:pt>
              </c:numCache>
            </c:numRef>
          </c:xVal>
          <c:yVal>
            <c:numRef>
              <c:f>'Bearing FB_Pu'!$QT$43:$QU$43</c:f>
              <c:numCache>
                <c:formatCode>General</c:formatCode>
                <c:ptCount val="2"/>
                <c:pt idx="0">
                  <c:v>-0.10714285714285715</c:v>
                </c:pt>
                <c:pt idx="1">
                  <c:v>-0.10714285714285715</c:v>
                </c:pt>
              </c:numCache>
            </c:numRef>
          </c:yVal>
          <c:smooth val="0"/>
        </c:ser>
        <c:ser>
          <c:idx val="18"/>
          <c:order val="18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FB_Pu'!$QJ$51:$QK$51</c:f>
              <c:numCache>
                <c:formatCode>General</c:formatCode>
                <c:ptCount val="2"/>
                <c:pt idx="0">
                  <c:v>-0.6428571428571429</c:v>
                </c:pt>
                <c:pt idx="1">
                  <c:v>-0.6428571428571429</c:v>
                </c:pt>
              </c:numCache>
            </c:numRef>
          </c:xVal>
          <c:yVal>
            <c:numRef>
              <c:f>'Bearing FB_Pu'!$QJ$52:$QK$52</c:f>
              <c:numCache>
                <c:formatCode>General</c:formatCode>
                <c:ptCount val="2"/>
                <c:pt idx="0">
                  <c:v>0.7</c:v>
                </c:pt>
                <c:pt idx="1">
                  <c:v>0.2142857142857143</c:v>
                </c:pt>
              </c:numCache>
            </c:numRef>
          </c:yVal>
          <c:smooth val="0"/>
        </c:ser>
        <c:ser>
          <c:idx val="19"/>
          <c:order val="19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FB_Pu'!$QM$51:$QN$51</c:f>
              <c:numCache>
                <c:formatCode>General</c:formatCode>
                <c:ptCount val="2"/>
                <c:pt idx="0">
                  <c:v>-0.66428571428571437</c:v>
                </c:pt>
                <c:pt idx="1">
                  <c:v>-0.62142857142857144</c:v>
                </c:pt>
              </c:numCache>
            </c:numRef>
          </c:xVal>
          <c:yVal>
            <c:numRef>
              <c:f>'Bearing FB_Pu'!$QM$52:$QN$52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yVal>
          <c:smooth val="0"/>
        </c:ser>
        <c:ser>
          <c:idx val="20"/>
          <c:order val="20"/>
          <c:tx>
            <c:strRef>
              <c:f>'Bearing FB_Pu'!$QP$51</c:f>
              <c:strCache>
                <c:ptCount val="1"/>
                <c:pt idx="0">
                  <c:v>0.70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5.3490046296296313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FB_Pu'!$QR$51</c:f>
              <c:numCache>
                <c:formatCode>General</c:formatCode>
                <c:ptCount val="1"/>
                <c:pt idx="0">
                  <c:v>-0.6428571428571429</c:v>
                </c:pt>
              </c:numCache>
            </c:numRef>
          </c:xVal>
          <c:yVal>
            <c:numRef>
              <c:f>'Bearing FB_Pu'!$QR$52</c:f>
              <c:numCache>
                <c:formatCode>General</c:formatCode>
                <c:ptCount val="1"/>
                <c:pt idx="0">
                  <c:v>0.45714285714285713</c:v>
                </c:pt>
              </c:numCache>
            </c:numRef>
          </c:yVal>
          <c:smooth val="0"/>
        </c:ser>
        <c:ser>
          <c:idx val="21"/>
          <c:order val="21"/>
          <c:tx>
            <c:strRef>
              <c:f>'Bearing FB_Pu'!$QG$57</c:f>
              <c:strCache>
                <c:ptCount val="1"/>
                <c:pt idx="0">
                  <c:v>0.05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FB_Pu'!$QI$57</c:f>
              <c:numCache>
                <c:formatCode>General</c:formatCode>
                <c:ptCount val="1"/>
                <c:pt idx="0">
                  <c:v>-0.6428571428571429</c:v>
                </c:pt>
              </c:numCache>
            </c:numRef>
          </c:xVal>
          <c:yVal>
            <c:numRef>
              <c:f>'Bearing FB_Pu'!$QI$58</c:f>
              <c:numCache>
                <c:formatCode>General</c:formatCode>
                <c:ptCount val="1"/>
                <c:pt idx="0">
                  <c:v>-1.785714285714286E-2</c:v>
                </c:pt>
              </c:numCache>
            </c:numRef>
          </c:yVal>
          <c:smooth val="0"/>
        </c:ser>
        <c:ser>
          <c:idx val="22"/>
          <c:order val="22"/>
          <c:tx>
            <c:strRef>
              <c:f>'Bearing FB_Pu'!$QG$60</c:f>
              <c:strCache>
                <c:ptCount val="1"/>
                <c:pt idx="0">
                  <c:v>0.10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FB_Pu'!$QI$60</c:f>
              <c:numCache>
                <c:formatCode>General</c:formatCode>
                <c:ptCount val="1"/>
                <c:pt idx="0">
                  <c:v>-0.6428571428571429</c:v>
                </c:pt>
              </c:numCache>
            </c:numRef>
          </c:xVal>
          <c:yVal>
            <c:numRef>
              <c:f>'Bearing FB_Pu'!$QI$61</c:f>
              <c:numCache>
                <c:formatCode>General</c:formatCode>
                <c:ptCount val="1"/>
                <c:pt idx="0">
                  <c:v>-7.1428571428571438E-2</c:v>
                </c:pt>
              </c:numCache>
            </c:numRef>
          </c:yVal>
          <c:smooth val="0"/>
        </c:ser>
        <c:ser>
          <c:idx val="26"/>
          <c:order val="23"/>
          <c:spPr>
            <a:ln w="15875" cap="flat">
              <a:solidFill>
                <a:srgbClr val="008000"/>
              </a:solidFill>
              <a:prstDash val="sysDash"/>
              <a:round/>
            </a:ln>
          </c:spPr>
          <c:marker>
            <c:symbol val="none"/>
          </c:marker>
          <c:xVal>
            <c:numRef>
              <c:f>'Bearing FB_Pu'!$QD$66:$QF$66</c:f>
              <c:numCache>
                <c:formatCode>General</c:formatCode>
                <c:ptCount val="3"/>
                <c:pt idx="0">
                  <c:v>-5.000000000000001E-2</c:v>
                </c:pt>
                <c:pt idx="1">
                  <c:v>-5.000000000000001E-2</c:v>
                </c:pt>
                <c:pt idx="2">
                  <c:v>-0.22857142857142859</c:v>
                </c:pt>
              </c:numCache>
            </c:numRef>
          </c:xVal>
          <c:yVal>
            <c:numRef>
              <c:f>'Bearing FB_Pu'!$QD$67:$QF$67</c:f>
              <c:numCache>
                <c:formatCode>General</c:formatCode>
                <c:ptCount val="3"/>
                <c:pt idx="0">
                  <c:v>0.8</c:v>
                </c:pt>
                <c:pt idx="1">
                  <c:v>8.9285714285714302E-2</c:v>
                </c:pt>
                <c:pt idx="2">
                  <c:v>8.9285714285714302E-2</c:v>
                </c:pt>
              </c:numCache>
            </c:numRef>
          </c:yVal>
          <c:smooth val="0"/>
        </c:ser>
        <c:ser>
          <c:idx val="23"/>
          <c:order val="24"/>
          <c:spPr>
            <a:ln w="25400" cap="flat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'Bearing FB_Pu'!$QG$63:$QL$63</c:f>
              <c:numCache>
                <c:formatCode>General</c:formatCode>
                <c:ptCount val="6"/>
                <c:pt idx="0">
                  <c:v>-0.4464285714285714</c:v>
                </c:pt>
                <c:pt idx="1">
                  <c:v>-0.4464285714285714</c:v>
                </c:pt>
                <c:pt idx="2">
                  <c:v>-0.4464285714285714</c:v>
                </c:pt>
                <c:pt idx="3" formatCode="0.0">
                  <c:v>0.4464285714285714</c:v>
                </c:pt>
                <c:pt idx="4" formatCode="0.0">
                  <c:v>0.4464285714285714</c:v>
                </c:pt>
                <c:pt idx="5" formatCode="0.0">
                  <c:v>0.4464285714285714</c:v>
                </c:pt>
              </c:numCache>
            </c:numRef>
          </c:xVal>
          <c:yVal>
            <c:numRef>
              <c:f>'Bearing FB_Pu'!$QG$64:$QL$64</c:f>
              <c:numCache>
                <c:formatCode>General</c:formatCode>
                <c:ptCount val="6"/>
                <c:pt idx="0">
                  <c:v>0.16071428571428573</c:v>
                </c:pt>
                <c:pt idx="1">
                  <c:v>5.3571428571428575E-2</c:v>
                </c:pt>
                <c:pt idx="2">
                  <c:v>5.3571428571428575E-2</c:v>
                </c:pt>
                <c:pt idx="3">
                  <c:v>5.3571428571428575E-2</c:v>
                </c:pt>
                <c:pt idx="4">
                  <c:v>0.16071428571428573</c:v>
                </c:pt>
                <c:pt idx="5">
                  <c:v>5.3571428571428575E-2</c:v>
                </c:pt>
              </c:numCache>
            </c:numRef>
          </c:yVal>
          <c:smooth val="0"/>
        </c:ser>
        <c:ser>
          <c:idx val="24"/>
          <c:order val="25"/>
          <c:spPr>
            <a:ln w="15875" cap="flat">
              <a:solidFill>
                <a:srgbClr val="008000"/>
              </a:solidFill>
              <a:prstDash val="sysDash"/>
            </a:ln>
          </c:spPr>
          <c:marker>
            <c:symbol val="none"/>
          </c:marker>
          <c:xVal>
            <c:numRef>
              <c:f>'Bearing FB_Pu'!$QH$66:$QJ$66</c:f>
              <c:numCache>
                <c:formatCode>General</c:formatCode>
                <c:ptCount val="3"/>
                <c:pt idx="0">
                  <c:v>5.000000000000001E-2</c:v>
                </c:pt>
                <c:pt idx="1">
                  <c:v>5.000000000000001E-2</c:v>
                </c:pt>
                <c:pt idx="2">
                  <c:v>0.22857142857142859</c:v>
                </c:pt>
              </c:numCache>
            </c:numRef>
          </c:xVal>
          <c:yVal>
            <c:numRef>
              <c:f>'Bearing FB_Pu'!$QH$67:$QJ$67</c:f>
              <c:numCache>
                <c:formatCode>General</c:formatCode>
                <c:ptCount val="3"/>
                <c:pt idx="0">
                  <c:v>0.8</c:v>
                </c:pt>
                <c:pt idx="1">
                  <c:v>8.9285714285714302E-2</c:v>
                </c:pt>
                <c:pt idx="2">
                  <c:v>8.9285714285714302E-2</c:v>
                </c:pt>
              </c:numCache>
            </c:numRef>
          </c:yVal>
          <c:smooth val="0"/>
        </c:ser>
        <c:ser>
          <c:idx val="25"/>
          <c:order val="26"/>
          <c:tx>
            <c:strRef>
              <c:f>'Bearing FB_Pu'!$QC$68</c:f>
              <c:strCache>
                <c:ptCount val="1"/>
                <c:pt idx="0">
                  <c:v>เม็ดเหล็ก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rgbClr val="C0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'Bearing FB_Pu'!$QD$70:$RG$70</c:f>
              <c:numCache>
                <c:formatCode>General</c:formatCode>
                <c:ptCount val="30"/>
                <c:pt idx="0">
                  <c:v>-0.43214285714285711</c:v>
                </c:pt>
                <c:pt idx="1">
                  <c:v>-0.30867346938775508</c:v>
                </c:pt>
                <c:pt idx="2">
                  <c:v>-0.18520408163265306</c:v>
                </c:pt>
                <c:pt idx="3">
                  <c:v>-6.1734693877551025E-2</c:v>
                </c:pt>
                <c:pt idx="4">
                  <c:v>6.1734693877551011E-2</c:v>
                </c:pt>
                <c:pt idx="5">
                  <c:v>0.18520408163265306</c:v>
                </c:pt>
                <c:pt idx="6">
                  <c:v>0.30867346938775508</c:v>
                </c:pt>
                <c:pt idx="7">
                  <c:v>0.43214285714285711</c:v>
                </c:pt>
                <c:pt idx="8">
                  <c:v>-0.43214285714285711</c:v>
                </c:pt>
                <c:pt idx="9">
                  <c:v>-0.43214285714285711</c:v>
                </c:pt>
                <c:pt idx="10">
                  <c:v>-0.43214285714285711</c:v>
                </c:pt>
                <c:pt idx="11">
                  <c:v>-0.43214285714285711</c:v>
                </c:pt>
                <c:pt idx="12">
                  <c:v>-0.43214285714285711</c:v>
                </c:pt>
                <c:pt idx="13">
                  <c:v>-0.43214285714285711</c:v>
                </c:pt>
                <c:pt idx="14">
                  <c:v>-0.43214285714285711</c:v>
                </c:pt>
                <c:pt idx="15">
                  <c:v>-0.43214285714285711</c:v>
                </c:pt>
                <c:pt idx="16">
                  <c:v>-0.43214285714285711</c:v>
                </c:pt>
                <c:pt idx="17">
                  <c:v>-0.43214285714285711</c:v>
                </c:pt>
                <c:pt idx="18">
                  <c:v>-0.43214285714285711</c:v>
                </c:pt>
                <c:pt idx="19">
                  <c:v>-0.43214285714285711</c:v>
                </c:pt>
                <c:pt idx="20">
                  <c:v>-0.43214285714285711</c:v>
                </c:pt>
                <c:pt idx="21">
                  <c:v>-0.43214285714285711</c:v>
                </c:pt>
                <c:pt idx="22">
                  <c:v>-0.43214285714285711</c:v>
                </c:pt>
                <c:pt idx="23">
                  <c:v>-0.43214285714285711</c:v>
                </c:pt>
                <c:pt idx="24">
                  <c:v>-0.43214285714285711</c:v>
                </c:pt>
                <c:pt idx="25">
                  <c:v>-0.43214285714285711</c:v>
                </c:pt>
                <c:pt idx="26">
                  <c:v>-0.43214285714285711</c:v>
                </c:pt>
                <c:pt idx="27">
                  <c:v>-0.43214285714285711</c:v>
                </c:pt>
                <c:pt idx="28">
                  <c:v>-0.43214285714285711</c:v>
                </c:pt>
                <c:pt idx="29">
                  <c:v>0.43214285714285711</c:v>
                </c:pt>
              </c:numCache>
            </c:numRef>
          </c:xVal>
          <c:yVal>
            <c:numRef>
              <c:f>'Bearing FB_Pu'!$QD$71:$RG$71</c:f>
              <c:numCache>
                <c:formatCode>General</c:formatCode>
                <c:ptCount val="30"/>
                <c:pt idx="0">
                  <c:v>6.7857142857142866E-2</c:v>
                </c:pt>
                <c:pt idx="1">
                  <c:v>6.7857142857142866E-2</c:v>
                </c:pt>
                <c:pt idx="2">
                  <c:v>6.7857142857142866E-2</c:v>
                </c:pt>
                <c:pt idx="3">
                  <c:v>6.7857142857142866E-2</c:v>
                </c:pt>
                <c:pt idx="4">
                  <c:v>6.7857142857142866E-2</c:v>
                </c:pt>
                <c:pt idx="5">
                  <c:v>6.7857142857142866E-2</c:v>
                </c:pt>
                <c:pt idx="6">
                  <c:v>6.7857142857142866E-2</c:v>
                </c:pt>
                <c:pt idx="7">
                  <c:v>6.7857142857142866E-2</c:v>
                </c:pt>
                <c:pt idx="8">
                  <c:v>6.7857142857142866E-2</c:v>
                </c:pt>
                <c:pt idx="9">
                  <c:v>6.7857142857142866E-2</c:v>
                </c:pt>
                <c:pt idx="10">
                  <c:v>6.7857142857142866E-2</c:v>
                </c:pt>
                <c:pt idx="11">
                  <c:v>6.7857142857142866E-2</c:v>
                </c:pt>
                <c:pt idx="12">
                  <c:v>6.7857142857142866E-2</c:v>
                </c:pt>
                <c:pt idx="13">
                  <c:v>6.7857142857142866E-2</c:v>
                </c:pt>
                <c:pt idx="14">
                  <c:v>6.7857142857142866E-2</c:v>
                </c:pt>
                <c:pt idx="15">
                  <c:v>6.7857142857142866E-2</c:v>
                </c:pt>
                <c:pt idx="16">
                  <c:v>6.7857142857142866E-2</c:v>
                </c:pt>
                <c:pt idx="17">
                  <c:v>6.7857142857142866E-2</c:v>
                </c:pt>
                <c:pt idx="18">
                  <c:v>6.7857142857142866E-2</c:v>
                </c:pt>
                <c:pt idx="19">
                  <c:v>6.7857142857142866E-2</c:v>
                </c:pt>
                <c:pt idx="20">
                  <c:v>6.7857142857142866E-2</c:v>
                </c:pt>
                <c:pt idx="21">
                  <c:v>6.7857142857142866E-2</c:v>
                </c:pt>
                <c:pt idx="22">
                  <c:v>6.7857142857142866E-2</c:v>
                </c:pt>
                <c:pt idx="23">
                  <c:v>6.7857142857142866E-2</c:v>
                </c:pt>
                <c:pt idx="24">
                  <c:v>6.7857142857142866E-2</c:v>
                </c:pt>
                <c:pt idx="25">
                  <c:v>6.7857142857142866E-2</c:v>
                </c:pt>
                <c:pt idx="26">
                  <c:v>6.7857142857142866E-2</c:v>
                </c:pt>
                <c:pt idx="27">
                  <c:v>6.7857142857142866E-2</c:v>
                </c:pt>
                <c:pt idx="28">
                  <c:v>6.7857142857142866E-2</c:v>
                </c:pt>
                <c:pt idx="29">
                  <c:v>6.7857142857142866E-2</c:v>
                </c:pt>
              </c:numCache>
            </c:numRef>
          </c:yVal>
          <c:smooth val="0"/>
        </c:ser>
        <c:ser>
          <c:idx val="27"/>
          <c:order val="27"/>
          <c:tx>
            <c:strRef>
              <c:f>'Bearing FB_Pu'!$QK$57</c:f>
              <c:strCache>
                <c:ptCount val="1"/>
                <c:pt idx="0">
                  <c:v>Lean  0.05 m.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FB_Pu'!$QP$57</c:f>
              <c:numCache>
                <c:formatCode>General</c:formatCode>
                <c:ptCount val="1"/>
                <c:pt idx="0">
                  <c:v>0.5714285714285714</c:v>
                </c:pt>
              </c:numCache>
            </c:numRef>
          </c:xVal>
          <c:yVal>
            <c:numRef>
              <c:f>'Bearing FB_Pu'!$QP$58</c:f>
              <c:numCache>
                <c:formatCode>General</c:formatCode>
                <c:ptCount val="1"/>
                <c:pt idx="0">
                  <c:v>-1.785714285714286E-2</c:v>
                </c:pt>
              </c:numCache>
            </c:numRef>
          </c:yVal>
          <c:smooth val="0"/>
        </c:ser>
        <c:ser>
          <c:idx val="28"/>
          <c:order val="28"/>
          <c:tx>
            <c:strRef>
              <c:f>'Bearing FB_Pu'!$QK$60</c:f>
              <c:strCache>
                <c:ptCount val="1"/>
                <c:pt idx="0">
                  <c:v>Sand  0.10 m.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FB_Pu'!$QP$60</c:f>
              <c:numCache>
                <c:formatCode>General</c:formatCode>
                <c:ptCount val="1"/>
                <c:pt idx="0">
                  <c:v>0.5714285714285714</c:v>
                </c:pt>
              </c:numCache>
            </c:numRef>
          </c:xVal>
          <c:yVal>
            <c:numRef>
              <c:f>'Bearing FB_Pu'!$QP$61</c:f>
              <c:numCache>
                <c:formatCode>General</c:formatCode>
                <c:ptCount val="1"/>
                <c:pt idx="0">
                  <c:v>-7.1428571428571438E-2</c:v>
                </c:pt>
              </c:numCache>
            </c:numRef>
          </c:yVal>
          <c:smooth val="0"/>
        </c:ser>
        <c:ser>
          <c:idx val="29"/>
          <c:order val="29"/>
          <c:tx>
            <c:strRef>
              <c:f>'Bearing FB_Pu'!$QD$72</c:f>
              <c:strCache>
                <c:ptCount val="1"/>
                <c:pt idx="0">
                  <c:v>8DB16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9"/>
            <c:spPr>
              <a:noFill/>
              <a:ln w="6350">
                <a:solidFill>
                  <a:srgbClr val="0000FF"/>
                </a:solidFill>
              </a:ln>
            </c:spPr>
          </c:marker>
          <c:dPt>
            <c:idx val="1"/>
            <c:marker>
              <c:symbol val="none"/>
            </c:marker>
            <c:bubble3D val="0"/>
          </c:dPt>
          <c:dPt>
            <c:idx val="2"/>
            <c:marker>
              <c:symbol val="none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FB_Pu'!$QD$73:$QF$73</c:f>
              <c:numCache>
                <c:formatCode>General</c:formatCode>
                <c:ptCount val="3"/>
                <c:pt idx="0">
                  <c:v>0.43214285714285711</c:v>
                </c:pt>
                <c:pt idx="1">
                  <c:v>0.43214285714285711</c:v>
                </c:pt>
                <c:pt idx="2">
                  <c:v>0.5714285714285714</c:v>
                </c:pt>
              </c:numCache>
            </c:numRef>
          </c:xVal>
          <c:yVal>
            <c:numRef>
              <c:f>'Bearing FB_Pu'!$QD$74:$QF$74</c:f>
              <c:numCache>
                <c:formatCode>General</c:formatCode>
                <c:ptCount val="3"/>
                <c:pt idx="0">
                  <c:v>6.7857142857142866E-2</c:v>
                </c:pt>
                <c:pt idx="1">
                  <c:v>0.32142857142857145</c:v>
                </c:pt>
                <c:pt idx="2">
                  <c:v>0.32142857142857145</c:v>
                </c:pt>
              </c:numCache>
            </c:numRef>
          </c:yVal>
          <c:smooth val="0"/>
        </c:ser>
        <c:ser>
          <c:idx val="30"/>
          <c:order val="30"/>
          <c:tx>
            <c:strRef>
              <c:f>'Bearing FB_Pu'!$QH$72</c:f>
              <c:strCache>
                <c:ptCount val="1"/>
                <c:pt idx="0">
                  <c:v>8DB16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dPt>
            <c:idx val="2"/>
            <c:bubble3D val="0"/>
            <c:spPr>
              <a:ln w="6350">
                <a:solidFill>
                  <a:srgbClr val="0000FF"/>
                </a:solidFill>
                <a:headEnd type="none" w="sm" len="sm"/>
              </a:ln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FB_Pu'!$QH$73:$QJ$73</c:f>
              <c:numCache>
                <c:formatCode>General</c:formatCode>
                <c:ptCount val="3"/>
                <c:pt idx="0">
                  <c:v>0.37857142857142856</c:v>
                </c:pt>
                <c:pt idx="1">
                  <c:v>0.37857142857142856</c:v>
                </c:pt>
                <c:pt idx="2">
                  <c:v>0.5714285714285714</c:v>
                </c:pt>
              </c:numCache>
            </c:numRef>
          </c:xVal>
          <c:yVal>
            <c:numRef>
              <c:f>'Bearing FB_Pu'!$QH$74:$QJ$74</c:f>
              <c:numCache>
                <c:formatCode>General</c:formatCode>
                <c:ptCount val="3"/>
                <c:pt idx="0">
                  <c:v>5.3571428571428575E-2</c:v>
                </c:pt>
                <c:pt idx="1">
                  <c:v>0.40714285714285714</c:v>
                </c:pt>
                <c:pt idx="2">
                  <c:v>0.40714285714285714</c:v>
                </c:pt>
              </c:numCache>
            </c:numRef>
          </c:yVal>
          <c:smooth val="0"/>
        </c:ser>
        <c:ser>
          <c:idx val="31"/>
          <c:order val="31"/>
          <c:spPr>
            <a:ln w="6350">
              <a:solidFill>
                <a:srgbClr val="0000FF"/>
              </a:solidFill>
              <a:headEnd type="triangle" w="sm" len="sm"/>
              <a:tailEnd type="none" w="sm" len="sm"/>
            </a:ln>
          </c:spPr>
          <c:marker>
            <c:symbol val="none"/>
          </c:marker>
          <c:xVal>
            <c:numRef>
              <c:f>'Bearing FB_Pu'!$QD$77:$QE$77</c:f>
              <c:numCache>
                <c:formatCode>General</c:formatCode>
                <c:ptCount val="2"/>
                <c:pt idx="0" formatCode="0.0">
                  <c:v>-0.5</c:v>
                </c:pt>
                <c:pt idx="1">
                  <c:v>-0.55000000000000004</c:v>
                </c:pt>
              </c:numCache>
            </c:numRef>
          </c:xVal>
          <c:yVal>
            <c:numRef>
              <c:f>'Bearing FB_Pu'!$QD$78:$QE$78</c:f>
              <c:numCache>
                <c:formatCode>General</c:formatCode>
                <c:ptCount val="2"/>
                <c:pt idx="0">
                  <c:v>0.28571428571428575</c:v>
                </c:pt>
                <c:pt idx="1">
                  <c:v>0.28571428571428575</c:v>
                </c:pt>
              </c:numCache>
            </c:numRef>
          </c:yVal>
          <c:smooth val="0"/>
        </c:ser>
        <c:ser>
          <c:idx val="32"/>
          <c:order val="32"/>
          <c:tx>
            <c:strRef>
              <c:f>'Bearing FB_Pu'!$QI$2:$QK$2</c:f>
              <c:strCache>
                <c:ptCount val="1"/>
                <c:pt idx="0">
                  <c:v>0.075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FB_Pu'!$QG$77:$QH$77</c:f>
              <c:numCache>
                <c:formatCode>General</c:formatCode>
                <c:ptCount val="2"/>
                <c:pt idx="0">
                  <c:v>-0.4464285714285714</c:v>
                </c:pt>
                <c:pt idx="1">
                  <c:v>-0.39642857142857141</c:v>
                </c:pt>
              </c:numCache>
            </c:numRef>
          </c:xVal>
          <c:yVal>
            <c:numRef>
              <c:f>'Bearing FB_Pu'!$QG$78:$QH$78</c:f>
              <c:numCache>
                <c:formatCode>General</c:formatCode>
                <c:ptCount val="2"/>
                <c:pt idx="0">
                  <c:v>0.28571428571428575</c:v>
                </c:pt>
                <c:pt idx="1">
                  <c:v>0.28571428571428575</c:v>
                </c:pt>
              </c:numCache>
            </c:numRef>
          </c:yVal>
          <c:smooth val="0"/>
        </c:ser>
        <c:ser>
          <c:idx val="33"/>
          <c:order val="33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FB_Pu'!$QJ$77:$QK$77</c:f>
              <c:numCache>
                <c:formatCode>0.0</c:formatCode>
                <c:ptCount val="2"/>
                <c:pt idx="0">
                  <c:v>-0.5</c:v>
                </c:pt>
                <c:pt idx="1">
                  <c:v>-0.5</c:v>
                </c:pt>
              </c:numCache>
            </c:numRef>
          </c:xVal>
          <c:yVal>
            <c:numRef>
              <c:f>'Bearing FB_Pu'!$QJ$78:$QK$78</c:f>
              <c:numCache>
                <c:formatCode>General</c:formatCode>
                <c:ptCount val="2"/>
                <c:pt idx="0">
                  <c:v>0.26428571428571435</c:v>
                </c:pt>
                <c:pt idx="1">
                  <c:v>0.30714285714285716</c:v>
                </c:pt>
              </c:numCache>
            </c:numRef>
          </c:yVal>
          <c:smooth val="0"/>
        </c:ser>
        <c:ser>
          <c:idx val="34"/>
          <c:order val="34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FB_Pu'!$QM$77:$QN$77</c:f>
              <c:numCache>
                <c:formatCode>General</c:formatCode>
                <c:ptCount val="2"/>
                <c:pt idx="0">
                  <c:v>-0.4464285714285714</c:v>
                </c:pt>
                <c:pt idx="1">
                  <c:v>-0.4464285714285714</c:v>
                </c:pt>
              </c:numCache>
            </c:numRef>
          </c:xVal>
          <c:yVal>
            <c:numRef>
              <c:f>'Bearing FB_Pu'!$QM$78:$QN$78</c:f>
              <c:numCache>
                <c:formatCode>General</c:formatCode>
                <c:ptCount val="2"/>
                <c:pt idx="0">
                  <c:v>0.26428571428571435</c:v>
                </c:pt>
                <c:pt idx="1">
                  <c:v>0.30714285714285716</c:v>
                </c:pt>
              </c:numCache>
            </c:numRef>
          </c:yVal>
          <c:smooth val="0"/>
        </c:ser>
        <c:ser>
          <c:idx val="35"/>
          <c:order val="35"/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'Bearing FB_Pu'!$QD$80:$QE$80</c:f>
              <c:numCache>
                <c:formatCode>General</c:formatCode>
                <c:ptCount val="2"/>
                <c:pt idx="0">
                  <c:v>0.64285714285714279</c:v>
                </c:pt>
                <c:pt idx="1">
                  <c:v>0.64285714285714279</c:v>
                </c:pt>
              </c:numCache>
            </c:numRef>
          </c:xVal>
          <c:yVal>
            <c:numRef>
              <c:f>'Bearing FB_Pu'!$QD$81:$QE$81</c:f>
              <c:numCache>
                <c:formatCode>General</c:formatCode>
                <c:ptCount val="2"/>
                <c:pt idx="0">
                  <c:v>0</c:v>
                </c:pt>
                <c:pt idx="1">
                  <c:v>5.3571428571428575E-2</c:v>
                </c:pt>
              </c:numCache>
            </c:numRef>
          </c:yVal>
          <c:smooth val="0"/>
        </c:ser>
        <c:ser>
          <c:idx val="36"/>
          <c:order val="3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FB_Pu'!$QG$80:$QH$80</c:f>
              <c:numCache>
                <c:formatCode>General</c:formatCode>
                <c:ptCount val="2"/>
                <c:pt idx="0">
                  <c:v>0.62142857142857133</c:v>
                </c:pt>
                <c:pt idx="1">
                  <c:v>0.66428571428571426</c:v>
                </c:pt>
              </c:numCache>
            </c:numRef>
          </c:xVal>
          <c:yVal>
            <c:numRef>
              <c:f>'Bearing FB_Pu'!$QG$81:$QH$81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37"/>
          <c:order val="37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'Bearing FB_Pu'!$QJ$80:$QK$80</c:f>
              <c:numCache>
                <c:formatCode>General</c:formatCode>
                <c:ptCount val="2"/>
                <c:pt idx="0">
                  <c:v>0.62142857142857133</c:v>
                </c:pt>
                <c:pt idx="1">
                  <c:v>0.66428571428571426</c:v>
                </c:pt>
              </c:numCache>
            </c:numRef>
          </c:xVal>
          <c:yVal>
            <c:numRef>
              <c:f>'Bearing FB_Pu'!$QJ$81:$QK$81</c:f>
              <c:numCache>
                <c:formatCode>General</c:formatCode>
                <c:ptCount val="2"/>
                <c:pt idx="0">
                  <c:v>5.3571428571428575E-2</c:v>
                </c:pt>
                <c:pt idx="1">
                  <c:v>5.3571428571428575E-2</c:v>
                </c:pt>
              </c:numCache>
            </c:numRef>
          </c:yVal>
          <c:smooth val="0"/>
        </c:ser>
        <c:ser>
          <c:idx val="38"/>
          <c:order val="38"/>
          <c:tx>
            <c:strRef>
              <c:f>'Bearing FB_Pu'!$QI$2:$QK$2</c:f>
              <c:strCache>
                <c:ptCount val="1"/>
                <c:pt idx="0">
                  <c:v>0.075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FB_Pu'!$QM$80:$QO$80</c:f>
              <c:numCache>
                <c:formatCode>General</c:formatCode>
                <c:ptCount val="3"/>
                <c:pt idx="0">
                  <c:v>0.64285714285714279</c:v>
                </c:pt>
                <c:pt idx="1">
                  <c:v>0.64285714285714279</c:v>
                </c:pt>
                <c:pt idx="2">
                  <c:v>0.71428571428571419</c:v>
                </c:pt>
              </c:numCache>
            </c:numRef>
          </c:xVal>
          <c:yVal>
            <c:numRef>
              <c:f>'Bearing FB_Pu'!$QM$81:$QO$81</c:f>
              <c:numCache>
                <c:formatCode>General</c:formatCode>
                <c:ptCount val="3"/>
                <c:pt idx="0">
                  <c:v>5.3571428571428575E-2</c:v>
                </c:pt>
                <c:pt idx="1">
                  <c:v>0.10714285714285715</c:v>
                </c:pt>
                <c:pt idx="2">
                  <c:v>0.10714285714285715</c:v>
                </c:pt>
              </c:numCache>
            </c:numRef>
          </c:yVal>
          <c:smooth val="0"/>
        </c:ser>
        <c:ser>
          <c:idx val="39"/>
          <c:order val="39"/>
          <c:tx>
            <c:v>SECTION</c:v>
          </c:tx>
          <c:marker>
            <c:symbol val="none"/>
          </c:marker>
          <c:dLbls>
            <c:txPr>
              <a:bodyPr/>
              <a:lstStyle/>
              <a:p>
                <a:pPr>
                  <a:defRPr b="1">
                    <a:solidFill>
                      <a:srgbClr val="006600"/>
                    </a:solidFill>
                  </a:defRPr>
                </a:pPr>
                <a:endParaRPr lang="th-TH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'Bearing FB_Pu'!$QX$87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'Bearing FB_Pu'!$QX$88</c:f>
              <c:numCache>
                <c:formatCode>General</c:formatCode>
                <c:ptCount val="1"/>
                <c:pt idx="0">
                  <c:v>-0.10714285714285715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5227776"/>
        <c:axId val="285228352"/>
      </c:scatterChart>
      <c:valAx>
        <c:axId val="285227776"/>
        <c:scaling>
          <c:orientation val="minMax"/>
          <c:max val="0.8"/>
          <c:min val="-0.8"/>
        </c:scaling>
        <c:delete val="1"/>
        <c:axPos val="b"/>
        <c:numFmt formatCode="General" sourceLinked="1"/>
        <c:majorTickMark val="out"/>
        <c:minorTickMark val="none"/>
        <c:tickLblPos val="none"/>
        <c:crossAx val="285228352"/>
        <c:crosses val="autoZero"/>
        <c:crossBetween val="midCat"/>
      </c:valAx>
      <c:valAx>
        <c:axId val="285228352"/>
        <c:scaling>
          <c:orientation val="minMax"/>
          <c:max val="0.9"/>
          <c:min val="-0.2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6350">
            <a:solidFill>
              <a:schemeClr val="bg1">
                <a:lumMod val="75000"/>
              </a:schemeClr>
            </a:solidFill>
            <a:prstDash val="lgDashDot"/>
          </a:ln>
        </c:spPr>
        <c:crossAx val="285227776"/>
        <c:crosses val="autoZero"/>
        <c:crossBetween val="midCat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36</xdr:col>
      <xdr:colOff>159793</xdr:colOff>
      <xdr:row>2</xdr:row>
      <xdr:rowOff>24480</xdr:rowOff>
    </xdr:from>
    <xdr:to>
      <xdr:col>54</xdr:col>
      <xdr:colOff>129439</xdr:colOff>
      <xdr:row>23</xdr:row>
      <xdr:rowOff>95358</xdr:rowOff>
    </xdr:to>
    <xdr:graphicFrame macro="">
      <xdr:nvGraphicFramePr>
        <xdr:cNvPr id="5" name="แผนภูมิ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36</xdr:col>
      <xdr:colOff>156628</xdr:colOff>
      <xdr:row>22</xdr:row>
      <xdr:rowOff>50204</xdr:rowOff>
    </xdr:from>
    <xdr:to>
      <xdr:col>54</xdr:col>
      <xdr:colOff>126274</xdr:colOff>
      <xdr:row>39</xdr:row>
      <xdr:rowOff>39243</xdr:rowOff>
    </xdr:to>
    <xdr:graphicFrame macro="">
      <xdr:nvGraphicFramePr>
        <xdr:cNvPr id="3" name="แผนภูมิ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59</xdr:col>
      <xdr:colOff>194901</xdr:colOff>
      <xdr:row>2</xdr:row>
      <xdr:rowOff>18083</xdr:rowOff>
    </xdr:from>
    <xdr:to>
      <xdr:col>77</xdr:col>
      <xdr:colOff>164547</xdr:colOff>
      <xdr:row>23</xdr:row>
      <xdr:rowOff>88961</xdr:rowOff>
    </xdr:to>
    <xdr:graphicFrame macro="">
      <xdr:nvGraphicFramePr>
        <xdr:cNvPr id="8" name="แผนภูมิ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59</xdr:col>
      <xdr:colOff>194902</xdr:colOff>
      <xdr:row>22</xdr:row>
      <xdr:rowOff>51897</xdr:rowOff>
    </xdr:from>
    <xdr:to>
      <xdr:col>77</xdr:col>
      <xdr:colOff>164548</xdr:colOff>
      <xdr:row>39</xdr:row>
      <xdr:rowOff>42009</xdr:rowOff>
    </xdr:to>
    <xdr:graphicFrame macro="">
      <xdr:nvGraphicFramePr>
        <xdr:cNvPr id="9" name="แผนภูมิ 8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51</xdr:row>
      <xdr:rowOff>147637</xdr:rowOff>
    </xdr:from>
    <xdr:to>
      <xdr:col>36</xdr:col>
      <xdr:colOff>2512</xdr:colOff>
      <xdr:row>66</xdr:row>
      <xdr:rowOff>126338</xdr:rowOff>
    </xdr:to>
    <xdr:grpSp>
      <xdr:nvGrpSpPr>
        <xdr:cNvPr id="5" name="กลุ่ม 4"/>
        <xdr:cNvGrpSpPr/>
      </xdr:nvGrpSpPr>
      <xdr:grpSpPr>
        <a:xfrm>
          <a:off x="1476375" y="8891587"/>
          <a:ext cx="5727037" cy="2550451"/>
          <a:chOff x="1638300" y="9101137"/>
          <a:chExt cx="5727037" cy="2550451"/>
        </a:xfrm>
      </xdr:grpSpPr>
      <xdr:graphicFrame macro="">
        <xdr:nvGraphicFramePr>
          <xdr:cNvPr id="4" name="แผนภูมิ 3"/>
          <xdr:cNvGraphicFramePr>
            <a:graphicFrameLocks noChangeAspect="1"/>
          </xdr:cNvGraphicFramePr>
        </xdr:nvGraphicFramePr>
        <xdr:xfrm>
          <a:off x="4910137" y="9101137"/>
          <a:ext cx="2455200" cy="2455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6" name="แผนภูมิ 5"/>
          <xdr:cNvGraphicFramePr>
            <a:graphicFrameLocks noChangeAspect="1"/>
          </xdr:cNvGraphicFramePr>
        </xdr:nvGraphicFramePr>
        <xdr:xfrm>
          <a:off x="1638300" y="9196388"/>
          <a:ext cx="2455200" cy="2455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47625</xdr:colOff>
      <xdr:row>7</xdr:row>
      <xdr:rowOff>123825</xdr:rowOff>
    </xdr:from>
    <xdr:to>
      <xdr:col>31</xdr:col>
      <xdr:colOff>167101</xdr:colOff>
      <xdr:row>53</xdr:row>
      <xdr:rowOff>101150</xdr:rowOff>
    </xdr:to>
    <xdr:grpSp>
      <xdr:nvGrpSpPr>
        <xdr:cNvPr id="7" name="กลุ่ม 6"/>
        <xdr:cNvGrpSpPr/>
      </xdr:nvGrpSpPr>
      <xdr:grpSpPr>
        <a:xfrm>
          <a:off x="2047875" y="1323975"/>
          <a:ext cx="4320001" cy="7864025"/>
          <a:chOff x="2743200" y="1724025"/>
          <a:chExt cx="4320001" cy="7864025"/>
        </a:xfrm>
      </xdr:grpSpPr>
      <xdr:graphicFrame macro="">
        <xdr:nvGraphicFramePr>
          <xdr:cNvPr id="5" name="แผนภูมิ 4"/>
          <xdr:cNvGraphicFramePr>
            <a:graphicFrameLocks noChangeAspect="1"/>
          </xdr:cNvGraphicFramePr>
        </xdr:nvGraphicFramePr>
        <xdr:xfrm>
          <a:off x="2743200" y="1724025"/>
          <a:ext cx="4320000" cy="432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6" name="แผนภูมิ 5"/>
          <xdr:cNvGraphicFramePr>
            <a:graphicFrameLocks noChangeAspect="1"/>
          </xdr:cNvGraphicFramePr>
        </xdr:nvGraphicFramePr>
        <xdr:xfrm>
          <a:off x="2743201" y="6135105"/>
          <a:ext cx="4320000" cy="345294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AHOMA">
      <a:majorFont>
        <a:latin typeface="Tahoma"/>
        <a:ea typeface=""/>
        <a:cs typeface=""/>
      </a:majorFont>
      <a:minorFont>
        <a:latin typeface="Taho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CC"/>
        </a:solidFill>
        <a:ln w="12700"/>
      </a:spPr>
      <a:bodyPr vertOverflow="clip" rtlCol="0" anchor="ctr"/>
      <a:lstStyle>
        <a:defPPr algn="ctr">
          <a:defRPr sz="1100"/>
        </a:defPPr>
      </a:lstStyle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A205"/>
  <sheetViews>
    <sheetView showGridLines="0" showRowColHeaders="0" tabSelected="1" zoomScale="85" zoomScaleNormal="85" workbookViewId="0">
      <selection activeCell="AD47" sqref="AD47"/>
    </sheetView>
  </sheetViews>
  <sheetFormatPr defaultColWidth="2.625" defaultRowHeight="14.1" customHeight="1" x14ac:dyDescent="0.2"/>
  <cols>
    <col min="1" max="161" width="2.625" style="78"/>
    <col min="162" max="379" width="2.625" style="346"/>
    <col min="380" max="424" width="2.625" style="78" hidden="1" customWidth="1"/>
    <col min="425" max="439" width="0" style="78" hidden="1" customWidth="1"/>
    <col min="440" max="16384" width="2.625" style="78"/>
  </cols>
  <sheetData>
    <row r="1" spans="1:467" ht="14.1" customHeight="1" x14ac:dyDescent="0.2">
      <c r="A1" s="112"/>
      <c r="B1" s="137" t="s">
        <v>85</v>
      </c>
      <c r="C1" s="144"/>
      <c r="D1" s="144"/>
      <c r="E1" s="144"/>
      <c r="F1" s="144"/>
      <c r="G1" s="144"/>
      <c r="H1" s="144"/>
      <c r="I1" s="144"/>
      <c r="J1" s="112"/>
      <c r="K1" s="112"/>
      <c r="L1" s="112"/>
      <c r="M1" s="112"/>
      <c r="N1" s="112"/>
      <c r="O1" s="112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226"/>
      <c r="AH1" s="226"/>
      <c r="AI1" s="226"/>
      <c r="AJ1" s="226"/>
      <c r="AK1" s="226"/>
      <c r="AL1" s="226"/>
      <c r="AM1" s="226"/>
      <c r="AN1" s="226"/>
      <c r="AO1" s="226"/>
      <c r="AP1" s="226"/>
      <c r="AQ1" s="226"/>
      <c r="AR1" s="226"/>
      <c r="AS1" s="226"/>
      <c r="AT1" s="226"/>
      <c r="AU1" s="226"/>
      <c r="AV1" s="226"/>
      <c r="AW1" s="226"/>
      <c r="AX1" s="226"/>
      <c r="AY1" s="226"/>
      <c r="AZ1" s="226"/>
      <c r="BA1" s="226"/>
      <c r="BB1" s="226"/>
      <c r="BC1" s="226"/>
      <c r="BD1" s="226"/>
      <c r="BE1" s="226"/>
      <c r="BF1" s="226"/>
      <c r="BG1" s="226"/>
      <c r="BH1" s="226"/>
      <c r="BI1" s="226"/>
      <c r="BJ1" s="226"/>
      <c r="BK1" s="226"/>
      <c r="BL1" s="226"/>
      <c r="BM1" s="226"/>
      <c r="BN1" s="226"/>
      <c r="BO1" s="226"/>
      <c r="BP1" s="226"/>
      <c r="BQ1" s="226"/>
      <c r="BR1" s="226"/>
      <c r="BS1" s="226"/>
      <c r="BT1" s="226"/>
      <c r="BU1" s="226"/>
      <c r="BV1" s="226"/>
      <c r="BW1" s="226"/>
      <c r="BX1" s="226"/>
      <c r="BY1" s="226"/>
      <c r="BZ1" s="226"/>
      <c r="CA1" s="226"/>
      <c r="CB1" s="226"/>
      <c r="CC1" s="226"/>
      <c r="CD1" s="226"/>
      <c r="CE1" s="226"/>
      <c r="CF1" s="226"/>
      <c r="CG1" s="226"/>
      <c r="CH1" s="226"/>
      <c r="CI1" s="226"/>
      <c r="CJ1" s="226"/>
      <c r="CK1" s="226"/>
      <c r="CL1" s="226"/>
      <c r="CM1" s="226"/>
      <c r="CN1" s="226"/>
      <c r="CO1" s="226"/>
      <c r="CP1" s="226"/>
      <c r="CQ1" s="226"/>
      <c r="CR1" s="226"/>
      <c r="CS1" s="226"/>
      <c r="CT1" s="226"/>
      <c r="CU1" s="226"/>
      <c r="CV1" s="226"/>
      <c r="CW1" s="226"/>
      <c r="CX1" s="226"/>
      <c r="CY1" s="226"/>
      <c r="CZ1" s="226"/>
      <c r="DA1" s="226"/>
      <c r="DB1" s="226"/>
      <c r="DC1" s="226"/>
      <c r="DD1" s="226"/>
      <c r="DE1" s="226"/>
      <c r="DF1" s="226"/>
      <c r="DG1" s="226"/>
      <c r="DH1" s="226"/>
      <c r="DI1" s="226"/>
      <c r="DJ1" s="226"/>
      <c r="DK1" s="226"/>
      <c r="DL1" s="226"/>
      <c r="DM1" s="226"/>
      <c r="DN1" s="226"/>
      <c r="DO1" s="226"/>
      <c r="DP1" s="226"/>
      <c r="DQ1" s="226"/>
      <c r="DR1" s="226"/>
      <c r="DS1" s="226"/>
      <c r="DT1" s="226"/>
      <c r="DU1" s="226"/>
      <c r="DV1" s="226"/>
      <c r="DW1" s="226"/>
      <c r="DX1" s="226"/>
      <c r="DY1" s="226"/>
      <c r="DZ1" s="226"/>
      <c r="EA1" s="226"/>
      <c r="EB1" s="226"/>
      <c r="EC1" s="226"/>
      <c r="ED1" s="226"/>
      <c r="EE1" s="226"/>
      <c r="EF1" s="226"/>
      <c r="EG1" s="226"/>
      <c r="EH1" s="226"/>
      <c r="EI1" s="226"/>
      <c r="EJ1" s="226"/>
      <c r="EK1" s="226"/>
      <c r="EL1" s="226"/>
      <c r="EM1" s="226"/>
      <c r="EN1" s="226"/>
      <c r="EO1" s="226"/>
      <c r="EP1" s="226"/>
      <c r="EQ1" s="226"/>
      <c r="ER1" s="226"/>
      <c r="ES1" s="226"/>
      <c r="ET1" s="226"/>
      <c r="EU1" s="226"/>
      <c r="EV1" s="226"/>
      <c r="EW1" s="226"/>
      <c r="EX1" s="226"/>
      <c r="EY1" s="226"/>
      <c r="EZ1" s="226"/>
      <c r="FA1" s="226"/>
      <c r="FB1" s="226"/>
      <c r="FC1" s="226"/>
      <c r="FD1" s="226"/>
      <c r="FE1" s="226"/>
      <c r="FF1" s="226"/>
      <c r="FG1" s="226"/>
      <c r="FH1" s="226"/>
      <c r="FI1" s="226"/>
      <c r="FJ1" s="226"/>
      <c r="FK1" s="226"/>
      <c r="FL1" s="226"/>
      <c r="FM1" s="226"/>
      <c r="FN1" s="226"/>
      <c r="FO1" s="226"/>
      <c r="FP1" s="226"/>
      <c r="FQ1" s="226"/>
      <c r="FR1" s="226"/>
      <c r="FS1" s="226"/>
      <c r="FT1" s="226"/>
      <c r="FU1" s="226"/>
      <c r="FV1" s="226"/>
      <c r="FW1" s="226"/>
      <c r="FX1" s="226"/>
      <c r="FY1" s="226"/>
      <c r="FZ1" s="226"/>
      <c r="GA1" s="226"/>
      <c r="GB1" s="226"/>
      <c r="GC1" s="226"/>
      <c r="GD1" s="226"/>
      <c r="GE1" s="226"/>
      <c r="GF1" s="226"/>
      <c r="GG1" s="226"/>
      <c r="GH1" s="226"/>
      <c r="GI1" s="226"/>
      <c r="GJ1" s="226"/>
      <c r="GK1" s="226"/>
      <c r="GL1" s="226"/>
      <c r="GM1" s="226"/>
      <c r="GN1" s="226"/>
      <c r="GO1" s="226"/>
      <c r="GP1" s="226"/>
      <c r="GQ1" s="226"/>
      <c r="GR1" s="226"/>
      <c r="GS1" s="226"/>
      <c r="GT1" s="226"/>
      <c r="GU1" s="226"/>
      <c r="GV1" s="226"/>
      <c r="GW1" s="226"/>
      <c r="GX1" s="226"/>
      <c r="GY1" s="226"/>
      <c r="GZ1" s="226"/>
      <c r="HA1" s="226"/>
      <c r="HB1" s="226"/>
      <c r="HC1" s="226"/>
      <c r="HD1" s="226"/>
      <c r="NT1" s="79"/>
      <c r="NU1" s="79"/>
      <c r="NV1" s="79"/>
      <c r="NW1" s="79"/>
      <c r="NX1" s="79"/>
      <c r="NY1" s="79"/>
      <c r="NZ1" s="102"/>
      <c r="OA1" s="302"/>
      <c r="OB1" s="302"/>
      <c r="OC1" s="302"/>
      <c r="OD1" s="302"/>
      <c r="OE1" s="114" t="s">
        <v>100</v>
      </c>
      <c r="OF1" s="114"/>
      <c r="OG1" s="114"/>
      <c r="OH1" s="114"/>
      <c r="OI1" s="114"/>
      <c r="OJ1" s="114"/>
      <c r="OK1" s="114"/>
      <c r="OL1" s="114"/>
      <c r="OM1" s="114"/>
      <c r="ON1" s="114"/>
      <c r="OO1" s="114"/>
      <c r="OP1" s="114"/>
      <c r="OQ1" s="114"/>
      <c r="OR1" s="114"/>
      <c r="OS1" s="114"/>
      <c r="OT1" s="306" t="s">
        <v>1</v>
      </c>
      <c r="OU1" s="411" t="e">
        <f>IF(#REF!=4000,1,0.4+(#REF!/7000))</f>
        <v>#REF!</v>
      </c>
      <c r="OV1" s="411"/>
      <c r="OW1" s="411"/>
      <c r="OX1" s="114"/>
      <c r="OY1" s="114"/>
      <c r="OZ1" s="114"/>
      <c r="PA1" s="114"/>
      <c r="PB1" s="12"/>
      <c r="PC1" s="302"/>
      <c r="PE1" s="302"/>
      <c r="PF1" s="302"/>
      <c r="PG1" s="302"/>
      <c r="PH1" s="302"/>
      <c r="PI1" s="302"/>
      <c r="PJ1" s="302"/>
      <c r="PK1" s="302"/>
      <c r="PL1" s="302"/>
      <c r="PM1" s="302"/>
    </row>
    <row r="2" spans="1:467" ht="14.1" customHeight="1" thickBot="1" x14ac:dyDescent="0.25">
      <c r="A2" s="112"/>
      <c r="B2" s="58"/>
      <c r="C2" s="59"/>
      <c r="D2" s="412" t="s">
        <v>50</v>
      </c>
      <c r="E2" s="412"/>
      <c r="F2" s="412"/>
      <c r="G2" s="63"/>
      <c r="H2" s="59"/>
      <c r="I2" s="59"/>
      <c r="J2" s="59"/>
      <c r="K2" s="59"/>
      <c r="L2" s="59"/>
      <c r="M2" s="59"/>
      <c r="N2" s="59"/>
      <c r="O2" s="59"/>
      <c r="P2" s="17"/>
      <c r="Q2" s="59"/>
      <c r="R2" s="412" t="s">
        <v>81</v>
      </c>
      <c r="S2" s="412"/>
      <c r="T2" s="412"/>
      <c r="U2" s="412"/>
      <c r="V2" s="412"/>
      <c r="W2" s="412"/>
      <c r="X2" s="59"/>
      <c r="Y2" s="59"/>
      <c r="Z2" s="59"/>
      <c r="AA2" s="59"/>
      <c r="AB2" s="59"/>
      <c r="AC2" s="59"/>
      <c r="AD2" s="59"/>
      <c r="AE2" s="59"/>
      <c r="AF2" s="59"/>
      <c r="AG2" s="326"/>
      <c r="AH2" s="326"/>
      <c r="AI2" s="326"/>
      <c r="AJ2" s="326"/>
      <c r="AK2" s="326"/>
      <c r="AL2" s="326"/>
      <c r="AM2" s="326"/>
      <c r="AN2" s="326"/>
      <c r="AO2" s="326"/>
      <c r="AP2" s="326"/>
      <c r="AQ2" s="326"/>
      <c r="AR2" s="326"/>
      <c r="AS2" s="326"/>
      <c r="AT2" s="326"/>
      <c r="AU2" s="326"/>
      <c r="AV2" s="326"/>
      <c r="AW2" s="326"/>
      <c r="AX2" s="326"/>
      <c r="AY2" s="326"/>
      <c r="AZ2" s="326"/>
      <c r="BA2" s="326"/>
      <c r="BB2" s="326"/>
      <c r="BC2" s="326"/>
      <c r="BD2" s="326"/>
      <c r="BE2" s="326"/>
      <c r="BF2" s="326"/>
      <c r="BG2" s="326"/>
      <c r="BH2" s="326"/>
      <c r="BI2" s="326"/>
      <c r="BJ2" s="326"/>
      <c r="BK2" s="326"/>
      <c r="BL2" s="326"/>
      <c r="BM2" s="326"/>
      <c r="BN2" s="326"/>
      <c r="BO2" s="326"/>
      <c r="BP2" s="326"/>
      <c r="BQ2" s="326"/>
      <c r="BR2" s="326"/>
      <c r="BS2" s="326"/>
      <c r="BT2" s="326"/>
      <c r="BU2" s="326"/>
      <c r="BV2" s="326"/>
      <c r="BW2" s="326"/>
      <c r="BX2" s="326"/>
      <c r="BY2" s="326"/>
      <c r="BZ2" s="326"/>
      <c r="CA2" s="326"/>
      <c r="CB2" s="326"/>
      <c r="CC2" s="326"/>
      <c r="CD2" s="326"/>
      <c r="CE2" s="272"/>
      <c r="CF2" s="226"/>
      <c r="CG2" s="226"/>
      <c r="CH2" s="226"/>
      <c r="CI2" s="226"/>
      <c r="CJ2" s="226"/>
      <c r="CK2" s="226"/>
      <c r="CL2" s="226"/>
      <c r="CM2" s="226"/>
      <c r="CN2" s="226"/>
      <c r="CO2" s="226"/>
      <c r="CP2" s="226"/>
      <c r="CQ2" s="226"/>
      <c r="CR2" s="226"/>
      <c r="CS2" s="226"/>
      <c r="CT2" s="226"/>
      <c r="CU2" s="226"/>
      <c r="CV2" s="226"/>
      <c r="CW2" s="226"/>
      <c r="CX2" s="226"/>
      <c r="CY2" s="226"/>
      <c r="CZ2" s="226"/>
      <c r="DA2" s="226"/>
      <c r="DB2" s="226"/>
      <c r="DC2" s="226"/>
      <c r="DD2" s="226"/>
      <c r="DE2" s="226"/>
      <c r="DF2" s="226"/>
      <c r="DG2" s="226"/>
      <c r="DH2" s="226"/>
      <c r="DI2" s="226"/>
      <c r="DJ2" s="226"/>
      <c r="DK2" s="226"/>
      <c r="DL2" s="226"/>
      <c r="DM2" s="226"/>
      <c r="DN2" s="226"/>
      <c r="DO2" s="226"/>
      <c r="DP2" s="226"/>
      <c r="DQ2" s="226"/>
      <c r="DR2" s="226"/>
      <c r="DS2" s="226"/>
      <c r="DT2" s="226"/>
      <c r="DU2" s="226"/>
      <c r="DV2" s="226"/>
      <c r="DW2" s="226"/>
      <c r="DX2" s="226"/>
      <c r="DY2" s="226"/>
      <c r="DZ2" s="226"/>
      <c r="EA2" s="226"/>
      <c r="EB2" s="226"/>
      <c r="EC2" s="226"/>
      <c r="ED2" s="226"/>
      <c r="EE2" s="226"/>
      <c r="EF2" s="226"/>
      <c r="EG2" s="226"/>
      <c r="EH2" s="226"/>
      <c r="EI2" s="226"/>
      <c r="EJ2" s="226"/>
      <c r="EK2" s="226"/>
      <c r="EL2" s="226"/>
      <c r="EM2" s="226"/>
      <c r="EN2" s="226"/>
      <c r="EO2" s="226"/>
      <c r="EP2" s="226"/>
      <c r="EQ2" s="226"/>
      <c r="ER2" s="226"/>
      <c r="ES2" s="226"/>
      <c r="ET2" s="226"/>
      <c r="EU2" s="226"/>
      <c r="EV2" s="226"/>
      <c r="EW2" s="226"/>
      <c r="EX2" s="226"/>
      <c r="EY2" s="226"/>
      <c r="EZ2" s="226"/>
      <c r="FA2" s="226"/>
      <c r="FB2" s="226"/>
      <c r="FC2" s="226"/>
      <c r="FD2" s="226"/>
      <c r="FE2" s="226"/>
      <c r="FF2" s="226"/>
      <c r="FG2" s="226"/>
      <c r="FH2" s="226"/>
      <c r="FI2" s="226"/>
      <c r="FJ2" s="226"/>
      <c r="FK2" s="226"/>
      <c r="FL2" s="226"/>
      <c r="FM2" s="226"/>
      <c r="FN2" s="226"/>
      <c r="FO2" s="226"/>
      <c r="FP2" s="226"/>
      <c r="FQ2" s="226"/>
      <c r="FR2" s="226"/>
      <c r="FS2" s="226"/>
      <c r="FT2" s="226"/>
      <c r="FU2" s="226"/>
      <c r="FV2" s="226"/>
      <c r="FW2" s="226"/>
      <c r="FX2" s="226"/>
      <c r="FY2" s="226"/>
      <c r="FZ2" s="226"/>
      <c r="GA2" s="226"/>
      <c r="GB2" s="226"/>
      <c r="GC2" s="226"/>
      <c r="GD2" s="226"/>
      <c r="GE2" s="226"/>
      <c r="GF2" s="226"/>
      <c r="GG2" s="226"/>
      <c r="GH2" s="226"/>
      <c r="GI2" s="226"/>
      <c r="GJ2" s="226"/>
      <c r="GK2" s="226"/>
      <c r="GL2" s="226"/>
      <c r="GM2" s="226"/>
      <c r="GN2" s="226"/>
      <c r="GO2" s="226"/>
      <c r="GP2" s="226"/>
      <c r="GQ2" s="226"/>
      <c r="GR2" s="226"/>
      <c r="GS2" s="226"/>
      <c r="GT2" s="226"/>
      <c r="GU2" s="226"/>
      <c r="GV2" s="226"/>
      <c r="GW2" s="226"/>
      <c r="GX2" s="226"/>
      <c r="GY2" s="226"/>
      <c r="GZ2" s="226"/>
      <c r="HA2" s="226"/>
      <c r="HB2" s="226"/>
      <c r="HC2" s="226"/>
      <c r="HD2" s="226"/>
      <c r="NP2" s="302" t="s">
        <v>3</v>
      </c>
      <c r="NQ2" s="322"/>
      <c r="NR2" s="322"/>
      <c r="NS2" s="322" t="s">
        <v>1</v>
      </c>
      <c r="NT2" s="393">
        <f>H6</f>
        <v>150</v>
      </c>
      <c r="NU2" s="393"/>
      <c r="NV2" s="393"/>
      <c r="NW2" s="301" t="s">
        <v>2</v>
      </c>
      <c r="NX2" s="79"/>
      <c r="NY2" s="79"/>
      <c r="NZ2" s="102"/>
      <c r="OA2" s="302"/>
      <c r="OB2" s="302"/>
      <c r="OC2" s="302"/>
      <c r="OD2" s="302"/>
      <c r="OE2" s="114"/>
      <c r="OF2" s="114"/>
      <c r="OG2" s="114"/>
      <c r="OH2" s="114"/>
      <c r="OI2" s="114"/>
      <c r="OJ2" s="114"/>
      <c r="OK2" s="114"/>
      <c r="OL2" s="114"/>
      <c r="OM2" s="114"/>
      <c r="ON2" s="114" t="str">
        <f>IF(NS3&lt;4000,"(0.40+(fy/7000))","")</f>
        <v/>
      </c>
      <c r="OO2" s="114"/>
      <c r="OP2" s="114"/>
      <c r="OQ2" s="114"/>
      <c r="OR2" s="114"/>
      <c r="OS2" s="114"/>
      <c r="OT2" s="114"/>
      <c r="OU2" s="114"/>
      <c r="OV2" s="114"/>
      <c r="OW2" s="114"/>
      <c r="OX2" s="114"/>
      <c r="OY2" s="114"/>
      <c r="OZ2" s="114"/>
      <c r="PA2" s="114"/>
      <c r="PB2" s="12"/>
      <c r="PC2" s="302"/>
      <c r="PD2" s="302"/>
      <c r="PE2" s="302"/>
      <c r="PF2" s="302"/>
      <c r="PG2" s="302"/>
      <c r="PH2" s="302"/>
      <c r="PI2" s="302"/>
      <c r="PJ2" s="302"/>
      <c r="PK2" s="302"/>
      <c r="PL2" s="302"/>
      <c r="PM2" s="302"/>
      <c r="QB2" s="333" t="s">
        <v>142</v>
      </c>
      <c r="QC2" s="402">
        <f>H22</f>
        <v>10000</v>
      </c>
      <c r="QD2" s="402"/>
      <c r="QE2" s="402"/>
      <c r="QH2" s="333" t="s">
        <v>123</v>
      </c>
      <c r="QI2" s="402">
        <v>7.4999999999999997E-2</v>
      </c>
      <c r="QJ2" s="402"/>
      <c r="QK2" s="402"/>
    </row>
    <row r="3" spans="1:467" ht="14.1" customHeight="1" thickBot="1" x14ac:dyDescent="0.25">
      <c r="A3" s="112"/>
      <c r="B3" s="60"/>
      <c r="C3" s="58"/>
      <c r="D3" s="413"/>
      <c r="E3" s="413"/>
      <c r="F3" s="413"/>
      <c r="G3" s="63"/>
      <c r="H3" s="59"/>
      <c r="I3" s="59"/>
      <c r="J3" s="59"/>
      <c r="K3" s="59"/>
      <c r="L3" s="59"/>
      <c r="M3" s="59"/>
      <c r="N3" s="59"/>
      <c r="O3" s="109"/>
      <c r="P3" s="16"/>
      <c r="Q3" s="58"/>
      <c r="R3" s="413"/>
      <c r="S3" s="413"/>
      <c r="T3" s="413"/>
      <c r="U3" s="413"/>
      <c r="V3" s="413"/>
      <c r="W3" s="413"/>
      <c r="X3" s="59"/>
      <c r="Y3" s="59"/>
      <c r="Z3" s="59"/>
      <c r="AA3" s="59"/>
      <c r="AB3" s="59"/>
      <c r="AC3" s="59"/>
      <c r="AD3" s="59"/>
      <c r="AE3" s="109"/>
      <c r="AF3" s="27"/>
      <c r="AG3" s="328"/>
      <c r="AH3" s="329"/>
      <c r="AI3" s="329"/>
      <c r="AJ3" s="329"/>
      <c r="AK3" s="329"/>
      <c r="AL3" s="329"/>
      <c r="AM3" s="329"/>
      <c r="AN3" s="329"/>
      <c r="AO3" s="329"/>
      <c r="AP3" s="329"/>
      <c r="AQ3" s="329"/>
      <c r="AR3" s="329"/>
      <c r="AS3" s="329"/>
      <c r="AT3" s="329"/>
      <c r="AU3" s="329"/>
      <c r="AV3" s="329"/>
      <c r="AW3" s="329"/>
      <c r="AX3" s="329"/>
      <c r="AY3" s="329"/>
      <c r="AZ3" s="329"/>
      <c r="BA3" s="329"/>
      <c r="BB3" s="329"/>
      <c r="BC3" s="329"/>
      <c r="BD3" s="329"/>
      <c r="BE3" s="329"/>
      <c r="BF3" s="329"/>
      <c r="BG3" s="329"/>
      <c r="BH3" s="329"/>
      <c r="BI3" s="329"/>
      <c r="BJ3" s="329"/>
      <c r="BK3" s="329"/>
      <c r="BL3" s="329"/>
      <c r="BM3" s="329"/>
      <c r="BN3" s="329"/>
      <c r="BO3" s="329"/>
      <c r="BP3" s="329"/>
      <c r="BQ3" s="329"/>
      <c r="BR3" s="329"/>
      <c r="BS3" s="329"/>
      <c r="BT3" s="329"/>
      <c r="BU3" s="329"/>
      <c r="BV3" s="329"/>
      <c r="BW3" s="329"/>
      <c r="BX3" s="329"/>
      <c r="BY3" s="329"/>
      <c r="BZ3" s="329"/>
      <c r="CA3" s="329"/>
      <c r="CB3" s="329"/>
      <c r="CC3" s="329"/>
      <c r="CD3" s="330"/>
      <c r="CE3" s="274"/>
      <c r="CF3" s="226"/>
      <c r="CG3" s="226"/>
      <c r="CH3" s="226"/>
      <c r="CI3" s="226"/>
      <c r="CJ3" s="226"/>
      <c r="CK3" s="226"/>
      <c r="CL3" s="226"/>
      <c r="CM3" s="226"/>
      <c r="CN3" s="226"/>
      <c r="CO3" s="226"/>
      <c r="CP3" s="226"/>
      <c r="CQ3" s="226"/>
      <c r="CR3" s="226"/>
      <c r="CS3" s="226"/>
      <c r="CT3" s="226"/>
      <c r="CU3" s="226"/>
      <c r="CV3" s="226"/>
      <c r="CW3" s="226"/>
      <c r="CX3" s="226"/>
      <c r="CY3" s="226"/>
      <c r="CZ3" s="226"/>
      <c r="DA3" s="226"/>
      <c r="DB3" s="226"/>
      <c r="DC3" s="226"/>
      <c r="DD3" s="226"/>
      <c r="DE3" s="226"/>
      <c r="DF3" s="226"/>
      <c r="DG3" s="226"/>
      <c r="DH3" s="226"/>
      <c r="DI3" s="226"/>
      <c r="DJ3" s="226"/>
      <c r="DK3" s="226"/>
      <c r="DL3" s="226"/>
      <c r="DM3" s="226"/>
      <c r="DN3" s="226"/>
      <c r="DO3" s="226"/>
      <c r="DP3" s="226"/>
      <c r="DQ3" s="226"/>
      <c r="DR3" s="226"/>
      <c r="DS3" s="226"/>
      <c r="DT3" s="226"/>
      <c r="DU3" s="226"/>
      <c r="DV3" s="226"/>
      <c r="DW3" s="226"/>
      <c r="DX3" s="226"/>
      <c r="DY3" s="226"/>
      <c r="DZ3" s="226"/>
      <c r="EA3" s="226"/>
      <c r="EB3" s="226"/>
      <c r="EC3" s="226"/>
      <c r="ED3" s="226"/>
      <c r="EE3" s="226"/>
      <c r="EF3" s="226"/>
      <c r="EG3" s="226"/>
      <c r="EH3" s="226"/>
      <c r="EI3" s="226"/>
      <c r="EJ3" s="226"/>
      <c r="EK3" s="226"/>
      <c r="EL3" s="226"/>
      <c r="EM3" s="226"/>
      <c r="EN3" s="226"/>
      <c r="EO3" s="226"/>
      <c r="EP3" s="226"/>
      <c r="EQ3" s="226"/>
      <c r="ER3" s="226"/>
      <c r="ES3" s="226"/>
      <c r="ET3" s="226"/>
      <c r="EU3" s="226"/>
      <c r="EV3" s="226"/>
      <c r="EW3" s="226"/>
      <c r="EX3" s="226"/>
      <c r="EY3" s="226"/>
      <c r="EZ3" s="226"/>
      <c r="FA3" s="226"/>
      <c r="FB3" s="226"/>
      <c r="FC3" s="226"/>
      <c r="FD3" s="226"/>
      <c r="FE3" s="226"/>
      <c r="FF3" s="226"/>
      <c r="FG3" s="226"/>
      <c r="FH3" s="226"/>
      <c r="FI3" s="226"/>
      <c r="FJ3" s="226"/>
      <c r="FK3" s="226"/>
      <c r="FL3" s="226"/>
      <c r="FM3" s="226"/>
      <c r="FN3" s="226"/>
      <c r="FO3" s="226"/>
      <c r="FP3" s="226"/>
      <c r="FQ3" s="226"/>
      <c r="FR3" s="226"/>
      <c r="FS3" s="226"/>
      <c r="FT3" s="226"/>
      <c r="FU3" s="226"/>
      <c r="FV3" s="226"/>
      <c r="FW3" s="226"/>
      <c r="FX3" s="226"/>
      <c r="FY3" s="226"/>
      <c r="FZ3" s="226"/>
      <c r="GA3" s="226"/>
      <c r="GB3" s="226"/>
      <c r="GC3" s="226"/>
      <c r="GD3" s="226"/>
      <c r="GE3" s="226"/>
      <c r="GF3" s="226"/>
      <c r="GG3" s="226"/>
      <c r="GH3" s="226"/>
      <c r="GI3" s="226"/>
      <c r="GJ3" s="226"/>
      <c r="GK3" s="226"/>
      <c r="GL3" s="226"/>
      <c r="GM3" s="226"/>
      <c r="GN3" s="226"/>
      <c r="GO3" s="226"/>
      <c r="GP3" s="226"/>
      <c r="GQ3" s="226"/>
      <c r="GR3" s="226"/>
      <c r="GS3" s="226"/>
      <c r="GT3" s="226"/>
      <c r="GU3" s="226"/>
      <c r="GV3" s="226"/>
      <c r="GW3" s="226"/>
      <c r="GX3" s="226"/>
      <c r="GY3" s="226"/>
      <c r="GZ3" s="226"/>
      <c r="HA3" s="226"/>
      <c r="HB3" s="226"/>
      <c r="HC3" s="226"/>
      <c r="HD3" s="226"/>
      <c r="NP3" s="13" t="s">
        <v>99</v>
      </c>
      <c r="NQ3" s="322"/>
      <c r="NR3" s="322"/>
      <c r="NS3" s="322" t="s">
        <v>1</v>
      </c>
      <c r="NT3" s="393">
        <f>H4</f>
        <v>3000</v>
      </c>
      <c r="NU3" s="393"/>
      <c r="NV3" s="393"/>
      <c r="NW3" s="301" t="s">
        <v>2</v>
      </c>
      <c r="NX3" s="302"/>
      <c r="NY3" s="302"/>
      <c r="NZ3" s="302"/>
      <c r="OA3" s="302"/>
      <c r="OB3" s="302"/>
      <c r="OC3" s="302"/>
      <c r="OD3" s="302"/>
      <c r="OE3" s="115" t="s">
        <v>56</v>
      </c>
      <c r="OF3" s="306" t="s">
        <v>1</v>
      </c>
      <c r="OG3" s="406">
        <v>0.85</v>
      </c>
      <c r="OH3" s="406"/>
      <c r="OI3" s="114"/>
      <c r="OJ3" s="114"/>
      <c r="OK3" s="114"/>
      <c r="OL3" s="114"/>
      <c r="OM3" s="114"/>
      <c r="ON3" s="114"/>
      <c r="OO3" s="114"/>
      <c r="OP3" s="116" t="s">
        <v>57</v>
      </c>
      <c r="OQ3" s="114"/>
      <c r="OR3" s="114"/>
      <c r="OS3" s="114"/>
      <c r="OT3" s="114"/>
      <c r="OU3" s="114"/>
      <c r="OV3" s="114"/>
      <c r="OW3" s="306" t="s">
        <v>3</v>
      </c>
      <c r="OX3" s="306" t="s">
        <v>58</v>
      </c>
      <c r="OY3" s="410">
        <v>280</v>
      </c>
      <c r="OZ3" s="410"/>
      <c r="PA3" s="116" t="s">
        <v>2</v>
      </c>
      <c r="PB3" s="12"/>
      <c r="PC3" s="302"/>
      <c r="PD3" s="302"/>
      <c r="PE3" s="302"/>
      <c r="PF3" s="302"/>
      <c r="PG3" s="302"/>
      <c r="PH3" s="302"/>
      <c r="PI3" s="302"/>
      <c r="PJ3" s="302"/>
      <c r="PK3" s="302"/>
      <c r="PL3" s="302"/>
      <c r="PM3" s="302"/>
      <c r="QB3" s="333" t="s">
        <v>131</v>
      </c>
      <c r="QC3" s="465">
        <f>H32</f>
        <v>1.4</v>
      </c>
      <c r="QD3" s="465"/>
      <c r="QE3" s="465"/>
      <c r="QH3" s="333" t="s">
        <v>147</v>
      </c>
      <c r="QI3" s="402">
        <f>Z38</f>
        <v>8</v>
      </c>
      <c r="QJ3" s="402"/>
      <c r="QK3" s="402"/>
    </row>
    <row r="4" spans="1:467" ht="14.1" customHeight="1" x14ac:dyDescent="0.2">
      <c r="A4" s="112"/>
      <c r="B4" s="60"/>
      <c r="C4" s="60"/>
      <c r="D4" s="27"/>
      <c r="E4" s="27"/>
      <c r="F4" s="123" t="s">
        <v>48</v>
      </c>
      <c r="G4" s="27"/>
      <c r="H4" s="414">
        <v>3000</v>
      </c>
      <c r="I4" s="415"/>
      <c r="J4" s="416"/>
      <c r="K4" s="27"/>
      <c r="L4" s="307" t="s">
        <v>2</v>
      </c>
      <c r="M4" s="27"/>
      <c r="N4" s="27"/>
      <c r="O4" s="110"/>
      <c r="P4" s="16"/>
      <c r="Q4" s="22"/>
      <c r="R4" s="140"/>
      <c r="S4" s="30" t="s">
        <v>76</v>
      </c>
      <c r="T4" s="140"/>
      <c r="U4" s="417" t="s">
        <v>25</v>
      </c>
      <c r="V4" s="418"/>
      <c r="W4" s="418"/>
      <c r="X4" s="418"/>
      <c r="Y4" s="418"/>
      <c r="Z4" s="418"/>
      <c r="AA4" s="418"/>
      <c r="AB4" s="418"/>
      <c r="AC4" s="418"/>
      <c r="AD4" s="419"/>
      <c r="AE4" s="110"/>
      <c r="AF4" s="27"/>
      <c r="AG4" s="331"/>
      <c r="AH4" s="320"/>
      <c r="AI4" s="320"/>
      <c r="AJ4" s="320"/>
      <c r="AK4" s="320"/>
      <c r="AL4" s="320"/>
      <c r="AM4" s="320"/>
      <c r="AN4" s="320"/>
      <c r="AO4" s="320"/>
      <c r="AP4" s="320"/>
      <c r="AQ4" s="320"/>
      <c r="AR4" s="320"/>
      <c r="AS4" s="320"/>
      <c r="AT4" s="320"/>
      <c r="AU4" s="320"/>
      <c r="AV4" s="320"/>
      <c r="AW4" s="320"/>
      <c r="AX4" s="320"/>
      <c r="AY4" s="320"/>
      <c r="AZ4" s="320"/>
      <c r="BA4" s="320"/>
      <c r="BB4" s="320"/>
      <c r="BC4" s="320"/>
      <c r="BD4" s="320"/>
      <c r="BE4" s="320"/>
      <c r="BF4" s="320"/>
      <c r="BG4" s="320"/>
      <c r="BH4" s="320"/>
      <c r="BI4" s="320"/>
      <c r="BJ4" s="320"/>
      <c r="BK4" s="320"/>
      <c r="BL4" s="320"/>
      <c r="BM4" s="320"/>
      <c r="BN4" s="320"/>
      <c r="BO4" s="320"/>
      <c r="BP4" s="320"/>
      <c r="BQ4" s="320"/>
      <c r="BR4" s="320"/>
      <c r="BS4" s="320"/>
      <c r="BT4" s="320"/>
      <c r="BU4" s="320"/>
      <c r="BV4" s="320"/>
      <c r="BW4" s="320"/>
      <c r="BX4" s="320"/>
      <c r="BY4" s="320"/>
      <c r="BZ4" s="320"/>
      <c r="CA4" s="320"/>
      <c r="CB4" s="320"/>
      <c r="CC4" s="320"/>
      <c r="CD4" s="332"/>
      <c r="CE4" s="274"/>
      <c r="CF4" s="226"/>
      <c r="CG4" s="226"/>
      <c r="CH4" s="226"/>
      <c r="CI4" s="226"/>
      <c r="CJ4" s="226"/>
      <c r="CK4" s="226"/>
      <c r="CL4" s="226"/>
      <c r="CM4" s="226"/>
      <c r="CN4" s="226"/>
      <c r="CO4" s="226"/>
      <c r="CP4" s="226"/>
      <c r="CQ4" s="226"/>
      <c r="CR4" s="226"/>
      <c r="CS4" s="226"/>
      <c r="CT4" s="226"/>
      <c r="CU4" s="226"/>
      <c r="CV4" s="226"/>
      <c r="CW4" s="226"/>
      <c r="CX4" s="226"/>
      <c r="CY4" s="226"/>
      <c r="CZ4" s="226"/>
      <c r="DA4" s="226"/>
      <c r="DB4" s="226"/>
      <c r="DC4" s="226"/>
      <c r="DD4" s="226"/>
      <c r="DE4" s="226"/>
      <c r="DF4" s="226"/>
      <c r="DG4" s="226"/>
      <c r="DH4" s="226"/>
      <c r="DI4" s="226"/>
      <c r="DJ4" s="226"/>
      <c r="DK4" s="226"/>
      <c r="DL4" s="226"/>
      <c r="DM4" s="226"/>
      <c r="DN4" s="226"/>
      <c r="DO4" s="226"/>
      <c r="DP4" s="226"/>
      <c r="DQ4" s="226"/>
      <c r="DR4" s="226"/>
      <c r="DS4" s="226"/>
      <c r="DT4" s="226"/>
      <c r="DU4" s="226"/>
      <c r="DV4" s="226"/>
      <c r="DW4" s="226"/>
      <c r="DX4" s="226"/>
      <c r="DY4" s="226"/>
      <c r="DZ4" s="226"/>
      <c r="EA4" s="226"/>
      <c r="EB4" s="226"/>
      <c r="EC4" s="226"/>
      <c r="ED4" s="226"/>
      <c r="EE4" s="226"/>
      <c r="EF4" s="226"/>
      <c r="EG4" s="226"/>
      <c r="EH4" s="226"/>
      <c r="EI4" s="226"/>
      <c r="EJ4" s="226"/>
      <c r="EK4" s="226"/>
      <c r="EL4" s="226"/>
      <c r="EM4" s="226"/>
      <c r="EN4" s="226"/>
      <c r="EO4" s="226"/>
      <c r="EP4" s="226"/>
      <c r="EQ4" s="226"/>
      <c r="ER4" s="226"/>
      <c r="ES4" s="226"/>
      <c r="ET4" s="226"/>
      <c r="EU4" s="226"/>
      <c r="EV4" s="226"/>
      <c r="EW4" s="226"/>
      <c r="EX4" s="226"/>
      <c r="EY4" s="226"/>
      <c r="EZ4" s="226"/>
      <c r="FA4" s="226"/>
      <c r="FB4" s="226"/>
      <c r="FC4" s="226"/>
      <c r="FD4" s="226"/>
      <c r="FE4" s="226"/>
      <c r="FF4" s="226"/>
      <c r="FG4" s="226"/>
      <c r="FH4" s="226"/>
      <c r="FI4" s="226"/>
      <c r="FJ4" s="226"/>
      <c r="FK4" s="226"/>
      <c r="FL4" s="226"/>
      <c r="FM4" s="226"/>
      <c r="FN4" s="226"/>
      <c r="FO4" s="226"/>
      <c r="FP4" s="226"/>
      <c r="FQ4" s="226"/>
      <c r="FR4" s="226"/>
      <c r="FS4" s="226"/>
      <c r="FT4" s="226"/>
      <c r="FU4" s="226"/>
      <c r="FV4" s="226"/>
      <c r="FW4" s="226"/>
      <c r="FX4" s="226"/>
      <c r="FY4" s="226"/>
      <c r="FZ4" s="226"/>
      <c r="GA4" s="226"/>
      <c r="GB4" s="226"/>
      <c r="GC4" s="226"/>
      <c r="GD4" s="226"/>
      <c r="GE4" s="226"/>
      <c r="GF4" s="226"/>
      <c r="GG4" s="226"/>
      <c r="GH4" s="226"/>
      <c r="GI4" s="226"/>
      <c r="GJ4" s="226"/>
      <c r="GK4" s="226"/>
      <c r="GL4" s="226"/>
      <c r="GM4" s="226"/>
      <c r="GN4" s="226"/>
      <c r="GO4" s="226"/>
      <c r="GP4" s="226"/>
      <c r="GQ4" s="226"/>
      <c r="GR4" s="226"/>
      <c r="GS4" s="226"/>
      <c r="GT4" s="226"/>
      <c r="GU4" s="226"/>
      <c r="GV4" s="226"/>
      <c r="GW4" s="226"/>
      <c r="GX4" s="226"/>
      <c r="GY4" s="226"/>
      <c r="GZ4" s="226"/>
      <c r="HA4" s="226"/>
      <c r="HB4" s="226"/>
      <c r="HC4" s="226"/>
      <c r="HD4" s="226"/>
      <c r="NP4" s="13" t="s">
        <v>54</v>
      </c>
      <c r="NQ4" s="322"/>
      <c r="NR4" s="322"/>
      <c r="NS4" s="322" t="s">
        <v>1</v>
      </c>
      <c r="NT4" s="393">
        <f>H4</f>
        <v>3000</v>
      </c>
      <c r="NU4" s="393"/>
      <c r="NV4" s="393"/>
      <c r="NW4" s="301" t="s">
        <v>2</v>
      </c>
      <c r="NX4" s="302"/>
      <c r="NY4" s="302"/>
      <c r="NZ4" s="302"/>
      <c r="OA4" s="302"/>
      <c r="OB4" s="302"/>
      <c r="OC4" s="302"/>
      <c r="OD4" s="302"/>
      <c r="OE4" s="115" t="s">
        <v>56</v>
      </c>
      <c r="OF4" s="306" t="s">
        <v>1</v>
      </c>
      <c r="OG4" s="116" t="s">
        <v>62</v>
      </c>
      <c r="OH4" s="116"/>
      <c r="OI4" s="114"/>
      <c r="OJ4" s="114"/>
      <c r="OK4" s="114"/>
      <c r="OL4" s="114"/>
      <c r="OM4" s="114"/>
      <c r="ON4" s="114"/>
      <c r="OO4" s="114"/>
      <c r="OP4" s="116" t="s">
        <v>57</v>
      </c>
      <c r="OQ4" s="114"/>
      <c r="OR4" s="410">
        <v>280</v>
      </c>
      <c r="OS4" s="410"/>
      <c r="OT4" s="116" t="s">
        <v>2</v>
      </c>
      <c r="OU4" s="114"/>
      <c r="OV4" s="116" t="s">
        <v>63</v>
      </c>
      <c r="OW4" s="306" t="s">
        <v>3</v>
      </c>
      <c r="OX4" s="306" t="s">
        <v>58</v>
      </c>
      <c r="OY4" s="410">
        <v>560</v>
      </c>
      <c r="OZ4" s="410"/>
      <c r="PA4" s="116" t="s">
        <v>2</v>
      </c>
      <c r="PB4" s="12"/>
      <c r="PC4" s="302"/>
      <c r="PD4" s="302">
        <f>IF(H36&gt;=OA26,H36,OA26)</f>
        <v>30</v>
      </c>
      <c r="PE4" s="302"/>
      <c r="PF4" s="302"/>
      <c r="PG4" s="302"/>
      <c r="PH4" s="302"/>
      <c r="PI4" s="302"/>
      <c r="PJ4" s="302"/>
      <c r="PK4" s="302"/>
      <c r="PL4" s="302"/>
      <c r="PM4" s="302"/>
      <c r="QB4" s="333" t="s">
        <v>132</v>
      </c>
      <c r="QC4" s="401">
        <f>H34</f>
        <v>1.4</v>
      </c>
      <c r="QD4" s="401"/>
      <c r="QE4" s="401"/>
    </row>
    <row r="5" spans="1:467" ht="14.1" customHeight="1" thickBot="1" x14ac:dyDescent="0.3">
      <c r="A5" s="112"/>
      <c r="B5" s="60"/>
      <c r="C5" s="60"/>
      <c r="D5" s="27"/>
      <c r="E5" s="27"/>
      <c r="F5" s="27"/>
      <c r="G5" s="27"/>
      <c r="H5" s="307"/>
      <c r="I5" s="307"/>
      <c r="J5" s="307"/>
      <c r="K5" s="27"/>
      <c r="L5" s="27"/>
      <c r="M5" s="27"/>
      <c r="N5" s="27"/>
      <c r="O5" s="110"/>
      <c r="P5" s="16"/>
      <c r="Q5" s="136"/>
      <c r="R5" s="65"/>
      <c r="S5" s="27"/>
      <c r="T5" s="65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110"/>
      <c r="AF5" s="27"/>
      <c r="AG5" s="331"/>
      <c r="AH5" s="320"/>
      <c r="AI5" s="320"/>
      <c r="AJ5" s="320"/>
      <c r="AK5" s="320"/>
      <c r="AL5" s="320"/>
      <c r="AM5" s="320"/>
      <c r="AN5" s="320"/>
      <c r="AO5" s="320"/>
      <c r="AP5" s="320"/>
      <c r="AQ5" s="320"/>
      <c r="AR5" s="320"/>
      <c r="AS5" s="320"/>
      <c r="AT5" s="320"/>
      <c r="AU5" s="320"/>
      <c r="AV5" s="320"/>
      <c r="AW5" s="320"/>
      <c r="AX5" s="320"/>
      <c r="AY5" s="320"/>
      <c r="AZ5" s="320"/>
      <c r="BA5" s="320"/>
      <c r="BB5" s="320"/>
      <c r="BC5" s="320"/>
      <c r="BD5" s="320"/>
      <c r="BE5" s="320"/>
      <c r="BF5" s="320"/>
      <c r="BG5" s="320"/>
      <c r="BH5" s="320"/>
      <c r="BI5" s="320"/>
      <c r="BJ5" s="320"/>
      <c r="BK5" s="320"/>
      <c r="BL5" s="320"/>
      <c r="BM5" s="320"/>
      <c r="BN5" s="320"/>
      <c r="BO5" s="320"/>
      <c r="BP5" s="320"/>
      <c r="BQ5" s="320"/>
      <c r="BR5" s="320"/>
      <c r="BS5" s="320"/>
      <c r="BT5" s="320"/>
      <c r="BU5" s="320"/>
      <c r="BV5" s="320"/>
      <c r="BW5" s="320"/>
      <c r="BX5" s="320"/>
      <c r="BY5" s="320"/>
      <c r="BZ5" s="320"/>
      <c r="CA5" s="320"/>
      <c r="CB5" s="320"/>
      <c r="CC5" s="320"/>
      <c r="CD5" s="332"/>
      <c r="CE5" s="274"/>
      <c r="CF5" s="226"/>
      <c r="CG5" s="226"/>
      <c r="CH5" s="226"/>
      <c r="CI5" s="226"/>
      <c r="CJ5" s="226"/>
      <c r="CK5" s="226"/>
      <c r="CL5" s="226"/>
      <c r="CM5" s="226"/>
      <c r="CN5" s="226"/>
      <c r="CO5" s="226"/>
      <c r="CP5" s="226"/>
      <c r="CQ5" s="226"/>
      <c r="CR5" s="226"/>
      <c r="CS5" s="226"/>
      <c r="CT5" s="226"/>
      <c r="CU5" s="226"/>
      <c r="CV5" s="226"/>
      <c r="CW5" s="226"/>
      <c r="CX5" s="226"/>
      <c r="CY5" s="226"/>
      <c r="CZ5" s="226"/>
      <c r="DA5" s="226"/>
      <c r="DB5" s="226"/>
      <c r="DC5" s="226"/>
      <c r="DD5" s="226"/>
      <c r="DE5" s="226"/>
      <c r="DF5" s="226"/>
      <c r="DG5" s="226"/>
      <c r="DH5" s="226"/>
      <c r="DI5" s="226"/>
      <c r="DJ5" s="226"/>
      <c r="DK5" s="226"/>
      <c r="DL5" s="226"/>
      <c r="DM5" s="226"/>
      <c r="DN5" s="226"/>
      <c r="DO5" s="226"/>
      <c r="DP5" s="226"/>
      <c r="DQ5" s="226"/>
      <c r="DR5" s="226"/>
      <c r="DS5" s="226"/>
      <c r="DT5" s="226"/>
      <c r="DU5" s="226"/>
      <c r="DV5" s="226"/>
      <c r="DW5" s="226"/>
      <c r="DX5" s="226"/>
      <c r="DY5" s="226"/>
      <c r="DZ5" s="226"/>
      <c r="EA5" s="226"/>
      <c r="EB5" s="226"/>
      <c r="EC5" s="226"/>
      <c r="ED5" s="226"/>
      <c r="EE5" s="226"/>
      <c r="EF5" s="226"/>
      <c r="EG5" s="226"/>
      <c r="EH5" s="226"/>
      <c r="EI5" s="226"/>
      <c r="EJ5" s="226"/>
      <c r="EK5" s="226"/>
      <c r="EL5" s="226"/>
      <c r="EM5" s="226"/>
      <c r="EN5" s="226"/>
      <c r="EO5" s="226"/>
      <c r="EP5" s="226"/>
      <c r="EQ5" s="226"/>
      <c r="ER5" s="226"/>
      <c r="ES5" s="226"/>
      <c r="ET5" s="226"/>
      <c r="EU5" s="226"/>
      <c r="EV5" s="226"/>
      <c r="EW5" s="226"/>
      <c r="EX5" s="226"/>
      <c r="EY5" s="226"/>
      <c r="EZ5" s="226"/>
      <c r="FA5" s="226"/>
      <c r="FB5" s="226"/>
      <c r="FC5" s="226"/>
      <c r="FD5" s="226"/>
      <c r="FE5" s="226"/>
      <c r="FF5" s="226"/>
      <c r="FG5" s="226"/>
      <c r="FH5" s="226"/>
      <c r="FI5" s="226"/>
      <c r="FJ5" s="226"/>
      <c r="FK5" s="226"/>
      <c r="FL5" s="226"/>
      <c r="FM5" s="226"/>
      <c r="FN5" s="226"/>
      <c r="FO5" s="226"/>
      <c r="FP5" s="226"/>
      <c r="FQ5" s="226"/>
      <c r="FR5" s="226"/>
      <c r="FS5" s="226"/>
      <c r="FT5" s="226"/>
      <c r="FU5" s="226"/>
      <c r="FV5" s="226"/>
      <c r="FW5" s="226"/>
      <c r="FX5" s="226"/>
      <c r="FY5" s="226"/>
      <c r="FZ5" s="226"/>
      <c r="GA5" s="226"/>
      <c r="GB5" s="226"/>
      <c r="GC5" s="226"/>
      <c r="GD5" s="226"/>
      <c r="GE5" s="226"/>
      <c r="GF5" s="226"/>
      <c r="GG5" s="226"/>
      <c r="GH5" s="226"/>
      <c r="GI5" s="226"/>
      <c r="GJ5" s="226"/>
      <c r="GK5" s="226"/>
      <c r="GL5" s="226"/>
      <c r="GM5" s="226"/>
      <c r="GN5" s="226"/>
      <c r="GO5" s="226"/>
      <c r="GP5" s="226"/>
      <c r="GQ5" s="226"/>
      <c r="GR5" s="226"/>
      <c r="GS5" s="226"/>
      <c r="GT5" s="226"/>
      <c r="GU5" s="226"/>
      <c r="GV5" s="226"/>
      <c r="GW5" s="226"/>
      <c r="GX5" s="226"/>
      <c r="GY5" s="226"/>
      <c r="GZ5" s="226"/>
      <c r="HA5" s="226"/>
      <c r="HB5" s="226"/>
      <c r="HC5" s="226"/>
      <c r="HD5" s="226"/>
      <c r="NP5" s="352" t="s">
        <v>175</v>
      </c>
      <c r="NQ5" s="346"/>
      <c r="NR5" s="346"/>
      <c r="NS5" s="322" t="s">
        <v>1</v>
      </c>
      <c r="NT5" s="380">
        <f>W17*1000</f>
        <v>1400</v>
      </c>
      <c r="NU5" s="380"/>
      <c r="NV5" s="380"/>
      <c r="NW5" s="346" t="s">
        <v>176</v>
      </c>
      <c r="NX5" s="322"/>
      <c r="NY5" s="322"/>
      <c r="NZ5" s="302"/>
      <c r="OA5" s="302"/>
      <c r="OB5" s="64"/>
      <c r="OC5" s="64"/>
      <c r="OD5" s="64"/>
      <c r="OE5" s="115" t="s">
        <v>56</v>
      </c>
      <c r="OF5" s="306" t="s">
        <v>1</v>
      </c>
      <c r="OG5" s="406">
        <v>0.65</v>
      </c>
      <c r="OH5" s="406"/>
      <c r="OI5" s="114"/>
      <c r="OJ5" s="114"/>
      <c r="OK5" s="114"/>
      <c r="OL5" s="114"/>
      <c r="OM5" s="114"/>
      <c r="ON5" s="114"/>
      <c r="OO5" s="114"/>
      <c r="OP5" s="116" t="s">
        <v>57</v>
      </c>
      <c r="OQ5" s="114"/>
      <c r="OR5" s="114"/>
      <c r="OS5" s="114"/>
      <c r="OT5" s="114"/>
      <c r="OU5" s="114"/>
      <c r="OV5" s="114"/>
      <c r="OW5" s="306" t="s">
        <v>3</v>
      </c>
      <c r="OX5" s="306" t="s">
        <v>64</v>
      </c>
      <c r="OY5" s="410">
        <v>560</v>
      </c>
      <c r="OZ5" s="410"/>
      <c r="PA5" s="116" t="s">
        <v>2</v>
      </c>
      <c r="PB5" s="12"/>
      <c r="PC5" s="302"/>
      <c r="PD5" s="302"/>
      <c r="PE5" s="302"/>
      <c r="PF5" s="302"/>
      <c r="PG5" s="302"/>
      <c r="PH5" s="302"/>
      <c r="PI5" s="302"/>
      <c r="PJ5" s="302"/>
      <c r="PK5" s="302"/>
      <c r="PL5" s="302"/>
      <c r="PM5" s="302"/>
      <c r="QB5" s="333" t="s">
        <v>133</v>
      </c>
      <c r="QC5" s="401">
        <f>H26/100</f>
        <v>0.2</v>
      </c>
      <c r="QD5" s="401"/>
      <c r="QE5" s="401"/>
    </row>
    <row r="6" spans="1:467" ht="14.1" customHeight="1" x14ac:dyDescent="0.2">
      <c r="A6" s="112"/>
      <c r="B6" s="60"/>
      <c r="C6" s="60"/>
      <c r="D6" s="27"/>
      <c r="E6" s="27"/>
      <c r="F6" s="30" t="s">
        <v>49</v>
      </c>
      <c r="G6" s="27"/>
      <c r="H6" s="414">
        <v>150</v>
      </c>
      <c r="I6" s="415"/>
      <c r="J6" s="416"/>
      <c r="K6" s="27"/>
      <c r="L6" s="307" t="s">
        <v>2</v>
      </c>
      <c r="M6" s="27"/>
      <c r="N6" s="27"/>
      <c r="O6" s="110"/>
      <c r="P6" s="16"/>
      <c r="Q6" s="22"/>
      <c r="R6" s="140"/>
      <c r="S6" s="30" t="s">
        <v>78</v>
      </c>
      <c r="T6" s="140"/>
      <c r="U6" s="417" t="s">
        <v>26</v>
      </c>
      <c r="V6" s="418"/>
      <c r="W6" s="418"/>
      <c r="X6" s="418"/>
      <c r="Y6" s="418"/>
      <c r="Z6" s="418"/>
      <c r="AA6" s="418"/>
      <c r="AB6" s="418"/>
      <c r="AC6" s="418"/>
      <c r="AD6" s="419"/>
      <c r="AE6" s="110"/>
      <c r="AF6" s="27"/>
      <c r="AG6" s="331"/>
      <c r="AH6" s="320"/>
      <c r="AI6" s="320"/>
      <c r="AJ6" s="320"/>
      <c r="AK6" s="320"/>
      <c r="AL6" s="320"/>
      <c r="AM6" s="320"/>
      <c r="AN6" s="320"/>
      <c r="AO6" s="320"/>
      <c r="AP6" s="320"/>
      <c r="AQ6" s="320"/>
      <c r="AR6" s="320"/>
      <c r="AS6" s="320"/>
      <c r="AT6" s="320"/>
      <c r="AU6" s="320"/>
      <c r="AV6" s="320"/>
      <c r="AW6" s="320"/>
      <c r="AX6" s="320"/>
      <c r="AY6" s="320"/>
      <c r="AZ6" s="320"/>
      <c r="BA6" s="320"/>
      <c r="BB6" s="320"/>
      <c r="BC6" s="320"/>
      <c r="BD6" s="320"/>
      <c r="BE6" s="320"/>
      <c r="BF6" s="320"/>
      <c r="BG6" s="320"/>
      <c r="BH6" s="320"/>
      <c r="BI6" s="320"/>
      <c r="BJ6" s="320"/>
      <c r="BK6" s="320"/>
      <c r="BL6" s="320"/>
      <c r="BM6" s="320"/>
      <c r="BN6" s="320"/>
      <c r="BO6" s="320"/>
      <c r="BP6" s="320"/>
      <c r="BQ6" s="320"/>
      <c r="BR6" s="320"/>
      <c r="BS6" s="320"/>
      <c r="BT6" s="320"/>
      <c r="BU6" s="320"/>
      <c r="BV6" s="320"/>
      <c r="BW6" s="320"/>
      <c r="BX6" s="320"/>
      <c r="BY6" s="320"/>
      <c r="BZ6" s="320"/>
      <c r="CA6" s="320"/>
      <c r="CB6" s="320"/>
      <c r="CC6" s="320"/>
      <c r="CD6" s="332"/>
      <c r="CE6" s="274"/>
      <c r="CF6" s="226"/>
      <c r="CG6" s="226"/>
      <c r="CH6" s="226"/>
      <c r="CI6" s="226"/>
      <c r="CJ6" s="226"/>
      <c r="CK6" s="226"/>
      <c r="CL6" s="226"/>
      <c r="CM6" s="226"/>
      <c r="CN6" s="226"/>
      <c r="CO6" s="226"/>
      <c r="CP6" s="226"/>
      <c r="CQ6" s="226"/>
      <c r="CR6" s="226"/>
      <c r="CS6" s="226"/>
      <c r="CT6" s="226"/>
      <c r="CU6" s="226"/>
      <c r="CV6" s="226"/>
      <c r="CW6" s="226"/>
      <c r="CX6" s="226"/>
      <c r="CY6" s="226"/>
      <c r="CZ6" s="226"/>
      <c r="DA6" s="226"/>
      <c r="DB6" s="226"/>
      <c r="DC6" s="226"/>
      <c r="DD6" s="226"/>
      <c r="DE6" s="226"/>
      <c r="DF6" s="226"/>
      <c r="DG6" s="226"/>
      <c r="DH6" s="226"/>
      <c r="DI6" s="226"/>
      <c r="DJ6" s="226"/>
      <c r="DK6" s="226"/>
      <c r="DL6" s="226"/>
      <c r="DM6" s="226"/>
      <c r="DN6" s="226"/>
      <c r="DO6" s="226"/>
      <c r="DP6" s="226"/>
      <c r="DQ6" s="226"/>
      <c r="DR6" s="226"/>
      <c r="DS6" s="226"/>
      <c r="DT6" s="226"/>
      <c r="DU6" s="226"/>
      <c r="DV6" s="226"/>
      <c r="DW6" s="226"/>
      <c r="DX6" s="226"/>
      <c r="DY6" s="226"/>
      <c r="DZ6" s="226"/>
      <c r="EA6" s="226"/>
      <c r="EB6" s="226"/>
      <c r="EC6" s="226"/>
      <c r="ED6" s="226"/>
      <c r="EE6" s="226"/>
      <c r="EF6" s="226"/>
      <c r="EG6" s="226"/>
      <c r="EH6" s="226"/>
      <c r="EI6" s="226"/>
      <c r="EJ6" s="226"/>
      <c r="EK6" s="226"/>
      <c r="EL6" s="226"/>
      <c r="EM6" s="226"/>
      <c r="EN6" s="226"/>
      <c r="EO6" s="226"/>
      <c r="EP6" s="226"/>
      <c r="EQ6" s="226"/>
      <c r="ER6" s="226"/>
      <c r="ES6" s="226"/>
      <c r="ET6" s="226"/>
      <c r="EU6" s="226"/>
      <c r="EV6" s="226"/>
      <c r="EW6" s="226"/>
      <c r="EX6" s="226"/>
      <c r="EY6" s="226"/>
      <c r="EZ6" s="226"/>
      <c r="FA6" s="226"/>
      <c r="FB6" s="226"/>
      <c r="FC6" s="226"/>
      <c r="FD6" s="226"/>
      <c r="FE6" s="226"/>
      <c r="FF6" s="226"/>
      <c r="FG6" s="226"/>
      <c r="FH6" s="226"/>
      <c r="FI6" s="226"/>
      <c r="FJ6" s="226"/>
      <c r="FK6" s="226"/>
      <c r="FL6" s="226"/>
      <c r="FM6" s="226"/>
      <c r="FN6" s="226"/>
      <c r="FO6" s="226"/>
      <c r="FP6" s="226"/>
      <c r="FQ6" s="226"/>
      <c r="FR6" s="226"/>
      <c r="FS6" s="226"/>
      <c r="FT6" s="226"/>
      <c r="FU6" s="226"/>
      <c r="FV6" s="226"/>
      <c r="FW6" s="226"/>
      <c r="FX6" s="226"/>
      <c r="FY6" s="226"/>
      <c r="FZ6" s="226"/>
      <c r="GA6" s="226"/>
      <c r="GB6" s="226"/>
      <c r="GC6" s="226"/>
      <c r="GD6" s="226"/>
      <c r="GE6" s="226"/>
      <c r="GF6" s="226"/>
      <c r="GG6" s="226"/>
      <c r="GH6" s="226"/>
      <c r="GI6" s="226"/>
      <c r="GJ6" s="226"/>
      <c r="GK6" s="226"/>
      <c r="GL6" s="226"/>
      <c r="GM6" s="226"/>
      <c r="GN6" s="226"/>
      <c r="GO6" s="226"/>
      <c r="GP6" s="226"/>
      <c r="GQ6" s="226"/>
      <c r="GR6" s="226"/>
      <c r="GS6" s="226"/>
      <c r="GT6" s="226"/>
      <c r="GU6" s="226"/>
      <c r="GV6" s="226"/>
      <c r="GW6" s="226"/>
      <c r="GX6" s="226"/>
      <c r="GY6" s="226"/>
      <c r="GZ6" s="226"/>
      <c r="HA6" s="226"/>
      <c r="HB6" s="226"/>
      <c r="HC6" s="226"/>
      <c r="HD6" s="226"/>
      <c r="NP6" s="346" t="s">
        <v>11</v>
      </c>
      <c r="NQ6" s="346"/>
      <c r="NR6" s="346"/>
      <c r="NS6" s="322" t="s">
        <v>1</v>
      </c>
      <c r="NT6" s="380">
        <f>W18</f>
        <v>1</v>
      </c>
      <c r="NU6" s="380"/>
      <c r="NV6" s="380"/>
      <c r="NW6" s="346" t="s">
        <v>16</v>
      </c>
      <c r="NX6" s="322"/>
      <c r="NY6" s="322"/>
      <c r="NZ6" s="302"/>
      <c r="OA6" s="302"/>
      <c r="OB6" s="64"/>
      <c r="OC6" s="64"/>
      <c r="OD6" s="64"/>
      <c r="OE6" s="406">
        <f>ROUND((IF(H6&lt;=280,0.85,IF(H6&gt;560,0.65,0.85-(0.05*((H6-280)/70))))),2)</f>
        <v>0.85</v>
      </c>
      <c r="OF6" s="406"/>
      <c r="OG6" s="113"/>
      <c r="OH6" s="114"/>
      <c r="OI6" s="114"/>
      <c r="OJ6" s="114"/>
      <c r="OK6" s="114"/>
      <c r="OL6" s="114"/>
      <c r="OM6" s="114"/>
      <c r="ON6" s="114"/>
      <c r="OO6" s="114"/>
      <c r="OP6" s="114"/>
      <c r="OQ6" s="114"/>
      <c r="OR6" s="114"/>
      <c r="OS6" s="114"/>
      <c r="OT6" s="114"/>
      <c r="OU6" s="114"/>
      <c r="OV6" s="114"/>
      <c r="OW6" s="114"/>
      <c r="OX6" s="114"/>
      <c r="OY6" s="114"/>
      <c r="OZ6" s="114"/>
      <c r="PA6" s="114"/>
      <c r="PB6" s="12"/>
      <c r="PC6" s="302"/>
      <c r="PD6" s="78" t="s">
        <v>15</v>
      </c>
      <c r="PE6" s="302"/>
      <c r="PF6" s="302"/>
      <c r="PG6" s="302"/>
      <c r="PH6" s="302"/>
      <c r="PI6" s="302"/>
      <c r="PJ6" s="302"/>
      <c r="PK6" s="302"/>
      <c r="PL6" s="302"/>
      <c r="PM6" s="302"/>
      <c r="QB6" s="333" t="s">
        <v>134</v>
      </c>
      <c r="QC6" s="401">
        <f>H28/100</f>
        <v>0.2</v>
      </c>
      <c r="QD6" s="401"/>
      <c r="QE6" s="401"/>
    </row>
    <row r="7" spans="1:467" ht="14.1" customHeight="1" thickBot="1" x14ac:dyDescent="0.25">
      <c r="A7" s="112"/>
      <c r="B7" s="60"/>
      <c r="C7" s="61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111"/>
      <c r="P7" s="16"/>
      <c r="Q7" s="22"/>
      <c r="R7" s="140"/>
      <c r="S7" s="27"/>
      <c r="T7" s="140"/>
      <c r="U7" s="307"/>
      <c r="V7" s="307"/>
      <c r="W7" s="307"/>
      <c r="X7" s="307"/>
      <c r="Y7" s="307"/>
      <c r="Z7" s="307"/>
      <c r="AA7" s="307"/>
      <c r="AB7" s="307"/>
      <c r="AC7" s="307"/>
      <c r="AD7" s="307"/>
      <c r="AE7" s="110"/>
      <c r="AF7" s="27"/>
      <c r="AG7" s="331"/>
      <c r="AH7" s="320"/>
      <c r="AI7" s="320"/>
      <c r="AJ7" s="320"/>
      <c r="AK7" s="320"/>
      <c r="AL7" s="320"/>
      <c r="AM7" s="320"/>
      <c r="AN7" s="320"/>
      <c r="AO7" s="320"/>
      <c r="AP7" s="320"/>
      <c r="AQ7" s="320"/>
      <c r="AR7" s="320"/>
      <c r="AS7" s="320"/>
      <c r="AT7" s="320"/>
      <c r="AU7" s="320"/>
      <c r="AV7" s="320"/>
      <c r="AW7" s="320"/>
      <c r="AX7" s="320"/>
      <c r="AY7" s="320"/>
      <c r="AZ7" s="320"/>
      <c r="BA7" s="320"/>
      <c r="BB7" s="320"/>
      <c r="BC7" s="320"/>
      <c r="BD7" s="320"/>
      <c r="BE7" s="320"/>
      <c r="BF7" s="320"/>
      <c r="BG7" s="320"/>
      <c r="BH7" s="320"/>
      <c r="BI7" s="320"/>
      <c r="BJ7" s="320"/>
      <c r="BK7" s="320"/>
      <c r="BL7" s="320"/>
      <c r="BM7" s="320"/>
      <c r="BN7" s="320"/>
      <c r="BO7" s="320"/>
      <c r="BP7" s="320"/>
      <c r="BQ7" s="320"/>
      <c r="BR7" s="320"/>
      <c r="BS7" s="320"/>
      <c r="BT7" s="320"/>
      <c r="BU7" s="320"/>
      <c r="BV7" s="320"/>
      <c r="BW7" s="320"/>
      <c r="BX7" s="320"/>
      <c r="BY7" s="320"/>
      <c r="BZ7" s="320"/>
      <c r="CA7" s="320"/>
      <c r="CB7" s="320"/>
      <c r="CC7" s="320"/>
      <c r="CD7" s="332"/>
      <c r="CE7" s="274"/>
      <c r="CF7" s="226"/>
      <c r="CG7" s="226"/>
      <c r="CH7" s="226"/>
      <c r="CI7" s="226"/>
      <c r="CJ7" s="226"/>
      <c r="CK7" s="226"/>
      <c r="CL7" s="226"/>
      <c r="CM7" s="226"/>
      <c r="CN7" s="226"/>
      <c r="CO7" s="226"/>
      <c r="CP7" s="226"/>
      <c r="CQ7" s="226"/>
      <c r="CR7" s="226"/>
      <c r="CS7" s="226"/>
      <c r="CT7" s="226"/>
      <c r="CU7" s="226"/>
      <c r="CV7" s="226"/>
      <c r="CW7" s="226"/>
      <c r="CX7" s="226"/>
      <c r="CY7" s="226"/>
      <c r="CZ7" s="226"/>
      <c r="DA7" s="226"/>
      <c r="DB7" s="226"/>
      <c r="DC7" s="226"/>
      <c r="DD7" s="226"/>
      <c r="DE7" s="226"/>
      <c r="DF7" s="226"/>
      <c r="DG7" s="226"/>
      <c r="DH7" s="226"/>
      <c r="DI7" s="226"/>
      <c r="DJ7" s="226"/>
      <c r="DK7" s="226"/>
      <c r="DL7" s="226"/>
      <c r="DM7" s="226"/>
      <c r="DN7" s="226"/>
      <c r="DO7" s="226"/>
      <c r="DP7" s="226"/>
      <c r="DQ7" s="226"/>
      <c r="DR7" s="226"/>
      <c r="DS7" s="226"/>
      <c r="DT7" s="226"/>
      <c r="DU7" s="226"/>
      <c r="DV7" s="226"/>
      <c r="DW7" s="226"/>
      <c r="DX7" s="226"/>
      <c r="DY7" s="226"/>
      <c r="DZ7" s="226"/>
      <c r="EA7" s="226"/>
      <c r="EB7" s="226"/>
      <c r="EC7" s="226"/>
      <c r="ED7" s="226"/>
      <c r="EE7" s="226"/>
      <c r="EF7" s="226"/>
      <c r="EG7" s="226"/>
      <c r="EH7" s="226"/>
      <c r="EI7" s="226"/>
      <c r="EJ7" s="226"/>
      <c r="EK7" s="226"/>
      <c r="EL7" s="226"/>
      <c r="EM7" s="226"/>
      <c r="EN7" s="226"/>
      <c r="EO7" s="226"/>
      <c r="EP7" s="226"/>
      <c r="EQ7" s="226"/>
      <c r="ER7" s="226"/>
      <c r="ES7" s="226"/>
      <c r="ET7" s="226"/>
      <c r="EU7" s="226"/>
      <c r="EV7" s="226"/>
      <c r="EW7" s="226"/>
      <c r="EX7" s="226"/>
      <c r="EY7" s="226"/>
      <c r="EZ7" s="226"/>
      <c r="FA7" s="226"/>
      <c r="FB7" s="226"/>
      <c r="FC7" s="226"/>
      <c r="FD7" s="226"/>
      <c r="FE7" s="226"/>
      <c r="FF7" s="226"/>
      <c r="FG7" s="226"/>
      <c r="FH7" s="226"/>
      <c r="FI7" s="226"/>
      <c r="FJ7" s="226"/>
      <c r="FK7" s="226"/>
      <c r="FL7" s="226"/>
      <c r="FM7" s="226"/>
      <c r="FN7" s="226"/>
      <c r="FO7" s="226"/>
      <c r="FP7" s="226"/>
      <c r="FQ7" s="226"/>
      <c r="FR7" s="226"/>
      <c r="FS7" s="226"/>
      <c r="FT7" s="226"/>
      <c r="FU7" s="226"/>
      <c r="FV7" s="226"/>
      <c r="FW7" s="226"/>
      <c r="FX7" s="226"/>
      <c r="FY7" s="226"/>
      <c r="FZ7" s="226"/>
      <c r="GA7" s="226"/>
      <c r="GB7" s="226"/>
      <c r="GC7" s="226"/>
      <c r="GD7" s="226"/>
      <c r="GE7" s="226"/>
      <c r="GF7" s="226"/>
      <c r="GG7" s="226"/>
      <c r="GH7" s="226"/>
      <c r="GI7" s="226"/>
      <c r="GJ7" s="226"/>
      <c r="GK7" s="226"/>
      <c r="GL7" s="226"/>
      <c r="GM7" s="226"/>
      <c r="GN7" s="226"/>
      <c r="GO7" s="226"/>
      <c r="GP7" s="226"/>
      <c r="GQ7" s="226"/>
      <c r="GR7" s="226"/>
      <c r="GS7" s="226"/>
      <c r="GT7" s="226"/>
      <c r="GU7" s="226"/>
      <c r="GV7" s="226"/>
      <c r="GW7" s="226"/>
      <c r="GX7" s="226"/>
      <c r="GY7" s="226"/>
      <c r="GZ7" s="226"/>
      <c r="HA7" s="226"/>
      <c r="HB7" s="226"/>
      <c r="HC7" s="226"/>
      <c r="HD7" s="226"/>
      <c r="NP7" s="346" t="s">
        <v>174</v>
      </c>
      <c r="NQ7" s="346"/>
      <c r="NR7" s="346"/>
      <c r="NS7" s="322" t="s">
        <v>1</v>
      </c>
      <c r="NT7" s="380">
        <f>H32*H34*(NT6-(H36/100))*NT5</f>
        <v>1920.7999999999995</v>
      </c>
      <c r="NU7" s="380"/>
      <c r="NV7" s="380"/>
      <c r="NW7" s="346" t="s">
        <v>17</v>
      </c>
      <c r="NX7" s="322"/>
      <c r="NY7" s="322"/>
      <c r="NZ7" s="302"/>
      <c r="OA7" s="302"/>
      <c r="OB7" s="64"/>
      <c r="OC7" s="64"/>
      <c r="OD7" s="64"/>
      <c r="OE7" s="305" t="s">
        <v>63</v>
      </c>
      <c r="OF7" s="305" t="s">
        <v>69</v>
      </c>
      <c r="OG7" s="334" t="s">
        <v>119</v>
      </c>
      <c r="OH7" s="334" t="s">
        <v>64</v>
      </c>
      <c r="OI7" s="114"/>
      <c r="OJ7" s="114"/>
      <c r="OK7" s="114"/>
      <c r="OL7" s="306"/>
      <c r="OM7" s="117"/>
      <c r="ON7" s="117"/>
      <c r="OO7" s="117"/>
      <c r="OP7" s="114"/>
      <c r="OQ7" s="114"/>
      <c r="OR7" s="306"/>
      <c r="OS7" s="113"/>
      <c r="OT7" s="113"/>
      <c r="OU7" s="116"/>
      <c r="OV7" s="116"/>
      <c r="OW7" s="118"/>
      <c r="OX7" s="118"/>
      <c r="OY7" s="118"/>
      <c r="OZ7" s="118"/>
      <c r="PA7" s="114"/>
      <c r="PB7" s="12"/>
      <c r="PC7" s="302"/>
      <c r="PD7" s="78" t="s">
        <v>14</v>
      </c>
      <c r="PE7" s="302"/>
      <c r="PF7" s="302"/>
      <c r="PG7" s="302"/>
      <c r="PH7" s="302"/>
      <c r="PI7" s="302"/>
      <c r="PJ7" s="302"/>
      <c r="PK7" s="302"/>
      <c r="PL7" s="302"/>
      <c r="PM7" s="302"/>
      <c r="QB7" s="333" t="s">
        <v>21</v>
      </c>
      <c r="QC7" s="401">
        <f>NT27/100</f>
        <v>0.217</v>
      </c>
      <c r="QD7" s="402"/>
      <c r="QE7" s="402"/>
    </row>
    <row r="8" spans="1:467" ht="14.1" customHeight="1" x14ac:dyDescent="0.2">
      <c r="A8" s="112"/>
      <c r="B8" s="60"/>
      <c r="C8" s="27"/>
      <c r="D8" s="413" t="s">
        <v>74</v>
      </c>
      <c r="E8" s="413"/>
      <c r="F8" s="413"/>
      <c r="G8" s="413"/>
      <c r="H8" s="413"/>
      <c r="I8" s="413"/>
      <c r="J8" s="413"/>
      <c r="K8" s="413"/>
      <c r="L8" s="27"/>
      <c r="M8" s="27"/>
      <c r="N8" s="27"/>
      <c r="O8" s="27"/>
      <c r="P8" s="16"/>
      <c r="Q8" s="22"/>
      <c r="R8" s="140"/>
      <c r="S8" s="30" t="s">
        <v>79</v>
      </c>
      <c r="T8" s="140"/>
      <c r="U8" s="417" t="s">
        <v>27</v>
      </c>
      <c r="V8" s="418"/>
      <c r="W8" s="418"/>
      <c r="X8" s="418"/>
      <c r="Y8" s="418"/>
      <c r="Z8" s="418"/>
      <c r="AA8" s="418"/>
      <c r="AB8" s="418"/>
      <c r="AC8" s="418"/>
      <c r="AD8" s="419"/>
      <c r="AE8" s="110"/>
      <c r="AF8" s="27"/>
      <c r="AG8" s="331"/>
      <c r="AH8" s="320"/>
      <c r="AI8" s="320"/>
      <c r="AJ8" s="320"/>
      <c r="AK8" s="320"/>
      <c r="AL8" s="320"/>
      <c r="AM8" s="320"/>
      <c r="AN8" s="320"/>
      <c r="AO8" s="320"/>
      <c r="AP8" s="320"/>
      <c r="AQ8" s="320"/>
      <c r="AR8" s="320"/>
      <c r="AS8" s="320"/>
      <c r="AT8" s="320"/>
      <c r="AU8" s="320"/>
      <c r="AV8" s="320"/>
      <c r="AW8" s="320"/>
      <c r="AX8" s="320"/>
      <c r="AY8" s="320"/>
      <c r="AZ8" s="320"/>
      <c r="BA8" s="320"/>
      <c r="BB8" s="320"/>
      <c r="BC8" s="320"/>
      <c r="BD8" s="320"/>
      <c r="BE8" s="320"/>
      <c r="BF8" s="320"/>
      <c r="BG8" s="320"/>
      <c r="BH8" s="320"/>
      <c r="BI8" s="320"/>
      <c r="BJ8" s="320"/>
      <c r="BK8" s="320"/>
      <c r="BL8" s="320"/>
      <c r="BM8" s="320"/>
      <c r="BN8" s="320"/>
      <c r="BO8" s="320"/>
      <c r="BP8" s="320"/>
      <c r="BQ8" s="320"/>
      <c r="BR8" s="320"/>
      <c r="BS8" s="320"/>
      <c r="BT8" s="320"/>
      <c r="BU8" s="320"/>
      <c r="BV8" s="320"/>
      <c r="BW8" s="320"/>
      <c r="BX8" s="320"/>
      <c r="BY8" s="320"/>
      <c r="BZ8" s="320"/>
      <c r="CA8" s="320"/>
      <c r="CB8" s="320"/>
      <c r="CC8" s="320"/>
      <c r="CD8" s="332"/>
      <c r="CE8" s="274"/>
      <c r="CF8" s="226"/>
      <c r="CG8" s="226"/>
      <c r="CH8" s="226"/>
      <c r="CI8" s="226"/>
      <c r="CJ8" s="226"/>
      <c r="CK8" s="226"/>
      <c r="CL8" s="226"/>
      <c r="CM8" s="226"/>
      <c r="CN8" s="226"/>
      <c r="CO8" s="226"/>
      <c r="CP8" s="226"/>
      <c r="CQ8" s="226"/>
      <c r="CR8" s="226"/>
      <c r="CS8" s="226"/>
      <c r="CT8" s="226"/>
      <c r="CU8" s="226"/>
      <c r="CV8" s="226"/>
      <c r="CW8" s="226"/>
      <c r="CX8" s="226"/>
      <c r="CY8" s="226"/>
      <c r="CZ8" s="226"/>
      <c r="DA8" s="226"/>
      <c r="DB8" s="226"/>
      <c r="DC8" s="226"/>
      <c r="DD8" s="226"/>
      <c r="DE8" s="226"/>
      <c r="DF8" s="226"/>
      <c r="DG8" s="226"/>
      <c r="DH8" s="226"/>
      <c r="DI8" s="226"/>
      <c r="DJ8" s="226"/>
      <c r="DK8" s="226"/>
      <c r="DL8" s="226"/>
      <c r="DM8" s="226"/>
      <c r="DN8" s="226"/>
      <c r="DO8" s="226"/>
      <c r="DP8" s="226"/>
      <c r="DQ8" s="226"/>
      <c r="DR8" s="226"/>
      <c r="DS8" s="226"/>
      <c r="DT8" s="226"/>
      <c r="DU8" s="226"/>
      <c r="DV8" s="226"/>
      <c r="DW8" s="226"/>
      <c r="DX8" s="226"/>
      <c r="DY8" s="226"/>
      <c r="DZ8" s="226"/>
      <c r="EA8" s="226"/>
      <c r="EB8" s="226"/>
      <c r="EC8" s="226"/>
      <c r="ED8" s="226"/>
      <c r="EE8" s="226"/>
      <c r="EF8" s="226"/>
      <c r="EG8" s="226"/>
      <c r="EH8" s="226"/>
      <c r="EI8" s="226"/>
      <c r="EJ8" s="226"/>
      <c r="EK8" s="226"/>
      <c r="EL8" s="226"/>
      <c r="EM8" s="226"/>
      <c r="EN8" s="226"/>
      <c r="EO8" s="226"/>
      <c r="EP8" s="226"/>
      <c r="EQ8" s="226"/>
      <c r="ER8" s="226"/>
      <c r="ES8" s="226"/>
      <c r="ET8" s="226"/>
      <c r="EU8" s="226"/>
      <c r="EV8" s="226"/>
      <c r="EW8" s="226"/>
      <c r="EX8" s="226"/>
      <c r="EY8" s="226"/>
      <c r="EZ8" s="226"/>
      <c r="FA8" s="226"/>
      <c r="FB8" s="226"/>
      <c r="FC8" s="226"/>
      <c r="FD8" s="226"/>
      <c r="FE8" s="226"/>
      <c r="FF8" s="226"/>
      <c r="FG8" s="226"/>
      <c r="FH8" s="226"/>
      <c r="FI8" s="226"/>
      <c r="FJ8" s="226"/>
      <c r="FK8" s="226"/>
      <c r="FL8" s="226"/>
      <c r="FM8" s="226"/>
      <c r="FN8" s="226"/>
      <c r="FO8" s="226"/>
      <c r="FP8" s="226"/>
      <c r="FQ8" s="226"/>
      <c r="FR8" s="226"/>
      <c r="FS8" s="226"/>
      <c r="FT8" s="226"/>
      <c r="FU8" s="226"/>
      <c r="FV8" s="226"/>
      <c r="FW8" s="226"/>
      <c r="FX8" s="226"/>
      <c r="FY8" s="226"/>
      <c r="FZ8" s="226"/>
      <c r="GA8" s="226"/>
      <c r="GB8" s="226"/>
      <c r="GC8" s="226"/>
      <c r="GD8" s="226"/>
      <c r="GE8" s="226"/>
      <c r="GF8" s="226"/>
      <c r="GG8" s="226"/>
      <c r="GH8" s="226"/>
      <c r="GI8" s="226"/>
      <c r="GJ8" s="226"/>
      <c r="GK8" s="226"/>
      <c r="GL8" s="226"/>
      <c r="GM8" s="226"/>
      <c r="GN8" s="226"/>
      <c r="GO8" s="226"/>
      <c r="GP8" s="226"/>
      <c r="GQ8" s="226"/>
      <c r="GR8" s="226"/>
      <c r="GS8" s="226"/>
      <c r="GT8" s="226"/>
      <c r="GU8" s="226"/>
      <c r="GV8" s="226"/>
      <c r="GW8" s="226"/>
      <c r="GX8" s="226"/>
      <c r="GY8" s="226"/>
      <c r="GZ8" s="226"/>
      <c r="HA8" s="226"/>
      <c r="HB8" s="226"/>
      <c r="HC8" s="226"/>
      <c r="HD8" s="226"/>
      <c r="NP8" s="346" t="s">
        <v>157</v>
      </c>
      <c r="NQ8" s="346"/>
      <c r="NR8" s="346"/>
      <c r="NS8" s="322" t="s">
        <v>1</v>
      </c>
      <c r="NT8" s="380">
        <f>H32*H34*H36*0.01*2400</f>
        <v>1411.1999999999998</v>
      </c>
      <c r="NU8" s="380"/>
      <c r="NV8" s="380"/>
      <c r="NW8" s="346" t="s">
        <v>17</v>
      </c>
      <c r="NX8" s="346"/>
      <c r="NY8" s="346"/>
      <c r="NZ8" s="346"/>
      <c r="OE8" s="114"/>
      <c r="OF8" s="114"/>
      <c r="OG8" s="114"/>
      <c r="OH8" s="114"/>
      <c r="OI8" s="114"/>
      <c r="OJ8" s="114"/>
      <c r="OK8" s="114"/>
      <c r="OL8" s="306"/>
      <c r="OM8" s="117"/>
      <c r="ON8" s="117"/>
      <c r="OO8" s="117"/>
      <c r="OP8" s="114"/>
      <c r="OQ8" s="114"/>
      <c r="OR8" s="306"/>
      <c r="OS8" s="113"/>
      <c r="OT8" s="113"/>
      <c r="OU8" s="116"/>
      <c r="OV8" s="116"/>
      <c r="OW8" s="118"/>
      <c r="OX8" s="302" t="s">
        <v>70</v>
      </c>
      <c r="OY8" s="302"/>
      <c r="OZ8" s="302" t="s">
        <v>71</v>
      </c>
      <c r="PA8" s="302"/>
      <c r="PB8" s="302"/>
      <c r="PC8" s="302"/>
      <c r="PD8" s="78" t="s">
        <v>13</v>
      </c>
      <c r="PE8" s="302"/>
      <c r="PF8" s="302"/>
      <c r="PG8" s="302"/>
      <c r="PH8" s="302"/>
      <c r="PI8" s="302"/>
      <c r="PJ8" s="302"/>
      <c r="PK8" s="302"/>
      <c r="PL8" s="302"/>
      <c r="PM8" s="302"/>
      <c r="QB8" s="333" t="s">
        <v>141</v>
      </c>
      <c r="QC8" s="401">
        <f>W29/100</f>
        <v>0.3</v>
      </c>
      <c r="QD8" s="401"/>
      <c r="QE8" s="401"/>
    </row>
    <row r="9" spans="1:467" ht="14.1" customHeight="1" thickBot="1" x14ac:dyDescent="0.25">
      <c r="A9" s="112"/>
      <c r="B9" s="60"/>
      <c r="C9" s="58"/>
      <c r="D9" s="413"/>
      <c r="E9" s="413"/>
      <c r="F9" s="413"/>
      <c r="G9" s="413"/>
      <c r="H9" s="413"/>
      <c r="I9" s="413"/>
      <c r="J9" s="413"/>
      <c r="K9" s="413"/>
      <c r="L9" s="59"/>
      <c r="M9" s="59"/>
      <c r="N9" s="59"/>
      <c r="O9" s="109"/>
      <c r="P9" s="16"/>
      <c r="Q9" s="22"/>
      <c r="R9" s="140"/>
      <c r="S9" s="140"/>
      <c r="T9" s="140"/>
      <c r="U9" s="307"/>
      <c r="V9" s="307"/>
      <c r="W9" s="307"/>
      <c r="X9" s="307"/>
      <c r="Y9" s="307"/>
      <c r="Z9" s="307"/>
      <c r="AA9" s="307"/>
      <c r="AB9" s="307"/>
      <c r="AC9" s="307"/>
      <c r="AD9" s="307"/>
      <c r="AE9" s="110"/>
      <c r="AF9" s="27"/>
      <c r="AG9" s="331"/>
      <c r="AH9" s="320"/>
      <c r="AI9" s="320"/>
      <c r="AJ9" s="320"/>
      <c r="AK9" s="320"/>
      <c r="AL9" s="320"/>
      <c r="AM9" s="320"/>
      <c r="AN9" s="320"/>
      <c r="AO9" s="320"/>
      <c r="AP9" s="320"/>
      <c r="AQ9" s="320"/>
      <c r="AR9" s="320"/>
      <c r="AS9" s="320"/>
      <c r="AT9" s="320"/>
      <c r="AU9" s="320"/>
      <c r="AV9" s="320"/>
      <c r="AW9" s="320"/>
      <c r="AX9" s="320"/>
      <c r="AY9" s="320"/>
      <c r="AZ9" s="320"/>
      <c r="BA9" s="320"/>
      <c r="BB9" s="320"/>
      <c r="BC9" s="320"/>
      <c r="BD9" s="320"/>
      <c r="BE9" s="320"/>
      <c r="BF9" s="320"/>
      <c r="BG9" s="320"/>
      <c r="BH9" s="320"/>
      <c r="BI9" s="320"/>
      <c r="BJ9" s="320"/>
      <c r="BK9" s="320"/>
      <c r="BL9" s="320"/>
      <c r="BM9" s="320"/>
      <c r="BN9" s="320"/>
      <c r="BO9" s="320"/>
      <c r="BP9" s="320"/>
      <c r="BQ9" s="320"/>
      <c r="BR9" s="320"/>
      <c r="BS9" s="320"/>
      <c r="BT9" s="320"/>
      <c r="BU9" s="320"/>
      <c r="BV9" s="320"/>
      <c r="BW9" s="320"/>
      <c r="BX9" s="320"/>
      <c r="BY9" s="320"/>
      <c r="BZ9" s="320"/>
      <c r="CA9" s="320"/>
      <c r="CB9" s="320"/>
      <c r="CC9" s="320"/>
      <c r="CD9" s="332"/>
      <c r="CE9" s="274"/>
      <c r="CF9" s="226"/>
      <c r="CG9" s="226"/>
      <c r="CH9" s="226"/>
      <c r="CI9" s="226"/>
      <c r="CJ9" s="226"/>
      <c r="CK9" s="226"/>
      <c r="CL9" s="226"/>
      <c r="CM9" s="226"/>
      <c r="CN9" s="226"/>
      <c r="CO9" s="226"/>
      <c r="CP9" s="226"/>
      <c r="CQ9" s="226"/>
      <c r="CR9" s="226"/>
      <c r="CS9" s="226"/>
      <c r="CT9" s="226"/>
      <c r="CU9" s="226"/>
      <c r="CV9" s="226"/>
      <c r="CW9" s="226"/>
      <c r="CX9" s="226"/>
      <c r="CY9" s="226"/>
      <c r="CZ9" s="226"/>
      <c r="DA9" s="226"/>
      <c r="DB9" s="226"/>
      <c r="DC9" s="226"/>
      <c r="DD9" s="226"/>
      <c r="DE9" s="226"/>
      <c r="DF9" s="226"/>
      <c r="DG9" s="226"/>
      <c r="DH9" s="226"/>
      <c r="DI9" s="226"/>
      <c r="DJ9" s="226"/>
      <c r="DK9" s="226"/>
      <c r="DL9" s="226"/>
      <c r="DM9" s="226"/>
      <c r="DN9" s="226"/>
      <c r="DO9" s="226"/>
      <c r="DP9" s="226"/>
      <c r="DQ9" s="226"/>
      <c r="DR9" s="226"/>
      <c r="DS9" s="226"/>
      <c r="DT9" s="226"/>
      <c r="DU9" s="226"/>
      <c r="DV9" s="226"/>
      <c r="DW9" s="226"/>
      <c r="DX9" s="226"/>
      <c r="DY9" s="226"/>
      <c r="DZ9" s="226"/>
      <c r="EA9" s="226"/>
      <c r="EB9" s="226"/>
      <c r="EC9" s="226"/>
      <c r="ED9" s="226"/>
      <c r="EE9" s="226"/>
      <c r="EF9" s="226"/>
      <c r="EG9" s="226"/>
      <c r="EH9" s="226"/>
      <c r="EI9" s="226"/>
      <c r="EJ9" s="226"/>
      <c r="EK9" s="226"/>
      <c r="EL9" s="226"/>
      <c r="EM9" s="226"/>
      <c r="EN9" s="226"/>
      <c r="EO9" s="226"/>
      <c r="EP9" s="226"/>
      <c r="EQ9" s="226"/>
      <c r="ER9" s="226"/>
      <c r="ES9" s="226"/>
      <c r="ET9" s="226"/>
      <c r="EU9" s="226"/>
      <c r="EV9" s="226"/>
      <c r="EW9" s="226"/>
      <c r="EX9" s="226"/>
      <c r="EY9" s="226"/>
      <c r="EZ9" s="226"/>
      <c r="FA9" s="226"/>
      <c r="FB9" s="226"/>
      <c r="FC9" s="226"/>
      <c r="FD9" s="226"/>
      <c r="FE9" s="226"/>
      <c r="FF9" s="226"/>
      <c r="FG9" s="226"/>
      <c r="FH9" s="226"/>
      <c r="FI9" s="226"/>
      <c r="FJ9" s="226"/>
      <c r="FK9" s="226"/>
      <c r="FL9" s="226"/>
      <c r="FM9" s="226"/>
      <c r="FN9" s="226"/>
      <c r="FO9" s="226"/>
      <c r="FP9" s="226"/>
      <c r="FQ9" s="226"/>
      <c r="FR9" s="226"/>
      <c r="FS9" s="226"/>
      <c r="FT9" s="226"/>
      <c r="FU9" s="226"/>
      <c r="FV9" s="226"/>
      <c r="FW9" s="226"/>
      <c r="FX9" s="226"/>
      <c r="FY9" s="226"/>
      <c r="FZ9" s="226"/>
      <c r="GA9" s="226"/>
      <c r="GB9" s="226"/>
      <c r="GC9" s="226"/>
      <c r="GD9" s="226"/>
      <c r="GE9" s="226"/>
      <c r="GF9" s="226"/>
      <c r="GG9" s="226"/>
      <c r="GH9" s="226"/>
      <c r="GI9" s="226"/>
      <c r="GJ9" s="226"/>
      <c r="GK9" s="226"/>
      <c r="GL9" s="226"/>
      <c r="GM9" s="226"/>
      <c r="GN9" s="226"/>
      <c r="GO9" s="226"/>
      <c r="GP9" s="226"/>
      <c r="GQ9" s="226"/>
      <c r="GR9" s="226"/>
      <c r="GS9" s="226"/>
      <c r="GT9" s="226"/>
      <c r="GU9" s="226"/>
      <c r="GV9" s="226"/>
      <c r="GW9" s="226"/>
      <c r="GX9" s="226"/>
      <c r="GY9" s="226"/>
      <c r="GZ9" s="226"/>
      <c r="HA9" s="226"/>
      <c r="HB9" s="226"/>
      <c r="HC9" s="226"/>
      <c r="HD9" s="226"/>
      <c r="NP9" s="346" t="s">
        <v>172</v>
      </c>
      <c r="NQ9" s="346"/>
      <c r="NR9" s="346"/>
      <c r="NS9" s="322" t="s">
        <v>1</v>
      </c>
      <c r="NT9" s="380">
        <f>W22</f>
        <v>10000</v>
      </c>
      <c r="NU9" s="380"/>
      <c r="NV9" s="380"/>
      <c r="NW9" s="346" t="s">
        <v>17</v>
      </c>
      <c r="NX9" s="346"/>
      <c r="NY9" s="346"/>
      <c r="NZ9" s="346"/>
      <c r="OE9" s="15"/>
      <c r="OF9" s="114"/>
      <c r="OG9" s="114"/>
      <c r="OH9" s="114"/>
      <c r="OI9" s="114"/>
      <c r="OJ9" s="114"/>
      <c r="OK9" s="302">
        <v>150</v>
      </c>
      <c r="OL9" s="13">
        <v>2400</v>
      </c>
      <c r="OM9" s="13"/>
      <c r="ON9" s="304">
        <v>2</v>
      </c>
      <c r="OO9" s="122">
        <v>15</v>
      </c>
      <c r="OP9" s="8">
        <v>0.1</v>
      </c>
      <c r="OQ9" s="297"/>
      <c r="OR9" s="403">
        <v>1.4</v>
      </c>
      <c r="OS9" s="403"/>
      <c r="OT9" s="394">
        <v>1.7</v>
      </c>
      <c r="OU9" s="394"/>
      <c r="OV9" s="11">
        <v>6</v>
      </c>
      <c r="OW9" s="302"/>
      <c r="OX9" s="11">
        <v>10</v>
      </c>
      <c r="OY9" s="120"/>
      <c r="OZ9" s="335">
        <f>IF(H4&gt;=3000,OX9,OV9)</f>
        <v>10</v>
      </c>
      <c r="PA9" s="302"/>
      <c r="PB9" s="121"/>
      <c r="PC9" s="302"/>
      <c r="PD9" s="78" t="s">
        <v>6</v>
      </c>
      <c r="PE9" s="103"/>
      <c r="PF9" s="302"/>
      <c r="PG9" s="302"/>
      <c r="PH9" s="302"/>
      <c r="PI9" s="302"/>
      <c r="PJ9" s="302"/>
      <c r="PK9" s="302"/>
      <c r="PL9" s="302"/>
      <c r="PM9" s="302"/>
      <c r="QC9" s="78" t="s">
        <v>130</v>
      </c>
    </row>
    <row r="10" spans="1:467" ht="14.1" customHeight="1" x14ac:dyDescent="0.2">
      <c r="A10" s="112"/>
      <c r="B10" s="60"/>
      <c r="C10" s="60"/>
      <c r="D10" s="27"/>
      <c r="E10" s="27"/>
      <c r="F10" s="9" t="s">
        <v>29</v>
      </c>
      <c r="G10" s="27"/>
      <c r="H10" s="422">
        <v>0.9</v>
      </c>
      <c r="I10" s="423"/>
      <c r="J10" s="424"/>
      <c r="K10" s="27"/>
      <c r="L10" s="27"/>
      <c r="M10" s="27"/>
      <c r="N10" s="27"/>
      <c r="O10" s="110"/>
      <c r="P10" s="16"/>
      <c r="Q10" s="22"/>
      <c r="R10" s="130"/>
      <c r="S10" s="30" t="s">
        <v>155</v>
      </c>
      <c r="T10" s="34"/>
      <c r="U10" s="417" t="s">
        <v>156</v>
      </c>
      <c r="V10" s="418"/>
      <c r="W10" s="418"/>
      <c r="X10" s="418"/>
      <c r="Y10" s="418"/>
      <c r="Z10" s="418"/>
      <c r="AA10" s="418"/>
      <c r="AB10" s="418"/>
      <c r="AC10" s="418"/>
      <c r="AD10" s="419"/>
      <c r="AE10" s="110"/>
      <c r="AF10" s="27"/>
      <c r="AG10" s="331"/>
      <c r="AH10" s="320"/>
      <c r="AI10" s="320"/>
      <c r="AJ10" s="320"/>
      <c r="AK10" s="320"/>
      <c r="AL10" s="320"/>
      <c r="AM10" s="320"/>
      <c r="AN10" s="320"/>
      <c r="AO10" s="320"/>
      <c r="AP10" s="320"/>
      <c r="AQ10" s="320"/>
      <c r="AR10" s="320"/>
      <c r="AS10" s="320"/>
      <c r="AT10" s="320"/>
      <c r="AU10" s="320"/>
      <c r="AV10" s="320"/>
      <c r="AW10" s="320"/>
      <c r="AX10" s="320"/>
      <c r="AY10" s="320"/>
      <c r="AZ10" s="320"/>
      <c r="BA10" s="320"/>
      <c r="BB10" s="320"/>
      <c r="BC10" s="320"/>
      <c r="BD10" s="320"/>
      <c r="BE10" s="320"/>
      <c r="BF10" s="320"/>
      <c r="BG10" s="320"/>
      <c r="BH10" s="320"/>
      <c r="BI10" s="320"/>
      <c r="BJ10" s="320"/>
      <c r="BK10" s="320"/>
      <c r="BL10" s="320"/>
      <c r="BM10" s="320"/>
      <c r="BN10" s="320"/>
      <c r="BO10" s="320"/>
      <c r="BP10" s="320"/>
      <c r="BQ10" s="320"/>
      <c r="BR10" s="320"/>
      <c r="BS10" s="320"/>
      <c r="BT10" s="320"/>
      <c r="BU10" s="320"/>
      <c r="BV10" s="320"/>
      <c r="BW10" s="320"/>
      <c r="BX10" s="320"/>
      <c r="BY10" s="320"/>
      <c r="BZ10" s="320"/>
      <c r="CA10" s="320"/>
      <c r="CB10" s="320"/>
      <c r="CC10" s="320"/>
      <c r="CD10" s="332"/>
      <c r="CE10" s="274"/>
      <c r="CF10" s="226"/>
      <c r="CG10" s="226"/>
      <c r="CH10" s="226"/>
      <c r="CI10" s="226"/>
      <c r="CJ10" s="226"/>
      <c r="CK10" s="226"/>
      <c r="CL10" s="226"/>
      <c r="CM10" s="226"/>
      <c r="CN10" s="226"/>
      <c r="CO10" s="226"/>
      <c r="CP10" s="226"/>
      <c r="CQ10" s="226"/>
      <c r="CR10" s="226"/>
      <c r="CS10" s="226"/>
      <c r="CT10" s="226"/>
      <c r="CU10" s="226"/>
      <c r="CV10" s="226"/>
      <c r="CW10" s="226"/>
      <c r="CX10" s="226"/>
      <c r="CY10" s="226"/>
      <c r="CZ10" s="226"/>
      <c r="DA10" s="226"/>
      <c r="DB10" s="226"/>
      <c r="DC10" s="226"/>
      <c r="DD10" s="226"/>
      <c r="DE10" s="226"/>
      <c r="DF10" s="226"/>
      <c r="DG10" s="226"/>
      <c r="DH10" s="226"/>
      <c r="DI10" s="226"/>
      <c r="DJ10" s="226"/>
      <c r="DK10" s="226"/>
      <c r="DL10" s="226"/>
      <c r="DM10" s="226"/>
      <c r="DN10" s="226"/>
      <c r="DO10" s="226"/>
      <c r="DP10" s="226"/>
      <c r="DQ10" s="226"/>
      <c r="DR10" s="226"/>
      <c r="DS10" s="226"/>
      <c r="DT10" s="226"/>
      <c r="DU10" s="226"/>
      <c r="DV10" s="226"/>
      <c r="DW10" s="226"/>
      <c r="DX10" s="226"/>
      <c r="DY10" s="226"/>
      <c r="DZ10" s="226"/>
      <c r="EA10" s="226"/>
      <c r="EB10" s="226"/>
      <c r="EC10" s="226"/>
      <c r="ED10" s="226"/>
      <c r="EE10" s="226"/>
      <c r="EF10" s="226"/>
      <c r="EG10" s="226"/>
      <c r="EH10" s="226"/>
      <c r="EI10" s="226"/>
      <c r="EJ10" s="226"/>
      <c r="EK10" s="226"/>
      <c r="EL10" s="226"/>
      <c r="EM10" s="226"/>
      <c r="EN10" s="226"/>
      <c r="EO10" s="226"/>
      <c r="EP10" s="226"/>
      <c r="EQ10" s="226"/>
      <c r="ER10" s="226"/>
      <c r="ES10" s="226"/>
      <c r="ET10" s="226"/>
      <c r="EU10" s="226"/>
      <c r="EV10" s="226"/>
      <c r="EW10" s="226"/>
      <c r="EX10" s="226"/>
      <c r="EY10" s="226"/>
      <c r="EZ10" s="226"/>
      <c r="FA10" s="226"/>
      <c r="FB10" s="226"/>
      <c r="FC10" s="226"/>
      <c r="FD10" s="226"/>
      <c r="FE10" s="226"/>
      <c r="FF10" s="226"/>
      <c r="FG10" s="226"/>
      <c r="FH10" s="226"/>
      <c r="FI10" s="226"/>
      <c r="FJ10" s="226"/>
      <c r="FK10" s="226"/>
      <c r="FL10" s="226"/>
      <c r="FM10" s="226"/>
      <c r="FN10" s="226"/>
      <c r="FO10" s="226"/>
      <c r="FP10" s="226"/>
      <c r="FQ10" s="226"/>
      <c r="FR10" s="226"/>
      <c r="FS10" s="226"/>
      <c r="FT10" s="226"/>
      <c r="FU10" s="226"/>
      <c r="FV10" s="226"/>
      <c r="FW10" s="226"/>
      <c r="FX10" s="226"/>
      <c r="FY10" s="226"/>
      <c r="FZ10" s="226"/>
      <c r="GA10" s="226"/>
      <c r="GB10" s="226"/>
      <c r="GC10" s="226"/>
      <c r="GD10" s="226"/>
      <c r="GE10" s="226"/>
      <c r="GF10" s="226"/>
      <c r="GG10" s="226"/>
      <c r="GH10" s="226"/>
      <c r="GI10" s="226"/>
      <c r="GJ10" s="226"/>
      <c r="GK10" s="226"/>
      <c r="GL10" s="226"/>
      <c r="GM10" s="226"/>
      <c r="GN10" s="226"/>
      <c r="GO10" s="226"/>
      <c r="GP10" s="226"/>
      <c r="GQ10" s="226"/>
      <c r="GR10" s="226"/>
      <c r="GS10" s="226"/>
      <c r="GT10" s="226"/>
      <c r="GU10" s="226"/>
      <c r="GV10" s="226"/>
      <c r="GW10" s="226"/>
      <c r="GX10" s="226"/>
      <c r="GY10" s="226"/>
      <c r="GZ10" s="226"/>
      <c r="HA10" s="226"/>
      <c r="HB10" s="226"/>
      <c r="HC10" s="226"/>
      <c r="HD10" s="226"/>
      <c r="NP10" s="346" t="s">
        <v>173</v>
      </c>
      <c r="NQ10" s="346"/>
      <c r="NR10" s="346"/>
      <c r="NS10" s="322" t="s">
        <v>1</v>
      </c>
      <c r="NT10" s="380">
        <f>W23</f>
        <v>5000</v>
      </c>
      <c r="NU10" s="380"/>
      <c r="NV10" s="380"/>
      <c r="NW10" s="346" t="s">
        <v>17</v>
      </c>
      <c r="NX10" s="346"/>
      <c r="NY10" s="346"/>
      <c r="NZ10" s="346"/>
      <c r="OE10" s="15"/>
      <c r="OF10" s="302"/>
      <c r="OG10" s="302"/>
      <c r="OH10" s="302"/>
      <c r="OI10" s="11"/>
      <c r="OJ10" s="11"/>
      <c r="OK10" s="6">
        <v>173</v>
      </c>
      <c r="OL10" s="13">
        <v>3000</v>
      </c>
      <c r="OM10" s="13"/>
      <c r="ON10" s="304">
        <v>2.5</v>
      </c>
      <c r="OO10" s="122">
        <v>20</v>
      </c>
      <c r="OP10" s="8">
        <v>0.125</v>
      </c>
      <c r="OQ10" s="297"/>
      <c r="OR10" s="394">
        <v>1.7</v>
      </c>
      <c r="OS10" s="394"/>
      <c r="OT10" s="403">
        <v>2</v>
      </c>
      <c r="OU10" s="403"/>
      <c r="OV10" s="11">
        <v>9</v>
      </c>
      <c r="OW10" s="302"/>
      <c r="OX10" s="11">
        <v>12</v>
      </c>
      <c r="OY10" s="120"/>
      <c r="OZ10" s="335">
        <f>IF(H4&gt;=3000,OX10,OV10)</f>
        <v>12</v>
      </c>
      <c r="PA10" s="302"/>
      <c r="PB10" s="121"/>
      <c r="PC10" s="302"/>
      <c r="PD10" s="78" t="s">
        <v>7</v>
      </c>
      <c r="PE10" s="103"/>
      <c r="PF10" s="302"/>
      <c r="PG10" s="302"/>
      <c r="PH10" s="302"/>
      <c r="PI10" s="302"/>
      <c r="PJ10" s="302"/>
      <c r="PK10" s="302"/>
      <c r="PL10" s="302"/>
      <c r="PM10" s="302"/>
      <c r="QC10" s="78" t="s">
        <v>23</v>
      </c>
      <c r="QD10" s="353">
        <v>-0.5</v>
      </c>
      <c r="QE10" s="353">
        <v>0.5</v>
      </c>
      <c r="QF10" s="353">
        <v>0.5</v>
      </c>
      <c r="QG10" s="353">
        <v>-0.5</v>
      </c>
      <c r="QH10" s="354">
        <v>-0.5</v>
      </c>
      <c r="QJ10" s="355" t="str">
        <f>CONCATENATE("A = ",QC3)</f>
        <v>A = 1.4</v>
      </c>
      <c r="QL10" s="78">
        <f>0</f>
        <v>0</v>
      </c>
      <c r="QN10" s="78">
        <f>QD28</f>
        <v>-0.6428571428571429</v>
      </c>
      <c r="QQ10" s="296">
        <v>0.8</v>
      </c>
      <c r="QR10" s="296"/>
      <c r="QS10" s="296">
        <v>0</v>
      </c>
      <c r="QT10" s="296"/>
      <c r="QU10" s="296"/>
      <c r="QV10" s="296"/>
      <c r="QW10" s="296"/>
      <c r="QX10" s="296"/>
      <c r="QY10" s="296"/>
    </row>
    <row r="11" spans="1:467" ht="14.1" customHeight="1" thickBot="1" x14ac:dyDescent="0.25">
      <c r="A11" s="112"/>
      <c r="B11" s="60"/>
      <c r="C11" s="60"/>
      <c r="D11" s="27"/>
      <c r="E11" s="27"/>
      <c r="F11" s="30"/>
      <c r="G11" s="27"/>
      <c r="H11" s="27"/>
      <c r="I11" s="27"/>
      <c r="J11" s="27"/>
      <c r="K11" s="27"/>
      <c r="L11" s="27"/>
      <c r="M11" s="27"/>
      <c r="N11" s="27"/>
      <c r="O11" s="110"/>
      <c r="P11" s="16"/>
      <c r="Q11" s="22"/>
      <c r="R11" s="140"/>
      <c r="S11" s="27"/>
      <c r="T11" s="140"/>
      <c r="U11" s="307"/>
      <c r="V11" s="307"/>
      <c r="W11" s="307"/>
      <c r="X11" s="307"/>
      <c r="Y11" s="307"/>
      <c r="Z11" s="307"/>
      <c r="AA11" s="307"/>
      <c r="AB11" s="307"/>
      <c r="AC11" s="307"/>
      <c r="AD11" s="307"/>
      <c r="AE11" s="110"/>
      <c r="AF11" s="27"/>
      <c r="AG11" s="331"/>
      <c r="AH11" s="320"/>
      <c r="AI11" s="320"/>
      <c r="AJ11" s="320"/>
      <c r="AK11" s="320"/>
      <c r="AL11" s="320"/>
      <c r="AM11" s="320"/>
      <c r="AN11" s="320"/>
      <c r="AO11" s="320"/>
      <c r="AP11" s="320"/>
      <c r="AQ11" s="320"/>
      <c r="AR11" s="320"/>
      <c r="AS11" s="320"/>
      <c r="AT11" s="320"/>
      <c r="AU11" s="320"/>
      <c r="AV11" s="320"/>
      <c r="AW11" s="320"/>
      <c r="AX11" s="320"/>
      <c r="AY11" s="320"/>
      <c r="AZ11" s="320"/>
      <c r="BA11" s="320"/>
      <c r="BB11" s="320"/>
      <c r="BC11" s="320"/>
      <c r="BD11" s="320"/>
      <c r="BE11" s="320"/>
      <c r="BF11" s="320"/>
      <c r="BG11" s="320"/>
      <c r="BH11" s="320"/>
      <c r="BI11" s="320"/>
      <c r="BJ11" s="320"/>
      <c r="BK11" s="320"/>
      <c r="BL11" s="320"/>
      <c r="BM11" s="320"/>
      <c r="BN11" s="320"/>
      <c r="BO11" s="320"/>
      <c r="BP11" s="320"/>
      <c r="BQ11" s="320"/>
      <c r="BR11" s="320"/>
      <c r="BS11" s="320"/>
      <c r="BT11" s="320"/>
      <c r="BU11" s="320"/>
      <c r="BV11" s="320"/>
      <c r="BW11" s="320"/>
      <c r="BX11" s="320"/>
      <c r="BY11" s="320"/>
      <c r="BZ11" s="320"/>
      <c r="CA11" s="320"/>
      <c r="CB11" s="320"/>
      <c r="CC11" s="320"/>
      <c r="CD11" s="332"/>
      <c r="CE11" s="274"/>
      <c r="CF11" s="226"/>
      <c r="CG11" s="226"/>
      <c r="CH11" s="226"/>
      <c r="CI11" s="226"/>
      <c r="CJ11" s="226"/>
      <c r="CK11" s="226"/>
      <c r="CL11" s="226"/>
      <c r="CM11" s="226"/>
      <c r="CN11" s="226"/>
      <c r="CO11" s="226"/>
      <c r="CP11" s="226"/>
      <c r="CQ11" s="226"/>
      <c r="CR11" s="226"/>
      <c r="CS11" s="226"/>
      <c r="CT11" s="226"/>
      <c r="CU11" s="226"/>
      <c r="CV11" s="226"/>
      <c r="CW11" s="226"/>
      <c r="CX11" s="226"/>
      <c r="CY11" s="226"/>
      <c r="CZ11" s="226"/>
      <c r="DA11" s="226"/>
      <c r="DB11" s="226"/>
      <c r="DC11" s="226"/>
      <c r="DD11" s="226"/>
      <c r="DE11" s="226"/>
      <c r="DF11" s="226"/>
      <c r="DG11" s="226"/>
      <c r="DH11" s="226"/>
      <c r="DI11" s="226"/>
      <c r="DJ11" s="226"/>
      <c r="DK11" s="226"/>
      <c r="DL11" s="226"/>
      <c r="DM11" s="226"/>
      <c r="DN11" s="226"/>
      <c r="DO11" s="226"/>
      <c r="DP11" s="226"/>
      <c r="DQ11" s="226"/>
      <c r="DR11" s="226"/>
      <c r="DS11" s="226"/>
      <c r="DT11" s="226"/>
      <c r="DU11" s="226"/>
      <c r="DV11" s="226"/>
      <c r="DW11" s="226"/>
      <c r="DX11" s="226"/>
      <c r="DY11" s="226"/>
      <c r="DZ11" s="226"/>
      <c r="EA11" s="226"/>
      <c r="EB11" s="226"/>
      <c r="EC11" s="226"/>
      <c r="ED11" s="226"/>
      <c r="EE11" s="226"/>
      <c r="EF11" s="226"/>
      <c r="EG11" s="226"/>
      <c r="EH11" s="226"/>
      <c r="EI11" s="226"/>
      <c r="EJ11" s="226"/>
      <c r="EK11" s="226"/>
      <c r="EL11" s="226"/>
      <c r="EM11" s="226"/>
      <c r="EN11" s="226"/>
      <c r="EO11" s="226"/>
      <c r="EP11" s="226"/>
      <c r="EQ11" s="226"/>
      <c r="ER11" s="226"/>
      <c r="ES11" s="226"/>
      <c r="ET11" s="226"/>
      <c r="EU11" s="226"/>
      <c r="EV11" s="226"/>
      <c r="EW11" s="226"/>
      <c r="EX11" s="226"/>
      <c r="EY11" s="226"/>
      <c r="EZ11" s="226"/>
      <c r="FA11" s="226"/>
      <c r="FB11" s="226"/>
      <c r="FC11" s="226"/>
      <c r="FD11" s="226"/>
      <c r="FE11" s="226"/>
      <c r="FF11" s="226"/>
      <c r="FG11" s="226"/>
      <c r="FH11" s="226"/>
      <c r="FI11" s="226"/>
      <c r="FJ11" s="226"/>
      <c r="FK11" s="226"/>
      <c r="FL11" s="226"/>
      <c r="FM11" s="226"/>
      <c r="FN11" s="226"/>
      <c r="FO11" s="226"/>
      <c r="FP11" s="226"/>
      <c r="FQ11" s="226"/>
      <c r="FR11" s="226"/>
      <c r="FS11" s="226"/>
      <c r="FT11" s="226"/>
      <c r="FU11" s="226"/>
      <c r="FV11" s="226"/>
      <c r="FW11" s="226"/>
      <c r="FX11" s="226"/>
      <c r="FY11" s="226"/>
      <c r="FZ11" s="226"/>
      <c r="GA11" s="226"/>
      <c r="GB11" s="226"/>
      <c r="GC11" s="226"/>
      <c r="GD11" s="226"/>
      <c r="GE11" s="226"/>
      <c r="GF11" s="226"/>
      <c r="GG11" s="226"/>
      <c r="GH11" s="226"/>
      <c r="GI11" s="226"/>
      <c r="GJ11" s="226"/>
      <c r="GK11" s="226"/>
      <c r="GL11" s="226"/>
      <c r="GM11" s="226"/>
      <c r="GN11" s="226"/>
      <c r="GO11" s="226"/>
      <c r="GP11" s="226"/>
      <c r="GQ11" s="226"/>
      <c r="GR11" s="226"/>
      <c r="GS11" s="226"/>
      <c r="GT11" s="226"/>
      <c r="GU11" s="226"/>
      <c r="GV11" s="226"/>
      <c r="GW11" s="226"/>
      <c r="GX11" s="226"/>
      <c r="GY11" s="226"/>
      <c r="GZ11" s="226"/>
      <c r="HA11" s="226"/>
      <c r="HB11" s="226"/>
      <c r="HC11" s="226"/>
      <c r="HD11" s="226"/>
      <c r="NP11" s="346" t="s">
        <v>161</v>
      </c>
      <c r="NQ11" s="346"/>
      <c r="NR11" s="346"/>
      <c r="NS11" s="322" t="s">
        <v>1</v>
      </c>
      <c r="NT11" s="380">
        <f>SUM(NT7:NV10)/H22</f>
        <v>1.8331999999999999</v>
      </c>
      <c r="NU11" s="380"/>
      <c r="NV11" s="380"/>
      <c r="NW11" s="346" t="s">
        <v>158</v>
      </c>
      <c r="NX11" s="346"/>
      <c r="NY11" s="346"/>
      <c r="NZ11" s="346"/>
      <c r="OE11" s="10"/>
      <c r="OF11" s="114"/>
      <c r="OG11" s="116"/>
      <c r="OH11" s="79"/>
      <c r="OI11" s="79"/>
      <c r="OJ11" s="79"/>
      <c r="OK11" s="6">
        <v>180</v>
      </c>
      <c r="OL11" s="13">
        <v>4000</v>
      </c>
      <c r="OM11" s="13"/>
      <c r="ON11" s="304">
        <v>3</v>
      </c>
      <c r="OO11" s="336">
        <v>25</v>
      </c>
      <c r="OP11" s="8">
        <v>0.15</v>
      </c>
      <c r="OQ11" s="297"/>
      <c r="OR11" s="11"/>
      <c r="OS11" s="11"/>
      <c r="OT11" s="11"/>
      <c r="OU11" s="11"/>
      <c r="OV11" s="11">
        <v>12</v>
      </c>
      <c r="OW11" s="302"/>
      <c r="OX11" s="11">
        <v>16</v>
      </c>
      <c r="OY11" s="120"/>
      <c r="OZ11" s="335">
        <f>IF(H4&gt;=3000,OX11,OV11)</f>
        <v>16</v>
      </c>
      <c r="PA11" s="302"/>
      <c r="PB11" s="121"/>
      <c r="PC11" s="302"/>
      <c r="PD11" s="103"/>
      <c r="PE11" s="103"/>
      <c r="PF11" s="302"/>
      <c r="PG11" s="302"/>
      <c r="PH11" s="302"/>
      <c r="PI11" s="302"/>
      <c r="PJ11" s="302"/>
      <c r="PK11" s="302"/>
      <c r="PL11" s="302"/>
      <c r="PM11" s="302"/>
      <c r="QC11" s="78" t="s">
        <v>24</v>
      </c>
      <c r="QD11" s="354">
        <f>0.5*(QC4/QC3)</f>
        <v>0.5</v>
      </c>
      <c r="QE11" s="354">
        <f>0.5*(QC4/QC3)</f>
        <v>0.5</v>
      </c>
      <c r="QF11" s="354">
        <f>-0.5*(QC4/QC3)</f>
        <v>-0.5</v>
      </c>
      <c r="QG11" s="354">
        <f>-0.5*(QC4/QC3)</f>
        <v>-0.5</v>
      </c>
      <c r="QH11" s="354">
        <f>0.5*(QC4/QC3)</f>
        <v>0.5</v>
      </c>
      <c r="QJ11" s="355" t="str">
        <f>CONCATENATE("B = ",QC4)</f>
        <v>B = 1.4</v>
      </c>
      <c r="QL11" s="78">
        <f>QD32</f>
        <v>0.6428571428571429</v>
      </c>
      <c r="QN11" s="78">
        <f>0</f>
        <v>0</v>
      </c>
      <c r="QQ11" s="296">
        <v>0</v>
      </c>
      <c r="QR11" s="296"/>
      <c r="QS11" s="296">
        <v>0.8</v>
      </c>
      <c r="QT11" s="296"/>
      <c r="QU11" s="296"/>
      <c r="QV11" s="296"/>
      <c r="QW11" s="296"/>
      <c r="QX11" s="296"/>
      <c r="QY11" s="296"/>
    </row>
    <row r="12" spans="1:467" ht="14.1" customHeight="1" x14ac:dyDescent="0.2">
      <c r="A12" s="112"/>
      <c r="B12" s="60"/>
      <c r="C12" s="60"/>
      <c r="D12" s="27"/>
      <c r="E12" s="27"/>
      <c r="F12" s="9" t="s">
        <v>30</v>
      </c>
      <c r="G12" s="27"/>
      <c r="H12" s="422">
        <v>0.85</v>
      </c>
      <c r="I12" s="423"/>
      <c r="J12" s="424"/>
      <c r="K12" s="27"/>
      <c r="L12" s="27"/>
      <c r="M12" s="27"/>
      <c r="N12" s="27"/>
      <c r="O12" s="110"/>
      <c r="P12" s="16"/>
      <c r="Q12" s="22"/>
      <c r="R12" s="140"/>
      <c r="S12" s="30" t="s">
        <v>77</v>
      </c>
      <c r="T12" s="140"/>
      <c r="U12" s="417" t="s">
        <v>83</v>
      </c>
      <c r="V12" s="418"/>
      <c r="W12" s="418"/>
      <c r="X12" s="418"/>
      <c r="Y12" s="418"/>
      <c r="Z12" s="418"/>
      <c r="AA12" s="418"/>
      <c r="AB12" s="418"/>
      <c r="AC12" s="418"/>
      <c r="AD12" s="419"/>
      <c r="AE12" s="110"/>
      <c r="AF12" s="27"/>
      <c r="AG12" s="331"/>
      <c r="AH12" s="320"/>
      <c r="AI12" s="320"/>
      <c r="AJ12" s="320"/>
      <c r="AK12" s="320"/>
      <c r="AL12" s="320"/>
      <c r="AM12" s="320"/>
      <c r="AN12" s="320"/>
      <c r="AO12" s="320"/>
      <c r="AP12" s="320"/>
      <c r="AQ12" s="320"/>
      <c r="AR12" s="320"/>
      <c r="AS12" s="320"/>
      <c r="AT12" s="320"/>
      <c r="AU12" s="320"/>
      <c r="AV12" s="320"/>
      <c r="AW12" s="320"/>
      <c r="AX12" s="320"/>
      <c r="AY12" s="320"/>
      <c r="AZ12" s="320"/>
      <c r="BA12" s="320"/>
      <c r="BB12" s="320"/>
      <c r="BC12" s="320"/>
      <c r="BD12" s="320"/>
      <c r="BE12" s="320"/>
      <c r="BF12" s="320"/>
      <c r="BG12" s="320"/>
      <c r="BH12" s="320"/>
      <c r="BI12" s="320"/>
      <c r="BJ12" s="320"/>
      <c r="BK12" s="320"/>
      <c r="BL12" s="320"/>
      <c r="BM12" s="320"/>
      <c r="BN12" s="320"/>
      <c r="BO12" s="320"/>
      <c r="BP12" s="320"/>
      <c r="BQ12" s="320"/>
      <c r="BR12" s="320"/>
      <c r="BS12" s="320"/>
      <c r="BT12" s="320"/>
      <c r="BU12" s="320"/>
      <c r="BV12" s="320"/>
      <c r="BW12" s="320"/>
      <c r="BX12" s="320"/>
      <c r="BY12" s="320"/>
      <c r="BZ12" s="320"/>
      <c r="CA12" s="320"/>
      <c r="CB12" s="320"/>
      <c r="CC12" s="320"/>
      <c r="CD12" s="332"/>
      <c r="CE12" s="274"/>
      <c r="CF12" s="226"/>
      <c r="CG12" s="226"/>
      <c r="CH12" s="226"/>
      <c r="CI12" s="226"/>
      <c r="CJ12" s="226"/>
      <c r="CK12" s="226"/>
      <c r="CL12" s="226"/>
      <c r="CM12" s="226"/>
      <c r="CN12" s="226"/>
      <c r="CO12" s="226"/>
      <c r="CP12" s="226"/>
      <c r="CQ12" s="226"/>
      <c r="CR12" s="226"/>
      <c r="CS12" s="226"/>
      <c r="CT12" s="226"/>
      <c r="CU12" s="226"/>
      <c r="CV12" s="226"/>
      <c r="CW12" s="226"/>
      <c r="CX12" s="226"/>
      <c r="CY12" s="226"/>
      <c r="CZ12" s="226"/>
      <c r="DA12" s="226"/>
      <c r="DB12" s="226"/>
      <c r="DC12" s="226"/>
      <c r="DD12" s="226"/>
      <c r="DE12" s="226"/>
      <c r="DF12" s="226"/>
      <c r="DG12" s="226"/>
      <c r="DH12" s="226"/>
      <c r="DI12" s="226"/>
      <c r="DJ12" s="226"/>
      <c r="DK12" s="226"/>
      <c r="DL12" s="226"/>
      <c r="DM12" s="226"/>
      <c r="DN12" s="226"/>
      <c r="DO12" s="226"/>
      <c r="DP12" s="226"/>
      <c r="DQ12" s="226"/>
      <c r="DR12" s="226"/>
      <c r="DS12" s="226"/>
      <c r="DT12" s="226"/>
      <c r="DU12" s="226"/>
      <c r="DV12" s="226"/>
      <c r="DW12" s="226"/>
      <c r="DX12" s="226"/>
      <c r="DY12" s="226"/>
      <c r="DZ12" s="226"/>
      <c r="EA12" s="226"/>
      <c r="EB12" s="226"/>
      <c r="EC12" s="226"/>
      <c r="ED12" s="226"/>
      <c r="EE12" s="226"/>
      <c r="EF12" s="226"/>
      <c r="EG12" s="226"/>
      <c r="EH12" s="226"/>
      <c r="EI12" s="226"/>
      <c r="EJ12" s="226"/>
      <c r="EK12" s="226"/>
      <c r="EL12" s="226"/>
      <c r="EM12" s="226"/>
      <c r="EN12" s="226"/>
      <c r="EO12" s="226"/>
      <c r="EP12" s="226"/>
      <c r="EQ12" s="226"/>
      <c r="ER12" s="226"/>
      <c r="ES12" s="226"/>
      <c r="ET12" s="226"/>
      <c r="EU12" s="226"/>
      <c r="EV12" s="226"/>
      <c r="EW12" s="226"/>
      <c r="EX12" s="226"/>
      <c r="EY12" s="226"/>
      <c r="EZ12" s="226"/>
      <c r="FA12" s="226"/>
      <c r="FB12" s="226"/>
      <c r="FC12" s="226"/>
      <c r="FD12" s="226"/>
      <c r="FE12" s="226"/>
      <c r="FF12" s="226"/>
      <c r="FG12" s="226"/>
      <c r="FH12" s="226"/>
      <c r="FI12" s="226"/>
      <c r="FJ12" s="226"/>
      <c r="FK12" s="226"/>
      <c r="FL12" s="226"/>
      <c r="FM12" s="226"/>
      <c r="FN12" s="226"/>
      <c r="FO12" s="226"/>
      <c r="FP12" s="226"/>
      <c r="FQ12" s="226"/>
      <c r="FR12" s="226"/>
      <c r="FS12" s="226"/>
      <c r="FT12" s="226"/>
      <c r="FU12" s="226"/>
      <c r="FV12" s="226"/>
      <c r="FW12" s="226"/>
      <c r="FX12" s="226"/>
      <c r="FY12" s="226"/>
      <c r="FZ12" s="226"/>
      <c r="GA12" s="226"/>
      <c r="GB12" s="226"/>
      <c r="GC12" s="226"/>
      <c r="GD12" s="226"/>
      <c r="GE12" s="226"/>
      <c r="GF12" s="226"/>
      <c r="GG12" s="226"/>
      <c r="GH12" s="226"/>
      <c r="GI12" s="226"/>
      <c r="GJ12" s="226"/>
      <c r="GK12" s="226"/>
      <c r="GL12" s="226"/>
      <c r="GM12" s="226"/>
      <c r="GN12" s="226"/>
      <c r="GO12" s="226"/>
      <c r="GP12" s="226"/>
      <c r="GQ12" s="226"/>
      <c r="GR12" s="226"/>
      <c r="GS12" s="226"/>
      <c r="GT12" s="226"/>
      <c r="GU12" s="226"/>
      <c r="GV12" s="226"/>
      <c r="GW12" s="226"/>
      <c r="GX12" s="226"/>
      <c r="GY12" s="226"/>
      <c r="GZ12" s="226"/>
      <c r="HA12" s="226"/>
      <c r="HB12" s="226"/>
      <c r="HC12" s="226"/>
      <c r="HD12" s="226"/>
      <c r="NP12" s="346" t="s">
        <v>159</v>
      </c>
      <c r="NQ12" s="346"/>
      <c r="NR12" s="346"/>
      <c r="NS12" s="322" t="s">
        <v>1</v>
      </c>
      <c r="NT12" s="387" t="str">
        <f>CONCATENATE(ROUND(SQRT(NT11),1)," x ",ROUND(SQRT(NT11),1))</f>
        <v>1.4 x 1.4</v>
      </c>
      <c r="NU12" s="387"/>
      <c r="NV12" s="387"/>
      <c r="NW12" s="346" t="s">
        <v>16</v>
      </c>
      <c r="NX12" s="346"/>
      <c r="NY12" s="346"/>
      <c r="NZ12" s="346"/>
      <c r="OE12" s="301"/>
      <c r="OF12" s="305"/>
      <c r="OG12" s="302"/>
      <c r="OH12" s="302"/>
      <c r="OI12" s="302"/>
      <c r="OJ12" s="302"/>
      <c r="OK12" s="7">
        <v>210</v>
      </c>
      <c r="OL12" s="13">
        <v>5000</v>
      </c>
      <c r="OM12" s="13"/>
      <c r="ON12" s="304">
        <v>4</v>
      </c>
      <c r="OO12" s="122">
        <v>30</v>
      </c>
      <c r="OP12" s="8">
        <v>0.17499999999999999</v>
      </c>
      <c r="OQ12" s="297"/>
      <c r="OR12" s="302"/>
      <c r="OS12" s="302"/>
      <c r="OT12" s="302"/>
      <c r="OU12" s="302"/>
      <c r="OV12" s="11">
        <v>15</v>
      </c>
      <c r="OW12" s="302"/>
      <c r="OX12" s="11">
        <v>20</v>
      </c>
      <c r="OY12" s="120"/>
      <c r="OZ12" s="335">
        <f>IF(H4&gt;=3000,OX12,OV12)</f>
        <v>20</v>
      </c>
      <c r="PA12" s="302"/>
      <c r="PB12" s="121"/>
      <c r="PC12" s="302"/>
      <c r="PD12" s="103"/>
      <c r="PE12" s="103"/>
      <c r="PF12" s="302"/>
      <c r="PG12" s="302"/>
      <c r="PH12" s="302"/>
      <c r="PI12" s="302"/>
      <c r="PJ12" s="302"/>
      <c r="PK12" s="302"/>
      <c r="PL12" s="302"/>
      <c r="PM12" s="302"/>
      <c r="QC12" s="78" t="s">
        <v>102</v>
      </c>
    </row>
    <row r="13" spans="1:467" ht="14.1" customHeight="1" thickBot="1" x14ac:dyDescent="0.25">
      <c r="A13" s="112"/>
      <c r="B13" s="60"/>
      <c r="C13" s="60"/>
      <c r="D13" s="27"/>
      <c r="E13" s="27"/>
      <c r="F13" s="30"/>
      <c r="G13" s="27"/>
      <c r="H13" s="27"/>
      <c r="I13" s="27"/>
      <c r="J13" s="27"/>
      <c r="K13" s="27"/>
      <c r="L13" s="27"/>
      <c r="M13" s="27"/>
      <c r="N13" s="27"/>
      <c r="O13" s="110"/>
      <c r="P13" s="16"/>
      <c r="Q13" s="22"/>
      <c r="R13" s="140"/>
      <c r="S13" s="27"/>
      <c r="T13" s="140"/>
      <c r="U13" s="307"/>
      <c r="V13" s="307"/>
      <c r="W13" s="307"/>
      <c r="X13" s="307"/>
      <c r="Y13" s="307"/>
      <c r="Z13" s="307"/>
      <c r="AA13" s="307"/>
      <c r="AB13" s="307"/>
      <c r="AC13" s="307"/>
      <c r="AD13" s="307"/>
      <c r="AE13" s="110"/>
      <c r="AF13" s="27"/>
      <c r="AG13" s="331"/>
      <c r="AH13" s="320"/>
      <c r="AI13" s="320"/>
      <c r="AJ13" s="320"/>
      <c r="AK13" s="320"/>
      <c r="AL13" s="320"/>
      <c r="AM13" s="320"/>
      <c r="AN13" s="320"/>
      <c r="AO13" s="320"/>
      <c r="AP13" s="320"/>
      <c r="AQ13" s="320"/>
      <c r="AR13" s="320"/>
      <c r="AS13" s="320"/>
      <c r="AT13" s="320"/>
      <c r="AU13" s="320"/>
      <c r="AV13" s="320"/>
      <c r="AW13" s="320"/>
      <c r="AX13" s="320"/>
      <c r="AY13" s="320"/>
      <c r="AZ13" s="320"/>
      <c r="BA13" s="320"/>
      <c r="BB13" s="320"/>
      <c r="BC13" s="320"/>
      <c r="BD13" s="320"/>
      <c r="BE13" s="320"/>
      <c r="BF13" s="320"/>
      <c r="BG13" s="320"/>
      <c r="BH13" s="320"/>
      <c r="BI13" s="320"/>
      <c r="BJ13" s="320"/>
      <c r="BK13" s="320"/>
      <c r="BL13" s="320"/>
      <c r="BM13" s="320"/>
      <c r="BN13" s="320"/>
      <c r="BO13" s="320"/>
      <c r="BP13" s="320"/>
      <c r="BQ13" s="320"/>
      <c r="BR13" s="320"/>
      <c r="BS13" s="320"/>
      <c r="BT13" s="320"/>
      <c r="BU13" s="320"/>
      <c r="BV13" s="320"/>
      <c r="BW13" s="320"/>
      <c r="BX13" s="320"/>
      <c r="BY13" s="320"/>
      <c r="BZ13" s="320"/>
      <c r="CA13" s="320"/>
      <c r="CB13" s="320"/>
      <c r="CC13" s="320"/>
      <c r="CD13" s="332"/>
      <c r="CE13" s="274"/>
      <c r="CF13" s="226"/>
      <c r="CG13" s="226"/>
      <c r="CH13" s="226"/>
      <c r="CI13" s="226"/>
      <c r="CJ13" s="226"/>
      <c r="CK13" s="226"/>
      <c r="CL13" s="226"/>
      <c r="CM13" s="226"/>
      <c r="CN13" s="226"/>
      <c r="CO13" s="226"/>
      <c r="CP13" s="226"/>
      <c r="CQ13" s="226"/>
      <c r="CR13" s="226"/>
      <c r="CS13" s="226"/>
      <c r="CT13" s="226"/>
      <c r="CU13" s="226"/>
      <c r="CV13" s="226"/>
      <c r="CW13" s="226"/>
      <c r="CX13" s="226"/>
      <c r="CY13" s="226"/>
      <c r="CZ13" s="226"/>
      <c r="DA13" s="226"/>
      <c r="DB13" s="226"/>
      <c r="DC13" s="226"/>
      <c r="DD13" s="226"/>
      <c r="DE13" s="226"/>
      <c r="DF13" s="226"/>
      <c r="DG13" s="226"/>
      <c r="DH13" s="226"/>
      <c r="DI13" s="226"/>
      <c r="DJ13" s="226"/>
      <c r="DK13" s="226"/>
      <c r="DL13" s="226"/>
      <c r="DM13" s="226"/>
      <c r="DN13" s="226"/>
      <c r="DO13" s="226"/>
      <c r="DP13" s="226"/>
      <c r="DQ13" s="226"/>
      <c r="DR13" s="226"/>
      <c r="DS13" s="226"/>
      <c r="DT13" s="226"/>
      <c r="DU13" s="226"/>
      <c r="DV13" s="226"/>
      <c r="DW13" s="226"/>
      <c r="DX13" s="226"/>
      <c r="DY13" s="226"/>
      <c r="DZ13" s="226"/>
      <c r="EA13" s="226"/>
      <c r="EB13" s="226"/>
      <c r="EC13" s="226"/>
      <c r="ED13" s="226"/>
      <c r="EE13" s="226"/>
      <c r="EF13" s="226"/>
      <c r="EG13" s="226"/>
      <c r="EH13" s="226"/>
      <c r="EI13" s="226"/>
      <c r="EJ13" s="226"/>
      <c r="EK13" s="226"/>
      <c r="EL13" s="226"/>
      <c r="EM13" s="226"/>
      <c r="EN13" s="226"/>
      <c r="EO13" s="226"/>
      <c r="EP13" s="226"/>
      <c r="EQ13" s="226"/>
      <c r="ER13" s="226"/>
      <c r="ES13" s="226"/>
      <c r="ET13" s="226"/>
      <c r="EU13" s="226"/>
      <c r="EV13" s="226"/>
      <c r="EW13" s="226"/>
      <c r="EX13" s="226"/>
      <c r="EY13" s="226"/>
      <c r="EZ13" s="226"/>
      <c r="FA13" s="226"/>
      <c r="FB13" s="226"/>
      <c r="FC13" s="226"/>
      <c r="FD13" s="226"/>
      <c r="FE13" s="226"/>
      <c r="FF13" s="226"/>
      <c r="FG13" s="226"/>
      <c r="FH13" s="226"/>
      <c r="FI13" s="226"/>
      <c r="FJ13" s="226"/>
      <c r="FK13" s="226"/>
      <c r="FL13" s="226"/>
      <c r="FM13" s="226"/>
      <c r="FN13" s="226"/>
      <c r="FO13" s="226"/>
      <c r="FP13" s="226"/>
      <c r="FQ13" s="226"/>
      <c r="FR13" s="226"/>
      <c r="FS13" s="226"/>
      <c r="FT13" s="226"/>
      <c r="FU13" s="226"/>
      <c r="FV13" s="226"/>
      <c r="FW13" s="226"/>
      <c r="FX13" s="226"/>
      <c r="FY13" s="226"/>
      <c r="FZ13" s="226"/>
      <c r="GA13" s="226"/>
      <c r="GB13" s="226"/>
      <c r="GC13" s="226"/>
      <c r="GD13" s="226"/>
      <c r="GE13" s="226"/>
      <c r="GF13" s="226"/>
      <c r="GG13" s="226"/>
      <c r="GH13" s="226"/>
      <c r="GI13" s="226"/>
      <c r="GJ13" s="226"/>
      <c r="GK13" s="226"/>
      <c r="GL13" s="226"/>
      <c r="GM13" s="226"/>
      <c r="GN13" s="226"/>
      <c r="GO13" s="226"/>
      <c r="GP13" s="226"/>
      <c r="GQ13" s="226"/>
      <c r="GR13" s="226"/>
      <c r="GS13" s="226"/>
      <c r="GT13" s="226"/>
      <c r="GU13" s="226"/>
      <c r="GV13" s="226"/>
      <c r="GW13" s="226"/>
      <c r="GX13" s="226"/>
      <c r="GY13" s="226"/>
      <c r="GZ13" s="226"/>
      <c r="HA13" s="226"/>
      <c r="HB13" s="226"/>
      <c r="HC13" s="226"/>
      <c r="HD13" s="226"/>
      <c r="NP13" s="346" t="s">
        <v>160</v>
      </c>
      <c r="NQ13" s="346"/>
      <c r="NR13" s="346"/>
      <c r="NS13" s="322" t="s">
        <v>1</v>
      </c>
      <c r="NT13" s="407">
        <f>H32*H34</f>
        <v>1.9599999999999997</v>
      </c>
      <c r="NU13" s="407"/>
      <c r="NV13" s="407"/>
      <c r="NW13" s="346" t="s">
        <v>16</v>
      </c>
      <c r="NX13" s="346"/>
      <c r="NY13" s="271" t="str">
        <f>IF(NT13&gt;=NT11,"OK","NOT")</f>
        <v>OK</v>
      </c>
      <c r="NZ13" s="346"/>
      <c r="OE13" s="302"/>
      <c r="OF13" s="302"/>
      <c r="OG13" s="302"/>
      <c r="OH13" s="302"/>
      <c r="OI13" s="302"/>
      <c r="OJ13" s="302"/>
      <c r="OK13" s="7">
        <v>240</v>
      </c>
      <c r="OL13" s="302"/>
      <c r="OM13" s="302"/>
      <c r="ON13" s="304">
        <v>5</v>
      </c>
      <c r="OO13" s="122">
        <v>35</v>
      </c>
      <c r="OP13" s="8">
        <v>0.2</v>
      </c>
      <c r="OQ13" s="297"/>
      <c r="OR13" s="302"/>
      <c r="OS13" s="302"/>
      <c r="OT13" s="302"/>
      <c r="OU13" s="302"/>
      <c r="OV13" s="11">
        <v>19</v>
      </c>
      <c r="OW13" s="302"/>
      <c r="OX13" s="11">
        <v>25</v>
      </c>
      <c r="OY13" s="120"/>
      <c r="OZ13" s="335">
        <f>IF(H4&gt;=3000,OX13,OV13)</f>
        <v>25</v>
      </c>
      <c r="PA13" s="302"/>
      <c r="PB13" s="121"/>
      <c r="PC13" s="302"/>
      <c r="PD13" s="103"/>
      <c r="PE13" s="103"/>
      <c r="PF13" s="302"/>
      <c r="PG13" s="302"/>
      <c r="PH13" s="302"/>
      <c r="PI13" s="302"/>
      <c r="PJ13" s="302"/>
      <c r="PK13" s="302"/>
      <c r="PL13" s="302"/>
      <c r="PM13" s="302"/>
      <c r="QC13" s="78" t="s">
        <v>23</v>
      </c>
      <c r="QD13" s="78">
        <f>-0.5*(QC5/QC3)</f>
        <v>-7.1428571428571438E-2</v>
      </c>
      <c r="QE13" s="78">
        <f>0.5*(QC5/QC3)</f>
        <v>7.1428571428571438E-2</v>
      </c>
      <c r="QF13" s="78">
        <f>0.5*(QC5/QC3)</f>
        <v>7.1428571428571438E-2</v>
      </c>
      <c r="QG13" s="78">
        <f>-0.5*(QC5/QC3)</f>
        <v>-7.1428571428571438E-2</v>
      </c>
      <c r="QH13" s="78">
        <f>-0.5*(QC5/QC3)</f>
        <v>-7.1428571428571438E-2</v>
      </c>
      <c r="QJ13" s="78">
        <f>QD13</f>
        <v>-7.1428571428571438E-2</v>
      </c>
      <c r="QK13" s="78">
        <f>QE13</f>
        <v>7.1428571428571438E-2</v>
      </c>
      <c r="QM13" s="78">
        <f>QJ13</f>
        <v>-7.1428571428571438E-2</v>
      </c>
      <c r="QN13" s="78">
        <f>QK13</f>
        <v>7.1428571428571438E-2</v>
      </c>
    </row>
    <row r="14" spans="1:467" ht="14.1" customHeight="1" x14ac:dyDescent="0.2">
      <c r="A14" s="112"/>
      <c r="B14" s="60"/>
      <c r="C14" s="60"/>
      <c r="D14" s="27"/>
      <c r="E14" s="27"/>
      <c r="F14" s="9" t="s">
        <v>28</v>
      </c>
      <c r="G14" s="27"/>
      <c r="H14" s="439">
        <f>OE6</f>
        <v>0.85</v>
      </c>
      <c r="I14" s="440"/>
      <c r="J14" s="441"/>
      <c r="K14" s="27"/>
      <c r="L14" s="27"/>
      <c r="M14" s="27"/>
      <c r="N14" s="27"/>
      <c r="O14" s="110"/>
      <c r="P14" s="16"/>
      <c r="Q14" s="22"/>
      <c r="R14" s="140"/>
      <c r="S14" s="30" t="s">
        <v>80</v>
      </c>
      <c r="T14" s="140"/>
      <c r="U14" s="417" t="s">
        <v>82</v>
      </c>
      <c r="V14" s="418"/>
      <c r="W14" s="418"/>
      <c r="X14" s="418"/>
      <c r="Y14" s="418"/>
      <c r="Z14" s="418"/>
      <c r="AA14" s="418"/>
      <c r="AB14" s="418"/>
      <c r="AC14" s="418"/>
      <c r="AD14" s="419"/>
      <c r="AE14" s="110"/>
      <c r="AF14" s="27"/>
      <c r="AG14" s="331"/>
      <c r="AH14" s="320"/>
      <c r="AI14" s="320"/>
      <c r="AJ14" s="320"/>
      <c r="AK14" s="320"/>
      <c r="AL14" s="320"/>
      <c r="AM14" s="320"/>
      <c r="AN14" s="320"/>
      <c r="AO14" s="320"/>
      <c r="AP14" s="320"/>
      <c r="AQ14" s="320"/>
      <c r="AR14" s="320"/>
      <c r="AS14" s="320"/>
      <c r="AT14" s="320"/>
      <c r="AU14" s="320"/>
      <c r="AV14" s="320"/>
      <c r="AW14" s="320"/>
      <c r="AX14" s="320"/>
      <c r="AY14" s="320"/>
      <c r="AZ14" s="320"/>
      <c r="BA14" s="320"/>
      <c r="BB14" s="320"/>
      <c r="BC14" s="320"/>
      <c r="BD14" s="320"/>
      <c r="BE14" s="320"/>
      <c r="BF14" s="320"/>
      <c r="BG14" s="320"/>
      <c r="BH14" s="320"/>
      <c r="BI14" s="320"/>
      <c r="BJ14" s="320"/>
      <c r="BK14" s="320"/>
      <c r="BL14" s="320"/>
      <c r="BM14" s="320"/>
      <c r="BN14" s="320"/>
      <c r="BO14" s="320"/>
      <c r="BP14" s="320"/>
      <c r="BQ14" s="320"/>
      <c r="BR14" s="320"/>
      <c r="BS14" s="320"/>
      <c r="BT14" s="320"/>
      <c r="BU14" s="320"/>
      <c r="BV14" s="320"/>
      <c r="BW14" s="320"/>
      <c r="BX14" s="320"/>
      <c r="BY14" s="320"/>
      <c r="BZ14" s="320"/>
      <c r="CA14" s="320"/>
      <c r="CB14" s="320"/>
      <c r="CC14" s="320"/>
      <c r="CD14" s="332"/>
      <c r="CE14" s="274"/>
      <c r="CF14" s="226"/>
      <c r="CG14" s="226"/>
      <c r="CH14" s="226"/>
      <c r="CI14" s="226"/>
      <c r="CJ14" s="226"/>
      <c r="CK14" s="226"/>
      <c r="CL14" s="226"/>
      <c r="CM14" s="226"/>
      <c r="CN14" s="226"/>
      <c r="CO14" s="226"/>
      <c r="CP14" s="226"/>
      <c r="CQ14" s="226"/>
      <c r="CR14" s="226"/>
      <c r="CS14" s="226"/>
      <c r="CT14" s="226"/>
      <c r="CU14" s="226"/>
      <c r="CV14" s="226"/>
      <c r="CW14" s="226"/>
      <c r="CX14" s="226"/>
      <c r="CY14" s="226"/>
      <c r="CZ14" s="226"/>
      <c r="DA14" s="226"/>
      <c r="DB14" s="226"/>
      <c r="DC14" s="226"/>
      <c r="DD14" s="226"/>
      <c r="DE14" s="226"/>
      <c r="DF14" s="226"/>
      <c r="DG14" s="226"/>
      <c r="DH14" s="226"/>
      <c r="DI14" s="226"/>
      <c r="DJ14" s="226"/>
      <c r="DK14" s="226"/>
      <c r="DL14" s="226"/>
      <c r="DM14" s="226"/>
      <c r="DN14" s="226"/>
      <c r="DO14" s="226"/>
      <c r="DP14" s="226"/>
      <c r="DQ14" s="226"/>
      <c r="DR14" s="226"/>
      <c r="DS14" s="226"/>
      <c r="DT14" s="226"/>
      <c r="DU14" s="226"/>
      <c r="DV14" s="226"/>
      <c r="DW14" s="226"/>
      <c r="DX14" s="226"/>
      <c r="DY14" s="226"/>
      <c r="DZ14" s="226"/>
      <c r="EA14" s="226"/>
      <c r="EB14" s="226"/>
      <c r="EC14" s="226"/>
      <c r="ED14" s="226"/>
      <c r="EE14" s="226"/>
      <c r="EF14" s="226"/>
      <c r="EG14" s="226"/>
      <c r="EH14" s="226"/>
      <c r="EI14" s="226"/>
      <c r="EJ14" s="226"/>
      <c r="EK14" s="226"/>
      <c r="EL14" s="226"/>
      <c r="EM14" s="226"/>
      <c r="EN14" s="226"/>
      <c r="EO14" s="226"/>
      <c r="EP14" s="226"/>
      <c r="EQ14" s="226"/>
      <c r="ER14" s="226"/>
      <c r="ES14" s="226"/>
      <c r="ET14" s="226"/>
      <c r="EU14" s="226"/>
      <c r="EV14" s="226"/>
      <c r="EW14" s="226"/>
      <c r="EX14" s="226"/>
      <c r="EY14" s="226"/>
      <c r="EZ14" s="226"/>
      <c r="FA14" s="226"/>
      <c r="FB14" s="226"/>
      <c r="FC14" s="226"/>
      <c r="FD14" s="226"/>
      <c r="FE14" s="226"/>
      <c r="FF14" s="226"/>
      <c r="FG14" s="226"/>
      <c r="FH14" s="226"/>
      <c r="FI14" s="226"/>
      <c r="FJ14" s="226"/>
      <c r="FK14" s="226"/>
      <c r="FL14" s="226"/>
      <c r="FM14" s="226"/>
      <c r="FN14" s="226"/>
      <c r="FO14" s="226"/>
      <c r="FP14" s="226"/>
      <c r="FQ14" s="226"/>
      <c r="FR14" s="226"/>
      <c r="FS14" s="226"/>
      <c r="FT14" s="226"/>
      <c r="FU14" s="226"/>
      <c r="FV14" s="226"/>
      <c r="FW14" s="226"/>
      <c r="FX14" s="226"/>
      <c r="FY14" s="226"/>
      <c r="FZ14" s="226"/>
      <c r="GA14" s="226"/>
      <c r="GB14" s="226"/>
      <c r="GC14" s="226"/>
      <c r="GD14" s="226"/>
      <c r="GE14" s="226"/>
      <c r="GF14" s="226"/>
      <c r="GG14" s="226"/>
      <c r="GH14" s="226"/>
      <c r="GI14" s="226"/>
      <c r="GJ14" s="226"/>
      <c r="GK14" s="226"/>
      <c r="GL14" s="226"/>
      <c r="GM14" s="226"/>
      <c r="GN14" s="226"/>
      <c r="GO14" s="226"/>
      <c r="GP14" s="226"/>
      <c r="GQ14" s="226"/>
      <c r="GR14" s="226"/>
      <c r="GS14" s="226"/>
      <c r="GT14" s="226"/>
      <c r="GU14" s="226"/>
      <c r="GV14" s="226"/>
      <c r="GW14" s="226"/>
      <c r="GX14" s="226"/>
      <c r="GY14" s="226"/>
      <c r="GZ14" s="226"/>
      <c r="HA14" s="226"/>
      <c r="HB14" s="226"/>
      <c r="HC14" s="226"/>
      <c r="HD14" s="226"/>
      <c r="NP14" s="322" t="s">
        <v>124</v>
      </c>
      <c r="NQ14" s="322"/>
      <c r="NR14" s="322"/>
      <c r="NS14" s="322" t="s">
        <v>1</v>
      </c>
      <c r="NT14" s="393">
        <f>IF(H18=PD6,1,IF(H18=PD7,0,IF(H18=PD8,1,IF(H18=PD9,1.4,IF(H18=PD10,1.7)))))</f>
        <v>1.7</v>
      </c>
      <c r="NU14" s="393"/>
      <c r="NV14" s="393"/>
      <c r="NW14" s="322" t="s">
        <v>0</v>
      </c>
      <c r="NX14" s="346"/>
      <c r="NY14" s="346"/>
      <c r="NZ14" s="346"/>
      <c r="OE14" s="302"/>
      <c r="OF14" s="302"/>
      <c r="OG14" s="302"/>
      <c r="OH14" s="302"/>
      <c r="OI14" s="302"/>
      <c r="OJ14" s="302"/>
      <c r="OK14" s="4">
        <v>280</v>
      </c>
      <c r="OL14" s="302"/>
      <c r="OM14" s="302"/>
      <c r="ON14" s="304">
        <v>7.5</v>
      </c>
      <c r="OO14" s="122">
        <v>40</v>
      </c>
      <c r="OP14" s="8">
        <v>0.22500000000000001</v>
      </c>
      <c r="OQ14" s="297"/>
      <c r="OR14" s="302"/>
      <c r="OS14" s="302"/>
      <c r="OT14" s="302"/>
      <c r="OU14" s="302"/>
      <c r="OV14" s="11" t="s">
        <v>0</v>
      </c>
      <c r="OW14" s="302"/>
      <c r="OX14" s="11">
        <v>28</v>
      </c>
      <c r="OY14" s="120"/>
      <c r="OZ14" s="335">
        <f>IF(H4&gt;=3000,OX14,OV14)</f>
        <v>28</v>
      </c>
      <c r="PA14" s="302"/>
      <c r="PB14" s="121"/>
      <c r="PC14" s="302"/>
      <c r="PD14" s="103"/>
      <c r="PE14" s="103"/>
      <c r="PF14" s="302"/>
      <c r="PG14" s="302"/>
      <c r="PH14" s="302"/>
      <c r="PI14" s="302"/>
      <c r="PJ14" s="302"/>
      <c r="PK14" s="302"/>
      <c r="PL14" s="302"/>
      <c r="PM14" s="302"/>
      <c r="QC14" s="78" t="s">
        <v>24</v>
      </c>
      <c r="QD14" s="78">
        <f>0.5*(QC6/QC3)</f>
        <v>7.1428571428571438E-2</v>
      </c>
      <c r="QE14" s="78">
        <f>0.5*(QC6/QC3)</f>
        <v>7.1428571428571438E-2</v>
      </c>
      <c r="QF14" s="78">
        <f>-0.5*(QC6/QC3)</f>
        <v>-7.1428571428571438E-2</v>
      </c>
      <c r="QG14" s="78">
        <f>-0.5*(QC6/QC3)</f>
        <v>-7.1428571428571438E-2</v>
      </c>
      <c r="QH14" s="78">
        <f>0.5*(QC6/QC3)</f>
        <v>7.1428571428571438E-2</v>
      </c>
      <c r="QJ14" s="78">
        <f>QD14</f>
        <v>7.1428571428571438E-2</v>
      </c>
      <c r="QK14" s="78">
        <f>QF14</f>
        <v>-7.1428571428571438E-2</v>
      </c>
      <c r="QM14" s="78">
        <f>QF14</f>
        <v>-7.1428571428571438E-2</v>
      </c>
      <c r="QN14" s="78">
        <f>QH14</f>
        <v>7.1428571428571438E-2</v>
      </c>
    </row>
    <row r="15" spans="1:467" ht="14.1" customHeight="1" x14ac:dyDescent="0.2">
      <c r="A15" s="112"/>
      <c r="B15" s="60"/>
      <c r="C15" s="61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111"/>
      <c r="P15" s="16"/>
      <c r="Q15" s="18"/>
      <c r="R15" s="24"/>
      <c r="S15" s="24"/>
      <c r="T15" s="24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111"/>
      <c r="AF15" s="27"/>
      <c r="AG15" s="331"/>
      <c r="AH15" s="320"/>
      <c r="AI15" s="320"/>
      <c r="AJ15" s="320"/>
      <c r="AK15" s="320"/>
      <c r="AL15" s="320"/>
      <c r="AM15" s="320"/>
      <c r="AN15" s="320"/>
      <c r="AO15" s="320"/>
      <c r="AP15" s="320"/>
      <c r="AQ15" s="320"/>
      <c r="AR15" s="320"/>
      <c r="AS15" s="320"/>
      <c r="AT15" s="320"/>
      <c r="AU15" s="320"/>
      <c r="AV15" s="320"/>
      <c r="AW15" s="320"/>
      <c r="AX15" s="320"/>
      <c r="AY15" s="320"/>
      <c r="AZ15" s="320"/>
      <c r="BA15" s="320"/>
      <c r="BB15" s="320"/>
      <c r="BC15" s="320"/>
      <c r="BD15" s="320"/>
      <c r="BE15" s="320"/>
      <c r="BF15" s="320"/>
      <c r="BG15" s="320"/>
      <c r="BH15" s="320"/>
      <c r="BI15" s="320"/>
      <c r="BJ15" s="320"/>
      <c r="BK15" s="320"/>
      <c r="BL15" s="320"/>
      <c r="BM15" s="320"/>
      <c r="BN15" s="320"/>
      <c r="BO15" s="320"/>
      <c r="BP15" s="320"/>
      <c r="BQ15" s="320"/>
      <c r="BR15" s="320"/>
      <c r="BS15" s="320"/>
      <c r="BT15" s="320"/>
      <c r="BU15" s="320"/>
      <c r="BV15" s="320"/>
      <c r="BW15" s="320"/>
      <c r="BX15" s="320"/>
      <c r="BY15" s="320"/>
      <c r="BZ15" s="320"/>
      <c r="CA15" s="320"/>
      <c r="CB15" s="320"/>
      <c r="CC15" s="320"/>
      <c r="CD15" s="332"/>
      <c r="CE15" s="274"/>
      <c r="CF15" s="226"/>
      <c r="CG15" s="226"/>
      <c r="CH15" s="226"/>
      <c r="CI15" s="226"/>
      <c r="CJ15" s="226"/>
      <c r="CK15" s="226"/>
      <c r="CL15" s="226"/>
      <c r="CM15" s="226"/>
      <c r="CN15" s="226"/>
      <c r="CO15" s="226"/>
      <c r="CP15" s="226"/>
      <c r="CQ15" s="226"/>
      <c r="CR15" s="226"/>
      <c r="CS15" s="226"/>
      <c r="CT15" s="226"/>
      <c r="CU15" s="226"/>
      <c r="CV15" s="226"/>
      <c r="CW15" s="226"/>
      <c r="CX15" s="226"/>
      <c r="CY15" s="226"/>
      <c r="CZ15" s="226"/>
      <c r="DA15" s="226"/>
      <c r="DB15" s="226"/>
      <c r="DC15" s="226"/>
      <c r="DD15" s="226"/>
      <c r="DE15" s="226"/>
      <c r="DF15" s="226"/>
      <c r="DG15" s="226"/>
      <c r="DH15" s="226"/>
      <c r="DI15" s="226"/>
      <c r="DJ15" s="226"/>
      <c r="DK15" s="226"/>
      <c r="DL15" s="226"/>
      <c r="DM15" s="226"/>
      <c r="DN15" s="226"/>
      <c r="DO15" s="226"/>
      <c r="DP15" s="226"/>
      <c r="DQ15" s="226"/>
      <c r="DR15" s="226"/>
      <c r="DS15" s="226"/>
      <c r="DT15" s="226"/>
      <c r="DU15" s="226"/>
      <c r="DV15" s="226"/>
      <c r="DW15" s="226"/>
      <c r="DX15" s="226"/>
      <c r="DY15" s="226"/>
      <c r="DZ15" s="226"/>
      <c r="EA15" s="226"/>
      <c r="EB15" s="226"/>
      <c r="EC15" s="226"/>
      <c r="ED15" s="226"/>
      <c r="EE15" s="226"/>
      <c r="EF15" s="226"/>
      <c r="EG15" s="226"/>
      <c r="EH15" s="226"/>
      <c r="EI15" s="226"/>
      <c r="EJ15" s="226"/>
      <c r="EK15" s="226"/>
      <c r="EL15" s="226"/>
      <c r="EM15" s="226"/>
      <c r="EN15" s="226"/>
      <c r="EO15" s="226"/>
      <c r="EP15" s="226"/>
      <c r="EQ15" s="226"/>
      <c r="ER15" s="226"/>
      <c r="ES15" s="226"/>
      <c r="ET15" s="226"/>
      <c r="EU15" s="226"/>
      <c r="EV15" s="226"/>
      <c r="EW15" s="226"/>
      <c r="EX15" s="226"/>
      <c r="EY15" s="226"/>
      <c r="EZ15" s="226"/>
      <c r="FA15" s="226"/>
      <c r="FB15" s="226"/>
      <c r="FC15" s="226"/>
      <c r="FD15" s="226"/>
      <c r="FE15" s="226"/>
      <c r="FF15" s="226"/>
      <c r="FG15" s="226"/>
      <c r="FH15" s="226"/>
      <c r="FI15" s="226"/>
      <c r="FJ15" s="226"/>
      <c r="FK15" s="226"/>
      <c r="FL15" s="226"/>
      <c r="FM15" s="226"/>
      <c r="FN15" s="226"/>
      <c r="FO15" s="226"/>
      <c r="FP15" s="226"/>
      <c r="FQ15" s="226"/>
      <c r="FR15" s="226"/>
      <c r="FS15" s="226"/>
      <c r="FT15" s="226"/>
      <c r="FU15" s="226"/>
      <c r="FV15" s="226"/>
      <c r="FW15" s="226"/>
      <c r="FX15" s="226"/>
      <c r="FY15" s="226"/>
      <c r="FZ15" s="226"/>
      <c r="GA15" s="226"/>
      <c r="GB15" s="226"/>
      <c r="GC15" s="226"/>
      <c r="GD15" s="226"/>
      <c r="GE15" s="226"/>
      <c r="GF15" s="226"/>
      <c r="GG15" s="226"/>
      <c r="GH15" s="226"/>
      <c r="GI15" s="226"/>
      <c r="GJ15" s="226"/>
      <c r="GK15" s="226"/>
      <c r="GL15" s="226"/>
      <c r="GM15" s="226"/>
      <c r="GN15" s="226"/>
      <c r="GO15" s="226"/>
      <c r="GP15" s="226"/>
      <c r="GQ15" s="226"/>
      <c r="GR15" s="226"/>
      <c r="GS15" s="226"/>
      <c r="GT15" s="226"/>
      <c r="GU15" s="226"/>
      <c r="GV15" s="226"/>
      <c r="GW15" s="226"/>
      <c r="GX15" s="226"/>
      <c r="GY15" s="226"/>
      <c r="GZ15" s="226"/>
      <c r="HA15" s="226"/>
      <c r="HB15" s="226"/>
      <c r="HC15" s="226"/>
      <c r="HD15" s="226"/>
      <c r="NP15" s="322" t="s">
        <v>126</v>
      </c>
      <c r="NQ15" s="322"/>
      <c r="NR15" s="322"/>
      <c r="NS15" s="322" t="s">
        <v>1</v>
      </c>
      <c r="NT15" s="408">
        <f>IF(H18=PD6,0,IF(H18=PD7,1,IF(H18=PD8,1,IF(H18=PD9,1.7,IF(H18=PD10,2)))))</f>
        <v>2</v>
      </c>
      <c r="NU15" s="408"/>
      <c r="NV15" s="408"/>
      <c r="NW15" s="322" t="s">
        <v>0</v>
      </c>
      <c r="NX15" s="346"/>
      <c r="NY15" s="346"/>
      <c r="NZ15" s="346"/>
      <c r="OE15" s="15"/>
      <c r="OF15" s="302"/>
      <c r="OG15" s="302"/>
      <c r="OH15" s="302"/>
      <c r="OI15" s="302"/>
      <c r="OJ15" s="302"/>
      <c r="OK15" s="4">
        <v>300</v>
      </c>
      <c r="OL15" s="302"/>
      <c r="OM15" s="302"/>
      <c r="ON15" s="302"/>
      <c r="OO15" s="122">
        <v>45</v>
      </c>
      <c r="OP15" s="8">
        <v>0.25</v>
      </c>
      <c r="OQ15" s="297"/>
      <c r="OR15" s="302"/>
      <c r="OS15" s="302"/>
      <c r="OT15" s="302"/>
      <c r="OU15" s="302"/>
      <c r="OV15" s="11" t="s">
        <v>0</v>
      </c>
      <c r="OW15" s="302"/>
      <c r="OX15" s="11">
        <v>32</v>
      </c>
      <c r="OY15" s="122"/>
      <c r="OZ15" s="335">
        <f>IF(H4&gt;=3000,OX15,OV15)</f>
        <v>32</v>
      </c>
      <c r="PA15" s="302"/>
      <c r="PB15" s="121"/>
      <c r="PC15" s="302"/>
      <c r="PD15" s="103"/>
      <c r="PE15" s="103"/>
      <c r="PF15" s="302"/>
      <c r="PG15" s="302"/>
      <c r="PH15" s="302"/>
      <c r="PI15" s="302"/>
      <c r="PJ15" s="302"/>
      <c r="PK15" s="302"/>
      <c r="PL15" s="302"/>
      <c r="PM15" s="302"/>
      <c r="QC15" s="78" t="s">
        <v>136</v>
      </c>
    </row>
    <row r="16" spans="1:467" ht="14.1" customHeight="1" thickBot="1" x14ac:dyDescent="0.25">
      <c r="A16" s="112"/>
      <c r="B16" s="60"/>
      <c r="C16" s="28"/>
      <c r="D16" s="437" t="s">
        <v>75</v>
      </c>
      <c r="E16" s="437"/>
      <c r="F16" s="437"/>
      <c r="G16" s="437"/>
      <c r="H16" s="437"/>
      <c r="I16" s="29"/>
      <c r="J16" s="28"/>
      <c r="K16" s="28"/>
      <c r="L16" s="28"/>
      <c r="M16" s="28"/>
      <c r="N16" s="28"/>
      <c r="O16" s="28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40"/>
      <c r="AG16" s="331"/>
      <c r="AH16" s="320"/>
      <c r="AI16" s="320"/>
      <c r="AJ16" s="320"/>
      <c r="AK16" s="320"/>
      <c r="AL16" s="320"/>
      <c r="AM16" s="320"/>
      <c r="AN16" s="320"/>
      <c r="AO16" s="320"/>
      <c r="AP16" s="320"/>
      <c r="AQ16" s="320"/>
      <c r="AR16" s="320"/>
      <c r="AS16" s="320"/>
      <c r="AT16" s="320"/>
      <c r="AU16" s="320"/>
      <c r="AV16" s="320"/>
      <c r="AW16" s="320"/>
      <c r="AX16" s="320"/>
      <c r="AY16" s="320"/>
      <c r="AZ16" s="320"/>
      <c r="BA16" s="320"/>
      <c r="BB16" s="320"/>
      <c r="BC16" s="320"/>
      <c r="BD16" s="320"/>
      <c r="BE16" s="320"/>
      <c r="BF16" s="320"/>
      <c r="BG16" s="320"/>
      <c r="BH16" s="320"/>
      <c r="BI16" s="320"/>
      <c r="BJ16" s="320"/>
      <c r="BK16" s="320"/>
      <c r="BL16" s="320"/>
      <c r="BM16" s="320"/>
      <c r="BN16" s="320"/>
      <c r="BO16" s="320"/>
      <c r="BP16" s="320"/>
      <c r="BQ16" s="320"/>
      <c r="BR16" s="320"/>
      <c r="BS16" s="320"/>
      <c r="BT16" s="320"/>
      <c r="BU16" s="320"/>
      <c r="BV16" s="320"/>
      <c r="BW16" s="320"/>
      <c r="BX16" s="320"/>
      <c r="BY16" s="320"/>
      <c r="BZ16" s="320"/>
      <c r="CA16" s="320"/>
      <c r="CB16" s="320"/>
      <c r="CC16" s="320"/>
      <c r="CD16" s="332"/>
      <c r="CE16" s="274"/>
      <c r="CF16" s="226"/>
      <c r="CG16" s="226"/>
      <c r="CH16" s="226"/>
      <c r="CI16" s="226"/>
      <c r="CJ16" s="226"/>
      <c r="CK16" s="226"/>
      <c r="CL16" s="226"/>
      <c r="CM16" s="226"/>
      <c r="CN16" s="226"/>
      <c r="CO16" s="226"/>
      <c r="CP16" s="226"/>
      <c r="CQ16" s="226"/>
      <c r="CR16" s="226"/>
      <c r="CS16" s="226"/>
      <c r="CT16" s="226"/>
      <c r="CU16" s="226"/>
      <c r="CV16" s="226"/>
      <c r="CW16" s="226"/>
      <c r="CX16" s="226"/>
      <c r="CY16" s="226"/>
      <c r="CZ16" s="226"/>
      <c r="DA16" s="226"/>
      <c r="DB16" s="226"/>
      <c r="DC16" s="226"/>
      <c r="DD16" s="226"/>
      <c r="DE16" s="226"/>
      <c r="DF16" s="226"/>
      <c r="DG16" s="226"/>
      <c r="DH16" s="226"/>
      <c r="DI16" s="226"/>
      <c r="DJ16" s="226"/>
      <c r="DK16" s="226"/>
      <c r="DL16" s="226"/>
      <c r="DM16" s="226"/>
      <c r="DN16" s="226"/>
      <c r="DO16" s="226"/>
      <c r="DP16" s="226"/>
      <c r="DQ16" s="226"/>
      <c r="DR16" s="226"/>
      <c r="DS16" s="226"/>
      <c r="DT16" s="226"/>
      <c r="DU16" s="226"/>
      <c r="DV16" s="226"/>
      <c r="DW16" s="226"/>
      <c r="DX16" s="226"/>
      <c r="DY16" s="226"/>
      <c r="DZ16" s="226"/>
      <c r="EA16" s="226"/>
      <c r="EB16" s="226"/>
      <c r="EC16" s="226"/>
      <c r="ED16" s="226"/>
      <c r="EE16" s="226"/>
      <c r="EF16" s="226"/>
      <c r="EG16" s="226"/>
      <c r="EH16" s="226"/>
      <c r="EI16" s="226"/>
      <c r="EJ16" s="226"/>
      <c r="EK16" s="226"/>
      <c r="EL16" s="226"/>
      <c r="EM16" s="226"/>
      <c r="EN16" s="226"/>
      <c r="EO16" s="226"/>
      <c r="EP16" s="226"/>
      <c r="EQ16" s="226"/>
      <c r="ER16" s="226"/>
      <c r="ES16" s="226"/>
      <c r="ET16" s="226"/>
      <c r="EU16" s="226"/>
      <c r="EV16" s="226"/>
      <c r="EW16" s="226"/>
      <c r="EX16" s="226"/>
      <c r="EY16" s="226"/>
      <c r="EZ16" s="226"/>
      <c r="FA16" s="226"/>
      <c r="FB16" s="226"/>
      <c r="FC16" s="226"/>
      <c r="FD16" s="226"/>
      <c r="FE16" s="226"/>
      <c r="FF16" s="226"/>
      <c r="FG16" s="226"/>
      <c r="FH16" s="226"/>
      <c r="FI16" s="226"/>
      <c r="FJ16" s="226"/>
      <c r="FK16" s="226"/>
      <c r="FL16" s="226"/>
      <c r="FM16" s="226"/>
      <c r="FN16" s="226"/>
      <c r="FO16" s="226"/>
      <c r="FP16" s="226"/>
      <c r="FQ16" s="226"/>
      <c r="FR16" s="226"/>
      <c r="FS16" s="226"/>
      <c r="FT16" s="226"/>
      <c r="FU16" s="226"/>
      <c r="FV16" s="226"/>
      <c r="FW16" s="226"/>
      <c r="FX16" s="226"/>
      <c r="FY16" s="226"/>
      <c r="FZ16" s="226"/>
      <c r="GA16" s="226"/>
      <c r="GB16" s="226"/>
      <c r="GC16" s="226"/>
      <c r="GD16" s="226"/>
      <c r="GE16" s="226"/>
      <c r="GF16" s="226"/>
      <c r="GG16" s="226"/>
      <c r="GH16" s="226"/>
      <c r="GI16" s="226"/>
      <c r="GJ16" s="226"/>
      <c r="GK16" s="226"/>
      <c r="GL16" s="226"/>
      <c r="GM16" s="226"/>
      <c r="GN16" s="226"/>
      <c r="GO16" s="226"/>
      <c r="GP16" s="226"/>
      <c r="GQ16" s="226"/>
      <c r="GR16" s="226"/>
      <c r="GS16" s="226"/>
      <c r="GT16" s="226"/>
      <c r="GU16" s="226"/>
      <c r="GV16" s="226"/>
      <c r="GW16" s="226"/>
      <c r="GX16" s="226"/>
      <c r="GY16" s="226"/>
      <c r="GZ16" s="226"/>
      <c r="HA16" s="226"/>
      <c r="HB16" s="226"/>
      <c r="HC16" s="226"/>
      <c r="HD16" s="226"/>
      <c r="NP16" s="322" t="s">
        <v>97</v>
      </c>
      <c r="NQ16" s="322"/>
      <c r="NR16" s="322"/>
      <c r="NS16" s="322" t="s">
        <v>1</v>
      </c>
      <c r="NT16" s="409">
        <f>W24</f>
        <v>32664.399999999998</v>
      </c>
      <c r="NU16" s="409"/>
      <c r="NV16" s="409"/>
      <c r="NW16" s="301" t="s">
        <v>17</v>
      </c>
      <c r="NX16" s="322"/>
      <c r="NY16" s="346"/>
      <c r="NZ16" s="346"/>
      <c r="OE16" s="15"/>
      <c r="OF16" s="302"/>
      <c r="OG16" s="302"/>
      <c r="OH16" s="302"/>
      <c r="OI16" s="302"/>
      <c r="OJ16" s="302"/>
      <c r="OK16" s="4">
        <v>320</v>
      </c>
      <c r="OL16" s="302"/>
      <c r="OM16" s="302"/>
      <c r="ON16" s="302"/>
      <c r="OO16" s="122">
        <v>50</v>
      </c>
      <c r="OP16" s="8">
        <v>0.27500000000000002</v>
      </c>
      <c r="OQ16" s="297"/>
      <c r="OR16" s="302"/>
      <c r="OS16" s="302"/>
      <c r="OT16" s="302"/>
      <c r="OU16" s="302"/>
      <c r="OV16" s="302"/>
      <c r="OW16" s="302"/>
      <c r="OX16" s="302"/>
      <c r="OY16" s="302"/>
      <c r="OZ16" s="534">
        <f>(PI()*(W19/10)^2)/4</f>
        <v>2.0106192982974678</v>
      </c>
      <c r="PA16" s="534"/>
      <c r="PB16" s="302"/>
      <c r="PC16" s="302"/>
      <c r="PE16" s="103"/>
      <c r="PF16" s="323"/>
      <c r="PG16" s="323"/>
      <c r="PH16" s="323"/>
      <c r="PI16" s="323"/>
      <c r="PJ16" s="323"/>
      <c r="PK16" s="323"/>
      <c r="PL16" s="323"/>
      <c r="PM16" s="323"/>
      <c r="QC16" s="78" t="s">
        <v>23</v>
      </c>
      <c r="QD16" s="354">
        <f>QD10</f>
        <v>-0.5</v>
      </c>
      <c r="QE16" s="354">
        <f>QD16+(((QC3/2)-(QC5/2)-QC7)/QC3)</f>
        <v>-0.22642857142857142</v>
      </c>
      <c r="QF16" s="354">
        <f>QE16</f>
        <v>-0.22642857142857142</v>
      </c>
      <c r="QG16" s="354">
        <f>QD16</f>
        <v>-0.5</v>
      </c>
      <c r="QH16" s="354">
        <f>QD16</f>
        <v>-0.5</v>
      </c>
    </row>
    <row r="17" spans="1:521" ht="14.1" customHeight="1" thickBot="1" x14ac:dyDescent="0.3">
      <c r="A17" s="112"/>
      <c r="B17" s="60"/>
      <c r="C17" s="22"/>
      <c r="D17" s="438"/>
      <c r="E17" s="438"/>
      <c r="F17" s="438"/>
      <c r="G17" s="438"/>
      <c r="H17" s="438"/>
      <c r="I17" s="25"/>
      <c r="J17" s="140"/>
      <c r="K17" s="140"/>
      <c r="L17" s="140"/>
      <c r="M17" s="140"/>
      <c r="N17" s="140"/>
      <c r="O17" s="21"/>
      <c r="P17" s="16"/>
      <c r="Q17" s="425" t="s">
        <v>45</v>
      </c>
      <c r="R17" s="426"/>
      <c r="S17" s="427"/>
      <c r="T17" s="491" t="s">
        <v>182</v>
      </c>
      <c r="U17" s="492"/>
      <c r="V17" s="493"/>
      <c r="W17" s="494">
        <v>1.4</v>
      </c>
      <c r="X17" s="495"/>
      <c r="Y17" s="495"/>
      <c r="Z17" s="495"/>
      <c r="AA17" s="495"/>
      <c r="AB17" s="495"/>
      <c r="AC17" s="498" t="s">
        <v>227</v>
      </c>
      <c r="AD17" s="499"/>
      <c r="AE17" s="500"/>
      <c r="AF17" s="140"/>
      <c r="AG17" s="331"/>
      <c r="AH17" s="320"/>
      <c r="AI17" s="320"/>
      <c r="AJ17" s="320"/>
      <c r="AK17" s="320"/>
      <c r="AL17" s="320"/>
      <c r="AM17" s="320"/>
      <c r="AN17" s="320"/>
      <c r="AO17" s="320"/>
      <c r="AP17" s="320"/>
      <c r="AQ17" s="320"/>
      <c r="AR17" s="320"/>
      <c r="AS17" s="320"/>
      <c r="AT17" s="320"/>
      <c r="AU17" s="320"/>
      <c r="AV17" s="320"/>
      <c r="AW17" s="320"/>
      <c r="AX17" s="320"/>
      <c r="AY17" s="320"/>
      <c r="AZ17" s="320"/>
      <c r="BA17" s="320"/>
      <c r="BB17" s="320"/>
      <c r="BC17" s="320"/>
      <c r="BD17" s="320"/>
      <c r="BE17" s="320"/>
      <c r="BF17" s="320"/>
      <c r="BG17" s="320"/>
      <c r="BH17" s="320"/>
      <c r="BI17" s="320"/>
      <c r="BJ17" s="320"/>
      <c r="BK17" s="320"/>
      <c r="BL17" s="320"/>
      <c r="BM17" s="320"/>
      <c r="BN17" s="320"/>
      <c r="BO17" s="320"/>
      <c r="BP17" s="320"/>
      <c r="BQ17" s="320"/>
      <c r="BR17" s="320"/>
      <c r="BS17" s="320"/>
      <c r="BT17" s="320"/>
      <c r="BU17" s="320"/>
      <c r="BV17" s="320"/>
      <c r="BW17" s="320"/>
      <c r="BX17" s="320"/>
      <c r="BY17" s="320"/>
      <c r="BZ17" s="320"/>
      <c r="CA17" s="320"/>
      <c r="CB17" s="320"/>
      <c r="CC17" s="320"/>
      <c r="CD17" s="332"/>
      <c r="CE17" s="274"/>
      <c r="CF17" s="226"/>
      <c r="CG17" s="226"/>
      <c r="CH17" s="226"/>
      <c r="CI17" s="226"/>
      <c r="CJ17" s="226"/>
      <c r="CK17" s="226"/>
      <c r="CL17" s="226"/>
      <c r="CM17" s="226"/>
      <c r="CN17" s="226"/>
      <c r="CO17" s="226"/>
      <c r="CP17" s="226"/>
      <c r="CQ17" s="226"/>
      <c r="CR17" s="226"/>
      <c r="CS17" s="226"/>
      <c r="CT17" s="226"/>
      <c r="CU17" s="226"/>
      <c r="CV17" s="226"/>
      <c r="CW17" s="226"/>
      <c r="CX17" s="226"/>
      <c r="CY17" s="226"/>
      <c r="CZ17" s="226"/>
      <c r="DA17" s="226"/>
      <c r="DB17" s="226"/>
      <c r="DC17" s="226"/>
      <c r="DD17" s="226"/>
      <c r="DE17" s="226"/>
      <c r="DF17" s="226"/>
      <c r="DG17" s="226"/>
      <c r="DH17" s="226"/>
      <c r="DI17" s="226"/>
      <c r="DJ17" s="226"/>
      <c r="DK17" s="226"/>
      <c r="DL17" s="226"/>
      <c r="DM17" s="226"/>
      <c r="DN17" s="226"/>
      <c r="DO17" s="226"/>
      <c r="DP17" s="226"/>
      <c r="DQ17" s="226"/>
      <c r="DR17" s="226"/>
      <c r="DS17" s="226"/>
      <c r="DT17" s="226"/>
      <c r="DU17" s="226"/>
      <c r="DV17" s="226"/>
      <c r="DW17" s="226"/>
      <c r="DX17" s="226"/>
      <c r="DY17" s="226"/>
      <c r="DZ17" s="226"/>
      <c r="EA17" s="226"/>
      <c r="EB17" s="226"/>
      <c r="EC17" s="226"/>
      <c r="ED17" s="226"/>
      <c r="EE17" s="226"/>
      <c r="EF17" s="226"/>
      <c r="EG17" s="226"/>
      <c r="EH17" s="226"/>
      <c r="EI17" s="226"/>
      <c r="EJ17" s="226"/>
      <c r="EK17" s="226"/>
      <c r="EL17" s="226"/>
      <c r="EM17" s="226"/>
      <c r="EN17" s="226"/>
      <c r="EO17" s="226"/>
      <c r="EP17" s="226"/>
      <c r="EQ17" s="226"/>
      <c r="ER17" s="226"/>
      <c r="ES17" s="226"/>
      <c r="ET17" s="226"/>
      <c r="EU17" s="226"/>
      <c r="EV17" s="226"/>
      <c r="EW17" s="226"/>
      <c r="EX17" s="226"/>
      <c r="EY17" s="226"/>
      <c r="EZ17" s="226"/>
      <c r="FA17" s="226"/>
      <c r="FB17" s="226"/>
      <c r="FC17" s="226"/>
      <c r="FD17" s="226"/>
      <c r="FE17" s="226"/>
      <c r="FF17" s="226"/>
      <c r="FG17" s="226"/>
      <c r="FH17" s="226"/>
      <c r="FI17" s="226"/>
      <c r="FJ17" s="226"/>
      <c r="FK17" s="226"/>
      <c r="FL17" s="226"/>
      <c r="FM17" s="226"/>
      <c r="FN17" s="226"/>
      <c r="FO17" s="226"/>
      <c r="FP17" s="226"/>
      <c r="FQ17" s="226"/>
      <c r="FR17" s="226"/>
      <c r="FS17" s="226"/>
      <c r="FT17" s="226"/>
      <c r="FU17" s="226"/>
      <c r="FV17" s="226"/>
      <c r="FW17" s="226"/>
      <c r="FX17" s="226"/>
      <c r="FY17" s="226"/>
      <c r="FZ17" s="226"/>
      <c r="GA17" s="226"/>
      <c r="GB17" s="226"/>
      <c r="GC17" s="226"/>
      <c r="GD17" s="226"/>
      <c r="GE17" s="226"/>
      <c r="GF17" s="226"/>
      <c r="GG17" s="226"/>
      <c r="GH17" s="226"/>
      <c r="GI17" s="226"/>
      <c r="GJ17" s="226"/>
      <c r="GK17" s="226"/>
      <c r="GL17" s="226"/>
      <c r="GM17" s="226"/>
      <c r="GN17" s="226"/>
      <c r="GO17" s="226"/>
      <c r="GP17" s="226"/>
      <c r="GQ17" s="226"/>
      <c r="GR17" s="226"/>
      <c r="GS17" s="226"/>
      <c r="GT17" s="226"/>
      <c r="GU17" s="226"/>
      <c r="GV17" s="226"/>
      <c r="GW17" s="226"/>
      <c r="GX17" s="226"/>
      <c r="GY17" s="226"/>
      <c r="GZ17" s="226"/>
      <c r="HA17" s="226"/>
      <c r="HB17" s="226"/>
      <c r="HC17" s="226"/>
      <c r="HD17" s="226"/>
      <c r="NP17" s="346" t="s">
        <v>162</v>
      </c>
      <c r="NQ17" s="346"/>
      <c r="NR17" s="346"/>
      <c r="NS17" s="322" t="s">
        <v>1</v>
      </c>
      <c r="NT17" s="380">
        <f>NT16/NT13</f>
        <v>16665.510204081635</v>
      </c>
      <c r="NU17" s="380"/>
      <c r="NV17" s="380"/>
      <c r="NW17" s="346" t="s">
        <v>116</v>
      </c>
      <c r="NX17" s="346"/>
      <c r="NY17" s="346"/>
      <c r="NZ17" s="346"/>
      <c r="OE17" s="302"/>
      <c r="OF17" s="302"/>
      <c r="OG17" s="302"/>
      <c r="OH17" s="302"/>
      <c r="OI17" s="302"/>
      <c r="OJ17" s="302"/>
      <c r="OK17" s="6">
        <v>350</v>
      </c>
      <c r="OL17" s="302"/>
      <c r="OM17" s="302"/>
      <c r="ON17" s="302"/>
      <c r="OO17" s="122">
        <v>55</v>
      </c>
      <c r="OP17" s="8">
        <v>0.3</v>
      </c>
      <c r="OQ17" s="297"/>
      <c r="OR17" s="302"/>
      <c r="OS17" s="302"/>
      <c r="OT17" s="302"/>
      <c r="OU17" s="302"/>
      <c r="OV17" s="302"/>
      <c r="OW17" s="302"/>
      <c r="OX17" s="302"/>
      <c r="OY17" s="302"/>
      <c r="OZ17" s="302"/>
      <c r="PA17" s="302"/>
      <c r="PB17" s="302"/>
      <c r="PC17" s="302"/>
      <c r="PE17" s="103"/>
      <c r="PF17" s="302"/>
      <c r="PG17" s="302"/>
      <c r="PH17" s="302"/>
      <c r="PI17" s="302"/>
      <c r="PJ17" s="302"/>
      <c r="PK17" s="302"/>
      <c r="PL17" s="302"/>
      <c r="PM17" s="302"/>
      <c r="QC17" s="78" t="s">
        <v>24</v>
      </c>
      <c r="QD17" s="354">
        <f>QD11</f>
        <v>0.5</v>
      </c>
      <c r="QE17" s="354">
        <f>QE11</f>
        <v>0.5</v>
      </c>
      <c r="QF17" s="354">
        <f>QF11</f>
        <v>-0.5</v>
      </c>
      <c r="QG17" s="354">
        <f>QG11</f>
        <v>-0.5</v>
      </c>
      <c r="QH17" s="354">
        <f>QH11</f>
        <v>0.5</v>
      </c>
    </row>
    <row r="18" spans="1:521" ht="14.1" customHeight="1" x14ac:dyDescent="0.2">
      <c r="A18" s="112"/>
      <c r="B18" s="60"/>
      <c r="C18" s="22"/>
      <c r="D18" s="140"/>
      <c r="E18" s="27"/>
      <c r="F18" s="30" t="s">
        <v>84</v>
      </c>
      <c r="G18" s="27"/>
      <c r="H18" s="417" t="s">
        <v>7</v>
      </c>
      <c r="I18" s="418"/>
      <c r="J18" s="418"/>
      <c r="K18" s="419"/>
      <c r="L18" s="140"/>
      <c r="M18" s="140"/>
      <c r="N18" s="140"/>
      <c r="O18" s="77"/>
      <c r="P18" s="16"/>
      <c r="Q18" s="428"/>
      <c r="R18" s="429"/>
      <c r="S18" s="430"/>
      <c r="T18" s="434" t="s">
        <v>198</v>
      </c>
      <c r="U18" s="435"/>
      <c r="V18" s="436"/>
      <c r="W18" s="496">
        <v>1</v>
      </c>
      <c r="X18" s="497"/>
      <c r="Y18" s="497"/>
      <c r="Z18" s="497"/>
      <c r="AA18" s="497"/>
      <c r="AB18" s="497"/>
      <c r="AC18" s="501" t="s">
        <v>16</v>
      </c>
      <c r="AD18" s="502"/>
      <c r="AE18" s="503"/>
      <c r="AF18" s="140"/>
      <c r="AG18" s="331"/>
      <c r="AH18" s="320"/>
      <c r="AI18" s="320"/>
      <c r="AJ18" s="45"/>
      <c r="AK18" s="45"/>
      <c r="AL18" s="45"/>
      <c r="AM18" s="356"/>
      <c r="AN18" s="356"/>
      <c r="AO18" s="356"/>
      <c r="AP18" s="356"/>
      <c r="AQ18" s="356"/>
      <c r="AR18" s="356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69"/>
      <c r="CA18" s="69"/>
      <c r="CB18" s="69"/>
      <c r="CC18" s="69"/>
      <c r="CD18" s="357"/>
      <c r="CE18" s="206"/>
      <c r="CF18" s="165"/>
      <c r="CG18" s="165"/>
      <c r="CH18" s="165"/>
      <c r="CI18" s="165"/>
      <c r="CJ18" s="165"/>
      <c r="CK18" s="165"/>
      <c r="CL18" s="165"/>
      <c r="CM18" s="165"/>
      <c r="CN18" s="165"/>
      <c r="CO18" s="165"/>
      <c r="CP18" s="165"/>
      <c r="CQ18" s="165"/>
      <c r="CR18" s="165"/>
      <c r="CS18" s="165"/>
      <c r="CT18" s="165"/>
      <c r="CU18" s="165"/>
      <c r="CV18" s="165"/>
      <c r="CW18" s="165"/>
      <c r="CX18" s="165"/>
      <c r="CY18" s="165"/>
      <c r="CZ18" s="165"/>
      <c r="DA18" s="165"/>
      <c r="DB18" s="165"/>
      <c r="DC18" s="165"/>
      <c r="DD18" s="165"/>
      <c r="DE18" s="165"/>
      <c r="DF18" s="165"/>
      <c r="DG18" s="165"/>
      <c r="DH18" s="165"/>
      <c r="DI18" s="165"/>
      <c r="DJ18" s="165"/>
      <c r="DK18" s="165"/>
      <c r="DL18" s="165"/>
      <c r="DM18" s="165"/>
      <c r="DN18" s="165"/>
      <c r="DO18" s="165"/>
      <c r="DP18" s="165"/>
      <c r="DQ18" s="165"/>
      <c r="DR18" s="165"/>
      <c r="DS18" s="165"/>
      <c r="DT18" s="165"/>
      <c r="DU18" s="165"/>
      <c r="DV18" s="165"/>
      <c r="DW18" s="165"/>
      <c r="DX18" s="165"/>
      <c r="DY18" s="165"/>
      <c r="DZ18" s="165"/>
      <c r="EA18" s="165"/>
      <c r="EB18" s="165"/>
      <c r="EC18" s="165"/>
      <c r="ED18" s="165"/>
      <c r="EE18" s="165"/>
      <c r="EF18" s="165"/>
      <c r="EG18" s="165"/>
      <c r="EH18" s="165"/>
      <c r="EI18" s="165"/>
      <c r="EJ18" s="165"/>
      <c r="EK18" s="165"/>
      <c r="EL18" s="165"/>
      <c r="EM18" s="165"/>
      <c r="EN18" s="165"/>
      <c r="EO18" s="165"/>
      <c r="EP18" s="165"/>
      <c r="EQ18" s="165"/>
      <c r="ER18" s="165"/>
      <c r="ES18" s="165"/>
      <c r="ET18" s="165"/>
      <c r="EU18" s="165"/>
      <c r="EV18" s="165"/>
      <c r="EW18" s="165"/>
      <c r="EX18" s="165"/>
      <c r="EY18" s="165"/>
      <c r="EZ18" s="165"/>
      <c r="FA18" s="165"/>
      <c r="FB18" s="165"/>
      <c r="FC18" s="165"/>
      <c r="FD18" s="165"/>
      <c r="FE18" s="165"/>
      <c r="FF18" s="165"/>
      <c r="FG18" s="165"/>
      <c r="FH18" s="165"/>
      <c r="FI18" s="165"/>
      <c r="FJ18" s="165"/>
      <c r="FK18" s="165"/>
      <c r="FL18" s="165"/>
      <c r="FM18" s="165"/>
      <c r="FN18" s="165"/>
      <c r="FO18" s="165"/>
      <c r="FP18" s="165"/>
      <c r="FQ18" s="165"/>
      <c r="FR18" s="165"/>
      <c r="FS18" s="165"/>
      <c r="FT18" s="165"/>
      <c r="FU18" s="165"/>
      <c r="FV18" s="165"/>
      <c r="FW18" s="165"/>
      <c r="FX18" s="165"/>
      <c r="FY18" s="165"/>
      <c r="FZ18" s="165"/>
      <c r="GA18" s="165"/>
      <c r="GB18" s="165"/>
      <c r="GC18" s="165"/>
      <c r="GD18" s="165"/>
      <c r="GE18" s="165"/>
      <c r="GF18" s="165"/>
      <c r="GG18" s="165"/>
      <c r="GH18" s="165"/>
      <c r="GI18" s="165"/>
      <c r="GJ18" s="165"/>
      <c r="GK18" s="165"/>
      <c r="GL18" s="165"/>
      <c r="GM18" s="165"/>
      <c r="GN18" s="165"/>
      <c r="GO18" s="165"/>
      <c r="GP18" s="165"/>
      <c r="GQ18" s="165"/>
      <c r="GR18" s="165"/>
      <c r="GS18" s="165"/>
      <c r="GT18" s="165"/>
      <c r="GU18" s="165"/>
      <c r="GV18" s="165"/>
      <c r="GW18" s="165"/>
      <c r="GX18" s="165"/>
      <c r="GY18" s="165"/>
      <c r="GZ18" s="165"/>
      <c r="HA18" s="165"/>
      <c r="HB18" s="165"/>
      <c r="HC18" s="165"/>
      <c r="HD18" s="165"/>
      <c r="HE18" s="152"/>
      <c r="HF18" s="152"/>
      <c r="HG18" s="152"/>
      <c r="HH18" s="152"/>
      <c r="HI18" s="152"/>
      <c r="HJ18" s="152"/>
      <c r="HK18" s="152"/>
      <c r="HL18" s="152"/>
      <c r="HM18" s="152"/>
      <c r="HN18" s="152"/>
      <c r="HO18" s="152"/>
      <c r="HP18" s="152"/>
      <c r="HQ18" s="152"/>
      <c r="HR18" s="152"/>
      <c r="HS18" s="152"/>
      <c r="HT18" s="152"/>
      <c r="HU18" s="152"/>
      <c r="HV18" s="152"/>
      <c r="HW18" s="152"/>
      <c r="HX18" s="152"/>
      <c r="HY18" s="152"/>
      <c r="HZ18" s="152"/>
      <c r="IA18" s="152"/>
      <c r="IB18" s="152"/>
      <c r="IC18" s="152"/>
      <c r="ID18" s="152"/>
      <c r="IE18" s="152"/>
      <c r="IF18" s="152"/>
      <c r="IG18" s="152"/>
      <c r="IH18" s="152"/>
      <c r="II18" s="152"/>
      <c r="IJ18" s="152"/>
      <c r="IK18" s="152"/>
      <c r="IL18" s="152"/>
      <c r="IM18" s="152"/>
      <c r="IN18" s="152"/>
      <c r="IO18" s="152"/>
      <c r="IP18" s="152"/>
      <c r="IQ18" s="152"/>
      <c r="IR18" s="152"/>
      <c r="IS18" s="152"/>
      <c r="IT18" s="152"/>
      <c r="IU18" s="152"/>
      <c r="IV18" s="152"/>
      <c r="IW18" s="152"/>
      <c r="IX18" s="152"/>
      <c r="IY18" s="152"/>
      <c r="IZ18" s="152"/>
      <c r="JA18" s="152"/>
      <c r="JB18" s="152"/>
      <c r="JC18" s="152"/>
      <c r="JD18" s="152"/>
      <c r="JE18" s="152"/>
      <c r="JF18" s="152"/>
      <c r="JG18" s="152"/>
      <c r="JH18" s="152"/>
      <c r="JI18" s="152"/>
      <c r="JJ18" s="152"/>
      <c r="JK18" s="152"/>
      <c r="JL18" s="152"/>
      <c r="JM18" s="152"/>
      <c r="JN18" s="152"/>
      <c r="JO18" s="152"/>
      <c r="JP18" s="152"/>
      <c r="JQ18" s="152"/>
      <c r="JR18" s="152"/>
      <c r="JS18" s="152"/>
      <c r="JT18" s="152"/>
      <c r="JU18" s="152"/>
      <c r="JV18" s="152"/>
      <c r="JW18" s="152"/>
      <c r="JX18" s="152"/>
      <c r="JY18" s="152"/>
      <c r="JZ18" s="152"/>
      <c r="KA18" s="152"/>
      <c r="KB18" s="152"/>
      <c r="KC18" s="152"/>
      <c r="KD18" s="152"/>
      <c r="KE18" s="152"/>
      <c r="KF18" s="152"/>
      <c r="KG18" s="152"/>
      <c r="KH18" s="152"/>
      <c r="KI18" s="152"/>
      <c r="KJ18" s="152"/>
      <c r="KK18" s="152"/>
      <c r="KL18" s="152"/>
      <c r="KM18" s="152"/>
      <c r="KN18" s="152"/>
      <c r="KO18" s="152"/>
      <c r="KP18" s="152"/>
      <c r="KQ18" s="152"/>
      <c r="KR18" s="152"/>
      <c r="KS18" s="152"/>
      <c r="KT18" s="152"/>
      <c r="KU18" s="152"/>
      <c r="KV18" s="152"/>
      <c r="KW18" s="152"/>
      <c r="KX18" s="152"/>
      <c r="KY18" s="152"/>
      <c r="KZ18" s="152"/>
      <c r="LA18" s="152"/>
      <c r="LB18" s="152"/>
      <c r="LC18" s="152"/>
      <c r="LD18" s="152"/>
      <c r="LE18" s="152"/>
      <c r="LF18" s="152"/>
      <c r="LG18" s="152"/>
      <c r="LH18" s="152"/>
      <c r="LI18" s="152"/>
      <c r="LJ18" s="152"/>
      <c r="LK18" s="152"/>
      <c r="LL18" s="152"/>
      <c r="LM18" s="152"/>
      <c r="LN18" s="152"/>
      <c r="LO18" s="152"/>
      <c r="LP18" s="152"/>
      <c r="LQ18" s="152"/>
      <c r="LR18" s="152"/>
      <c r="LS18" s="152"/>
      <c r="LT18" s="152"/>
      <c r="LU18" s="152"/>
      <c r="LV18" s="152"/>
      <c r="LW18" s="152"/>
      <c r="LX18" s="152"/>
      <c r="LY18" s="152"/>
      <c r="LZ18" s="152"/>
      <c r="MA18" s="152"/>
      <c r="MB18" s="152"/>
      <c r="MC18" s="152"/>
      <c r="MD18" s="152"/>
      <c r="ME18" s="152"/>
      <c r="MF18" s="152"/>
      <c r="MG18" s="152"/>
      <c r="MH18" s="152"/>
      <c r="MI18" s="152"/>
      <c r="MJ18" s="152"/>
      <c r="MK18" s="152"/>
      <c r="ML18" s="152"/>
      <c r="MM18" s="152"/>
      <c r="MN18" s="152"/>
      <c r="MO18" s="152"/>
      <c r="MP18" s="152"/>
      <c r="MQ18" s="152"/>
      <c r="MR18" s="152"/>
      <c r="MS18" s="152"/>
      <c r="MT18" s="152"/>
      <c r="MU18" s="152"/>
      <c r="MV18" s="152"/>
      <c r="MW18" s="152"/>
      <c r="MX18" s="152"/>
      <c r="MY18" s="152"/>
      <c r="MZ18" s="152"/>
      <c r="NA18" s="152"/>
      <c r="NB18" s="152"/>
      <c r="NC18" s="152"/>
      <c r="ND18" s="152"/>
      <c r="NE18" s="152"/>
      <c r="NF18" s="152"/>
      <c r="NG18" s="152"/>
      <c r="NH18" s="152"/>
      <c r="NI18" s="152"/>
      <c r="NJ18" s="152"/>
      <c r="NK18" s="152"/>
      <c r="NL18" s="152"/>
      <c r="NM18" s="152"/>
      <c r="NN18" s="152"/>
      <c r="NO18" s="152"/>
      <c r="NP18" s="346" t="s">
        <v>67</v>
      </c>
      <c r="NQ18" s="346"/>
      <c r="NR18" s="346"/>
      <c r="NS18" s="322" t="s">
        <v>1</v>
      </c>
      <c r="NT18" s="380">
        <f>H34*NT17*(((H32/2)-(QC5/2))^2/2)</f>
        <v>4199.7085714285713</v>
      </c>
      <c r="NU18" s="380"/>
      <c r="NV18" s="380"/>
      <c r="NW18" s="346" t="s">
        <v>68</v>
      </c>
      <c r="NX18" s="346"/>
      <c r="NY18" s="346"/>
      <c r="NZ18" s="346"/>
      <c r="OD18" s="338"/>
      <c r="OE18" s="15"/>
      <c r="OF18" s="302"/>
      <c r="OG18" s="302"/>
      <c r="OH18" s="302"/>
      <c r="OI18" s="302"/>
      <c r="OJ18" s="302"/>
      <c r="OK18" s="6">
        <v>380</v>
      </c>
      <c r="OL18" s="302"/>
      <c r="OM18" s="302"/>
      <c r="ON18" s="302"/>
      <c r="OO18" s="122">
        <v>60</v>
      </c>
      <c r="OP18" s="8">
        <v>0.32500000000000001</v>
      </c>
      <c r="OQ18" s="297"/>
      <c r="OR18" s="302"/>
      <c r="OS18" s="302"/>
      <c r="OT18" s="302"/>
      <c r="OU18" s="302"/>
      <c r="OV18" s="302"/>
      <c r="OW18" s="302"/>
      <c r="OX18" s="302"/>
      <c r="OY18" s="302"/>
      <c r="OZ18" s="302"/>
      <c r="PA18" s="302"/>
      <c r="PB18" s="302"/>
      <c r="PC18" s="302"/>
      <c r="PE18" s="103"/>
      <c r="PF18" s="339"/>
      <c r="PG18" s="340"/>
      <c r="PH18" s="340"/>
      <c r="PI18" s="340"/>
      <c r="PJ18" s="340"/>
      <c r="PK18" s="340"/>
      <c r="PL18" s="340"/>
      <c r="PM18" s="340"/>
      <c r="PN18" s="152"/>
      <c r="PO18" s="152"/>
      <c r="PP18" s="152"/>
      <c r="PQ18" s="152"/>
      <c r="PR18" s="152"/>
      <c r="PS18" s="152"/>
      <c r="PT18" s="152"/>
      <c r="PU18" s="152"/>
      <c r="PV18" s="152"/>
      <c r="PW18" s="152"/>
      <c r="PX18" s="152"/>
      <c r="QC18" s="78" t="s">
        <v>135</v>
      </c>
    </row>
    <row r="19" spans="1:521" ht="14.1" customHeight="1" x14ac:dyDescent="0.2">
      <c r="A19" s="112"/>
      <c r="B19" s="60"/>
      <c r="C19" s="18"/>
      <c r="D19" s="24"/>
      <c r="E19" s="24"/>
      <c r="F19" s="24"/>
      <c r="G19" s="24"/>
      <c r="H19" s="39" t="s">
        <v>87</v>
      </c>
      <c r="I19" s="28"/>
      <c r="J19" s="31"/>
      <c r="K19" s="31"/>
      <c r="L19" s="31"/>
      <c r="M19" s="31"/>
      <c r="N19" s="31"/>
      <c r="O19" s="32"/>
      <c r="P19" s="16"/>
      <c r="Q19" s="431"/>
      <c r="R19" s="432"/>
      <c r="S19" s="433"/>
      <c r="T19" s="310" t="s">
        <v>47</v>
      </c>
      <c r="U19" s="188"/>
      <c r="V19" s="311" t="str">
        <f>IF(H4&gt;=3000,"DB","RB")</f>
        <v>DB</v>
      </c>
      <c r="W19" s="445">
        <v>16</v>
      </c>
      <c r="X19" s="446"/>
      <c r="Y19" s="446"/>
      <c r="Z19" s="446"/>
      <c r="AA19" s="446"/>
      <c r="AB19" s="447"/>
      <c r="AC19" s="235" t="s">
        <v>72</v>
      </c>
      <c r="AD19" s="236"/>
      <c r="AE19" s="237"/>
      <c r="AF19" s="140"/>
      <c r="AG19" s="331"/>
      <c r="AH19" s="320"/>
      <c r="AI19" s="320"/>
      <c r="AJ19" s="45"/>
      <c r="AK19" s="45"/>
      <c r="AL19" s="45"/>
      <c r="AM19" s="356"/>
      <c r="AN19" s="356"/>
      <c r="AO19" s="356"/>
      <c r="AP19" s="356"/>
      <c r="AQ19" s="356"/>
      <c r="AR19" s="356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232"/>
      <c r="CE19" s="110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  <c r="DF19" s="27"/>
      <c r="DG19" s="27"/>
      <c r="DH19" s="27"/>
      <c r="DI19" s="27"/>
      <c r="DJ19" s="27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27"/>
      <c r="EW19" s="27"/>
      <c r="EX19" s="27"/>
      <c r="EY19" s="27"/>
      <c r="EZ19" s="27"/>
      <c r="FA19" s="27"/>
      <c r="FB19" s="27"/>
      <c r="FC19" s="27"/>
      <c r="FD19" s="27"/>
      <c r="FE19" s="27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44"/>
      <c r="HF19" s="44"/>
      <c r="HG19" s="44"/>
      <c r="HH19" s="44"/>
      <c r="HI19" s="44"/>
      <c r="HJ19" s="44"/>
      <c r="HK19" s="44"/>
      <c r="HL19" s="44"/>
      <c r="HM19" s="44"/>
      <c r="HN19" s="44"/>
      <c r="HO19" s="44"/>
      <c r="HP19" s="44"/>
      <c r="HQ19" s="44"/>
      <c r="HR19" s="44"/>
      <c r="HS19" s="44"/>
      <c r="HT19" s="44"/>
      <c r="HU19" s="44"/>
      <c r="HV19" s="44"/>
      <c r="HW19" s="44"/>
      <c r="HX19" s="44"/>
      <c r="HY19" s="44"/>
      <c r="HZ19" s="44"/>
      <c r="IA19" s="44"/>
      <c r="IB19" s="44"/>
      <c r="IC19" s="44"/>
      <c r="ID19" s="44"/>
      <c r="IE19" s="44"/>
      <c r="IF19" s="44"/>
      <c r="IG19" s="44"/>
      <c r="IH19" s="44"/>
      <c r="II19" s="44"/>
      <c r="IJ19" s="44"/>
      <c r="IK19" s="44"/>
      <c r="IL19" s="44"/>
      <c r="IM19" s="44"/>
      <c r="IN19" s="44"/>
      <c r="IO19" s="44"/>
      <c r="IP19" s="44"/>
      <c r="IQ19" s="44"/>
      <c r="IR19" s="44"/>
      <c r="IS19" s="44"/>
      <c r="IT19" s="44"/>
      <c r="IU19" s="44"/>
      <c r="IV19" s="44"/>
      <c r="IW19" s="44"/>
      <c r="IX19" s="44"/>
      <c r="IY19" s="44"/>
      <c r="IZ19" s="44"/>
      <c r="JA19" s="44"/>
      <c r="JB19" s="44"/>
      <c r="JC19" s="44"/>
      <c r="JD19" s="44"/>
      <c r="JE19" s="44"/>
      <c r="JF19" s="44"/>
      <c r="JG19" s="44"/>
      <c r="JH19" s="44"/>
      <c r="JI19" s="44"/>
      <c r="JJ19" s="44"/>
      <c r="JK19" s="44"/>
      <c r="JL19" s="44"/>
      <c r="JM19" s="44"/>
      <c r="JN19" s="44"/>
      <c r="JO19" s="44"/>
      <c r="JP19" s="44"/>
      <c r="JQ19" s="44"/>
      <c r="JR19" s="44"/>
      <c r="JS19" s="44"/>
      <c r="JT19" s="44"/>
      <c r="JU19" s="44"/>
      <c r="JV19" s="44"/>
      <c r="JW19" s="44"/>
      <c r="JX19" s="44"/>
      <c r="JY19" s="44"/>
      <c r="JZ19" s="44"/>
      <c r="KA19" s="44"/>
      <c r="KB19" s="44"/>
      <c r="KC19" s="44"/>
      <c r="KD19" s="44"/>
      <c r="KE19" s="44"/>
      <c r="KF19" s="44"/>
      <c r="KG19" s="44"/>
      <c r="KH19" s="44"/>
      <c r="KI19" s="44"/>
      <c r="KJ19" s="44"/>
      <c r="KK19" s="44"/>
      <c r="KL19" s="44"/>
      <c r="KM19" s="44"/>
      <c r="KN19" s="44"/>
      <c r="KO19" s="44"/>
      <c r="KP19" s="44"/>
      <c r="KQ19" s="44"/>
      <c r="KR19" s="44"/>
      <c r="KS19" s="44"/>
      <c r="KT19" s="44"/>
      <c r="KU19" s="44"/>
      <c r="KV19" s="44"/>
      <c r="KW19" s="44"/>
      <c r="KX19" s="44"/>
      <c r="KY19" s="44"/>
      <c r="KZ19" s="44"/>
      <c r="LA19" s="44"/>
      <c r="LB19" s="44"/>
      <c r="LC19" s="44"/>
      <c r="LD19" s="44"/>
      <c r="LE19" s="44"/>
      <c r="LF19" s="44"/>
      <c r="LG19" s="44"/>
      <c r="LH19" s="44"/>
      <c r="LI19" s="44"/>
      <c r="LJ19" s="44"/>
      <c r="LK19" s="44"/>
      <c r="LL19" s="44"/>
      <c r="LM19" s="44"/>
      <c r="LN19" s="44"/>
      <c r="LO19" s="44"/>
      <c r="LP19" s="44"/>
      <c r="LQ19" s="44"/>
      <c r="LR19" s="44"/>
      <c r="LS19" s="44"/>
      <c r="LT19" s="44"/>
      <c r="LU19" s="44"/>
      <c r="LV19" s="44"/>
      <c r="LW19" s="44"/>
      <c r="LX19" s="44"/>
      <c r="LY19" s="44"/>
      <c r="LZ19" s="44"/>
      <c r="MA19" s="44"/>
      <c r="MB19" s="44"/>
      <c r="MC19" s="44"/>
      <c r="MD19" s="44"/>
      <c r="ME19" s="44"/>
      <c r="MF19" s="44"/>
      <c r="MG19" s="44"/>
      <c r="MH19" s="44"/>
      <c r="MI19" s="44"/>
      <c r="MJ19" s="44"/>
      <c r="MK19" s="44"/>
      <c r="ML19" s="44"/>
      <c r="MM19" s="44"/>
      <c r="MN19" s="44"/>
      <c r="MO19" s="44"/>
      <c r="MP19" s="44"/>
      <c r="MQ19" s="44"/>
      <c r="MR19" s="44"/>
      <c r="MS19" s="44"/>
      <c r="MT19" s="44"/>
      <c r="MU19" s="44"/>
      <c r="MV19" s="44"/>
      <c r="MW19" s="44"/>
      <c r="MX19" s="44"/>
      <c r="MY19" s="44"/>
      <c r="MZ19" s="44"/>
      <c r="NA19" s="44"/>
      <c r="NB19" s="44"/>
      <c r="NC19" s="44"/>
      <c r="ND19" s="44"/>
      <c r="NE19" s="44"/>
      <c r="NF19" s="44"/>
      <c r="NG19" s="44"/>
      <c r="NH19" s="44"/>
      <c r="NI19" s="44"/>
      <c r="NJ19" s="44"/>
      <c r="NK19" s="44"/>
      <c r="NL19" s="44"/>
      <c r="NM19" s="44"/>
      <c r="NN19" s="44"/>
      <c r="NO19" s="44"/>
      <c r="NP19" s="1" t="s">
        <v>31</v>
      </c>
      <c r="NQ19" s="302"/>
      <c r="NR19" s="302"/>
      <c r="NS19" s="322" t="s">
        <v>1</v>
      </c>
      <c r="NT19" s="404">
        <f>ROUND(0.85*OE6*(NT2/NT3)*(6120/(6120+NT3)),4)</f>
        <v>2.4199999999999999E-2</v>
      </c>
      <c r="NU19" s="404"/>
      <c r="NV19" s="404"/>
      <c r="NW19" s="221" t="s">
        <v>0</v>
      </c>
      <c r="NX19" s="346"/>
      <c r="NY19" s="346"/>
      <c r="NZ19" s="346"/>
      <c r="OE19" s="302"/>
      <c r="OF19" s="6"/>
      <c r="OG19" s="302">
        <v>50</v>
      </c>
      <c r="OH19" s="302"/>
      <c r="OI19" s="302">
        <v>30</v>
      </c>
      <c r="OJ19" s="302"/>
      <c r="OK19" s="4">
        <v>400</v>
      </c>
      <c r="OL19" s="302"/>
      <c r="OM19" s="302"/>
      <c r="ON19" s="302"/>
      <c r="OO19" s="122">
        <v>65</v>
      </c>
      <c r="OP19" s="8">
        <v>0.35</v>
      </c>
      <c r="OQ19" s="297"/>
      <c r="OR19" s="190"/>
      <c r="OS19" s="190"/>
      <c r="OT19" s="190"/>
      <c r="OU19" s="190"/>
      <c r="OV19" s="190"/>
      <c r="OW19" s="190"/>
      <c r="OX19" s="302"/>
      <c r="OY19" s="302"/>
      <c r="OZ19" s="302"/>
      <c r="PA19" s="302"/>
      <c r="PB19" s="302"/>
      <c r="PC19" s="302"/>
      <c r="PE19" s="103"/>
      <c r="PF19" s="339"/>
      <c r="PG19" s="340"/>
      <c r="PH19" s="340"/>
      <c r="PI19" s="340"/>
      <c r="PJ19" s="340"/>
      <c r="PK19" s="340"/>
      <c r="PL19" s="340"/>
      <c r="PM19" s="340"/>
      <c r="PN19" s="44"/>
      <c r="PO19" s="44"/>
      <c r="PP19" s="44"/>
      <c r="PQ19" s="44"/>
      <c r="PR19" s="44"/>
      <c r="PS19" s="44"/>
      <c r="PT19" s="44"/>
      <c r="PU19" s="44"/>
      <c r="PV19" s="44"/>
      <c r="PW19" s="44"/>
      <c r="PX19" s="44"/>
      <c r="QC19" s="78" t="s">
        <v>23</v>
      </c>
      <c r="QD19" s="78">
        <f>QD13-((QC7/2)/QC3)</f>
        <v>-0.14892857142857144</v>
      </c>
      <c r="QE19" s="78">
        <f>QE13+((QC7/2)/QC3)</f>
        <v>0.14892857142857144</v>
      </c>
      <c r="QF19" s="78">
        <f>QE19</f>
        <v>0.14892857142857144</v>
      </c>
      <c r="QG19" s="78">
        <f>QD19</f>
        <v>-0.14892857142857144</v>
      </c>
      <c r="QH19" s="78">
        <f>QD19</f>
        <v>-0.14892857142857144</v>
      </c>
      <c r="QI19" s="358" t="s">
        <v>4</v>
      </c>
      <c r="QJ19" s="355" t="str">
        <f>CONCATENATE(QC7+QC5)</f>
        <v>0.417</v>
      </c>
      <c r="QL19" s="78">
        <f>0</f>
        <v>0</v>
      </c>
      <c r="QN19" s="78">
        <f>QE19</f>
        <v>0.14892857142857144</v>
      </c>
    </row>
    <row r="20" spans="1:521" ht="14.1" customHeight="1" x14ac:dyDescent="0.2">
      <c r="A20" s="112"/>
      <c r="B20" s="60"/>
      <c r="C20" s="226"/>
      <c r="D20" s="448" t="s">
        <v>152</v>
      </c>
      <c r="E20" s="448"/>
      <c r="F20" s="448"/>
      <c r="G20" s="448"/>
      <c r="H20" s="448"/>
      <c r="I20" s="448"/>
      <c r="J20" s="226"/>
      <c r="K20" s="226"/>
      <c r="L20" s="226"/>
      <c r="M20" s="226"/>
      <c r="N20" s="226"/>
      <c r="O20" s="226"/>
      <c r="P20" s="16"/>
      <c r="Q20" s="442" t="s">
        <v>46</v>
      </c>
      <c r="R20" s="443"/>
      <c r="S20" s="444"/>
      <c r="T20" s="504" t="s">
        <v>174</v>
      </c>
      <c r="U20" s="504"/>
      <c r="V20" s="504"/>
      <c r="W20" s="515">
        <f>NT7</f>
        <v>1920.7999999999995</v>
      </c>
      <c r="X20" s="516"/>
      <c r="Y20" s="516"/>
      <c r="Z20" s="516"/>
      <c r="AA20" s="516"/>
      <c r="AB20" s="516"/>
      <c r="AC20" s="509" t="s">
        <v>17</v>
      </c>
      <c r="AD20" s="510"/>
      <c r="AE20" s="511"/>
      <c r="AF20" s="140"/>
      <c r="AG20" s="231"/>
      <c r="AH20" s="45"/>
      <c r="AI20" s="45"/>
      <c r="AJ20" s="45"/>
      <c r="AK20" s="45"/>
      <c r="AL20" s="45"/>
      <c r="AM20" s="359"/>
      <c r="AN20" s="359"/>
      <c r="AO20" s="359"/>
      <c r="AP20" s="359"/>
      <c r="AQ20" s="359"/>
      <c r="AR20" s="359"/>
      <c r="AS20" s="349"/>
      <c r="AT20" s="349"/>
      <c r="AU20" s="349"/>
      <c r="AV20" s="349"/>
      <c r="AW20" s="349"/>
      <c r="AX20" s="349"/>
      <c r="AY20" s="349"/>
      <c r="AZ20" s="349"/>
      <c r="BA20" s="349"/>
      <c r="BB20" s="349"/>
      <c r="BC20" s="349"/>
      <c r="BD20" s="349"/>
      <c r="BE20" s="349"/>
      <c r="BF20" s="349"/>
      <c r="BG20" s="349"/>
      <c r="BH20" s="349"/>
      <c r="BI20" s="349"/>
      <c r="BJ20" s="349"/>
      <c r="BK20" s="349"/>
      <c r="BL20" s="349"/>
      <c r="BM20" s="349"/>
      <c r="BN20" s="349"/>
      <c r="BO20" s="349"/>
      <c r="BP20" s="349"/>
      <c r="BQ20" s="349"/>
      <c r="BR20" s="349"/>
      <c r="BS20" s="349"/>
      <c r="BT20" s="349"/>
      <c r="BU20" s="349"/>
      <c r="BV20" s="349"/>
      <c r="BW20" s="349"/>
      <c r="BX20" s="349"/>
      <c r="BY20" s="349"/>
      <c r="BZ20" s="349"/>
      <c r="CA20" s="349"/>
      <c r="CB20" s="349"/>
      <c r="CC20" s="349"/>
      <c r="CD20" s="360"/>
      <c r="CE20" s="361"/>
      <c r="CF20" s="362"/>
      <c r="CG20" s="362"/>
      <c r="CH20" s="362"/>
      <c r="CI20" s="362"/>
      <c r="CJ20" s="362"/>
      <c r="CK20" s="362"/>
      <c r="CL20" s="362"/>
      <c r="CM20" s="362"/>
      <c r="CN20" s="362"/>
      <c r="CO20" s="362"/>
      <c r="CP20" s="362"/>
      <c r="CQ20" s="362"/>
      <c r="CR20" s="362"/>
      <c r="CS20" s="362"/>
      <c r="CT20" s="362"/>
      <c r="CU20" s="362"/>
      <c r="CV20" s="362"/>
      <c r="CW20" s="362"/>
      <c r="CX20" s="362"/>
      <c r="CY20" s="362"/>
      <c r="CZ20" s="362"/>
      <c r="DA20" s="362"/>
      <c r="DB20" s="362"/>
      <c r="DC20" s="362"/>
      <c r="DD20" s="362"/>
      <c r="DE20" s="362"/>
      <c r="DF20" s="362"/>
      <c r="DG20" s="362"/>
      <c r="DH20" s="362"/>
      <c r="DI20" s="362"/>
      <c r="DJ20" s="362"/>
      <c r="DK20" s="362"/>
      <c r="DL20" s="362"/>
      <c r="DM20" s="362"/>
      <c r="DN20" s="362"/>
      <c r="DO20" s="362"/>
      <c r="DP20" s="362"/>
      <c r="DQ20" s="362"/>
      <c r="DR20" s="362"/>
      <c r="DS20" s="362"/>
      <c r="DT20" s="362"/>
      <c r="DU20" s="362"/>
      <c r="DV20" s="362"/>
      <c r="DW20" s="362"/>
      <c r="DX20" s="362"/>
      <c r="DY20" s="362"/>
      <c r="DZ20" s="362"/>
      <c r="EA20" s="362"/>
      <c r="EB20" s="362"/>
      <c r="EC20" s="362"/>
      <c r="ED20" s="362"/>
      <c r="EE20" s="362"/>
      <c r="EF20" s="362"/>
      <c r="EG20" s="362"/>
      <c r="EH20" s="362"/>
      <c r="EI20" s="362"/>
      <c r="EJ20" s="362"/>
      <c r="EK20" s="362"/>
      <c r="EL20" s="362"/>
      <c r="EM20" s="362"/>
      <c r="EN20" s="362"/>
      <c r="EO20" s="362"/>
      <c r="EP20" s="362"/>
      <c r="EQ20" s="362"/>
      <c r="ER20" s="362"/>
      <c r="ES20" s="362"/>
      <c r="ET20" s="362"/>
      <c r="EU20" s="362"/>
      <c r="EV20" s="362"/>
      <c r="EW20" s="362"/>
      <c r="EX20" s="362"/>
      <c r="EY20" s="362"/>
      <c r="EZ20" s="362"/>
      <c r="FA20" s="362"/>
      <c r="FB20" s="362"/>
      <c r="FC20" s="362"/>
      <c r="FD20" s="362"/>
      <c r="FE20" s="362"/>
      <c r="FF20" s="362"/>
      <c r="FG20" s="362"/>
      <c r="FH20" s="362"/>
      <c r="FI20" s="362"/>
      <c r="FJ20" s="362"/>
      <c r="FK20" s="362"/>
      <c r="FL20" s="362"/>
      <c r="FM20" s="362"/>
      <c r="FN20" s="362"/>
      <c r="FO20" s="362"/>
      <c r="FP20" s="362"/>
      <c r="FQ20" s="362"/>
      <c r="FR20" s="362"/>
      <c r="FS20" s="362"/>
      <c r="FT20" s="362"/>
      <c r="FU20" s="362"/>
      <c r="FV20" s="362"/>
      <c r="FW20" s="362"/>
      <c r="FX20" s="362"/>
      <c r="FY20" s="362"/>
      <c r="FZ20" s="362"/>
      <c r="GA20" s="362"/>
      <c r="GB20" s="362"/>
      <c r="GC20" s="362"/>
      <c r="GD20" s="362"/>
      <c r="GE20" s="362"/>
      <c r="GF20" s="362"/>
      <c r="GG20" s="362"/>
      <c r="GH20" s="362"/>
      <c r="GI20" s="362"/>
      <c r="GJ20" s="362"/>
      <c r="GK20" s="362"/>
      <c r="GL20" s="362"/>
      <c r="GM20" s="362"/>
      <c r="GN20" s="362"/>
      <c r="GO20" s="362"/>
      <c r="GP20" s="362"/>
      <c r="GQ20" s="362"/>
      <c r="GR20" s="362"/>
      <c r="GS20" s="362"/>
      <c r="GT20" s="362"/>
      <c r="GU20" s="362"/>
      <c r="GV20" s="362"/>
      <c r="GW20" s="362"/>
      <c r="GX20" s="362"/>
      <c r="GY20" s="362"/>
      <c r="GZ20" s="362"/>
      <c r="HA20" s="362"/>
      <c r="HB20" s="362"/>
      <c r="HC20" s="362"/>
      <c r="HD20" s="362"/>
      <c r="HE20" s="363"/>
      <c r="HF20" s="363"/>
      <c r="HG20" s="363"/>
      <c r="HH20" s="363"/>
      <c r="HI20" s="363"/>
      <c r="HJ20" s="363"/>
      <c r="HK20" s="363"/>
      <c r="HL20" s="363"/>
      <c r="HM20" s="363"/>
      <c r="HN20" s="363"/>
      <c r="HO20" s="363"/>
      <c r="HP20" s="363"/>
      <c r="HQ20" s="363"/>
      <c r="HR20" s="363"/>
      <c r="HS20" s="363"/>
      <c r="HT20" s="363"/>
      <c r="HU20" s="363"/>
      <c r="HV20" s="363"/>
      <c r="HW20" s="363"/>
      <c r="HX20" s="363"/>
      <c r="HY20" s="363"/>
      <c r="HZ20" s="363"/>
      <c r="IA20" s="363"/>
      <c r="IB20" s="363"/>
      <c r="IC20" s="363"/>
      <c r="ID20" s="363"/>
      <c r="IE20" s="363"/>
      <c r="IF20" s="363"/>
      <c r="IG20" s="363"/>
      <c r="IH20" s="363"/>
      <c r="II20" s="363"/>
      <c r="IJ20" s="363"/>
      <c r="IK20" s="363"/>
      <c r="IL20" s="363"/>
      <c r="IM20" s="363"/>
      <c r="IN20" s="363"/>
      <c r="IO20" s="363"/>
      <c r="IP20" s="363"/>
      <c r="IQ20" s="363"/>
      <c r="IR20" s="363"/>
      <c r="IS20" s="363"/>
      <c r="IT20" s="363"/>
      <c r="IU20" s="363"/>
      <c r="IV20" s="363"/>
      <c r="IW20" s="363"/>
      <c r="IX20" s="363"/>
      <c r="IY20" s="363"/>
      <c r="IZ20" s="363"/>
      <c r="JA20" s="363"/>
      <c r="JB20" s="363"/>
      <c r="JC20" s="363"/>
      <c r="JD20" s="363"/>
      <c r="JE20" s="363"/>
      <c r="JF20" s="363"/>
      <c r="JG20" s="363"/>
      <c r="JH20" s="363"/>
      <c r="JI20" s="363"/>
      <c r="JJ20" s="363"/>
      <c r="JK20" s="363"/>
      <c r="JL20" s="363"/>
      <c r="JM20" s="363"/>
      <c r="JN20" s="363"/>
      <c r="JO20" s="363"/>
      <c r="JP20" s="363"/>
      <c r="JQ20" s="363"/>
      <c r="JR20" s="363"/>
      <c r="JS20" s="363"/>
      <c r="JT20" s="363"/>
      <c r="JU20" s="363"/>
      <c r="JV20" s="363"/>
      <c r="JW20" s="363"/>
      <c r="JX20" s="363"/>
      <c r="JY20" s="363"/>
      <c r="JZ20" s="363"/>
      <c r="KA20" s="363"/>
      <c r="KB20" s="363"/>
      <c r="KC20" s="363"/>
      <c r="KD20" s="363"/>
      <c r="KE20" s="363"/>
      <c r="KF20" s="363"/>
      <c r="KG20" s="363"/>
      <c r="KH20" s="363"/>
      <c r="KI20" s="363"/>
      <c r="KJ20" s="363"/>
      <c r="KK20" s="363"/>
      <c r="KL20" s="363"/>
      <c r="KM20" s="363"/>
      <c r="KN20" s="363"/>
      <c r="KO20" s="363"/>
      <c r="KP20" s="363"/>
      <c r="KQ20" s="363"/>
      <c r="KR20" s="363"/>
      <c r="KS20" s="363"/>
      <c r="KT20" s="363"/>
      <c r="KU20" s="363"/>
      <c r="KV20" s="363"/>
      <c r="KW20" s="363"/>
      <c r="KX20" s="363"/>
      <c r="KY20" s="363"/>
      <c r="KZ20" s="363"/>
      <c r="LA20" s="363"/>
      <c r="LB20" s="363"/>
      <c r="LC20" s="363"/>
      <c r="LD20" s="363"/>
      <c r="LE20" s="363"/>
      <c r="LF20" s="363"/>
      <c r="LG20" s="363"/>
      <c r="LH20" s="363"/>
      <c r="LI20" s="363"/>
      <c r="LJ20" s="363"/>
      <c r="LK20" s="363"/>
      <c r="LL20" s="363"/>
      <c r="LM20" s="363"/>
      <c r="LN20" s="363"/>
      <c r="LO20" s="363"/>
      <c r="LP20" s="363"/>
      <c r="LQ20" s="363"/>
      <c r="LR20" s="363"/>
      <c r="LS20" s="363"/>
      <c r="LT20" s="363"/>
      <c r="LU20" s="363"/>
      <c r="LV20" s="363"/>
      <c r="LW20" s="363"/>
      <c r="LX20" s="363"/>
      <c r="LY20" s="363"/>
      <c r="LZ20" s="363"/>
      <c r="MA20" s="363"/>
      <c r="MB20" s="363"/>
      <c r="MC20" s="363"/>
      <c r="MD20" s="363"/>
      <c r="ME20" s="363"/>
      <c r="MF20" s="363"/>
      <c r="MG20" s="363"/>
      <c r="MH20" s="363"/>
      <c r="MI20" s="363"/>
      <c r="MJ20" s="363"/>
      <c r="MK20" s="363"/>
      <c r="ML20" s="363"/>
      <c r="MM20" s="363"/>
      <c r="MN20" s="363"/>
      <c r="MO20" s="363"/>
      <c r="MP20" s="363"/>
      <c r="MQ20" s="363"/>
      <c r="MR20" s="363"/>
      <c r="MS20" s="363"/>
      <c r="MT20" s="363"/>
      <c r="MU20" s="363"/>
      <c r="MV20" s="363"/>
      <c r="MW20" s="363"/>
      <c r="MX20" s="363"/>
      <c r="MY20" s="363"/>
      <c r="MZ20" s="363"/>
      <c r="NA20" s="363"/>
      <c r="NB20" s="363"/>
      <c r="NC20" s="363"/>
      <c r="ND20" s="363"/>
      <c r="NE20" s="363"/>
      <c r="NF20" s="363"/>
      <c r="NG20" s="363"/>
      <c r="NH20" s="363"/>
      <c r="NI20" s="363"/>
      <c r="NJ20" s="363"/>
      <c r="NK20" s="363"/>
      <c r="NL20" s="363"/>
      <c r="NM20" s="363"/>
      <c r="NN20" s="363"/>
      <c r="NO20" s="363"/>
      <c r="NP20" s="1" t="s">
        <v>32</v>
      </c>
      <c r="NQ20" s="322"/>
      <c r="NR20" s="322"/>
      <c r="NS20" s="322" t="s">
        <v>1</v>
      </c>
      <c r="NT20" s="405">
        <f>ROUND(0.75*NT19,4)</f>
        <v>1.8200000000000001E-2</v>
      </c>
      <c r="NU20" s="405"/>
      <c r="NV20" s="405"/>
      <c r="NW20" s="322" t="s">
        <v>0</v>
      </c>
      <c r="NX20" s="346"/>
      <c r="NY20" s="346"/>
      <c r="NZ20" s="346"/>
      <c r="OE20" s="302"/>
      <c r="OF20" s="6"/>
      <c r="OG20" s="302">
        <v>100</v>
      </c>
      <c r="OH20" s="302"/>
      <c r="OI20" s="302">
        <v>100</v>
      </c>
      <c r="OJ20" s="302"/>
      <c r="OK20" s="4">
        <v>420</v>
      </c>
      <c r="OL20" s="302"/>
      <c r="OM20" s="302"/>
      <c r="ON20" s="302"/>
      <c r="OO20" s="122">
        <v>70</v>
      </c>
      <c r="OP20" s="8">
        <v>0.375</v>
      </c>
      <c r="OQ20" s="297"/>
      <c r="OR20" s="302"/>
      <c r="OS20" s="302"/>
      <c r="OT20" s="302"/>
      <c r="OU20" s="302"/>
      <c r="OV20" s="302"/>
      <c r="OW20" s="302"/>
      <c r="OX20" s="302"/>
      <c r="OY20" s="302"/>
      <c r="OZ20" s="302"/>
      <c r="PA20" s="302"/>
      <c r="PB20" s="302"/>
      <c r="PC20" s="302"/>
      <c r="PE20" s="103"/>
      <c r="PF20" s="339"/>
      <c r="PG20" s="339"/>
      <c r="PH20" s="339"/>
      <c r="PI20" s="339"/>
      <c r="PJ20" s="339"/>
      <c r="PK20" s="339"/>
      <c r="PL20" s="339"/>
      <c r="PM20" s="339"/>
      <c r="PN20" s="363"/>
      <c r="PO20" s="363"/>
      <c r="PP20" s="363"/>
      <c r="PQ20" s="363"/>
      <c r="PR20" s="363"/>
      <c r="PS20" s="363"/>
      <c r="PT20" s="363"/>
      <c r="PU20" s="363"/>
      <c r="PV20" s="363"/>
      <c r="PW20" s="363"/>
      <c r="PX20" s="363"/>
      <c r="QC20" s="78" t="s">
        <v>24</v>
      </c>
      <c r="QD20" s="78">
        <f>QD14+((QC7/2)/QC3)</f>
        <v>0.14892857142857144</v>
      </c>
      <c r="QE20" s="78">
        <f>QD20</f>
        <v>0.14892857142857144</v>
      </c>
      <c r="QF20" s="78">
        <f>QF14-((QC7/2)/QC3)</f>
        <v>-0.14892857142857144</v>
      </c>
      <c r="QG20" s="78">
        <f>QF20</f>
        <v>-0.14892857142857144</v>
      </c>
      <c r="QH20" s="78">
        <f>QD20</f>
        <v>0.14892857142857144</v>
      </c>
      <c r="QI20" s="358" t="s">
        <v>5</v>
      </c>
      <c r="QJ20" s="355" t="str">
        <f>CONCATENATE(QC7+QC6)</f>
        <v>0.417</v>
      </c>
      <c r="QL20" s="78">
        <f>QD20</f>
        <v>0.14892857142857144</v>
      </c>
      <c r="QN20" s="78">
        <f>0</f>
        <v>0</v>
      </c>
    </row>
    <row r="21" spans="1:521" ht="14.1" customHeight="1" thickBot="1" x14ac:dyDescent="0.25">
      <c r="A21" s="112"/>
      <c r="B21" s="60"/>
      <c r="C21" s="325"/>
      <c r="D21" s="449"/>
      <c r="E21" s="449"/>
      <c r="F21" s="449"/>
      <c r="G21" s="449"/>
      <c r="H21" s="449"/>
      <c r="I21" s="449"/>
      <c r="J21" s="326"/>
      <c r="K21" s="326"/>
      <c r="L21" s="326"/>
      <c r="M21" s="326"/>
      <c r="N21" s="326"/>
      <c r="O21" s="272"/>
      <c r="P21" s="16"/>
      <c r="Q21" s="428"/>
      <c r="R21" s="429"/>
      <c r="S21" s="430"/>
      <c r="T21" s="504" t="s">
        <v>157</v>
      </c>
      <c r="U21" s="504"/>
      <c r="V21" s="504"/>
      <c r="W21" s="515">
        <f>NT8</f>
        <v>1411.1999999999998</v>
      </c>
      <c r="X21" s="516"/>
      <c r="Y21" s="516"/>
      <c r="Z21" s="516"/>
      <c r="AA21" s="516"/>
      <c r="AB21" s="516"/>
      <c r="AC21" s="509" t="s">
        <v>17</v>
      </c>
      <c r="AD21" s="510"/>
      <c r="AE21" s="511"/>
      <c r="AF21" s="140"/>
      <c r="AG21" s="231"/>
      <c r="AH21" s="45"/>
      <c r="AI21" s="45"/>
      <c r="AJ21" s="45"/>
      <c r="AK21" s="45"/>
      <c r="AL21" s="45"/>
      <c r="AM21" s="359"/>
      <c r="AN21" s="359"/>
      <c r="AO21" s="359"/>
      <c r="AP21" s="359"/>
      <c r="AQ21" s="359"/>
      <c r="AR21" s="359"/>
      <c r="AS21" s="349"/>
      <c r="AT21" s="349"/>
      <c r="AU21" s="349"/>
      <c r="AV21" s="349"/>
      <c r="AW21" s="349"/>
      <c r="AX21" s="349"/>
      <c r="AY21" s="349"/>
      <c r="AZ21" s="349"/>
      <c r="BA21" s="349"/>
      <c r="BB21" s="349"/>
      <c r="BC21" s="349"/>
      <c r="BD21" s="349"/>
      <c r="BE21" s="349"/>
      <c r="BF21" s="349"/>
      <c r="BG21" s="349"/>
      <c r="BH21" s="349"/>
      <c r="BI21" s="349"/>
      <c r="BJ21" s="349"/>
      <c r="BK21" s="349"/>
      <c r="BL21" s="349"/>
      <c r="BM21" s="349"/>
      <c r="BN21" s="349"/>
      <c r="BO21" s="349"/>
      <c r="BP21" s="349"/>
      <c r="BQ21" s="349"/>
      <c r="BR21" s="349"/>
      <c r="BS21" s="349"/>
      <c r="BT21" s="349"/>
      <c r="BU21" s="349"/>
      <c r="BV21" s="349"/>
      <c r="BW21" s="349"/>
      <c r="BX21" s="349"/>
      <c r="BY21" s="349"/>
      <c r="BZ21" s="349"/>
      <c r="CA21" s="349"/>
      <c r="CB21" s="349"/>
      <c r="CC21" s="349"/>
      <c r="CD21" s="360"/>
      <c r="CE21" s="361"/>
      <c r="CF21" s="362"/>
      <c r="CG21" s="362"/>
      <c r="CH21" s="362"/>
      <c r="CI21" s="362"/>
      <c r="CJ21" s="362"/>
      <c r="CK21" s="362"/>
      <c r="CL21" s="362"/>
      <c r="CM21" s="362"/>
      <c r="CN21" s="362"/>
      <c r="CO21" s="362"/>
      <c r="CP21" s="362"/>
      <c r="CQ21" s="362"/>
      <c r="CR21" s="362"/>
      <c r="CS21" s="362"/>
      <c r="CT21" s="362"/>
      <c r="CU21" s="362"/>
      <c r="CV21" s="362"/>
      <c r="CW21" s="362"/>
      <c r="CX21" s="362"/>
      <c r="CY21" s="362"/>
      <c r="CZ21" s="362"/>
      <c r="DA21" s="362"/>
      <c r="DB21" s="362"/>
      <c r="DC21" s="362"/>
      <c r="DD21" s="362"/>
      <c r="DE21" s="362"/>
      <c r="DF21" s="362"/>
      <c r="DG21" s="362"/>
      <c r="DH21" s="362"/>
      <c r="DI21" s="362"/>
      <c r="DJ21" s="362"/>
      <c r="DK21" s="362"/>
      <c r="DL21" s="362"/>
      <c r="DM21" s="362"/>
      <c r="DN21" s="362"/>
      <c r="DO21" s="362"/>
      <c r="DP21" s="362"/>
      <c r="DQ21" s="362"/>
      <c r="DR21" s="362"/>
      <c r="DS21" s="362"/>
      <c r="DT21" s="362"/>
      <c r="DU21" s="362"/>
      <c r="DV21" s="362"/>
      <c r="DW21" s="362"/>
      <c r="DX21" s="362"/>
      <c r="DY21" s="362"/>
      <c r="DZ21" s="362"/>
      <c r="EA21" s="362"/>
      <c r="EB21" s="362"/>
      <c r="EC21" s="362"/>
      <c r="ED21" s="362"/>
      <c r="EE21" s="362"/>
      <c r="EF21" s="362"/>
      <c r="EG21" s="362"/>
      <c r="EH21" s="362"/>
      <c r="EI21" s="362"/>
      <c r="EJ21" s="362"/>
      <c r="EK21" s="362"/>
      <c r="EL21" s="362"/>
      <c r="EM21" s="362"/>
      <c r="EN21" s="362"/>
      <c r="EO21" s="362"/>
      <c r="EP21" s="362"/>
      <c r="EQ21" s="362"/>
      <c r="ER21" s="362"/>
      <c r="ES21" s="362"/>
      <c r="ET21" s="362"/>
      <c r="EU21" s="362"/>
      <c r="EV21" s="362"/>
      <c r="EW21" s="362"/>
      <c r="EX21" s="362"/>
      <c r="EY21" s="362"/>
      <c r="EZ21" s="362"/>
      <c r="FA21" s="362"/>
      <c r="FB21" s="362"/>
      <c r="FC21" s="362"/>
      <c r="FD21" s="362"/>
      <c r="FE21" s="362"/>
      <c r="FF21" s="362"/>
      <c r="FG21" s="362"/>
      <c r="FH21" s="362"/>
      <c r="FI21" s="362"/>
      <c r="FJ21" s="362"/>
      <c r="FK21" s="362"/>
      <c r="FL21" s="362"/>
      <c r="FM21" s="362"/>
      <c r="FN21" s="362"/>
      <c r="FO21" s="362"/>
      <c r="FP21" s="362"/>
      <c r="FQ21" s="362"/>
      <c r="FR21" s="362"/>
      <c r="FS21" s="362"/>
      <c r="FT21" s="362"/>
      <c r="FU21" s="362"/>
      <c r="FV21" s="362"/>
      <c r="FW21" s="362"/>
      <c r="FX21" s="362"/>
      <c r="FY21" s="362"/>
      <c r="FZ21" s="362"/>
      <c r="GA21" s="362"/>
      <c r="GB21" s="362"/>
      <c r="GC21" s="362"/>
      <c r="GD21" s="362"/>
      <c r="GE21" s="362"/>
      <c r="GF21" s="362"/>
      <c r="GG21" s="362"/>
      <c r="GH21" s="362"/>
      <c r="GI21" s="362"/>
      <c r="GJ21" s="362"/>
      <c r="GK21" s="362"/>
      <c r="GL21" s="362"/>
      <c r="GM21" s="362"/>
      <c r="GN21" s="362"/>
      <c r="GO21" s="362"/>
      <c r="GP21" s="362"/>
      <c r="GQ21" s="362"/>
      <c r="GR21" s="362"/>
      <c r="GS21" s="362"/>
      <c r="GT21" s="362"/>
      <c r="GU21" s="362"/>
      <c r="GV21" s="362"/>
      <c r="GW21" s="362"/>
      <c r="GX21" s="362"/>
      <c r="GY21" s="362"/>
      <c r="GZ21" s="362"/>
      <c r="HA21" s="362"/>
      <c r="HB21" s="362"/>
      <c r="HC21" s="362"/>
      <c r="HD21" s="362"/>
      <c r="HE21" s="363"/>
      <c r="HF21" s="363"/>
      <c r="HG21" s="363"/>
      <c r="HH21" s="363"/>
      <c r="HI21" s="363"/>
      <c r="HJ21" s="363"/>
      <c r="HK21" s="363"/>
      <c r="HL21" s="363"/>
      <c r="HM21" s="363"/>
      <c r="HN21" s="363"/>
      <c r="HO21" s="363"/>
      <c r="HP21" s="363"/>
      <c r="HQ21" s="363"/>
      <c r="HR21" s="363"/>
      <c r="HS21" s="363"/>
      <c r="HT21" s="363"/>
      <c r="HU21" s="363"/>
      <c r="HV21" s="363"/>
      <c r="HW21" s="363"/>
      <c r="HX21" s="363"/>
      <c r="HY21" s="363"/>
      <c r="HZ21" s="363"/>
      <c r="IA21" s="363"/>
      <c r="IB21" s="363"/>
      <c r="IC21" s="363"/>
      <c r="ID21" s="363"/>
      <c r="IE21" s="363"/>
      <c r="IF21" s="363"/>
      <c r="IG21" s="363"/>
      <c r="IH21" s="363"/>
      <c r="II21" s="363"/>
      <c r="IJ21" s="363"/>
      <c r="IK21" s="363"/>
      <c r="IL21" s="363"/>
      <c r="IM21" s="363"/>
      <c r="IN21" s="363"/>
      <c r="IO21" s="363"/>
      <c r="IP21" s="363"/>
      <c r="IQ21" s="363"/>
      <c r="IR21" s="363"/>
      <c r="IS21" s="363"/>
      <c r="IT21" s="363"/>
      <c r="IU21" s="363"/>
      <c r="IV21" s="363"/>
      <c r="IW21" s="363"/>
      <c r="IX21" s="363"/>
      <c r="IY21" s="363"/>
      <c r="IZ21" s="363"/>
      <c r="JA21" s="363"/>
      <c r="JB21" s="363"/>
      <c r="JC21" s="363"/>
      <c r="JD21" s="363"/>
      <c r="JE21" s="363"/>
      <c r="JF21" s="363"/>
      <c r="JG21" s="363"/>
      <c r="JH21" s="363"/>
      <c r="JI21" s="363"/>
      <c r="JJ21" s="363"/>
      <c r="JK21" s="363"/>
      <c r="JL21" s="363"/>
      <c r="JM21" s="363"/>
      <c r="JN21" s="363"/>
      <c r="JO21" s="363"/>
      <c r="JP21" s="363"/>
      <c r="JQ21" s="363"/>
      <c r="JR21" s="363"/>
      <c r="JS21" s="363"/>
      <c r="JT21" s="363"/>
      <c r="JU21" s="363"/>
      <c r="JV21" s="363"/>
      <c r="JW21" s="363"/>
      <c r="JX21" s="363"/>
      <c r="JY21" s="363"/>
      <c r="JZ21" s="363"/>
      <c r="KA21" s="363"/>
      <c r="KB21" s="363"/>
      <c r="KC21" s="363"/>
      <c r="KD21" s="363"/>
      <c r="KE21" s="363"/>
      <c r="KF21" s="363"/>
      <c r="KG21" s="363"/>
      <c r="KH21" s="363"/>
      <c r="KI21" s="363"/>
      <c r="KJ21" s="363"/>
      <c r="KK21" s="363"/>
      <c r="KL21" s="363"/>
      <c r="KM21" s="363"/>
      <c r="KN21" s="363"/>
      <c r="KO21" s="363"/>
      <c r="KP21" s="363"/>
      <c r="KQ21" s="363"/>
      <c r="KR21" s="363"/>
      <c r="KS21" s="363"/>
      <c r="KT21" s="363"/>
      <c r="KU21" s="363"/>
      <c r="KV21" s="363"/>
      <c r="KW21" s="363"/>
      <c r="KX21" s="363"/>
      <c r="KY21" s="363"/>
      <c r="KZ21" s="363"/>
      <c r="LA21" s="363"/>
      <c r="LB21" s="363"/>
      <c r="LC21" s="363"/>
      <c r="LD21" s="363"/>
      <c r="LE21" s="363"/>
      <c r="LF21" s="363"/>
      <c r="LG21" s="363"/>
      <c r="LH21" s="363"/>
      <c r="LI21" s="363"/>
      <c r="LJ21" s="363"/>
      <c r="LK21" s="363"/>
      <c r="LL21" s="363"/>
      <c r="LM21" s="363"/>
      <c r="LN21" s="363"/>
      <c r="LO21" s="363"/>
      <c r="LP21" s="363"/>
      <c r="LQ21" s="363"/>
      <c r="LR21" s="363"/>
      <c r="LS21" s="363"/>
      <c r="LT21" s="363"/>
      <c r="LU21" s="363"/>
      <c r="LV21" s="363"/>
      <c r="LW21" s="363"/>
      <c r="LX21" s="363"/>
      <c r="LY21" s="363"/>
      <c r="LZ21" s="363"/>
      <c r="MA21" s="363"/>
      <c r="MB21" s="363"/>
      <c r="MC21" s="363"/>
      <c r="MD21" s="363"/>
      <c r="ME21" s="363"/>
      <c r="MF21" s="363"/>
      <c r="MG21" s="363"/>
      <c r="MH21" s="363"/>
      <c r="MI21" s="363"/>
      <c r="MJ21" s="363"/>
      <c r="MK21" s="363"/>
      <c r="ML21" s="363"/>
      <c r="MM21" s="363"/>
      <c r="MN21" s="363"/>
      <c r="MO21" s="363"/>
      <c r="MP21" s="363"/>
      <c r="MQ21" s="363"/>
      <c r="MR21" s="363"/>
      <c r="MS21" s="363"/>
      <c r="MT21" s="363"/>
      <c r="MU21" s="363"/>
      <c r="MV21" s="363"/>
      <c r="MW21" s="363"/>
      <c r="MX21" s="363"/>
      <c r="MY21" s="363"/>
      <c r="MZ21" s="363"/>
      <c r="NA21" s="363"/>
      <c r="NB21" s="363"/>
      <c r="NC21" s="363"/>
      <c r="ND21" s="363"/>
      <c r="NE21" s="363"/>
      <c r="NF21" s="363"/>
      <c r="NG21" s="363"/>
      <c r="NH21" s="363"/>
      <c r="NI21" s="363"/>
      <c r="NJ21" s="363"/>
      <c r="NK21" s="363"/>
      <c r="NL21" s="363"/>
      <c r="NM21" s="363"/>
      <c r="NN21" s="363"/>
      <c r="NO21" s="363"/>
      <c r="NP21" s="1" t="s">
        <v>33</v>
      </c>
      <c r="NQ21" s="322"/>
      <c r="NR21" s="322"/>
      <c r="NS21" s="322" t="s">
        <v>1</v>
      </c>
      <c r="NT21" s="389">
        <f>ROUND(14/NT3,4)</f>
        <v>4.7000000000000002E-3</v>
      </c>
      <c r="NU21" s="389"/>
      <c r="NV21" s="389"/>
      <c r="NW21" s="322" t="s">
        <v>0</v>
      </c>
      <c r="NX21" s="346"/>
      <c r="NY21" s="346"/>
      <c r="NZ21" s="346"/>
      <c r="OE21" s="302"/>
      <c r="OF21" s="7"/>
      <c r="OG21" s="302">
        <v>120</v>
      </c>
      <c r="OH21" s="302"/>
      <c r="OI21" s="302">
        <v>150</v>
      </c>
      <c r="OJ21" s="302"/>
      <c r="OK21" s="4">
        <v>450</v>
      </c>
      <c r="OL21" s="302"/>
      <c r="OM21" s="302"/>
      <c r="ON21" s="302"/>
      <c r="OO21" s="122">
        <v>75</v>
      </c>
      <c r="OP21" s="8">
        <v>0.4</v>
      </c>
      <c r="OQ21" s="297"/>
      <c r="OR21" s="302"/>
      <c r="OS21" s="302"/>
      <c r="OT21" s="302"/>
      <c r="OU21" s="302"/>
      <c r="OV21" s="302"/>
      <c r="OW21" s="302"/>
      <c r="OX21" s="302"/>
      <c r="OY21" s="302"/>
      <c r="OZ21" s="302"/>
      <c r="PA21" s="302"/>
      <c r="PB21" s="302"/>
      <c r="PC21" s="302"/>
      <c r="PE21" s="103"/>
      <c r="PF21" s="339"/>
      <c r="PG21" s="339"/>
      <c r="PH21" s="339"/>
      <c r="PI21" s="339"/>
      <c r="PJ21" s="339"/>
      <c r="PK21" s="339"/>
      <c r="PL21" s="339"/>
      <c r="PM21" s="339"/>
      <c r="PN21" s="363"/>
      <c r="PO21" s="363"/>
      <c r="PP21" s="363"/>
      <c r="PQ21" s="363"/>
      <c r="PR21" s="363"/>
      <c r="PS21" s="363"/>
      <c r="PT21" s="363"/>
      <c r="PU21" s="363"/>
      <c r="PV21" s="363"/>
      <c r="PW21" s="363"/>
      <c r="PX21" s="363"/>
      <c r="QC21" s="78" t="s">
        <v>137</v>
      </c>
      <c r="QY21" s="355" t="str">
        <f>CONCATENATE("d = ",QC7)</f>
        <v>d = 0.217</v>
      </c>
    </row>
    <row r="22" spans="1:521" ht="14.1" customHeight="1" x14ac:dyDescent="0.2">
      <c r="A22" s="112"/>
      <c r="B22" s="60"/>
      <c r="C22" s="273"/>
      <c r="D22" s="124"/>
      <c r="E22" s="124"/>
      <c r="F22" s="138" t="s">
        <v>153</v>
      </c>
      <c r="G22" s="124"/>
      <c r="H22" s="450">
        <v>10000</v>
      </c>
      <c r="I22" s="451"/>
      <c r="J22" s="452"/>
      <c r="K22" s="124"/>
      <c r="L22" s="124" t="s">
        <v>116</v>
      </c>
      <c r="M22" s="124"/>
      <c r="N22" s="124"/>
      <c r="O22" s="274"/>
      <c r="P22" s="16"/>
      <c r="Q22" s="428"/>
      <c r="R22" s="429"/>
      <c r="S22" s="430"/>
      <c r="T22" s="504" t="s">
        <v>172</v>
      </c>
      <c r="U22" s="504"/>
      <c r="V22" s="504"/>
      <c r="W22" s="505">
        <v>10000</v>
      </c>
      <c r="X22" s="506"/>
      <c r="Y22" s="506"/>
      <c r="Z22" s="506"/>
      <c r="AA22" s="506"/>
      <c r="AB22" s="506"/>
      <c r="AC22" s="509" t="s">
        <v>17</v>
      </c>
      <c r="AD22" s="510"/>
      <c r="AE22" s="511"/>
      <c r="AF22" s="140"/>
      <c r="AG22" s="231"/>
      <c r="AH22" s="45"/>
      <c r="AI22" s="45"/>
      <c r="AJ22" s="45"/>
      <c r="AK22" s="45"/>
      <c r="AL22" s="45"/>
      <c r="AM22" s="104"/>
      <c r="AN22" s="248"/>
      <c r="AO22" s="248"/>
      <c r="AP22" s="248"/>
      <c r="AQ22" s="248"/>
      <c r="AR22" s="248"/>
      <c r="AS22" s="349"/>
      <c r="AT22" s="349"/>
      <c r="AU22" s="349"/>
      <c r="AV22" s="349"/>
      <c r="AW22" s="349"/>
      <c r="AX22" s="349"/>
      <c r="AY22" s="349"/>
      <c r="AZ22" s="349"/>
      <c r="BA22" s="349"/>
      <c r="BB22" s="349"/>
      <c r="BC22" s="349"/>
      <c r="BD22" s="349"/>
      <c r="BE22" s="349"/>
      <c r="BF22" s="349"/>
      <c r="BG22" s="349"/>
      <c r="BH22" s="349"/>
      <c r="BI22" s="349"/>
      <c r="BJ22" s="349"/>
      <c r="BK22" s="349"/>
      <c r="BL22" s="349"/>
      <c r="BM22" s="349"/>
      <c r="BN22" s="349"/>
      <c r="BO22" s="349"/>
      <c r="BP22" s="349"/>
      <c r="BQ22" s="349"/>
      <c r="BR22" s="349"/>
      <c r="BS22" s="349"/>
      <c r="BT22" s="349"/>
      <c r="BU22" s="349"/>
      <c r="BV22" s="349"/>
      <c r="BW22" s="349"/>
      <c r="BX22" s="349"/>
      <c r="BY22" s="349"/>
      <c r="BZ22" s="349"/>
      <c r="CA22" s="349"/>
      <c r="CB22" s="349"/>
      <c r="CC22" s="349"/>
      <c r="CD22" s="360"/>
      <c r="CE22" s="361"/>
      <c r="CF22" s="362"/>
      <c r="CG22" s="362"/>
      <c r="CH22" s="362"/>
      <c r="CI22" s="362"/>
      <c r="CJ22" s="362"/>
      <c r="CK22" s="362"/>
      <c r="CL22" s="362"/>
      <c r="CM22" s="362"/>
      <c r="CN22" s="362"/>
      <c r="CO22" s="362"/>
      <c r="CP22" s="362"/>
      <c r="CQ22" s="362"/>
      <c r="CR22" s="362"/>
      <c r="CS22" s="362"/>
      <c r="CT22" s="362"/>
      <c r="CU22" s="362"/>
      <c r="CV22" s="362"/>
      <c r="CW22" s="362"/>
      <c r="CX22" s="362"/>
      <c r="CY22" s="362"/>
      <c r="CZ22" s="362"/>
      <c r="DA22" s="362"/>
      <c r="DB22" s="362"/>
      <c r="DC22" s="362"/>
      <c r="DD22" s="362"/>
      <c r="DE22" s="362"/>
      <c r="DF22" s="362"/>
      <c r="DG22" s="362"/>
      <c r="DH22" s="362"/>
      <c r="DI22" s="362"/>
      <c r="DJ22" s="362"/>
      <c r="DK22" s="362"/>
      <c r="DL22" s="362"/>
      <c r="DM22" s="362"/>
      <c r="DN22" s="362"/>
      <c r="DO22" s="362"/>
      <c r="DP22" s="362"/>
      <c r="DQ22" s="362"/>
      <c r="DR22" s="362"/>
      <c r="DS22" s="362"/>
      <c r="DT22" s="362"/>
      <c r="DU22" s="362"/>
      <c r="DV22" s="362"/>
      <c r="DW22" s="362"/>
      <c r="DX22" s="362"/>
      <c r="DY22" s="362"/>
      <c r="DZ22" s="362"/>
      <c r="EA22" s="362"/>
      <c r="EB22" s="362"/>
      <c r="EC22" s="362"/>
      <c r="ED22" s="362"/>
      <c r="EE22" s="362"/>
      <c r="EF22" s="362"/>
      <c r="EG22" s="362"/>
      <c r="EH22" s="362"/>
      <c r="EI22" s="362"/>
      <c r="EJ22" s="362"/>
      <c r="EK22" s="362"/>
      <c r="EL22" s="362"/>
      <c r="EM22" s="362"/>
      <c r="EN22" s="362"/>
      <c r="EO22" s="362"/>
      <c r="EP22" s="362"/>
      <c r="EQ22" s="362"/>
      <c r="ER22" s="362"/>
      <c r="ES22" s="362"/>
      <c r="ET22" s="362"/>
      <c r="EU22" s="362"/>
      <c r="EV22" s="362"/>
      <c r="EW22" s="362"/>
      <c r="EX22" s="362"/>
      <c r="EY22" s="362"/>
      <c r="EZ22" s="362"/>
      <c r="FA22" s="362"/>
      <c r="FB22" s="362"/>
      <c r="FC22" s="362"/>
      <c r="FD22" s="362"/>
      <c r="FE22" s="362"/>
      <c r="FF22" s="362"/>
      <c r="FG22" s="362"/>
      <c r="FH22" s="362"/>
      <c r="FI22" s="362"/>
      <c r="FJ22" s="362"/>
      <c r="FK22" s="362"/>
      <c r="FL22" s="362"/>
      <c r="FM22" s="362"/>
      <c r="FN22" s="362"/>
      <c r="FO22" s="362"/>
      <c r="FP22" s="362"/>
      <c r="FQ22" s="362"/>
      <c r="FR22" s="362"/>
      <c r="FS22" s="362"/>
      <c r="FT22" s="362"/>
      <c r="FU22" s="362"/>
      <c r="FV22" s="362"/>
      <c r="FW22" s="362"/>
      <c r="FX22" s="362"/>
      <c r="FY22" s="362"/>
      <c r="FZ22" s="362"/>
      <c r="GA22" s="362"/>
      <c r="GB22" s="362"/>
      <c r="GC22" s="362"/>
      <c r="GD22" s="362"/>
      <c r="GE22" s="362"/>
      <c r="GF22" s="362"/>
      <c r="GG22" s="362"/>
      <c r="GH22" s="362"/>
      <c r="GI22" s="362"/>
      <c r="GJ22" s="362"/>
      <c r="GK22" s="362"/>
      <c r="GL22" s="362"/>
      <c r="GM22" s="362"/>
      <c r="GN22" s="362"/>
      <c r="GO22" s="362"/>
      <c r="GP22" s="362"/>
      <c r="GQ22" s="362"/>
      <c r="GR22" s="362"/>
      <c r="GS22" s="362"/>
      <c r="GT22" s="362"/>
      <c r="GU22" s="362"/>
      <c r="GV22" s="362"/>
      <c r="GW22" s="362"/>
      <c r="GX22" s="362"/>
      <c r="GY22" s="362"/>
      <c r="GZ22" s="362"/>
      <c r="HA22" s="362"/>
      <c r="HB22" s="362"/>
      <c r="HC22" s="362"/>
      <c r="HD22" s="362"/>
      <c r="HE22" s="363"/>
      <c r="HF22" s="363"/>
      <c r="HG22" s="363"/>
      <c r="HH22" s="363"/>
      <c r="HI22" s="363"/>
      <c r="HJ22" s="363"/>
      <c r="HK22" s="363"/>
      <c r="HL22" s="363"/>
      <c r="HM22" s="363"/>
      <c r="HN22" s="363"/>
      <c r="HO22" s="363"/>
      <c r="HP22" s="363"/>
      <c r="HQ22" s="363"/>
      <c r="HR22" s="363"/>
      <c r="HS22" s="363"/>
      <c r="HT22" s="363"/>
      <c r="HU22" s="363"/>
      <c r="HV22" s="363"/>
      <c r="HW22" s="363"/>
      <c r="HX22" s="363"/>
      <c r="HY22" s="363"/>
      <c r="HZ22" s="363"/>
      <c r="IA22" s="363"/>
      <c r="IB22" s="363"/>
      <c r="IC22" s="363"/>
      <c r="ID22" s="363"/>
      <c r="IE22" s="363"/>
      <c r="IF22" s="363"/>
      <c r="IG22" s="363"/>
      <c r="IH22" s="363"/>
      <c r="II22" s="363"/>
      <c r="IJ22" s="363"/>
      <c r="IK22" s="363"/>
      <c r="IL22" s="363"/>
      <c r="IM22" s="363"/>
      <c r="IN22" s="363"/>
      <c r="IO22" s="363"/>
      <c r="IP22" s="363"/>
      <c r="IQ22" s="363"/>
      <c r="IR22" s="363"/>
      <c r="IS22" s="363"/>
      <c r="IT22" s="363"/>
      <c r="IU22" s="363"/>
      <c r="IV22" s="363"/>
      <c r="IW22" s="363"/>
      <c r="IX22" s="363"/>
      <c r="IY22" s="363"/>
      <c r="IZ22" s="363"/>
      <c r="JA22" s="363"/>
      <c r="JB22" s="363"/>
      <c r="JC22" s="363"/>
      <c r="JD22" s="363"/>
      <c r="JE22" s="363"/>
      <c r="JF22" s="363"/>
      <c r="JG22" s="363"/>
      <c r="JH22" s="363"/>
      <c r="JI22" s="363"/>
      <c r="JJ22" s="363"/>
      <c r="JK22" s="363"/>
      <c r="JL22" s="363"/>
      <c r="JM22" s="363"/>
      <c r="JN22" s="363"/>
      <c r="JO22" s="363"/>
      <c r="JP22" s="363"/>
      <c r="JQ22" s="363"/>
      <c r="JR22" s="363"/>
      <c r="JS22" s="363"/>
      <c r="JT22" s="363"/>
      <c r="JU22" s="363"/>
      <c r="JV22" s="363"/>
      <c r="JW22" s="363"/>
      <c r="JX22" s="363"/>
      <c r="JY22" s="363"/>
      <c r="JZ22" s="363"/>
      <c r="KA22" s="363"/>
      <c r="KB22" s="363"/>
      <c r="KC22" s="363"/>
      <c r="KD22" s="363"/>
      <c r="KE22" s="363"/>
      <c r="KF22" s="363"/>
      <c r="KG22" s="363"/>
      <c r="KH22" s="363"/>
      <c r="KI22" s="363"/>
      <c r="KJ22" s="363"/>
      <c r="KK22" s="363"/>
      <c r="KL22" s="363"/>
      <c r="KM22" s="363"/>
      <c r="KN22" s="363"/>
      <c r="KO22" s="363"/>
      <c r="KP22" s="363"/>
      <c r="KQ22" s="363"/>
      <c r="KR22" s="363"/>
      <c r="KS22" s="363"/>
      <c r="KT22" s="363"/>
      <c r="KU22" s="363"/>
      <c r="KV22" s="363"/>
      <c r="KW22" s="363"/>
      <c r="KX22" s="363"/>
      <c r="KY22" s="363"/>
      <c r="KZ22" s="363"/>
      <c r="LA22" s="363"/>
      <c r="LB22" s="363"/>
      <c r="LC22" s="363"/>
      <c r="LD22" s="363"/>
      <c r="LE22" s="363"/>
      <c r="LF22" s="363"/>
      <c r="LG22" s="363"/>
      <c r="LH22" s="363"/>
      <c r="LI22" s="363"/>
      <c r="LJ22" s="363"/>
      <c r="LK22" s="363"/>
      <c r="LL22" s="363"/>
      <c r="LM22" s="363"/>
      <c r="LN22" s="363"/>
      <c r="LO22" s="363"/>
      <c r="LP22" s="363"/>
      <c r="LQ22" s="363"/>
      <c r="LR22" s="363"/>
      <c r="LS22" s="363"/>
      <c r="LT22" s="363"/>
      <c r="LU22" s="363"/>
      <c r="LV22" s="363"/>
      <c r="LW22" s="363"/>
      <c r="LX22" s="363"/>
      <c r="LY22" s="363"/>
      <c r="LZ22" s="363"/>
      <c r="MA22" s="363"/>
      <c r="MB22" s="363"/>
      <c r="MC22" s="363"/>
      <c r="MD22" s="363"/>
      <c r="ME22" s="363"/>
      <c r="MF22" s="363"/>
      <c r="MG22" s="363"/>
      <c r="MH22" s="363"/>
      <c r="MI22" s="363"/>
      <c r="MJ22" s="363"/>
      <c r="MK22" s="363"/>
      <c r="ML22" s="363"/>
      <c r="MM22" s="363"/>
      <c r="MN22" s="363"/>
      <c r="MO22" s="363"/>
      <c r="MP22" s="363"/>
      <c r="MQ22" s="363"/>
      <c r="MR22" s="363"/>
      <c r="MS22" s="363"/>
      <c r="MT22" s="363"/>
      <c r="MU22" s="363"/>
      <c r="MV22" s="363"/>
      <c r="MW22" s="363"/>
      <c r="MX22" s="363"/>
      <c r="MY22" s="363"/>
      <c r="MZ22" s="363"/>
      <c r="NA22" s="363"/>
      <c r="NB22" s="363"/>
      <c r="NC22" s="363"/>
      <c r="ND22" s="363"/>
      <c r="NE22" s="363"/>
      <c r="NF22" s="363"/>
      <c r="NG22" s="363"/>
      <c r="NH22" s="363"/>
      <c r="NI22" s="363"/>
      <c r="NJ22" s="363"/>
      <c r="NK22" s="363"/>
      <c r="NL22" s="363"/>
      <c r="NM22" s="363"/>
      <c r="NN22" s="363"/>
      <c r="NO22" s="363"/>
      <c r="NP22" s="301" t="s">
        <v>34</v>
      </c>
      <c r="NQ22" s="322"/>
      <c r="NR22" s="322"/>
      <c r="NS22" s="322" t="s">
        <v>1</v>
      </c>
      <c r="NT22" s="389">
        <f>ROUND(0.5*NT19,4)</f>
        <v>1.21E-2</v>
      </c>
      <c r="NU22" s="389"/>
      <c r="NV22" s="389"/>
      <c r="NW22" s="322" t="s">
        <v>0</v>
      </c>
      <c r="NX22" s="346"/>
      <c r="NY22" s="346"/>
      <c r="NZ22" s="346"/>
      <c r="OE22" s="302"/>
      <c r="OF22" s="7"/>
      <c r="OG22" s="302">
        <v>150</v>
      </c>
      <c r="OH22" s="302"/>
      <c r="OI22" s="302">
        <v>200</v>
      </c>
      <c r="OJ22" s="302"/>
      <c r="OK22" s="297"/>
      <c r="OL22" s="302"/>
      <c r="OM22" s="302"/>
      <c r="ON22" s="302"/>
      <c r="OO22" s="122">
        <v>80</v>
      </c>
      <c r="OP22" s="8">
        <v>0.42499999999999999</v>
      </c>
      <c r="OQ22" s="297"/>
      <c r="OR22" s="302"/>
      <c r="OS22" s="302"/>
      <c r="OT22" s="302"/>
      <c r="OU22" s="302"/>
      <c r="OV22" s="302"/>
      <c r="OW22" s="302"/>
      <c r="OX22" s="302"/>
      <c r="OY22" s="302"/>
      <c r="OZ22" s="302"/>
      <c r="PA22" s="302"/>
      <c r="PB22" s="302"/>
      <c r="PC22" s="302"/>
      <c r="PE22" s="103"/>
      <c r="PF22" s="339"/>
      <c r="PG22" s="339"/>
      <c r="PH22" s="339"/>
      <c r="PI22" s="339"/>
      <c r="PJ22" s="339"/>
      <c r="PK22" s="339"/>
      <c r="PL22" s="339"/>
      <c r="PM22" s="339"/>
      <c r="PN22" s="363"/>
      <c r="PO22" s="363"/>
      <c r="PP22" s="363"/>
      <c r="PQ22" s="363"/>
      <c r="PR22" s="363"/>
      <c r="PS22" s="363"/>
      <c r="PT22" s="363"/>
      <c r="PU22" s="363"/>
      <c r="PV22" s="363"/>
      <c r="PW22" s="363"/>
      <c r="PX22" s="363"/>
      <c r="QC22" s="78" t="s">
        <v>23</v>
      </c>
      <c r="QD22" s="364">
        <f>QE16</f>
        <v>-0.22642857142857142</v>
      </c>
      <c r="QE22" s="347">
        <f>QD13</f>
        <v>-7.1428571428571438E-2</v>
      </c>
      <c r="QF22" s="347"/>
      <c r="QG22" s="347">
        <f>QD13</f>
        <v>-7.1428571428571438E-2</v>
      </c>
      <c r="QH22" s="347">
        <f>QE13</f>
        <v>7.1428571428571438E-2</v>
      </c>
      <c r="QI22" s="347"/>
      <c r="QJ22" s="347">
        <f>QE13</f>
        <v>7.1428571428571438E-2</v>
      </c>
      <c r="QK22" s="347">
        <f>QE19</f>
        <v>0.14892857142857144</v>
      </c>
      <c r="QM22" s="354">
        <f>QD22</f>
        <v>-0.22642857142857142</v>
      </c>
      <c r="QN22" s="354">
        <f>QM22</f>
        <v>-0.22642857142857142</v>
      </c>
      <c r="QP22" s="78">
        <f>QE22</f>
        <v>-7.1428571428571438E-2</v>
      </c>
      <c r="QQ22" s="78">
        <f>QP22</f>
        <v>-7.1428571428571438E-2</v>
      </c>
      <c r="QS22" s="78">
        <f>QH22</f>
        <v>7.1428571428571438E-2</v>
      </c>
      <c r="QT22" s="78">
        <f>QS22</f>
        <v>7.1428571428571438E-2</v>
      </c>
      <c r="QV22" s="78">
        <f>QK22</f>
        <v>0.14892857142857144</v>
      </c>
      <c r="QW22" s="78">
        <f>QV22</f>
        <v>0.14892857142857144</v>
      </c>
      <c r="QY22" s="355" t="str">
        <f>CONCATENATE("a1 = ",QC5)</f>
        <v>a1 = 0.2</v>
      </c>
      <c r="RB22" s="78">
        <f>0</f>
        <v>0</v>
      </c>
      <c r="RD22" s="354">
        <f>QD19</f>
        <v>-0.14892857142857144</v>
      </c>
      <c r="RF22" s="78">
        <f>((QK22-QJ22)/2)+QJ22</f>
        <v>0.11017857142857143</v>
      </c>
    </row>
    <row r="23" spans="1:521" ht="14.1" customHeight="1" x14ac:dyDescent="0.2">
      <c r="A23" s="112"/>
      <c r="B23" s="60"/>
      <c r="C23" s="275"/>
      <c r="D23" s="276"/>
      <c r="E23" s="276"/>
      <c r="F23" s="276"/>
      <c r="G23" s="276"/>
      <c r="H23" s="276"/>
      <c r="I23" s="276"/>
      <c r="J23" s="276"/>
      <c r="K23" s="276"/>
      <c r="L23" s="276"/>
      <c r="M23" s="276"/>
      <c r="N23" s="276"/>
      <c r="O23" s="277"/>
      <c r="P23" s="16"/>
      <c r="Q23" s="428"/>
      <c r="R23" s="429"/>
      <c r="S23" s="430"/>
      <c r="T23" s="504" t="s">
        <v>173</v>
      </c>
      <c r="U23" s="504"/>
      <c r="V23" s="504"/>
      <c r="W23" s="496">
        <v>5000</v>
      </c>
      <c r="X23" s="497"/>
      <c r="Y23" s="497"/>
      <c r="Z23" s="497"/>
      <c r="AA23" s="497"/>
      <c r="AB23" s="497"/>
      <c r="AC23" s="509" t="s">
        <v>17</v>
      </c>
      <c r="AD23" s="510"/>
      <c r="AE23" s="511"/>
      <c r="AF23" s="140"/>
      <c r="AG23" s="249"/>
      <c r="AH23" s="75"/>
      <c r="AI23" s="75"/>
      <c r="AJ23" s="287"/>
      <c r="AK23" s="45"/>
      <c r="AL23" s="287"/>
      <c r="AM23" s="320"/>
      <c r="AN23" s="320"/>
      <c r="AO23" s="320"/>
      <c r="AP23" s="320"/>
      <c r="AQ23" s="320"/>
      <c r="AR23" s="320"/>
      <c r="AS23" s="320"/>
      <c r="AT23" s="320"/>
      <c r="AU23" s="320"/>
      <c r="AV23" s="320"/>
      <c r="AW23" s="320"/>
      <c r="AX23" s="320"/>
      <c r="AY23" s="320"/>
      <c r="AZ23" s="320"/>
      <c r="BA23" s="320"/>
      <c r="BB23" s="320"/>
      <c r="BC23" s="320"/>
      <c r="BD23" s="320"/>
      <c r="BE23" s="320"/>
      <c r="BF23" s="320"/>
      <c r="BG23" s="320"/>
      <c r="BH23" s="320"/>
      <c r="BI23" s="320"/>
      <c r="BJ23" s="320"/>
      <c r="BK23" s="320"/>
      <c r="BL23" s="320"/>
      <c r="BM23" s="320"/>
      <c r="BN23" s="320"/>
      <c r="BO23" s="320"/>
      <c r="BP23" s="320"/>
      <c r="BQ23" s="320"/>
      <c r="BR23" s="320"/>
      <c r="BS23" s="320"/>
      <c r="BT23" s="320"/>
      <c r="BU23" s="320"/>
      <c r="BV23" s="320"/>
      <c r="BW23" s="320"/>
      <c r="BX23" s="320"/>
      <c r="BY23" s="320"/>
      <c r="BZ23" s="320"/>
      <c r="CA23" s="320"/>
      <c r="CB23" s="320"/>
      <c r="CC23" s="320"/>
      <c r="CD23" s="332"/>
      <c r="CE23" s="274"/>
      <c r="CF23" s="124"/>
      <c r="CG23" s="124"/>
      <c r="CH23" s="124"/>
      <c r="CI23" s="124"/>
      <c r="CJ23" s="124"/>
      <c r="CK23" s="124"/>
      <c r="CL23" s="124"/>
      <c r="CM23" s="124"/>
      <c r="CN23" s="124"/>
      <c r="CO23" s="124"/>
      <c r="CP23" s="124"/>
      <c r="CQ23" s="124"/>
      <c r="CR23" s="124"/>
      <c r="CS23" s="124"/>
      <c r="CT23" s="124"/>
      <c r="CU23" s="124"/>
      <c r="CV23" s="124"/>
      <c r="CW23" s="124"/>
      <c r="CX23" s="124"/>
      <c r="CY23" s="124"/>
      <c r="CZ23" s="124"/>
      <c r="DA23" s="124"/>
      <c r="DB23" s="124"/>
      <c r="DC23" s="124"/>
      <c r="DD23" s="124"/>
      <c r="DE23" s="124"/>
      <c r="DF23" s="124"/>
      <c r="DG23" s="124"/>
      <c r="DH23" s="124"/>
      <c r="DI23" s="124"/>
      <c r="DJ23" s="124"/>
      <c r="DK23" s="124"/>
      <c r="DL23" s="124"/>
      <c r="DM23" s="124"/>
      <c r="DN23" s="124"/>
      <c r="DO23" s="124"/>
      <c r="DP23" s="124"/>
      <c r="DQ23" s="124"/>
      <c r="DR23" s="124"/>
      <c r="DS23" s="124"/>
      <c r="DT23" s="124"/>
      <c r="DU23" s="124"/>
      <c r="DV23" s="124"/>
      <c r="DW23" s="124"/>
      <c r="DX23" s="124"/>
      <c r="DY23" s="124"/>
      <c r="DZ23" s="124"/>
      <c r="EA23" s="124"/>
      <c r="EB23" s="124"/>
      <c r="EC23" s="124"/>
      <c r="ED23" s="124"/>
      <c r="EE23" s="124"/>
      <c r="EF23" s="124"/>
      <c r="EG23" s="124"/>
      <c r="EH23" s="124"/>
      <c r="EI23" s="124"/>
      <c r="EJ23" s="124"/>
      <c r="EK23" s="124"/>
      <c r="EL23" s="124"/>
      <c r="EM23" s="124"/>
      <c r="EN23" s="124"/>
      <c r="EO23" s="124"/>
      <c r="EP23" s="124"/>
      <c r="EQ23" s="124"/>
      <c r="ER23" s="124"/>
      <c r="ES23" s="124"/>
      <c r="ET23" s="124"/>
      <c r="EU23" s="124"/>
      <c r="EV23" s="124"/>
      <c r="EW23" s="124"/>
      <c r="EX23" s="124"/>
      <c r="EY23" s="124"/>
      <c r="EZ23" s="124"/>
      <c r="FA23" s="124"/>
      <c r="FB23" s="124"/>
      <c r="FC23" s="124"/>
      <c r="FD23" s="124"/>
      <c r="FE23" s="124"/>
      <c r="FF23" s="124"/>
      <c r="FG23" s="124"/>
      <c r="FH23" s="124"/>
      <c r="FI23" s="124"/>
      <c r="FJ23" s="124"/>
      <c r="FK23" s="124"/>
      <c r="FL23" s="124"/>
      <c r="FM23" s="124"/>
      <c r="FN23" s="124"/>
      <c r="FO23" s="124"/>
      <c r="FP23" s="124"/>
      <c r="FQ23" s="124"/>
      <c r="FR23" s="124"/>
      <c r="FS23" s="124"/>
      <c r="FT23" s="124"/>
      <c r="FU23" s="124"/>
      <c r="FV23" s="124"/>
      <c r="FW23" s="124"/>
      <c r="FX23" s="124"/>
      <c r="FY23" s="124"/>
      <c r="FZ23" s="124"/>
      <c r="GA23" s="124"/>
      <c r="GB23" s="124"/>
      <c r="GC23" s="124"/>
      <c r="GD23" s="124"/>
      <c r="GE23" s="124"/>
      <c r="GF23" s="124"/>
      <c r="GG23" s="124"/>
      <c r="GH23" s="124"/>
      <c r="GI23" s="124"/>
      <c r="GJ23" s="124"/>
      <c r="GK23" s="124"/>
      <c r="GL23" s="124"/>
      <c r="GM23" s="124"/>
      <c r="GN23" s="124"/>
      <c r="GO23" s="124"/>
      <c r="GP23" s="124"/>
      <c r="GQ23" s="124"/>
      <c r="GR23" s="124"/>
      <c r="GS23" s="124"/>
      <c r="GT23" s="124"/>
      <c r="GU23" s="124"/>
      <c r="GV23" s="124"/>
      <c r="GW23" s="124"/>
      <c r="GX23" s="124"/>
      <c r="GY23" s="124"/>
      <c r="GZ23" s="124"/>
      <c r="HA23" s="124"/>
      <c r="HB23" s="124"/>
      <c r="HC23" s="124"/>
      <c r="HD23" s="124"/>
      <c r="HE23" s="168"/>
      <c r="HF23" s="168"/>
      <c r="HG23" s="168"/>
      <c r="HH23" s="168"/>
      <c r="HI23" s="168"/>
      <c r="HJ23" s="168"/>
      <c r="HK23" s="168"/>
      <c r="HL23" s="168"/>
      <c r="HM23" s="168"/>
      <c r="HN23" s="168"/>
      <c r="HO23" s="168"/>
      <c r="HP23" s="168"/>
      <c r="HQ23" s="168"/>
      <c r="HR23" s="168"/>
      <c r="HS23" s="168"/>
      <c r="HT23" s="168"/>
      <c r="HU23" s="168"/>
      <c r="HV23" s="168"/>
      <c r="HW23" s="168"/>
      <c r="HX23" s="168"/>
      <c r="HY23" s="168"/>
      <c r="HZ23" s="168"/>
      <c r="IA23" s="168"/>
      <c r="IB23" s="168"/>
      <c r="IC23" s="168"/>
      <c r="ID23" s="168"/>
      <c r="IE23" s="168"/>
      <c r="IF23" s="168"/>
      <c r="IG23" s="168"/>
      <c r="IH23" s="168"/>
      <c r="II23" s="168"/>
      <c r="IJ23" s="168"/>
      <c r="IK23" s="168"/>
      <c r="IL23" s="168"/>
      <c r="IM23" s="168"/>
      <c r="IN23" s="168"/>
      <c r="IO23" s="168"/>
      <c r="IP23" s="168"/>
      <c r="IQ23" s="168"/>
      <c r="IR23" s="168"/>
      <c r="IS23" s="168"/>
      <c r="IT23" s="168"/>
      <c r="IU23" s="168"/>
      <c r="IV23" s="168"/>
      <c r="IW23" s="168"/>
      <c r="IX23" s="168"/>
      <c r="IY23" s="168"/>
      <c r="IZ23" s="168"/>
      <c r="JA23" s="168"/>
      <c r="JB23" s="168"/>
      <c r="JC23" s="168"/>
      <c r="JD23" s="168"/>
      <c r="JE23" s="168"/>
      <c r="JF23" s="168"/>
      <c r="JG23" s="168"/>
      <c r="JH23" s="168"/>
      <c r="JI23" s="168"/>
      <c r="JJ23" s="168"/>
      <c r="JK23" s="168"/>
      <c r="JL23" s="168"/>
      <c r="JM23" s="168"/>
      <c r="JN23" s="168"/>
      <c r="JO23" s="168"/>
      <c r="JP23" s="168"/>
      <c r="JQ23" s="168"/>
      <c r="JR23" s="168"/>
      <c r="JS23" s="168"/>
      <c r="JT23" s="168"/>
      <c r="JU23" s="168"/>
      <c r="JV23" s="168"/>
      <c r="JW23" s="168"/>
      <c r="JX23" s="168"/>
      <c r="JY23" s="168"/>
      <c r="JZ23" s="168"/>
      <c r="KA23" s="168"/>
      <c r="KB23" s="168"/>
      <c r="KC23" s="168"/>
      <c r="KD23" s="168"/>
      <c r="KE23" s="168"/>
      <c r="KF23" s="168"/>
      <c r="KG23" s="168"/>
      <c r="KH23" s="168"/>
      <c r="KI23" s="168"/>
      <c r="KJ23" s="168"/>
      <c r="KK23" s="168"/>
      <c r="KL23" s="168"/>
      <c r="KM23" s="168"/>
      <c r="KN23" s="168"/>
      <c r="KO23" s="168"/>
      <c r="KP23" s="168"/>
      <c r="KQ23" s="168"/>
      <c r="KR23" s="168"/>
      <c r="KS23" s="168"/>
      <c r="KT23" s="168"/>
      <c r="KU23" s="168"/>
      <c r="KV23" s="168"/>
      <c r="KW23" s="168"/>
      <c r="KX23" s="168"/>
      <c r="KY23" s="168"/>
      <c r="KZ23" s="168"/>
      <c r="LA23" s="168"/>
      <c r="LB23" s="168"/>
      <c r="LC23" s="168"/>
      <c r="LD23" s="168"/>
      <c r="LE23" s="168"/>
      <c r="LF23" s="168"/>
      <c r="LG23" s="168"/>
      <c r="LH23" s="168"/>
      <c r="LI23" s="168"/>
      <c r="LJ23" s="168"/>
      <c r="LK23" s="168"/>
      <c r="LL23" s="168"/>
      <c r="LM23" s="168"/>
      <c r="LN23" s="168"/>
      <c r="LO23" s="168"/>
      <c r="LP23" s="168"/>
      <c r="LQ23" s="168"/>
      <c r="LR23" s="168"/>
      <c r="LS23" s="168"/>
      <c r="LT23" s="168"/>
      <c r="LU23" s="168"/>
      <c r="LV23" s="168"/>
      <c r="LW23" s="168"/>
      <c r="LX23" s="168"/>
      <c r="LY23" s="168"/>
      <c r="LZ23" s="168"/>
      <c r="MA23" s="168"/>
      <c r="MB23" s="168"/>
      <c r="MC23" s="168"/>
      <c r="MD23" s="168"/>
      <c r="ME23" s="168"/>
      <c r="MF23" s="168"/>
      <c r="MG23" s="168"/>
      <c r="MH23" s="168"/>
      <c r="MI23" s="168"/>
      <c r="MJ23" s="168"/>
      <c r="MK23" s="168"/>
      <c r="ML23" s="168"/>
      <c r="MM23" s="168"/>
      <c r="MN23" s="168"/>
      <c r="MO23" s="168"/>
      <c r="MP23" s="168"/>
      <c r="MQ23" s="168"/>
      <c r="MR23" s="168"/>
      <c r="MS23" s="168"/>
      <c r="MT23" s="168"/>
      <c r="MU23" s="168"/>
      <c r="MV23" s="168"/>
      <c r="MW23" s="168"/>
      <c r="MX23" s="168"/>
      <c r="MY23" s="168"/>
      <c r="MZ23" s="168"/>
      <c r="NA23" s="168"/>
      <c r="NB23" s="168"/>
      <c r="NC23" s="168"/>
      <c r="ND23" s="168"/>
      <c r="NE23" s="168"/>
      <c r="NF23" s="168"/>
      <c r="NG23" s="168"/>
      <c r="NH23" s="168"/>
      <c r="NI23" s="168"/>
      <c r="NJ23" s="168"/>
      <c r="NK23" s="168"/>
      <c r="NL23" s="168"/>
      <c r="NM23" s="168"/>
      <c r="NN23" s="168"/>
      <c r="NO23" s="168"/>
      <c r="NP23" s="301" t="s">
        <v>117</v>
      </c>
      <c r="NQ23" s="322"/>
      <c r="NR23" s="322"/>
      <c r="NS23" s="322" t="s">
        <v>1</v>
      </c>
      <c r="NT23" s="390">
        <f>ROUND(NT22*NT3*(1-(0.59*NT22*(NT3/NT2))),2)</f>
        <v>31.12</v>
      </c>
      <c r="NU23" s="390"/>
      <c r="NV23" s="390"/>
      <c r="NW23" s="301" t="s">
        <v>2</v>
      </c>
      <c r="NX23" s="322"/>
      <c r="NY23" s="346"/>
      <c r="NZ23" s="346"/>
      <c r="OE23" s="3">
        <v>0.9</v>
      </c>
      <c r="OF23" s="5">
        <v>0.85</v>
      </c>
      <c r="OG23" s="302">
        <v>200</v>
      </c>
      <c r="OH23" s="302"/>
      <c r="OI23" s="302">
        <v>250</v>
      </c>
      <c r="OJ23" s="302"/>
      <c r="OK23" s="297"/>
      <c r="OL23" s="302"/>
      <c r="OM23" s="302"/>
      <c r="ON23" s="302"/>
      <c r="OO23" s="122">
        <v>85</v>
      </c>
      <c r="OP23" s="8">
        <v>0.45</v>
      </c>
      <c r="OQ23" s="297"/>
      <c r="OR23" s="302"/>
      <c r="OS23" s="302"/>
      <c r="OT23" s="302"/>
      <c r="OU23" s="302"/>
      <c r="OV23" s="302"/>
      <c r="OW23" s="302"/>
      <c r="OX23" s="302"/>
      <c r="OY23" s="302"/>
      <c r="OZ23" s="302"/>
      <c r="PA23" s="302"/>
      <c r="PB23" s="302"/>
      <c r="PC23" s="302"/>
      <c r="PE23" s="103"/>
      <c r="PF23" s="339"/>
      <c r="PG23" s="339"/>
      <c r="PH23" s="339"/>
      <c r="PI23" s="339"/>
      <c r="PJ23" s="339"/>
      <c r="PK23" s="339"/>
      <c r="PL23" s="339"/>
      <c r="PM23" s="339"/>
      <c r="PN23" s="168"/>
      <c r="PO23" s="168"/>
      <c r="PP23" s="168"/>
      <c r="PQ23" s="168"/>
      <c r="PR23" s="168"/>
      <c r="PS23" s="168"/>
      <c r="PT23" s="168"/>
      <c r="PU23" s="168"/>
      <c r="PV23" s="168"/>
      <c r="PW23" s="168"/>
      <c r="PX23" s="168"/>
      <c r="QC23" s="78" t="s">
        <v>24</v>
      </c>
      <c r="QD23" s="364">
        <f>(-(QC4/2)-0.2)/QC3</f>
        <v>-0.64285714285714279</v>
      </c>
      <c r="QE23" s="347">
        <f>QD23</f>
        <v>-0.64285714285714279</v>
      </c>
      <c r="QF23" s="347"/>
      <c r="QG23" s="347">
        <f>QD23</f>
        <v>-0.64285714285714279</v>
      </c>
      <c r="QH23" s="347">
        <f>QD23</f>
        <v>-0.64285714285714279</v>
      </c>
      <c r="QI23" s="347"/>
      <c r="QJ23" s="347">
        <f>QD23</f>
        <v>-0.64285714285714279</v>
      </c>
      <c r="QK23" s="347">
        <f>QD23</f>
        <v>-0.64285714285714279</v>
      </c>
      <c r="QM23" s="78">
        <f>(-(QC4/2)-0.17)/QC3</f>
        <v>-0.62142857142857144</v>
      </c>
      <c r="QN23" s="78">
        <f>(-(QC4/2)-0.23)/QC3</f>
        <v>-0.66428571428571426</v>
      </c>
      <c r="QP23" s="78">
        <f>QM23</f>
        <v>-0.62142857142857144</v>
      </c>
      <c r="QQ23" s="78">
        <f>QN23</f>
        <v>-0.66428571428571426</v>
      </c>
      <c r="QS23" s="78">
        <f>QP23</f>
        <v>-0.62142857142857144</v>
      </c>
      <c r="QT23" s="78">
        <f>QQ23</f>
        <v>-0.66428571428571426</v>
      </c>
      <c r="QV23" s="78">
        <f>QS23</f>
        <v>-0.62142857142857144</v>
      </c>
      <c r="QW23" s="78">
        <f>QT23</f>
        <v>-0.66428571428571426</v>
      </c>
      <c r="QY23" s="355" t="str">
        <f>QY26</f>
        <v>d/2 = 0.1085</v>
      </c>
      <c r="RB23" s="354">
        <f>QD23</f>
        <v>-0.64285714285714279</v>
      </c>
      <c r="RD23" s="354">
        <f>RB23</f>
        <v>-0.64285714285714279</v>
      </c>
      <c r="RF23" s="354">
        <f>RB23</f>
        <v>-0.64285714285714279</v>
      </c>
    </row>
    <row r="24" spans="1:521" ht="14.1" customHeight="1" x14ac:dyDescent="0.2">
      <c r="A24" s="112"/>
      <c r="B24" s="60"/>
      <c r="C24" s="208"/>
      <c r="D24" s="453" t="s">
        <v>120</v>
      </c>
      <c r="E24" s="453"/>
      <c r="F24" s="453"/>
      <c r="G24" s="453"/>
      <c r="H24" s="208"/>
      <c r="I24" s="208"/>
      <c r="J24" s="208"/>
      <c r="K24" s="208"/>
      <c r="L24" s="208"/>
      <c r="M24" s="208"/>
      <c r="N24" s="208"/>
      <c r="O24" s="208"/>
      <c r="P24" s="16"/>
      <c r="Q24" s="428"/>
      <c r="R24" s="429"/>
      <c r="S24" s="430"/>
      <c r="T24" s="504" t="s">
        <v>97</v>
      </c>
      <c r="U24" s="504"/>
      <c r="V24" s="504"/>
      <c r="W24" s="507">
        <f>(NT14*(W20+W21+W22))+(NT15*W23)</f>
        <v>32664.399999999998</v>
      </c>
      <c r="X24" s="508"/>
      <c r="Y24" s="508"/>
      <c r="Z24" s="508"/>
      <c r="AA24" s="508"/>
      <c r="AB24" s="508"/>
      <c r="AC24" s="512" t="s">
        <v>17</v>
      </c>
      <c r="AD24" s="513"/>
      <c r="AE24" s="514"/>
      <c r="AF24" s="140"/>
      <c r="AG24" s="249"/>
      <c r="AH24" s="75"/>
      <c r="AI24" s="75"/>
      <c r="AJ24" s="45"/>
      <c r="AK24" s="45"/>
      <c r="AL24" s="45"/>
      <c r="AM24" s="104"/>
      <c r="AN24" s="69"/>
      <c r="AO24" s="69"/>
      <c r="AP24" s="69"/>
      <c r="AQ24" s="69"/>
      <c r="AR24" s="69"/>
      <c r="AS24" s="75"/>
      <c r="AT24" s="75"/>
      <c r="AU24" s="75"/>
      <c r="AV24" s="75"/>
      <c r="AW24" s="75"/>
      <c r="AX24" s="75"/>
      <c r="AY24" s="75"/>
      <c r="AZ24" s="75"/>
      <c r="BA24" s="75"/>
      <c r="BB24" s="75"/>
      <c r="BC24" s="75"/>
      <c r="BD24" s="75"/>
      <c r="BE24" s="75"/>
      <c r="BF24" s="75"/>
      <c r="BG24" s="75"/>
      <c r="BH24" s="75"/>
      <c r="BI24" s="75"/>
      <c r="BJ24" s="75"/>
      <c r="BK24" s="75"/>
      <c r="BL24" s="75"/>
      <c r="BM24" s="75"/>
      <c r="BN24" s="75"/>
      <c r="BO24" s="75"/>
      <c r="BP24" s="75"/>
      <c r="BQ24" s="75"/>
      <c r="BR24" s="75"/>
      <c r="BS24" s="75"/>
      <c r="BT24" s="75"/>
      <c r="BU24" s="75"/>
      <c r="BV24" s="75"/>
      <c r="BW24" s="75"/>
      <c r="BX24" s="75"/>
      <c r="BY24" s="75"/>
      <c r="BZ24" s="75"/>
      <c r="CA24" s="75"/>
      <c r="CB24" s="75"/>
      <c r="CC24" s="75"/>
      <c r="CD24" s="250"/>
      <c r="CE24" s="207"/>
      <c r="CF24" s="170"/>
      <c r="CG24" s="170"/>
      <c r="CH24" s="170"/>
      <c r="CI24" s="170"/>
      <c r="CJ24" s="170"/>
      <c r="CK24" s="170"/>
      <c r="CL24" s="170"/>
      <c r="CM24" s="170"/>
      <c r="CN24" s="170"/>
      <c r="CO24" s="170"/>
      <c r="CP24" s="170"/>
      <c r="CQ24" s="170"/>
      <c r="CR24" s="170"/>
      <c r="CS24" s="170"/>
      <c r="CT24" s="170"/>
      <c r="CU24" s="170"/>
      <c r="CV24" s="170"/>
      <c r="CW24" s="170"/>
      <c r="CX24" s="170"/>
      <c r="CY24" s="170"/>
      <c r="CZ24" s="170"/>
      <c r="DA24" s="170"/>
      <c r="DB24" s="170"/>
      <c r="DC24" s="170"/>
      <c r="DD24" s="170"/>
      <c r="DE24" s="170"/>
      <c r="DF24" s="170"/>
      <c r="DG24" s="170"/>
      <c r="DH24" s="170"/>
      <c r="DI24" s="170"/>
      <c r="DJ24" s="170"/>
      <c r="DK24" s="170"/>
      <c r="DL24" s="170"/>
      <c r="DM24" s="170"/>
      <c r="DN24" s="170"/>
      <c r="DO24" s="170"/>
      <c r="DP24" s="170"/>
      <c r="DQ24" s="170"/>
      <c r="DR24" s="170"/>
      <c r="DS24" s="170"/>
      <c r="DT24" s="170"/>
      <c r="DU24" s="170"/>
      <c r="DV24" s="170"/>
      <c r="DW24" s="170"/>
      <c r="DX24" s="170"/>
      <c r="DY24" s="170"/>
      <c r="DZ24" s="170"/>
      <c r="EA24" s="170"/>
      <c r="EB24" s="170"/>
      <c r="EC24" s="170"/>
      <c r="ED24" s="170"/>
      <c r="EE24" s="170"/>
      <c r="EF24" s="170"/>
      <c r="EG24" s="170"/>
      <c r="EH24" s="170"/>
      <c r="EI24" s="170"/>
      <c r="EJ24" s="170"/>
      <c r="EK24" s="170"/>
      <c r="EL24" s="170"/>
      <c r="EM24" s="170"/>
      <c r="EN24" s="170"/>
      <c r="EO24" s="170"/>
      <c r="EP24" s="170"/>
      <c r="EQ24" s="170"/>
      <c r="ER24" s="170"/>
      <c r="ES24" s="170"/>
      <c r="ET24" s="170"/>
      <c r="EU24" s="170"/>
      <c r="EV24" s="170"/>
      <c r="EW24" s="170"/>
      <c r="EX24" s="170"/>
      <c r="EY24" s="170"/>
      <c r="EZ24" s="170"/>
      <c r="FA24" s="170"/>
      <c r="FB24" s="170"/>
      <c r="FC24" s="170"/>
      <c r="FD24" s="170"/>
      <c r="FE24" s="170"/>
      <c r="FF24" s="170"/>
      <c r="FG24" s="170"/>
      <c r="FH24" s="170"/>
      <c r="FI24" s="170"/>
      <c r="FJ24" s="170"/>
      <c r="FK24" s="170"/>
      <c r="FL24" s="170"/>
      <c r="FM24" s="170"/>
      <c r="FN24" s="170"/>
      <c r="FO24" s="170"/>
      <c r="FP24" s="170"/>
      <c r="FQ24" s="170"/>
      <c r="FR24" s="170"/>
      <c r="FS24" s="170"/>
      <c r="FT24" s="170"/>
      <c r="FU24" s="170"/>
      <c r="FV24" s="170"/>
      <c r="FW24" s="170"/>
      <c r="FX24" s="170"/>
      <c r="FY24" s="170"/>
      <c r="FZ24" s="170"/>
      <c r="GA24" s="170"/>
      <c r="GB24" s="170"/>
      <c r="GC24" s="170"/>
      <c r="GD24" s="170"/>
      <c r="GE24" s="170"/>
      <c r="GF24" s="170"/>
      <c r="GG24" s="170"/>
      <c r="GH24" s="170"/>
      <c r="GI24" s="170"/>
      <c r="GJ24" s="170"/>
      <c r="GK24" s="170"/>
      <c r="GL24" s="170"/>
      <c r="GM24" s="170"/>
      <c r="GN24" s="170"/>
      <c r="GO24" s="170"/>
      <c r="GP24" s="170"/>
      <c r="GQ24" s="170"/>
      <c r="GR24" s="170"/>
      <c r="GS24" s="170"/>
      <c r="GT24" s="170"/>
      <c r="GU24" s="170"/>
      <c r="GV24" s="170"/>
      <c r="GW24" s="170"/>
      <c r="GX24" s="170"/>
      <c r="GY24" s="170"/>
      <c r="GZ24" s="170"/>
      <c r="HA24" s="170"/>
      <c r="HB24" s="170"/>
      <c r="HC24" s="170"/>
      <c r="HD24" s="170"/>
      <c r="HE24" s="153"/>
      <c r="HF24" s="153"/>
      <c r="HG24" s="153"/>
      <c r="HH24" s="153"/>
      <c r="HI24" s="153"/>
      <c r="HJ24" s="153"/>
      <c r="HK24" s="153"/>
      <c r="HL24" s="153"/>
      <c r="HM24" s="153"/>
      <c r="HN24" s="153"/>
      <c r="HO24" s="153"/>
      <c r="HP24" s="153"/>
      <c r="HQ24" s="153"/>
      <c r="HR24" s="153"/>
      <c r="HS24" s="153"/>
      <c r="HT24" s="153"/>
      <c r="HU24" s="153"/>
      <c r="HV24" s="153"/>
      <c r="HW24" s="153"/>
      <c r="HX24" s="153"/>
      <c r="HY24" s="153"/>
      <c r="HZ24" s="153"/>
      <c r="IA24" s="153"/>
      <c r="IB24" s="153"/>
      <c r="IC24" s="153"/>
      <c r="ID24" s="153"/>
      <c r="IE24" s="153"/>
      <c r="IF24" s="153"/>
      <c r="IG24" s="153"/>
      <c r="IH24" s="153"/>
      <c r="II24" s="153"/>
      <c r="IJ24" s="153"/>
      <c r="IK24" s="153"/>
      <c r="IL24" s="153"/>
      <c r="IM24" s="153"/>
      <c r="IN24" s="153"/>
      <c r="IO24" s="153"/>
      <c r="IP24" s="153"/>
      <c r="IQ24" s="153"/>
      <c r="IR24" s="153"/>
      <c r="IS24" s="153"/>
      <c r="IT24" s="153"/>
      <c r="IU24" s="153"/>
      <c r="IV24" s="153"/>
      <c r="IW24" s="153"/>
      <c r="IX24" s="153"/>
      <c r="IY24" s="153"/>
      <c r="IZ24" s="153"/>
      <c r="JA24" s="153"/>
      <c r="JB24" s="153"/>
      <c r="JC24" s="153"/>
      <c r="JD24" s="153"/>
      <c r="JE24" s="153"/>
      <c r="JF24" s="153"/>
      <c r="JG24" s="153"/>
      <c r="JH24" s="153"/>
      <c r="JI24" s="153"/>
      <c r="JJ24" s="153"/>
      <c r="JK24" s="153"/>
      <c r="JL24" s="153"/>
      <c r="JM24" s="153"/>
      <c r="JN24" s="153"/>
      <c r="JO24" s="153"/>
      <c r="JP24" s="153"/>
      <c r="JQ24" s="153"/>
      <c r="JR24" s="153"/>
      <c r="JS24" s="153"/>
      <c r="JT24" s="153"/>
      <c r="JU24" s="153"/>
      <c r="JV24" s="153"/>
      <c r="JW24" s="153"/>
      <c r="JX24" s="153"/>
      <c r="JY24" s="153"/>
      <c r="JZ24" s="153"/>
      <c r="KA24" s="153"/>
      <c r="KB24" s="153"/>
      <c r="KC24" s="153"/>
      <c r="KD24" s="153"/>
      <c r="KE24" s="153"/>
      <c r="KF24" s="153"/>
      <c r="KG24" s="153"/>
      <c r="KH24" s="153"/>
      <c r="KI24" s="153"/>
      <c r="KJ24" s="153"/>
      <c r="KK24" s="153"/>
      <c r="KL24" s="153"/>
      <c r="KM24" s="153"/>
      <c r="KN24" s="153"/>
      <c r="KO24" s="153"/>
      <c r="KP24" s="153"/>
      <c r="KQ24" s="153"/>
      <c r="KR24" s="153"/>
      <c r="KS24" s="153"/>
      <c r="KT24" s="153"/>
      <c r="KU24" s="153"/>
      <c r="KV24" s="153"/>
      <c r="KW24" s="153"/>
      <c r="KX24" s="153"/>
      <c r="KY24" s="153"/>
      <c r="KZ24" s="153"/>
      <c r="LA24" s="153"/>
      <c r="LB24" s="153"/>
      <c r="LC24" s="153"/>
      <c r="LD24" s="153"/>
      <c r="LE24" s="153"/>
      <c r="LF24" s="153"/>
      <c r="LG24" s="153"/>
      <c r="LH24" s="153"/>
      <c r="LI24" s="153"/>
      <c r="LJ24" s="153"/>
      <c r="LK24" s="153"/>
      <c r="LL24" s="153"/>
      <c r="LM24" s="153"/>
      <c r="LN24" s="153"/>
      <c r="LO24" s="153"/>
      <c r="LP24" s="153"/>
      <c r="LQ24" s="153"/>
      <c r="LR24" s="153"/>
      <c r="LS24" s="153"/>
      <c r="LT24" s="153"/>
      <c r="LU24" s="153"/>
      <c r="LV24" s="153"/>
      <c r="LW24" s="153"/>
      <c r="LX24" s="153"/>
      <c r="LY24" s="153"/>
      <c r="LZ24" s="153"/>
      <c r="MA24" s="153"/>
      <c r="MB24" s="153"/>
      <c r="MC24" s="153"/>
      <c r="MD24" s="153"/>
      <c r="ME24" s="153"/>
      <c r="MF24" s="153"/>
      <c r="MG24" s="153"/>
      <c r="MH24" s="153"/>
      <c r="MI24" s="153"/>
      <c r="MJ24" s="153"/>
      <c r="MK24" s="153"/>
      <c r="ML24" s="153"/>
      <c r="MM24" s="153"/>
      <c r="MN24" s="153"/>
      <c r="MO24" s="153"/>
      <c r="MP24" s="153"/>
      <c r="MQ24" s="153"/>
      <c r="MR24" s="153"/>
      <c r="MS24" s="153"/>
      <c r="MT24" s="153"/>
      <c r="MU24" s="153"/>
      <c r="MV24" s="153"/>
      <c r="MW24" s="153"/>
      <c r="MX24" s="153"/>
      <c r="MY24" s="153"/>
      <c r="MZ24" s="153"/>
      <c r="NA24" s="153"/>
      <c r="NB24" s="153"/>
      <c r="NC24" s="153"/>
      <c r="ND24" s="153"/>
      <c r="NE24" s="153"/>
      <c r="NF24" s="153"/>
      <c r="NG24" s="153"/>
      <c r="NH24" s="153"/>
      <c r="NI24" s="153"/>
      <c r="NJ24" s="153"/>
      <c r="NK24" s="153"/>
      <c r="NL24" s="153"/>
      <c r="NM24" s="153"/>
      <c r="NN24" s="153"/>
      <c r="NO24" s="153"/>
      <c r="NP24" s="301" t="s">
        <v>51</v>
      </c>
      <c r="NQ24" s="322"/>
      <c r="NR24" s="322"/>
      <c r="NS24" s="322" t="s">
        <v>1</v>
      </c>
      <c r="NT24" s="390">
        <f>SQRT((NT18*100)/(H10*NT23*H34*100))</f>
        <v>10.349145924325954</v>
      </c>
      <c r="NU24" s="390"/>
      <c r="NV24" s="390"/>
      <c r="NW24" s="301" t="s">
        <v>20</v>
      </c>
      <c r="NX24" s="14" t="s">
        <v>52</v>
      </c>
      <c r="NY24" s="302"/>
      <c r="NZ24" s="11" t="str">
        <f>IF(NT24&lt;=NT27,"Ok","Not Ok")</f>
        <v>Ok</v>
      </c>
      <c r="OE24" s="3">
        <v>0.85</v>
      </c>
      <c r="OF24" s="5">
        <v>0.8</v>
      </c>
      <c r="OG24" s="302">
        <v>250</v>
      </c>
      <c r="OH24" s="302"/>
      <c r="OI24" s="302">
        <v>300</v>
      </c>
      <c r="OJ24" s="302"/>
      <c r="OK24" s="297"/>
      <c r="OL24" s="302"/>
      <c r="OM24" s="302"/>
      <c r="ON24" s="302"/>
      <c r="OO24" s="122">
        <v>90</v>
      </c>
      <c r="OP24" s="302"/>
      <c r="OQ24" s="297"/>
      <c r="OR24" s="302"/>
      <c r="OS24" s="302"/>
      <c r="OT24" s="302"/>
      <c r="OU24" s="302"/>
      <c r="OV24" s="302"/>
      <c r="OW24" s="302"/>
      <c r="OX24" s="302"/>
      <c r="OY24" s="302"/>
      <c r="OZ24" s="302"/>
      <c r="PA24" s="302"/>
      <c r="PB24" s="302"/>
      <c r="PC24" s="302"/>
      <c r="PE24" s="302"/>
      <c r="PF24" s="302"/>
      <c r="PG24" s="302"/>
      <c r="PH24" s="302"/>
      <c r="PI24" s="302"/>
      <c r="PJ24" s="302"/>
      <c r="PK24" s="302"/>
      <c r="PL24" s="302"/>
      <c r="PM24" s="302"/>
      <c r="PN24" s="153"/>
      <c r="PO24" s="153"/>
      <c r="PP24" s="153"/>
      <c r="PQ24" s="153"/>
      <c r="PR24" s="153"/>
      <c r="PS24" s="153"/>
      <c r="PT24" s="153"/>
      <c r="PU24" s="153"/>
      <c r="PV24" s="153"/>
      <c r="PW24" s="153"/>
      <c r="PX24" s="153"/>
      <c r="QC24" s="78" t="s">
        <v>138</v>
      </c>
    </row>
    <row r="25" spans="1:521" ht="14.1" customHeight="1" thickBot="1" x14ac:dyDescent="0.25">
      <c r="A25" s="112"/>
      <c r="B25" s="60"/>
      <c r="C25" s="278"/>
      <c r="D25" s="453"/>
      <c r="E25" s="453"/>
      <c r="F25" s="453"/>
      <c r="G25" s="453"/>
      <c r="H25" s="216"/>
      <c r="I25" s="210"/>
      <c r="J25" s="210"/>
      <c r="K25" s="210"/>
      <c r="L25" s="210"/>
      <c r="M25" s="210"/>
      <c r="N25" s="210"/>
      <c r="O25" s="217"/>
      <c r="P25" s="16"/>
      <c r="Q25" s="442" t="s">
        <v>183</v>
      </c>
      <c r="R25" s="443"/>
      <c r="S25" s="444"/>
      <c r="T25" s="434" t="s">
        <v>185</v>
      </c>
      <c r="U25" s="435"/>
      <c r="V25" s="436"/>
      <c r="W25" s="457" t="str">
        <f>NT12</f>
        <v>1.4 x 1.4</v>
      </c>
      <c r="X25" s="458"/>
      <c r="Y25" s="458"/>
      <c r="Z25" s="458"/>
      <c r="AA25" s="458"/>
      <c r="AB25" s="459"/>
      <c r="AC25" s="460" t="s">
        <v>184</v>
      </c>
      <c r="AD25" s="461"/>
      <c r="AE25" s="462"/>
      <c r="AF25" s="140"/>
      <c r="AG25" s="249"/>
      <c r="AH25" s="75"/>
      <c r="AI25" s="75"/>
      <c r="AJ25" s="45"/>
      <c r="AK25" s="45"/>
      <c r="AL25" s="45"/>
      <c r="AM25" s="104"/>
      <c r="AN25" s="69"/>
      <c r="AO25" s="69"/>
      <c r="AP25" s="69"/>
      <c r="AQ25" s="69"/>
      <c r="AR25" s="69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  <c r="BM25" s="75"/>
      <c r="BN25" s="75"/>
      <c r="BO25" s="75"/>
      <c r="BP25" s="75"/>
      <c r="BQ25" s="75"/>
      <c r="BR25" s="75"/>
      <c r="BS25" s="75"/>
      <c r="BT25" s="75"/>
      <c r="BU25" s="75"/>
      <c r="BV25" s="75"/>
      <c r="BW25" s="75"/>
      <c r="BX25" s="75"/>
      <c r="BY25" s="75"/>
      <c r="BZ25" s="75"/>
      <c r="CA25" s="75"/>
      <c r="CB25" s="75"/>
      <c r="CC25" s="75"/>
      <c r="CD25" s="250"/>
      <c r="CE25" s="207"/>
      <c r="CF25" s="170"/>
      <c r="CG25" s="170"/>
      <c r="CH25" s="170"/>
      <c r="CI25" s="170"/>
      <c r="CJ25" s="170"/>
      <c r="CK25" s="170"/>
      <c r="CL25" s="170"/>
      <c r="CM25" s="170"/>
      <c r="CN25" s="170"/>
      <c r="CO25" s="170"/>
      <c r="CP25" s="170"/>
      <c r="CQ25" s="170"/>
      <c r="CR25" s="170"/>
      <c r="CS25" s="170"/>
      <c r="CT25" s="170"/>
      <c r="CU25" s="170"/>
      <c r="CV25" s="170"/>
      <c r="CW25" s="170"/>
      <c r="CX25" s="170"/>
      <c r="CY25" s="170"/>
      <c r="CZ25" s="170"/>
      <c r="DA25" s="170"/>
      <c r="DB25" s="170"/>
      <c r="DC25" s="170"/>
      <c r="DD25" s="170"/>
      <c r="DE25" s="170"/>
      <c r="DF25" s="170"/>
      <c r="DG25" s="170"/>
      <c r="DH25" s="170"/>
      <c r="DI25" s="170"/>
      <c r="DJ25" s="170"/>
      <c r="DK25" s="170"/>
      <c r="DL25" s="170"/>
      <c r="DM25" s="170"/>
      <c r="DN25" s="170"/>
      <c r="DO25" s="170"/>
      <c r="DP25" s="170"/>
      <c r="DQ25" s="170"/>
      <c r="DR25" s="170"/>
      <c r="DS25" s="170"/>
      <c r="DT25" s="170"/>
      <c r="DU25" s="170"/>
      <c r="DV25" s="170"/>
      <c r="DW25" s="170"/>
      <c r="DX25" s="170"/>
      <c r="DY25" s="170"/>
      <c r="DZ25" s="170"/>
      <c r="EA25" s="170"/>
      <c r="EB25" s="170"/>
      <c r="EC25" s="170"/>
      <c r="ED25" s="170"/>
      <c r="EE25" s="170"/>
      <c r="EF25" s="170"/>
      <c r="EG25" s="170"/>
      <c r="EH25" s="170"/>
      <c r="EI25" s="170"/>
      <c r="EJ25" s="170"/>
      <c r="EK25" s="170"/>
      <c r="EL25" s="170"/>
      <c r="EM25" s="170"/>
      <c r="EN25" s="170"/>
      <c r="EO25" s="170"/>
      <c r="EP25" s="170"/>
      <c r="EQ25" s="170"/>
      <c r="ER25" s="170"/>
      <c r="ES25" s="170"/>
      <c r="ET25" s="170"/>
      <c r="EU25" s="170"/>
      <c r="EV25" s="170"/>
      <c r="EW25" s="170"/>
      <c r="EX25" s="170"/>
      <c r="EY25" s="170"/>
      <c r="EZ25" s="170"/>
      <c r="FA25" s="170"/>
      <c r="FB25" s="170"/>
      <c r="FC25" s="170"/>
      <c r="FD25" s="170"/>
      <c r="FE25" s="170"/>
      <c r="FF25" s="170"/>
      <c r="FG25" s="170"/>
      <c r="FH25" s="170"/>
      <c r="FI25" s="170"/>
      <c r="FJ25" s="170"/>
      <c r="FK25" s="170"/>
      <c r="FL25" s="170"/>
      <c r="FM25" s="170"/>
      <c r="FN25" s="170"/>
      <c r="FO25" s="170"/>
      <c r="FP25" s="170"/>
      <c r="FQ25" s="170"/>
      <c r="FR25" s="170"/>
      <c r="FS25" s="170"/>
      <c r="FT25" s="170"/>
      <c r="FU25" s="170"/>
      <c r="FV25" s="170"/>
      <c r="FW25" s="170"/>
      <c r="FX25" s="170"/>
      <c r="FY25" s="170"/>
      <c r="FZ25" s="170"/>
      <c r="GA25" s="170"/>
      <c r="GB25" s="170"/>
      <c r="GC25" s="170"/>
      <c r="GD25" s="170"/>
      <c r="GE25" s="170"/>
      <c r="GF25" s="170"/>
      <c r="GG25" s="170"/>
      <c r="GH25" s="170"/>
      <c r="GI25" s="170"/>
      <c r="GJ25" s="170"/>
      <c r="GK25" s="170"/>
      <c r="GL25" s="170"/>
      <c r="GM25" s="170"/>
      <c r="GN25" s="170"/>
      <c r="GO25" s="170"/>
      <c r="GP25" s="170"/>
      <c r="GQ25" s="170"/>
      <c r="GR25" s="170"/>
      <c r="GS25" s="170"/>
      <c r="GT25" s="170"/>
      <c r="GU25" s="170"/>
      <c r="GV25" s="170"/>
      <c r="GW25" s="170"/>
      <c r="GX25" s="170"/>
      <c r="GY25" s="170"/>
      <c r="GZ25" s="170"/>
      <c r="HA25" s="170"/>
      <c r="HB25" s="170"/>
      <c r="HC25" s="170"/>
      <c r="HD25" s="170"/>
      <c r="HE25" s="153"/>
      <c r="HF25" s="153"/>
      <c r="HG25" s="153"/>
      <c r="HH25" s="153"/>
      <c r="HI25" s="153"/>
      <c r="HJ25" s="153"/>
      <c r="HK25" s="153"/>
      <c r="HL25" s="153"/>
      <c r="HM25" s="153"/>
      <c r="HN25" s="153"/>
      <c r="HO25" s="153"/>
      <c r="HP25" s="153"/>
      <c r="HQ25" s="153"/>
      <c r="HR25" s="153"/>
      <c r="HS25" s="153"/>
      <c r="HT25" s="153"/>
      <c r="HU25" s="153"/>
      <c r="HV25" s="153"/>
      <c r="HW25" s="153"/>
      <c r="HX25" s="153"/>
      <c r="HY25" s="153"/>
      <c r="HZ25" s="153"/>
      <c r="IA25" s="153"/>
      <c r="IB25" s="153"/>
      <c r="IC25" s="153"/>
      <c r="ID25" s="153"/>
      <c r="IE25" s="153"/>
      <c r="IF25" s="153"/>
      <c r="IG25" s="153"/>
      <c r="IH25" s="153"/>
      <c r="II25" s="153"/>
      <c r="IJ25" s="153"/>
      <c r="IK25" s="153"/>
      <c r="IL25" s="153"/>
      <c r="IM25" s="153"/>
      <c r="IN25" s="153"/>
      <c r="IO25" s="153"/>
      <c r="IP25" s="153"/>
      <c r="IQ25" s="153"/>
      <c r="IR25" s="153"/>
      <c r="IS25" s="153"/>
      <c r="IT25" s="153"/>
      <c r="IU25" s="153"/>
      <c r="IV25" s="153"/>
      <c r="IW25" s="153"/>
      <c r="IX25" s="153"/>
      <c r="IY25" s="153"/>
      <c r="IZ25" s="153"/>
      <c r="JA25" s="153"/>
      <c r="JB25" s="153"/>
      <c r="JC25" s="153"/>
      <c r="JD25" s="153"/>
      <c r="JE25" s="153"/>
      <c r="JF25" s="153"/>
      <c r="JG25" s="153"/>
      <c r="JH25" s="153"/>
      <c r="JI25" s="153"/>
      <c r="JJ25" s="153"/>
      <c r="JK25" s="153"/>
      <c r="JL25" s="153"/>
      <c r="JM25" s="153"/>
      <c r="JN25" s="153"/>
      <c r="JO25" s="153"/>
      <c r="JP25" s="153"/>
      <c r="JQ25" s="153"/>
      <c r="JR25" s="153"/>
      <c r="JS25" s="153"/>
      <c r="JT25" s="153"/>
      <c r="JU25" s="153"/>
      <c r="JV25" s="153"/>
      <c r="JW25" s="153"/>
      <c r="JX25" s="153"/>
      <c r="JY25" s="153"/>
      <c r="JZ25" s="153"/>
      <c r="KA25" s="153"/>
      <c r="KB25" s="153"/>
      <c r="KC25" s="153"/>
      <c r="KD25" s="153"/>
      <c r="KE25" s="153"/>
      <c r="KF25" s="153"/>
      <c r="KG25" s="153"/>
      <c r="KH25" s="153"/>
      <c r="KI25" s="153"/>
      <c r="KJ25" s="153"/>
      <c r="KK25" s="153"/>
      <c r="KL25" s="153"/>
      <c r="KM25" s="153"/>
      <c r="KN25" s="153"/>
      <c r="KO25" s="153"/>
      <c r="KP25" s="153"/>
      <c r="KQ25" s="153"/>
      <c r="KR25" s="153"/>
      <c r="KS25" s="153"/>
      <c r="KT25" s="153"/>
      <c r="KU25" s="153"/>
      <c r="KV25" s="153"/>
      <c r="KW25" s="153"/>
      <c r="KX25" s="153"/>
      <c r="KY25" s="153"/>
      <c r="KZ25" s="153"/>
      <c r="LA25" s="153"/>
      <c r="LB25" s="153"/>
      <c r="LC25" s="153"/>
      <c r="LD25" s="153"/>
      <c r="LE25" s="153"/>
      <c r="LF25" s="153"/>
      <c r="LG25" s="153"/>
      <c r="LH25" s="153"/>
      <c r="LI25" s="153"/>
      <c r="LJ25" s="153"/>
      <c r="LK25" s="153"/>
      <c r="LL25" s="153"/>
      <c r="LM25" s="153"/>
      <c r="LN25" s="153"/>
      <c r="LO25" s="153"/>
      <c r="LP25" s="153"/>
      <c r="LQ25" s="153"/>
      <c r="LR25" s="153"/>
      <c r="LS25" s="153"/>
      <c r="LT25" s="153"/>
      <c r="LU25" s="153"/>
      <c r="LV25" s="153"/>
      <c r="LW25" s="153"/>
      <c r="LX25" s="153"/>
      <c r="LY25" s="153"/>
      <c r="LZ25" s="153"/>
      <c r="MA25" s="153"/>
      <c r="MB25" s="153"/>
      <c r="MC25" s="153"/>
      <c r="MD25" s="153"/>
      <c r="ME25" s="153"/>
      <c r="MF25" s="153"/>
      <c r="MG25" s="153"/>
      <c r="MH25" s="153"/>
      <c r="MI25" s="153"/>
      <c r="MJ25" s="153"/>
      <c r="MK25" s="153"/>
      <c r="ML25" s="153"/>
      <c r="MM25" s="153"/>
      <c r="MN25" s="153"/>
      <c r="MO25" s="153"/>
      <c r="MP25" s="153"/>
      <c r="MQ25" s="153"/>
      <c r="MR25" s="153"/>
      <c r="MS25" s="153"/>
      <c r="MT25" s="153"/>
      <c r="MU25" s="153"/>
      <c r="MV25" s="153"/>
      <c r="MW25" s="153"/>
      <c r="MX25" s="153"/>
      <c r="MY25" s="153"/>
      <c r="MZ25" s="153"/>
      <c r="NA25" s="153"/>
      <c r="NB25" s="153"/>
      <c r="NC25" s="153"/>
      <c r="ND25" s="153"/>
      <c r="NE25" s="153"/>
      <c r="NF25" s="153"/>
      <c r="NG25" s="153"/>
      <c r="NH25" s="153"/>
      <c r="NI25" s="153"/>
      <c r="NJ25" s="153"/>
      <c r="NK25" s="153"/>
      <c r="NL25" s="153"/>
      <c r="NM25" s="153"/>
      <c r="NN25" s="153"/>
      <c r="NO25" s="153"/>
      <c r="NP25" s="302" t="s">
        <v>101</v>
      </c>
      <c r="NQ25" s="302"/>
      <c r="NR25" s="302"/>
      <c r="NS25" s="322" t="s">
        <v>1</v>
      </c>
      <c r="NT25" s="386">
        <f>NT24+(W19/20)+H38</f>
        <v>18.649145924325957</v>
      </c>
      <c r="NU25" s="386"/>
      <c r="NV25" s="386"/>
      <c r="NW25" s="322" t="s">
        <v>125</v>
      </c>
      <c r="NX25" s="302"/>
      <c r="NY25" s="302"/>
      <c r="NZ25" s="302"/>
      <c r="OA25" s="302"/>
      <c r="OB25" s="64"/>
      <c r="OC25" s="64"/>
      <c r="OE25" s="3">
        <v>0.8</v>
      </c>
      <c r="OF25" s="5">
        <v>0.75</v>
      </c>
      <c r="OG25" s="302">
        <v>300</v>
      </c>
      <c r="OH25" s="302"/>
      <c r="OI25" s="302">
        <v>400</v>
      </c>
      <c r="OJ25" s="302"/>
      <c r="OK25" s="297"/>
      <c r="OL25" s="302"/>
      <c r="OM25" s="302"/>
      <c r="ON25" s="302"/>
      <c r="OO25" s="122">
        <v>95</v>
      </c>
      <c r="OP25" s="302"/>
      <c r="OQ25" s="297"/>
      <c r="OR25" s="302"/>
      <c r="OS25" s="302"/>
      <c r="OT25" s="302"/>
      <c r="OU25" s="302"/>
      <c r="OV25" s="302"/>
      <c r="OW25" s="302"/>
      <c r="OX25" s="302"/>
      <c r="OY25" s="302"/>
      <c r="OZ25" s="302"/>
      <c r="PA25" s="302"/>
      <c r="PB25" s="302"/>
      <c r="PC25" s="302"/>
      <c r="PE25" s="302"/>
      <c r="PF25" s="323"/>
      <c r="PG25" s="323"/>
      <c r="PH25" s="323"/>
      <c r="PI25" s="323"/>
      <c r="PJ25" s="323"/>
      <c r="PK25" s="323"/>
      <c r="PL25" s="323"/>
      <c r="PM25" s="323"/>
      <c r="PN25" s="153"/>
      <c r="PO25" s="153"/>
      <c r="PP25" s="153"/>
      <c r="PQ25" s="153"/>
      <c r="PR25" s="153"/>
      <c r="PS25" s="153"/>
      <c r="PT25" s="153"/>
      <c r="PU25" s="153"/>
      <c r="PV25" s="153"/>
      <c r="PW25" s="153"/>
      <c r="PX25" s="153"/>
      <c r="QC25" s="78" t="s">
        <v>23</v>
      </c>
      <c r="QD25" s="347">
        <f>QE10+(0.2/QC3)</f>
        <v>0.6428571428571429</v>
      </c>
      <c r="QE25" s="347">
        <f>QD25</f>
        <v>0.6428571428571429</v>
      </c>
      <c r="QF25" s="347"/>
      <c r="QG25" s="347">
        <f>QD25</f>
        <v>0.6428571428571429</v>
      </c>
      <c r="QH25" s="347">
        <f>QG25</f>
        <v>0.6428571428571429</v>
      </c>
      <c r="QI25" s="347"/>
      <c r="QJ25" s="347">
        <f>QG25</f>
        <v>0.6428571428571429</v>
      </c>
      <c r="QK25" s="347">
        <f>QJ25</f>
        <v>0.6428571428571429</v>
      </c>
      <c r="QM25" s="78">
        <f>QD25-(0.03/QC3)</f>
        <v>0.62142857142857144</v>
      </c>
      <c r="QN25" s="78">
        <f>QD25+(0.03/QC3)</f>
        <v>0.66428571428571437</v>
      </c>
      <c r="QP25" s="78">
        <f>QM25</f>
        <v>0.62142857142857144</v>
      </c>
      <c r="QQ25" s="78">
        <f>QN25</f>
        <v>0.66428571428571437</v>
      </c>
      <c r="QS25" s="78">
        <f>QP25</f>
        <v>0.62142857142857144</v>
      </c>
      <c r="QT25" s="78">
        <f>QQ25</f>
        <v>0.66428571428571437</v>
      </c>
      <c r="QV25" s="78">
        <f>QS25</f>
        <v>0.62142857142857144</v>
      </c>
      <c r="QW25" s="78">
        <f>QT25</f>
        <v>0.66428571428571437</v>
      </c>
      <c r="QY25" s="355" t="str">
        <f>CONCATENATE("b1 = ",QC6)</f>
        <v>b1 = 0.2</v>
      </c>
      <c r="RB25" s="78">
        <f>QD25</f>
        <v>0.6428571428571429</v>
      </c>
      <c r="RD25" s="78">
        <f>RB25</f>
        <v>0.6428571428571429</v>
      </c>
      <c r="RF25" s="78">
        <f>RD25</f>
        <v>0.6428571428571429</v>
      </c>
    </row>
    <row r="26" spans="1:521" ht="14.1" customHeight="1" x14ac:dyDescent="0.2">
      <c r="A26" s="16"/>
      <c r="B26" s="22"/>
      <c r="C26" s="211"/>
      <c r="D26" s="208"/>
      <c r="E26" s="208"/>
      <c r="F26" s="209" t="s">
        <v>212</v>
      </c>
      <c r="G26" s="208"/>
      <c r="H26" s="454">
        <v>20</v>
      </c>
      <c r="I26" s="455"/>
      <c r="J26" s="456"/>
      <c r="K26" s="208"/>
      <c r="L26" s="189" t="s">
        <v>20</v>
      </c>
      <c r="M26" s="208"/>
      <c r="N26" s="208"/>
      <c r="O26" s="212"/>
      <c r="P26" s="16"/>
      <c r="Q26" s="428"/>
      <c r="R26" s="429"/>
      <c r="S26" s="430"/>
      <c r="T26" s="434" t="s">
        <v>161</v>
      </c>
      <c r="U26" s="435"/>
      <c r="V26" s="436"/>
      <c r="W26" s="475">
        <f>NT11</f>
        <v>1.8331999999999999</v>
      </c>
      <c r="X26" s="476"/>
      <c r="Y26" s="476"/>
      <c r="Z26" s="476"/>
      <c r="AA26" s="476"/>
      <c r="AB26" s="477"/>
      <c r="AC26" s="395" t="str">
        <f>NY13</f>
        <v>OK</v>
      </c>
      <c r="AD26" s="396"/>
      <c r="AE26" s="397"/>
      <c r="AF26" s="140"/>
      <c r="AG26" s="249"/>
      <c r="AH26" s="75"/>
      <c r="AI26" s="75"/>
      <c r="AJ26" s="251"/>
      <c r="AK26" s="156"/>
      <c r="AL26" s="156"/>
      <c r="AM26" s="135"/>
      <c r="AN26" s="135"/>
      <c r="AO26" s="135"/>
      <c r="AP26" s="135"/>
      <c r="AQ26" s="135"/>
      <c r="AR26" s="13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75"/>
      <c r="BN26" s="75"/>
      <c r="BO26" s="75"/>
      <c r="BP26" s="75"/>
      <c r="BQ26" s="75"/>
      <c r="BR26" s="75"/>
      <c r="BS26" s="75"/>
      <c r="BT26" s="75"/>
      <c r="BU26" s="75"/>
      <c r="BV26" s="75"/>
      <c r="BW26" s="75"/>
      <c r="BX26" s="75"/>
      <c r="BY26" s="75"/>
      <c r="BZ26" s="75"/>
      <c r="CA26" s="75"/>
      <c r="CB26" s="75"/>
      <c r="CC26" s="75"/>
      <c r="CD26" s="250"/>
      <c r="CE26" s="207"/>
      <c r="CF26" s="170"/>
      <c r="CG26" s="170"/>
      <c r="CH26" s="170"/>
      <c r="CI26" s="170"/>
      <c r="CJ26" s="170"/>
      <c r="CK26" s="170"/>
      <c r="CL26" s="170"/>
      <c r="CM26" s="170"/>
      <c r="CN26" s="170"/>
      <c r="CO26" s="170"/>
      <c r="CP26" s="170"/>
      <c r="CQ26" s="170"/>
      <c r="CR26" s="170"/>
      <c r="CS26" s="170"/>
      <c r="CT26" s="170"/>
      <c r="CU26" s="170"/>
      <c r="CV26" s="170"/>
      <c r="CW26" s="170"/>
      <c r="CX26" s="170"/>
      <c r="CY26" s="170"/>
      <c r="CZ26" s="170"/>
      <c r="DA26" s="170"/>
      <c r="DB26" s="170"/>
      <c r="DC26" s="170"/>
      <c r="DD26" s="170"/>
      <c r="DE26" s="170"/>
      <c r="DF26" s="170"/>
      <c r="DG26" s="170"/>
      <c r="DH26" s="170"/>
      <c r="DI26" s="170"/>
      <c r="DJ26" s="170"/>
      <c r="DK26" s="170"/>
      <c r="DL26" s="170"/>
      <c r="DM26" s="170"/>
      <c r="DN26" s="170"/>
      <c r="DO26" s="170"/>
      <c r="DP26" s="170"/>
      <c r="DQ26" s="170"/>
      <c r="DR26" s="170"/>
      <c r="DS26" s="170"/>
      <c r="DT26" s="170"/>
      <c r="DU26" s="170"/>
      <c r="DV26" s="170"/>
      <c r="DW26" s="170"/>
      <c r="DX26" s="170"/>
      <c r="DY26" s="170"/>
      <c r="DZ26" s="170"/>
      <c r="EA26" s="170"/>
      <c r="EB26" s="170"/>
      <c r="EC26" s="170"/>
      <c r="ED26" s="170"/>
      <c r="EE26" s="170"/>
      <c r="EF26" s="170"/>
      <c r="EG26" s="170"/>
      <c r="EH26" s="170"/>
      <c r="EI26" s="170"/>
      <c r="EJ26" s="170"/>
      <c r="EK26" s="170"/>
      <c r="EL26" s="170"/>
      <c r="EM26" s="170"/>
      <c r="EN26" s="170"/>
      <c r="EO26" s="170"/>
      <c r="EP26" s="170"/>
      <c r="EQ26" s="170"/>
      <c r="ER26" s="170"/>
      <c r="ES26" s="170"/>
      <c r="ET26" s="170"/>
      <c r="EU26" s="170"/>
      <c r="EV26" s="170"/>
      <c r="EW26" s="170"/>
      <c r="EX26" s="170"/>
      <c r="EY26" s="170"/>
      <c r="EZ26" s="170"/>
      <c r="FA26" s="170"/>
      <c r="FB26" s="170"/>
      <c r="FC26" s="170"/>
      <c r="FD26" s="170"/>
      <c r="FE26" s="170"/>
      <c r="FF26" s="170"/>
      <c r="FG26" s="170"/>
      <c r="FH26" s="170"/>
      <c r="FI26" s="170"/>
      <c r="FJ26" s="170"/>
      <c r="FK26" s="170"/>
      <c r="FL26" s="170"/>
      <c r="FM26" s="170"/>
      <c r="FN26" s="170"/>
      <c r="FO26" s="170"/>
      <c r="FP26" s="170"/>
      <c r="FQ26" s="170"/>
      <c r="FR26" s="170"/>
      <c r="FS26" s="170"/>
      <c r="FT26" s="170"/>
      <c r="FU26" s="170"/>
      <c r="FV26" s="170"/>
      <c r="FW26" s="170"/>
      <c r="FX26" s="170"/>
      <c r="FY26" s="170"/>
      <c r="FZ26" s="170"/>
      <c r="GA26" s="170"/>
      <c r="GB26" s="170"/>
      <c r="GC26" s="170"/>
      <c r="GD26" s="170"/>
      <c r="GE26" s="170"/>
      <c r="GF26" s="170"/>
      <c r="GG26" s="170"/>
      <c r="GH26" s="170"/>
      <c r="GI26" s="170"/>
      <c r="GJ26" s="170"/>
      <c r="GK26" s="170"/>
      <c r="GL26" s="170"/>
      <c r="GM26" s="170"/>
      <c r="GN26" s="170"/>
      <c r="GO26" s="170"/>
      <c r="GP26" s="170"/>
      <c r="GQ26" s="170"/>
      <c r="GR26" s="170"/>
      <c r="GS26" s="170"/>
      <c r="GT26" s="170"/>
      <c r="GU26" s="170"/>
      <c r="GV26" s="170"/>
      <c r="GW26" s="170"/>
      <c r="GX26" s="170"/>
      <c r="GY26" s="170"/>
      <c r="GZ26" s="170"/>
      <c r="HA26" s="170"/>
      <c r="HB26" s="170"/>
      <c r="HC26" s="170"/>
      <c r="HD26" s="170"/>
      <c r="HE26" s="153"/>
      <c r="HF26" s="153"/>
      <c r="HG26" s="153"/>
      <c r="HH26" s="153"/>
      <c r="HI26" s="153"/>
      <c r="HJ26" s="153"/>
      <c r="HK26" s="153"/>
      <c r="HL26" s="153"/>
      <c r="HM26" s="153"/>
      <c r="HN26" s="153"/>
      <c r="HO26" s="153"/>
      <c r="HP26" s="153"/>
      <c r="HQ26" s="153"/>
      <c r="HR26" s="153"/>
      <c r="HS26" s="153"/>
      <c r="HT26" s="153"/>
      <c r="HU26" s="153"/>
      <c r="HV26" s="153"/>
      <c r="HW26" s="153"/>
      <c r="HX26" s="153"/>
      <c r="HY26" s="153"/>
      <c r="HZ26" s="153"/>
      <c r="IA26" s="153"/>
      <c r="IB26" s="153"/>
      <c r="IC26" s="153"/>
      <c r="ID26" s="153"/>
      <c r="IE26" s="153"/>
      <c r="IF26" s="153"/>
      <c r="IG26" s="153"/>
      <c r="IH26" s="153"/>
      <c r="II26" s="153"/>
      <c r="IJ26" s="153"/>
      <c r="IK26" s="153"/>
      <c r="IL26" s="153"/>
      <c r="IM26" s="153"/>
      <c r="IN26" s="153"/>
      <c r="IO26" s="153"/>
      <c r="IP26" s="153"/>
      <c r="IQ26" s="153"/>
      <c r="IR26" s="153"/>
      <c r="IS26" s="153"/>
      <c r="IT26" s="153"/>
      <c r="IU26" s="153"/>
      <c r="IV26" s="153"/>
      <c r="IW26" s="153"/>
      <c r="IX26" s="153"/>
      <c r="IY26" s="153"/>
      <c r="IZ26" s="153"/>
      <c r="JA26" s="153"/>
      <c r="JB26" s="153"/>
      <c r="JC26" s="153"/>
      <c r="JD26" s="153"/>
      <c r="JE26" s="153"/>
      <c r="JF26" s="153"/>
      <c r="JG26" s="153"/>
      <c r="JH26" s="153"/>
      <c r="JI26" s="153"/>
      <c r="JJ26" s="153"/>
      <c r="JK26" s="153"/>
      <c r="JL26" s="153"/>
      <c r="JM26" s="153"/>
      <c r="JN26" s="153"/>
      <c r="JO26" s="153"/>
      <c r="JP26" s="153"/>
      <c r="JQ26" s="153"/>
      <c r="JR26" s="153"/>
      <c r="JS26" s="153"/>
      <c r="JT26" s="153"/>
      <c r="JU26" s="153"/>
      <c r="JV26" s="153"/>
      <c r="JW26" s="153"/>
      <c r="JX26" s="153"/>
      <c r="JY26" s="153"/>
      <c r="JZ26" s="153"/>
      <c r="KA26" s="153"/>
      <c r="KB26" s="153"/>
      <c r="KC26" s="153"/>
      <c r="KD26" s="153"/>
      <c r="KE26" s="153"/>
      <c r="KF26" s="153"/>
      <c r="KG26" s="153"/>
      <c r="KH26" s="153"/>
      <c r="KI26" s="153"/>
      <c r="KJ26" s="153"/>
      <c r="KK26" s="153"/>
      <c r="KL26" s="153"/>
      <c r="KM26" s="153"/>
      <c r="KN26" s="153"/>
      <c r="KO26" s="153"/>
      <c r="KP26" s="153"/>
      <c r="KQ26" s="153"/>
      <c r="KR26" s="153"/>
      <c r="KS26" s="153"/>
      <c r="KT26" s="153"/>
      <c r="KU26" s="153"/>
      <c r="KV26" s="153"/>
      <c r="KW26" s="153"/>
      <c r="KX26" s="153"/>
      <c r="KY26" s="153"/>
      <c r="KZ26" s="153"/>
      <c r="LA26" s="153"/>
      <c r="LB26" s="153"/>
      <c r="LC26" s="153"/>
      <c r="LD26" s="153"/>
      <c r="LE26" s="153"/>
      <c r="LF26" s="153"/>
      <c r="LG26" s="153"/>
      <c r="LH26" s="153"/>
      <c r="LI26" s="153"/>
      <c r="LJ26" s="153"/>
      <c r="LK26" s="153"/>
      <c r="LL26" s="153"/>
      <c r="LM26" s="153"/>
      <c r="LN26" s="153"/>
      <c r="LO26" s="153"/>
      <c r="LP26" s="153"/>
      <c r="LQ26" s="153"/>
      <c r="LR26" s="153"/>
      <c r="LS26" s="153"/>
      <c r="LT26" s="153"/>
      <c r="LU26" s="153"/>
      <c r="LV26" s="153"/>
      <c r="LW26" s="153"/>
      <c r="LX26" s="153"/>
      <c r="LY26" s="153"/>
      <c r="LZ26" s="153"/>
      <c r="MA26" s="153"/>
      <c r="MB26" s="153"/>
      <c r="MC26" s="153"/>
      <c r="MD26" s="153"/>
      <c r="ME26" s="153"/>
      <c r="MF26" s="153"/>
      <c r="MG26" s="153"/>
      <c r="MH26" s="153"/>
      <c r="MI26" s="153"/>
      <c r="MJ26" s="153"/>
      <c r="MK26" s="153"/>
      <c r="ML26" s="153"/>
      <c r="MM26" s="153"/>
      <c r="MN26" s="153"/>
      <c r="MO26" s="153"/>
      <c r="MP26" s="153"/>
      <c r="MQ26" s="153"/>
      <c r="MR26" s="153"/>
      <c r="MS26" s="153"/>
      <c r="MT26" s="153"/>
      <c r="MU26" s="153"/>
      <c r="MV26" s="153"/>
      <c r="MW26" s="153"/>
      <c r="MX26" s="153"/>
      <c r="MY26" s="153"/>
      <c r="MZ26" s="153"/>
      <c r="NA26" s="153"/>
      <c r="NB26" s="153"/>
      <c r="NC26" s="153"/>
      <c r="ND26" s="153"/>
      <c r="NE26" s="153"/>
      <c r="NF26" s="153"/>
      <c r="NG26" s="153"/>
      <c r="NH26" s="153"/>
      <c r="NI26" s="153"/>
      <c r="NJ26" s="153"/>
      <c r="NK26" s="153"/>
      <c r="NL26" s="153"/>
      <c r="NM26" s="153"/>
      <c r="NN26" s="153"/>
      <c r="NO26" s="153"/>
      <c r="NP26" s="322" t="s">
        <v>59</v>
      </c>
      <c r="NQ26" s="322"/>
      <c r="NR26" s="322" t="s">
        <v>60</v>
      </c>
      <c r="NS26" s="322" t="s">
        <v>1</v>
      </c>
      <c r="NT26" s="387">
        <f>MAX(H36,OA26)</f>
        <v>30</v>
      </c>
      <c r="NU26" s="388"/>
      <c r="NV26" s="388"/>
      <c r="NW26" s="322" t="s">
        <v>125</v>
      </c>
      <c r="NX26" s="14" t="s">
        <v>52</v>
      </c>
      <c r="NY26" s="302"/>
      <c r="NZ26" s="11" t="str">
        <f>IF(NT26&gt;=OA26,"OK","NOT")</f>
        <v>OK</v>
      </c>
      <c r="OA26" s="392">
        <f>IF(NT25&lt;=OO9,OO9,IF(NT25&lt;=OO10,OO10,IF(NT25&lt;=OO11,OO11,IF(NT25&lt;=OO12,OO12,IF(NT25&lt;=OO13,OO13,IF(NT25&lt;=OO14,OO14,IF(NT25&lt;=OO15,OO15,IF(NT25&lt;=OO16,OO16,IF(NT25&lt;=OO17,OO17,IF(NT25&lt;=OO18,OO18,IF(NT25&lt;=OO19,OO19,IF(NT25&lt;=OO20,OO20,IF(NT25&lt;=OO21,OO21,IF(NT25&lt;=OO22,OO22,IF(NT25&lt;=OO23,OO23,IF(NT25&lt;=OO24,OO24,IF(NT25&lt;=OO25,OO25,IF(NT25&lt;=OO26,OO26,IF(NT25&lt;=OO27,OO27,IF(NT25&lt;=OO28,OO28,IF(NT25&lt;=OO29,OO29,IF(NT25&lt;=OO30,OO30))))))))))))))))))))))</f>
        <v>20</v>
      </c>
      <c r="OB26" s="392"/>
      <c r="OC26" s="392"/>
      <c r="OE26" s="302"/>
      <c r="OF26" s="6"/>
      <c r="OG26" s="302">
        <v>350</v>
      </c>
      <c r="OH26" s="11"/>
      <c r="OI26" s="302">
        <v>500</v>
      </c>
      <c r="OJ26" s="11"/>
      <c r="OK26" s="341"/>
      <c r="OL26" s="302"/>
      <c r="OM26" s="302"/>
      <c r="ON26" s="302"/>
      <c r="OO26" s="122">
        <v>100</v>
      </c>
      <c r="OP26" s="302"/>
      <c r="OQ26" s="297"/>
      <c r="OR26" s="302"/>
      <c r="OS26" s="302"/>
      <c r="OT26" s="302"/>
      <c r="OU26" s="302"/>
      <c r="OV26" s="302"/>
      <c r="OW26" s="302"/>
      <c r="OX26" s="302"/>
      <c r="OY26" s="302"/>
      <c r="OZ26" s="302"/>
      <c r="PA26" s="302"/>
      <c r="PB26" s="302"/>
      <c r="PC26" s="302"/>
      <c r="PE26" s="302"/>
      <c r="PF26" s="295"/>
      <c r="PG26" s="342"/>
      <c r="PH26" s="342"/>
      <c r="PI26" s="342"/>
      <c r="PJ26" s="342"/>
      <c r="PK26" s="342"/>
      <c r="PL26" s="342"/>
      <c r="PM26" s="342"/>
      <c r="PN26" s="153"/>
      <c r="PO26" s="153"/>
      <c r="PP26" s="153"/>
      <c r="PQ26" s="153"/>
      <c r="PR26" s="153"/>
      <c r="PS26" s="153"/>
      <c r="PT26" s="153"/>
      <c r="PU26" s="153"/>
      <c r="PV26" s="153"/>
      <c r="PW26" s="153"/>
      <c r="PX26" s="153"/>
      <c r="QC26" s="78" t="s">
        <v>24</v>
      </c>
      <c r="QD26" s="347">
        <f>QD20</f>
        <v>0.14892857142857144</v>
      </c>
      <c r="QE26" s="347">
        <f>QD14</f>
        <v>7.1428571428571438E-2</v>
      </c>
      <c r="QF26" s="347"/>
      <c r="QG26" s="347">
        <f>QD14</f>
        <v>7.1428571428571438E-2</v>
      </c>
      <c r="QH26" s="347">
        <f>QF14</f>
        <v>-7.1428571428571438E-2</v>
      </c>
      <c r="QI26" s="347"/>
      <c r="QJ26" s="347">
        <f>QF14</f>
        <v>-7.1428571428571438E-2</v>
      </c>
      <c r="QK26" s="347">
        <f>QF20</f>
        <v>-0.14892857142857144</v>
      </c>
      <c r="QM26" s="78">
        <f>QD26</f>
        <v>0.14892857142857144</v>
      </c>
      <c r="QN26" s="78">
        <f>QD26</f>
        <v>0.14892857142857144</v>
      </c>
      <c r="QP26" s="78">
        <f>QE26</f>
        <v>7.1428571428571438E-2</v>
      </c>
      <c r="QQ26" s="78">
        <f>QP26</f>
        <v>7.1428571428571438E-2</v>
      </c>
      <c r="QS26" s="78">
        <f>QJ26</f>
        <v>-7.1428571428571438E-2</v>
      </c>
      <c r="QT26" s="78">
        <f>QS26</f>
        <v>-7.1428571428571438E-2</v>
      </c>
      <c r="QV26" s="78">
        <f>QK26</f>
        <v>-0.14892857142857144</v>
      </c>
      <c r="QW26" s="78">
        <f>QV26</f>
        <v>-0.14892857142857144</v>
      </c>
      <c r="QY26" s="355" t="str">
        <f>CONCATENATE("d/2 = ",QC7/2)</f>
        <v>d/2 = 0.1085</v>
      </c>
      <c r="RB26" s="78">
        <f>0</f>
        <v>0</v>
      </c>
      <c r="RD26" s="78">
        <f>((QD26-QE26)/2)+QE26</f>
        <v>0.11017857142857143</v>
      </c>
      <c r="RF26" s="78">
        <f>((QJ26-QK26)/2)+QK26</f>
        <v>-0.11017857142857143</v>
      </c>
    </row>
    <row r="27" spans="1:521" ht="14.1" customHeight="1" thickBot="1" x14ac:dyDescent="0.25">
      <c r="A27" s="16"/>
      <c r="B27" s="22"/>
      <c r="C27" s="211"/>
      <c r="D27" s="208"/>
      <c r="E27" s="208"/>
      <c r="F27" s="208"/>
      <c r="G27" s="208"/>
      <c r="H27" s="208"/>
      <c r="I27" s="208"/>
      <c r="J27" s="208"/>
      <c r="K27" s="208"/>
      <c r="L27" s="208"/>
      <c r="M27" s="208"/>
      <c r="N27" s="208"/>
      <c r="O27" s="212"/>
      <c r="P27" s="16"/>
      <c r="Q27" s="428"/>
      <c r="R27" s="429"/>
      <c r="S27" s="430"/>
      <c r="T27" s="472" t="s">
        <v>160</v>
      </c>
      <c r="U27" s="473"/>
      <c r="V27" s="474"/>
      <c r="W27" s="478">
        <f>NT13</f>
        <v>1.9599999999999997</v>
      </c>
      <c r="X27" s="479"/>
      <c r="Y27" s="479"/>
      <c r="Z27" s="479"/>
      <c r="AA27" s="479"/>
      <c r="AB27" s="480"/>
      <c r="AC27" s="398"/>
      <c r="AD27" s="399"/>
      <c r="AE27" s="400"/>
      <c r="AF27" s="140"/>
      <c r="AG27" s="249"/>
      <c r="AH27" s="75"/>
      <c r="AI27" s="75"/>
      <c r="AJ27" s="251"/>
      <c r="AK27" s="156"/>
      <c r="AL27" s="156"/>
      <c r="AM27" s="365"/>
      <c r="AN27" s="365"/>
      <c r="AO27" s="365"/>
      <c r="AP27" s="365"/>
      <c r="AQ27" s="365"/>
      <c r="AR27" s="365"/>
      <c r="AS27" s="75"/>
      <c r="AT27" s="75"/>
      <c r="AU27" s="75"/>
      <c r="AV27" s="75"/>
      <c r="AW27" s="75"/>
      <c r="AX27" s="75"/>
      <c r="AY27" s="75"/>
      <c r="AZ27" s="75"/>
      <c r="BA27" s="75"/>
      <c r="BB27" s="75"/>
      <c r="BC27" s="75"/>
      <c r="BD27" s="75"/>
      <c r="BE27" s="75"/>
      <c r="BF27" s="75"/>
      <c r="BG27" s="75"/>
      <c r="BH27" s="75"/>
      <c r="BI27" s="75"/>
      <c r="BJ27" s="75"/>
      <c r="BK27" s="75"/>
      <c r="BL27" s="75"/>
      <c r="BM27" s="75"/>
      <c r="BN27" s="75"/>
      <c r="BO27" s="75"/>
      <c r="BP27" s="75"/>
      <c r="BQ27" s="75"/>
      <c r="BR27" s="75"/>
      <c r="BS27" s="75"/>
      <c r="BT27" s="75"/>
      <c r="BU27" s="75"/>
      <c r="BV27" s="75"/>
      <c r="BW27" s="75"/>
      <c r="BX27" s="75"/>
      <c r="BY27" s="75"/>
      <c r="BZ27" s="75"/>
      <c r="CA27" s="75"/>
      <c r="CB27" s="75"/>
      <c r="CC27" s="75"/>
      <c r="CD27" s="250"/>
      <c r="CE27" s="207"/>
      <c r="CF27" s="170"/>
      <c r="CG27" s="170"/>
      <c r="CH27" s="170"/>
      <c r="CI27" s="170"/>
      <c r="CJ27" s="170"/>
      <c r="CK27" s="170"/>
      <c r="CL27" s="170"/>
      <c r="CM27" s="170"/>
      <c r="CN27" s="170"/>
      <c r="CO27" s="170"/>
      <c r="CP27" s="170"/>
      <c r="CQ27" s="170"/>
      <c r="CR27" s="170"/>
      <c r="CS27" s="170"/>
      <c r="CT27" s="170"/>
      <c r="CU27" s="170"/>
      <c r="CV27" s="170"/>
      <c r="CW27" s="170"/>
      <c r="CX27" s="170"/>
      <c r="CY27" s="170"/>
      <c r="CZ27" s="170"/>
      <c r="DA27" s="170"/>
      <c r="DB27" s="170"/>
      <c r="DC27" s="170"/>
      <c r="DD27" s="170"/>
      <c r="DE27" s="170"/>
      <c r="DF27" s="170"/>
      <c r="DG27" s="170"/>
      <c r="DH27" s="170"/>
      <c r="DI27" s="170"/>
      <c r="DJ27" s="170"/>
      <c r="DK27" s="170"/>
      <c r="DL27" s="170"/>
      <c r="DM27" s="170"/>
      <c r="DN27" s="170"/>
      <c r="DO27" s="170"/>
      <c r="DP27" s="170"/>
      <c r="DQ27" s="170"/>
      <c r="DR27" s="170"/>
      <c r="DS27" s="170"/>
      <c r="DT27" s="170"/>
      <c r="DU27" s="170"/>
      <c r="DV27" s="170"/>
      <c r="DW27" s="170"/>
      <c r="DX27" s="170"/>
      <c r="DY27" s="170"/>
      <c r="DZ27" s="170"/>
      <c r="EA27" s="170"/>
      <c r="EB27" s="170"/>
      <c r="EC27" s="170"/>
      <c r="ED27" s="170"/>
      <c r="EE27" s="170"/>
      <c r="EF27" s="170"/>
      <c r="EG27" s="170"/>
      <c r="EH27" s="170"/>
      <c r="EI27" s="170"/>
      <c r="EJ27" s="170"/>
      <c r="EK27" s="170"/>
      <c r="EL27" s="170"/>
      <c r="EM27" s="170"/>
      <c r="EN27" s="170"/>
      <c r="EO27" s="170"/>
      <c r="EP27" s="170"/>
      <c r="EQ27" s="170"/>
      <c r="ER27" s="170"/>
      <c r="ES27" s="170"/>
      <c r="ET27" s="170"/>
      <c r="EU27" s="170"/>
      <c r="EV27" s="170"/>
      <c r="EW27" s="170"/>
      <c r="EX27" s="170"/>
      <c r="EY27" s="170"/>
      <c r="EZ27" s="170"/>
      <c r="FA27" s="170"/>
      <c r="FB27" s="170"/>
      <c r="FC27" s="170"/>
      <c r="FD27" s="170"/>
      <c r="FE27" s="170"/>
      <c r="FF27" s="170"/>
      <c r="FG27" s="170"/>
      <c r="FH27" s="170"/>
      <c r="FI27" s="170"/>
      <c r="FJ27" s="170"/>
      <c r="FK27" s="170"/>
      <c r="FL27" s="170"/>
      <c r="FM27" s="170"/>
      <c r="FN27" s="170"/>
      <c r="FO27" s="170"/>
      <c r="FP27" s="170"/>
      <c r="FQ27" s="170"/>
      <c r="FR27" s="170"/>
      <c r="FS27" s="170"/>
      <c r="FT27" s="170"/>
      <c r="FU27" s="170"/>
      <c r="FV27" s="170"/>
      <c r="FW27" s="170"/>
      <c r="FX27" s="170"/>
      <c r="FY27" s="170"/>
      <c r="FZ27" s="170"/>
      <c r="GA27" s="170"/>
      <c r="GB27" s="170"/>
      <c r="GC27" s="170"/>
      <c r="GD27" s="170"/>
      <c r="GE27" s="170"/>
      <c r="GF27" s="170"/>
      <c r="GG27" s="170"/>
      <c r="GH27" s="170"/>
      <c r="GI27" s="170"/>
      <c r="GJ27" s="170"/>
      <c r="GK27" s="170"/>
      <c r="GL27" s="170"/>
      <c r="GM27" s="170"/>
      <c r="GN27" s="170"/>
      <c r="GO27" s="170"/>
      <c r="GP27" s="170"/>
      <c r="GQ27" s="170"/>
      <c r="GR27" s="170"/>
      <c r="GS27" s="170"/>
      <c r="GT27" s="170"/>
      <c r="GU27" s="170"/>
      <c r="GV27" s="170"/>
      <c r="GW27" s="170"/>
      <c r="GX27" s="170"/>
      <c r="GY27" s="170"/>
      <c r="GZ27" s="170"/>
      <c r="HA27" s="170"/>
      <c r="HB27" s="170"/>
      <c r="HC27" s="170"/>
      <c r="HD27" s="170"/>
      <c r="HE27" s="153"/>
      <c r="HF27" s="153"/>
      <c r="HG27" s="153"/>
      <c r="HH27" s="153"/>
      <c r="HI27" s="153"/>
      <c r="HJ27" s="153"/>
      <c r="HK27" s="153"/>
      <c r="HL27" s="153"/>
      <c r="HM27" s="153"/>
      <c r="HN27" s="153"/>
      <c r="HO27" s="153"/>
      <c r="HP27" s="153"/>
      <c r="HQ27" s="153"/>
      <c r="HR27" s="153"/>
      <c r="HS27" s="153"/>
      <c r="HT27" s="153"/>
      <c r="HU27" s="153"/>
      <c r="HV27" s="153"/>
      <c r="HW27" s="153"/>
      <c r="HX27" s="153"/>
      <c r="HY27" s="153"/>
      <c r="HZ27" s="153"/>
      <c r="IA27" s="153"/>
      <c r="IB27" s="153"/>
      <c r="IC27" s="153"/>
      <c r="ID27" s="153"/>
      <c r="IE27" s="153"/>
      <c r="IF27" s="153"/>
      <c r="IG27" s="153"/>
      <c r="IH27" s="153"/>
      <c r="II27" s="153"/>
      <c r="IJ27" s="153"/>
      <c r="IK27" s="153"/>
      <c r="IL27" s="153"/>
      <c r="IM27" s="153"/>
      <c r="IN27" s="153"/>
      <c r="IO27" s="153"/>
      <c r="IP27" s="153"/>
      <c r="IQ27" s="153"/>
      <c r="IR27" s="153"/>
      <c r="IS27" s="153"/>
      <c r="IT27" s="153"/>
      <c r="IU27" s="153"/>
      <c r="IV27" s="153"/>
      <c r="IW27" s="153"/>
      <c r="IX27" s="153"/>
      <c r="IY27" s="153"/>
      <c r="IZ27" s="153"/>
      <c r="JA27" s="153"/>
      <c r="JB27" s="153"/>
      <c r="JC27" s="153"/>
      <c r="JD27" s="153"/>
      <c r="JE27" s="153"/>
      <c r="JF27" s="153"/>
      <c r="JG27" s="153"/>
      <c r="JH27" s="153"/>
      <c r="JI27" s="153"/>
      <c r="JJ27" s="153"/>
      <c r="JK27" s="153"/>
      <c r="JL27" s="153"/>
      <c r="JM27" s="153"/>
      <c r="JN27" s="153"/>
      <c r="JO27" s="153"/>
      <c r="JP27" s="153"/>
      <c r="JQ27" s="153"/>
      <c r="JR27" s="153"/>
      <c r="JS27" s="153"/>
      <c r="JT27" s="153"/>
      <c r="JU27" s="153"/>
      <c r="JV27" s="153"/>
      <c r="JW27" s="153"/>
      <c r="JX27" s="153"/>
      <c r="JY27" s="153"/>
      <c r="JZ27" s="153"/>
      <c r="KA27" s="153"/>
      <c r="KB27" s="153"/>
      <c r="KC27" s="153"/>
      <c r="KD27" s="153"/>
      <c r="KE27" s="153"/>
      <c r="KF27" s="153"/>
      <c r="KG27" s="153"/>
      <c r="KH27" s="153"/>
      <c r="KI27" s="153"/>
      <c r="KJ27" s="153"/>
      <c r="KK27" s="153"/>
      <c r="KL27" s="153"/>
      <c r="KM27" s="153"/>
      <c r="KN27" s="153"/>
      <c r="KO27" s="153"/>
      <c r="KP27" s="153"/>
      <c r="KQ27" s="153"/>
      <c r="KR27" s="153"/>
      <c r="KS27" s="153"/>
      <c r="KT27" s="153"/>
      <c r="KU27" s="153"/>
      <c r="KV27" s="153"/>
      <c r="KW27" s="153"/>
      <c r="KX27" s="153"/>
      <c r="KY27" s="153"/>
      <c r="KZ27" s="153"/>
      <c r="LA27" s="153"/>
      <c r="LB27" s="153"/>
      <c r="LC27" s="153"/>
      <c r="LD27" s="153"/>
      <c r="LE27" s="153"/>
      <c r="LF27" s="153"/>
      <c r="LG27" s="153"/>
      <c r="LH27" s="153"/>
      <c r="LI27" s="153"/>
      <c r="LJ27" s="153"/>
      <c r="LK27" s="153"/>
      <c r="LL27" s="153"/>
      <c r="LM27" s="153"/>
      <c r="LN27" s="153"/>
      <c r="LO27" s="153"/>
      <c r="LP27" s="153"/>
      <c r="LQ27" s="153"/>
      <c r="LR27" s="153"/>
      <c r="LS27" s="153"/>
      <c r="LT27" s="153"/>
      <c r="LU27" s="153"/>
      <c r="LV27" s="153"/>
      <c r="LW27" s="153"/>
      <c r="LX27" s="153"/>
      <c r="LY27" s="153"/>
      <c r="LZ27" s="153"/>
      <c r="MA27" s="153"/>
      <c r="MB27" s="153"/>
      <c r="MC27" s="153"/>
      <c r="MD27" s="153"/>
      <c r="ME27" s="153"/>
      <c r="MF27" s="153"/>
      <c r="MG27" s="153"/>
      <c r="MH27" s="153"/>
      <c r="MI27" s="153"/>
      <c r="MJ27" s="153"/>
      <c r="MK27" s="153"/>
      <c r="ML27" s="153"/>
      <c r="MM27" s="153"/>
      <c r="MN27" s="153"/>
      <c r="MO27" s="153"/>
      <c r="MP27" s="153"/>
      <c r="MQ27" s="153"/>
      <c r="MR27" s="153"/>
      <c r="MS27" s="153"/>
      <c r="MT27" s="153"/>
      <c r="MU27" s="153"/>
      <c r="MV27" s="153"/>
      <c r="MW27" s="153"/>
      <c r="MX27" s="153"/>
      <c r="MY27" s="153"/>
      <c r="MZ27" s="153"/>
      <c r="NA27" s="153"/>
      <c r="NB27" s="153"/>
      <c r="NC27" s="153"/>
      <c r="ND27" s="153"/>
      <c r="NE27" s="153"/>
      <c r="NF27" s="153"/>
      <c r="NG27" s="153"/>
      <c r="NH27" s="153"/>
      <c r="NI27" s="153"/>
      <c r="NJ27" s="153"/>
      <c r="NK27" s="153"/>
      <c r="NL27" s="153"/>
      <c r="NM27" s="153"/>
      <c r="NN27" s="153"/>
      <c r="NO27" s="153"/>
      <c r="NP27" s="322" t="s">
        <v>178</v>
      </c>
      <c r="NQ27" s="322"/>
      <c r="NR27" s="322"/>
      <c r="NS27" s="322" t="s">
        <v>1</v>
      </c>
      <c r="NT27" s="386">
        <f>NT26-H38-(W19/20)</f>
        <v>21.7</v>
      </c>
      <c r="NU27" s="386"/>
      <c r="NV27" s="386"/>
      <c r="NW27" s="301" t="s">
        <v>20</v>
      </c>
      <c r="NX27" s="346"/>
      <c r="NY27" s="346"/>
      <c r="NZ27" s="346"/>
      <c r="OE27" s="302"/>
      <c r="OF27" s="6"/>
      <c r="OG27" s="302">
        <v>400</v>
      </c>
      <c r="OH27" s="11"/>
      <c r="OI27" s="302">
        <v>600</v>
      </c>
      <c r="OJ27" s="11"/>
      <c r="OK27" s="11"/>
      <c r="OL27" s="302"/>
      <c r="OM27" s="302"/>
      <c r="ON27" s="302"/>
      <c r="OO27" s="122">
        <v>105</v>
      </c>
      <c r="OP27" s="302"/>
      <c r="OQ27" s="302"/>
      <c r="OR27" s="302"/>
      <c r="OS27" s="302"/>
      <c r="OT27" s="302"/>
      <c r="OU27" s="302"/>
      <c r="OV27" s="302"/>
      <c r="OW27" s="302"/>
      <c r="OX27" s="302"/>
      <c r="OY27" s="302"/>
      <c r="OZ27" s="302"/>
      <c r="PA27" s="302"/>
      <c r="PB27" s="323"/>
      <c r="PC27" s="295"/>
      <c r="PE27" s="302"/>
      <c r="PF27" s="295"/>
      <c r="PG27" s="342"/>
      <c r="PH27" s="342"/>
      <c r="PI27" s="342"/>
      <c r="PJ27" s="342"/>
      <c r="PK27" s="342"/>
      <c r="PL27" s="342"/>
      <c r="PM27" s="342"/>
      <c r="PN27" s="153"/>
      <c r="PO27" s="153"/>
      <c r="PP27" s="153"/>
      <c r="PQ27" s="153"/>
      <c r="PR27" s="153"/>
      <c r="PS27" s="153"/>
      <c r="PT27" s="153"/>
      <c r="PU27" s="153"/>
      <c r="PV27" s="153"/>
      <c r="PW27" s="153"/>
      <c r="PX27" s="153"/>
      <c r="QC27" s="78" t="s">
        <v>139</v>
      </c>
      <c r="RG27" s="346"/>
      <c r="RH27" s="346"/>
      <c r="RI27" s="346"/>
      <c r="RJ27" s="346"/>
      <c r="RK27" s="346"/>
      <c r="RL27" s="346"/>
      <c r="RM27" s="346"/>
      <c r="RN27" s="346"/>
      <c r="RO27" s="346"/>
      <c r="RP27" s="346"/>
      <c r="RQ27" s="346"/>
      <c r="RR27" s="346"/>
      <c r="RS27" s="346"/>
      <c r="RT27" s="346"/>
      <c r="RU27" s="346"/>
      <c r="RV27" s="346"/>
      <c r="RW27" s="346"/>
      <c r="RX27" s="346"/>
      <c r="RY27" s="346"/>
      <c r="RZ27" s="346"/>
      <c r="SA27" s="346"/>
      <c r="SB27" s="346"/>
      <c r="SC27" s="346"/>
      <c r="SD27" s="346"/>
      <c r="SE27" s="346"/>
      <c r="SF27" s="346"/>
      <c r="SG27" s="346"/>
      <c r="SH27" s="346"/>
      <c r="SI27" s="346"/>
      <c r="SJ27" s="346"/>
      <c r="SK27" s="346"/>
      <c r="SL27" s="346"/>
      <c r="SM27" s="346"/>
      <c r="SN27" s="346"/>
      <c r="SO27" s="346"/>
      <c r="SP27" s="346"/>
      <c r="SQ27" s="346"/>
      <c r="SR27" s="346"/>
      <c r="SS27" s="346"/>
      <c r="ST27" s="346"/>
      <c r="SU27" s="346"/>
      <c r="SV27" s="346"/>
      <c r="SW27" s="346"/>
      <c r="SX27" s="346"/>
      <c r="SY27" s="346"/>
      <c r="SZ27" s="346"/>
      <c r="TA27" s="346"/>
    </row>
    <row r="28" spans="1:521" ht="14.1" customHeight="1" x14ac:dyDescent="0.2">
      <c r="A28" s="16"/>
      <c r="B28" s="22"/>
      <c r="C28" s="211"/>
      <c r="D28" s="208"/>
      <c r="E28" s="208"/>
      <c r="F28" s="209" t="s">
        <v>213</v>
      </c>
      <c r="G28" s="208"/>
      <c r="H28" s="454">
        <v>20</v>
      </c>
      <c r="I28" s="455"/>
      <c r="J28" s="456"/>
      <c r="K28" s="208"/>
      <c r="L28" s="189" t="s">
        <v>20</v>
      </c>
      <c r="M28" s="208"/>
      <c r="N28" s="208"/>
      <c r="O28" s="212"/>
      <c r="P28" s="16"/>
      <c r="Q28" s="428"/>
      <c r="R28" s="429"/>
      <c r="S28" s="430"/>
      <c r="T28" s="434" t="s">
        <v>187</v>
      </c>
      <c r="U28" s="435"/>
      <c r="V28" s="436"/>
      <c r="W28" s="545">
        <f>NT25</f>
        <v>18.649145924325957</v>
      </c>
      <c r="X28" s="546"/>
      <c r="Y28" s="546"/>
      <c r="Z28" s="546"/>
      <c r="AA28" s="546"/>
      <c r="AB28" s="546"/>
      <c r="AC28" s="395" t="str">
        <f>IF(W29&gt;=W28,"OK","NOT")</f>
        <v>OK</v>
      </c>
      <c r="AD28" s="396"/>
      <c r="AE28" s="397"/>
      <c r="AF28" s="140"/>
      <c r="AG28" s="249"/>
      <c r="AH28" s="75"/>
      <c r="AI28" s="75"/>
      <c r="AJ28" s="45"/>
      <c r="AK28" s="45"/>
      <c r="AL28" s="45"/>
      <c r="AM28" s="252"/>
      <c r="AN28" s="252"/>
      <c r="AO28" s="252"/>
      <c r="AP28" s="252"/>
      <c r="AQ28" s="252"/>
      <c r="AR28" s="252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  <c r="BM28" s="75"/>
      <c r="BN28" s="75"/>
      <c r="BO28" s="75"/>
      <c r="BP28" s="75"/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5"/>
      <c r="CD28" s="250"/>
      <c r="CE28" s="207"/>
      <c r="CF28" s="170"/>
      <c r="CG28" s="170"/>
      <c r="CH28" s="170"/>
      <c r="CI28" s="170"/>
      <c r="CJ28" s="170"/>
      <c r="CK28" s="170"/>
      <c r="CL28" s="170"/>
      <c r="CM28" s="170"/>
      <c r="CN28" s="170"/>
      <c r="CO28" s="170"/>
      <c r="CP28" s="170"/>
      <c r="CQ28" s="170"/>
      <c r="CR28" s="170"/>
      <c r="CS28" s="170"/>
      <c r="CT28" s="170"/>
      <c r="CU28" s="170"/>
      <c r="CV28" s="170"/>
      <c r="CW28" s="170"/>
      <c r="CX28" s="170"/>
      <c r="CY28" s="170"/>
      <c r="CZ28" s="170"/>
      <c r="DA28" s="170"/>
      <c r="DB28" s="170"/>
      <c r="DC28" s="170"/>
      <c r="DD28" s="170"/>
      <c r="DE28" s="170"/>
      <c r="DF28" s="170"/>
      <c r="DG28" s="170"/>
      <c r="DH28" s="170"/>
      <c r="DI28" s="170"/>
      <c r="DJ28" s="170"/>
      <c r="DK28" s="170"/>
      <c r="DL28" s="170"/>
      <c r="DM28" s="170"/>
      <c r="DN28" s="170"/>
      <c r="DO28" s="170"/>
      <c r="DP28" s="170"/>
      <c r="DQ28" s="170"/>
      <c r="DR28" s="170"/>
      <c r="DS28" s="170"/>
      <c r="DT28" s="170"/>
      <c r="DU28" s="170"/>
      <c r="DV28" s="170"/>
      <c r="DW28" s="170"/>
      <c r="DX28" s="170"/>
      <c r="DY28" s="170"/>
      <c r="DZ28" s="170"/>
      <c r="EA28" s="170"/>
      <c r="EB28" s="170"/>
      <c r="EC28" s="170"/>
      <c r="ED28" s="170"/>
      <c r="EE28" s="170"/>
      <c r="EF28" s="170"/>
      <c r="EG28" s="170"/>
      <c r="EH28" s="170"/>
      <c r="EI28" s="170"/>
      <c r="EJ28" s="170"/>
      <c r="EK28" s="170"/>
      <c r="EL28" s="170"/>
      <c r="EM28" s="170"/>
      <c r="EN28" s="170"/>
      <c r="EO28" s="170"/>
      <c r="EP28" s="170"/>
      <c r="EQ28" s="170"/>
      <c r="ER28" s="170"/>
      <c r="ES28" s="170"/>
      <c r="ET28" s="170"/>
      <c r="EU28" s="170"/>
      <c r="EV28" s="170"/>
      <c r="EW28" s="170"/>
      <c r="EX28" s="170"/>
      <c r="EY28" s="170"/>
      <c r="EZ28" s="170"/>
      <c r="FA28" s="170"/>
      <c r="FB28" s="170"/>
      <c r="FC28" s="170"/>
      <c r="FD28" s="170"/>
      <c r="FE28" s="170"/>
      <c r="FF28" s="170"/>
      <c r="FG28" s="170"/>
      <c r="FH28" s="170"/>
      <c r="FI28" s="170"/>
      <c r="FJ28" s="170"/>
      <c r="FK28" s="170"/>
      <c r="FL28" s="170"/>
      <c r="FM28" s="170"/>
      <c r="FN28" s="170"/>
      <c r="FO28" s="170"/>
      <c r="FP28" s="170"/>
      <c r="FQ28" s="170"/>
      <c r="FR28" s="170"/>
      <c r="FS28" s="170"/>
      <c r="FT28" s="170"/>
      <c r="FU28" s="170"/>
      <c r="FV28" s="170"/>
      <c r="FW28" s="170"/>
      <c r="FX28" s="170"/>
      <c r="FY28" s="170"/>
      <c r="FZ28" s="170"/>
      <c r="GA28" s="170"/>
      <c r="GB28" s="170"/>
      <c r="GC28" s="170"/>
      <c r="GD28" s="170"/>
      <c r="GE28" s="170"/>
      <c r="GF28" s="170"/>
      <c r="GG28" s="170"/>
      <c r="GH28" s="170"/>
      <c r="GI28" s="170"/>
      <c r="GJ28" s="170"/>
      <c r="GK28" s="170"/>
      <c r="GL28" s="170"/>
      <c r="GM28" s="170"/>
      <c r="GN28" s="170"/>
      <c r="GO28" s="170"/>
      <c r="GP28" s="170"/>
      <c r="GQ28" s="170"/>
      <c r="GR28" s="170"/>
      <c r="GS28" s="170"/>
      <c r="GT28" s="170"/>
      <c r="GU28" s="170"/>
      <c r="GV28" s="170"/>
      <c r="GW28" s="170"/>
      <c r="GX28" s="170"/>
      <c r="GY28" s="170"/>
      <c r="GZ28" s="170"/>
      <c r="HA28" s="170"/>
      <c r="HB28" s="170"/>
      <c r="HC28" s="170"/>
      <c r="HD28" s="170"/>
      <c r="HE28" s="153"/>
      <c r="HF28" s="153"/>
      <c r="HG28" s="153"/>
      <c r="HH28" s="153"/>
      <c r="HI28" s="153"/>
      <c r="HJ28" s="153"/>
      <c r="HK28" s="153"/>
      <c r="HL28" s="153"/>
      <c r="HM28" s="153"/>
      <c r="HN28" s="153"/>
      <c r="HO28" s="153"/>
      <c r="HP28" s="153"/>
      <c r="HQ28" s="153"/>
      <c r="HR28" s="153"/>
      <c r="HS28" s="153"/>
      <c r="HT28" s="153"/>
      <c r="HU28" s="153"/>
      <c r="HV28" s="153"/>
      <c r="HW28" s="153"/>
      <c r="HX28" s="153"/>
      <c r="HY28" s="153"/>
      <c r="HZ28" s="153"/>
      <c r="IA28" s="153"/>
      <c r="IB28" s="153"/>
      <c r="IC28" s="153"/>
      <c r="ID28" s="153"/>
      <c r="IE28" s="153"/>
      <c r="IF28" s="153"/>
      <c r="IG28" s="153"/>
      <c r="IH28" s="153"/>
      <c r="II28" s="153"/>
      <c r="IJ28" s="153"/>
      <c r="IK28" s="153"/>
      <c r="IL28" s="153"/>
      <c r="IM28" s="153"/>
      <c r="IN28" s="153"/>
      <c r="IO28" s="153"/>
      <c r="IP28" s="153"/>
      <c r="IQ28" s="153"/>
      <c r="IR28" s="153"/>
      <c r="IS28" s="153"/>
      <c r="IT28" s="153"/>
      <c r="IU28" s="153"/>
      <c r="IV28" s="153"/>
      <c r="IW28" s="153"/>
      <c r="IX28" s="153"/>
      <c r="IY28" s="153"/>
      <c r="IZ28" s="153"/>
      <c r="JA28" s="153"/>
      <c r="JB28" s="153"/>
      <c r="JC28" s="153"/>
      <c r="JD28" s="153"/>
      <c r="JE28" s="153"/>
      <c r="JF28" s="153"/>
      <c r="JG28" s="153"/>
      <c r="JH28" s="153"/>
      <c r="JI28" s="153"/>
      <c r="JJ28" s="153"/>
      <c r="JK28" s="153"/>
      <c r="JL28" s="153"/>
      <c r="JM28" s="153"/>
      <c r="JN28" s="153"/>
      <c r="JO28" s="153"/>
      <c r="JP28" s="153"/>
      <c r="JQ28" s="153"/>
      <c r="JR28" s="153"/>
      <c r="JS28" s="153"/>
      <c r="JT28" s="153"/>
      <c r="JU28" s="153"/>
      <c r="JV28" s="153"/>
      <c r="JW28" s="153"/>
      <c r="JX28" s="153"/>
      <c r="JY28" s="153"/>
      <c r="JZ28" s="153"/>
      <c r="KA28" s="153"/>
      <c r="KB28" s="153"/>
      <c r="KC28" s="153"/>
      <c r="KD28" s="153"/>
      <c r="KE28" s="153"/>
      <c r="KF28" s="153"/>
      <c r="KG28" s="153"/>
      <c r="KH28" s="153"/>
      <c r="KI28" s="153"/>
      <c r="KJ28" s="153"/>
      <c r="KK28" s="153"/>
      <c r="KL28" s="153"/>
      <c r="KM28" s="153"/>
      <c r="KN28" s="153"/>
      <c r="KO28" s="153"/>
      <c r="KP28" s="153"/>
      <c r="KQ28" s="153"/>
      <c r="KR28" s="153"/>
      <c r="KS28" s="153"/>
      <c r="KT28" s="153"/>
      <c r="KU28" s="153"/>
      <c r="KV28" s="153"/>
      <c r="KW28" s="153"/>
      <c r="KX28" s="153"/>
      <c r="KY28" s="153"/>
      <c r="KZ28" s="153"/>
      <c r="LA28" s="153"/>
      <c r="LB28" s="153"/>
      <c r="LC28" s="153"/>
      <c r="LD28" s="153"/>
      <c r="LE28" s="153"/>
      <c r="LF28" s="153"/>
      <c r="LG28" s="153"/>
      <c r="LH28" s="153"/>
      <c r="LI28" s="153"/>
      <c r="LJ28" s="153"/>
      <c r="LK28" s="153"/>
      <c r="LL28" s="153"/>
      <c r="LM28" s="153"/>
      <c r="LN28" s="153"/>
      <c r="LO28" s="153"/>
      <c r="LP28" s="153"/>
      <c r="LQ28" s="153"/>
      <c r="LR28" s="153"/>
      <c r="LS28" s="153"/>
      <c r="LT28" s="153"/>
      <c r="LU28" s="153"/>
      <c r="LV28" s="153"/>
      <c r="LW28" s="153"/>
      <c r="LX28" s="153"/>
      <c r="LY28" s="153"/>
      <c r="LZ28" s="153"/>
      <c r="MA28" s="153"/>
      <c r="MB28" s="153"/>
      <c r="MC28" s="153"/>
      <c r="MD28" s="153"/>
      <c r="ME28" s="153"/>
      <c r="MF28" s="153"/>
      <c r="MG28" s="153"/>
      <c r="MH28" s="153"/>
      <c r="MI28" s="153"/>
      <c r="MJ28" s="153"/>
      <c r="MK28" s="153"/>
      <c r="ML28" s="153"/>
      <c r="MM28" s="153"/>
      <c r="MN28" s="153"/>
      <c r="MO28" s="153"/>
      <c r="MP28" s="153"/>
      <c r="MQ28" s="153"/>
      <c r="MR28" s="153"/>
      <c r="MS28" s="153"/>
      <c r="MT28" s="153"/>
      <c r="MU28" s="153"/>
      <c r="MV28" s="153"/>
      <c r="MW28" s="153"/>
      <c r="MX28" s="153"/>
      <c r="MY28" s="153"/>
      <c r="MZ28" s="153"/>
      <c r="NA28" s="153"/>
      <c r="NB28" s="153"/>
      <c r="NC28" s="153"/>
      <c r="ND28" s="153"/>
      <c r="NE28" s="153"/>
      <c r="NF28" s="153"/>
      <c r="NG28" s="153"/>
      <c r="NH28" s="153"/>
      <c r="NI28" s="153"/>
      <c r="NJ28" s="153"/>
      <c r="NK28" s="153"/>
      <c r="NL28" s="153"/>
      <c r="NM28" s="153"/>
      <c r="NN28" s="153"/>
      <c r="NO28" s="153"/>
      <c r="NP28" s="346" t="s">
        <v>163</v>
      </c>
      <c r="NQ28" s="346"/>
      <c r="NR28" s="346"/>
      <c r="NS28" s="322" t="s">
        <v>1</v>
      </c>
      <c r="NT28" s="380">
        <f>(H32/2)-(QC5/2)</f>
        <v>0.6</v>
      </c>
      <c r="NU28" s="380"/>
      <c r="NV28" s="380"/>
      <c r="NW28" s="346" t="s">
        <v>16</v>
      </c>
      <c r="NX28" s="346"/>
      <c r="NY28" s="346"/>
      <c r="NZ28" s="346"/>
      <c r="OA28" s="401">
        <f>(H34/2)-((H28/100)/2)</f>
        <v>0.6</v>
      </c>
      <c r="OB28" s="402"/>
      <c r="OC28" s="402"/>
      <c r="OE28" s="302"/>
      <c r="OF28" s="4"/>
      <c r="OG28" s="302">
        <v>450</v>
      </c>
      <c r="OH28" s="11"/>
      <c r="OI28" s="302">
        <v>800</v>
      </c>
      <c r="OJ28" s="11"/>
      <c r="OK28" s="11"/>
      <c r="OL28" s="302"/>
      <c r="OM28" s="302"/>
      <c r="ON28" s="302"/>
      <c r="OO28" s="122">
        <v>110</v>
      </c>
      <c r="OP28" s="302"/>
      <c r="OQ28" s="302"/>
      <c r="OR28" s="302"/>
      <c r="OS28" s="302"/>
      <c r="OT28" s="302"/>
      <c r="OU28" s="302"/>
      <c r="OV28" s="302"/>
      <c r="OW28" s="302"/>
      <c r="OX28" s="302"/>
      <c r="OY28" s="302"/>
      <c r="OZ28" s="302"/>
      <c r="PA28" s="302"/>
      <c r="PB28" s="323"/>
      <c r="PC28" s="295"/>
      <c r="PE28" s="302"/>
      <c r="PF28" s="295"/>
      <c r="PG28" s="295"/>
      <c r="PH28" s="295"/>
      <c r="PI28" s="295"/>
      <c r="PJ28" s="295"/>
      <c r="PK28" s="295"/>
      <c r="PL28" s="295"/>
      <c r="PM28" s="295"/>
      <c r="PN28" s="153"/>
      <c r="PO28" s="153"/>
      <c r="PP28" s="153"/>
      <c r="PQ28" s="153"/>
      <c r="PR28" s="153"/>
      <c r="PS28" s="153"/>
      <c r="PT28" s="153"/>
      <c r="PU28" s="153"/>
      <c r="PV28" s="153"/>
      <c r="PW28" s="153"/>
      <c r="PX28" s="153"/>
      <c r="QC28" s="78" t="s">
        <v>23</v>
      </c>
      <c r="QD28" s="347">
        <f>QD10-(0.2/QC3)</f>
        <v>-0.6428571428571429</v>
      </c>
      <c r="QE28" s="347">
        <f>QD28</f>
        <v>-0.6428571428571429</v>
      </c>
      <c r="QG28" s="78">
        <f>QD28-(0.03/QC3)</f>
        <v>-0.66428571428571437</v>
      </c>
      <c r="QH28" s="78">
        <f>QD28+(0.03/QC3)</f>
        <v>-0.62142857142857144</v>
      </c>
      <c r="QJ28" s="78">
        <f>QG28</f>
        <v>-0.66428571428571437</v>
      </c>
      <c r="QK28" s="78">
        <f>QH28</f>
        <v>-0.62142857142857144</v>
      </c>
      <c r="QY28" s="346"/>
      <c r="QZ28" s="346"/>
      <c r="RA28" s="346"/>
      <c r="RB28" s="346"/>
      <c r="RC28" s="346"/>
      <c r="RD28" s="346"/>
      <c r="RE28" s="346"/>
      <c r="RF28" s="346"/>
      <c r="RG28" s="346"/>
      <c r="RH28" s="346"/>
      <c r="RI28" s="346"/>
      <c r="RJ28" s="346"/>
      <c r="RK28" s="346"/>
      <c r="RL28" s="346"/>
      <c r="RM28" s="346"/>
      <c r="RN28" s="346"/>
      <c r="RO28" s="346"/>
      <c r="RP28" s="346"/>
      <c r="RQ28" s="346"/>
      <c r="RR28" s="346"/>
      <c r="RS28" s="346"/>
      <c r="RT28" s="346"/>
      <c r="RU28" s="346"/>
      <c r="RV28" s="346"/>
      <c r="RW28" s="346"/>
      <c r="RX28" s="346"/>
      <c r="RY28" s="346"/>
      <c r="RZ28" s="346"/>
      <c r="SA28" s="346"/>
      <c r="SB28" s="346"/>
      <c r="SC28" s="346"/>
      <c r="SD28" s="346"/>
      <c r="SE28" s="346"/>
      <c r="SF28" s="346"/>
      <c r="SG28" s="346"/>
      <c r="SH28" s="346"/>
      <c r="SI28" s="346"/>
      <c r="SJ28" s="346"/>
      <c r="SK28" s="346"/>
      <c r="SL28" s="346"/>
      <c r="SM28" s="346"/>
      <c r="SN28" s="346"/>
      <c r="SO28" s="346"/>
      <c r="SP28" s="346"/>
      <c r="SQ28" s="346"/>
      <c r="SR28" s="346"/>
      <c r="SS28" s="346"/>
      <c r="ST28" s="346"/>
      <c r="SU28" s="346"/>
      <c r="SV28" s="346"/>
      <c r="SW28" s="346"/>
      <c r="SX28" s="346"/>
      <c r="SY28" s="346"/>
      <c r="SZ28" s="346"/>
      <c r="TA28" s="346"/>
    </row>
    <row r="29" spans="1:521" ht="14.1" customHeight="1" x14ac:dyDescent="0.2">
      <c r="A29" s="16"/>
      <c r="B29" s="22"/>
      <c r="C29" s="213"/>
      <c r="D29" s="214"/>
      <c r="E29" s="214"/>
      <c r="F29" s="214"/>
      <c r="G29" s="214"/>
      <c r="H29" s="223"/>
      <c r="I29" s="223"/>
      <c r="J29" s="223"/>
      <c r="K29" s="214"/>
      <c r="L29" s="218"/>
      <c r="M29" s="214"/>
      <c r="N29" s="214"/>
      <c r="O29" s="215"/>
      <c r="P29" s="16"/>
      <c r="Q29" s="431"/>
      <c r="R29" s="432"/>
      <c r="S29" s="433"/>
      <c r="T29" s="434" t="s">
        <v>186</v>
      </c>
      <c r="U29" s="435"/>
      <c r="V29" s="436"/>
      <c r="W29" s="521">
        <f>NT26</f>
        <v>30</v>
      </c>
      <c r="X29" s="522"/>
      <c r="Y29" s="522"/>
      <c r="Z29" s="522"/>
      <c r="AA29" s="522"/>
      <c r="AB29" s="523"/>
      <c r="AC29" s="518"/>
      <c r="AD29" s="519"/>
      <c r="AE29" s="520"/>
      <c r="AF29" s="140"/>
      <c r="AG29" s="249"/>
      <c r="AH29" s="75"/>
      <c r="AI29" s="75"/>
      <c r="AJ29" s="287"/>
      <c r="AK29" s="45"/>
      <c r="AL29" s="253"/>
      <c r="AM29" s="348"/>
      <c r="AN29" s="348"/>
      <c r="AO29" s="348"/>
      <c r="AP29" s="348"/>
      <c r="AQ29" s="348"/>
      <c r="AR29" s="348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232"/>
      <c r="CE29" s="110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  <c r="EB29" s="27"/>
      <c r="EC29" s="27"/>
      <c r="ED29" s="27"/>
      <c r="EE29" s="27"/>
      <c r="EF29" s="27"/>
      <c r="EG29" s="27"/>
      <c r="EH29" s="27"/>
      <c r="EI29" s="27"/>
      <c r="EJ29" s="27"/>
      <c r="EK29" s="27"/>
      <c r="EL29" s="27"/>
      <c r="EM29" s="27"/>
      <c r="EN29" s="27"/>
      <c r="EO29" s="27"/>
      <c r="EP29" s="27"/>
      <c r="EQ29" s="27"/>
      <c r="ER29" s="27"/>
      <c r="ES29" s="27"/>
      <c r="ET29" s="27"/>
      <c r="EU29" s="27"/>
      <c r="EV29" s="27"/>
      <c r="EW29" s="27"/>
      <c r="EX29" s="27"/>
      <c r="EY29" s="27"/>
      <c r="EZ29" s="27"/>
      <c r="FA29" s="27"/>
      <c r="FB29" s="27"/>
      <c r="FC29" s="27"/>
      <c r="FD29" s="27"/>
      <c r="FE29" s="27"/>
      <c r="FF29" s="27"/>
      <c r="FG29" s="27"/>
      <c r="FH29" s="27"/>
      <c r="FI29" s="27"/>
      <c r="FJ29" s="27"/>
      <c r="FK29" s="27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  <c r="GA29" s="27"/>
      <c r="GB29" s="27"/>
      <c r="GC29" s="27"/>
      <c r="GD29" s="27"/>
      <c r="GE29" s="27"/>
      <c r="GF29" s="27"/>
      <c r="GG29" s="27"/>
      <c r="GH29" s="27"/>
      <c r="GI29" s="27"/>
      <c r="GJ29" s="27"/>
      <c r="GK29" s="27"/>
      <c r="GL29" s="27"/>
      <c r="GM29" s="27"/>
      <c r="GN29" s="27"/>
      <c r="GO29" s="27"/>
      <c r="GP29" s="27"/>
      <c r="GQ29" s="27"/>
      <c r="GR29" s="27"/>
      <c r="GS29" s="27"/>
      <c r="GT29" s="27"/>
      <c r="GU29" s="27"/>
      <c r="GV29" s="27"/>
      <c r="GW29" s="27"/>
      <c r="GX29" s="27"/>
      <c r="GY29" s="27"/>
      <c r="GZ29" s="27"/>
      <c r="HA29" s="27"/>
      <c r="HB29" s="27"/>
      <c r="HC29" s="27"/>
      <c r="HD29" s="27"/>
      <c r="HE29" s="44"/>
      <c r="HF29" s="44"/>
      <c r="HG29" s="44"/>
      <c r="HH29" s="44"/>
      <c r="HI29" s="44"/>
      <c r="HJ29" s="44"/>
      <c r="HK29" s="44"/>
      <c r="HL29" s="44"/>
      <c r="HM29" s="44"/>
      <c r="HN29" s="44"/>
      <c r="HO29" s="44"/>
      <c r="HP29" s="44"/>
      <c r="HQ29" s="44"/>
      <c r="HR29" s="44"/>
      <c r="HS29" s="44"/>
      <c r="HT29" s="44"/>
      <c r="HU29" s="44"/>
      <c r="HV29" s="44"/>
      <c r="HW29" s="44"/>
      <c r="HX29" s="44"/>
      <c r="HY29" s="44"/>
      <c r="HZ29" s="44"/>
      <c r="IA29" s="44"/>
      <c r="IB29" s="44"/>
      <c r="IC29" s="44"/>
      <c r="ID29" s="44"/>
      <c r="IE29" s="44"/>
      <c r="IF29" s="44"/>
      <c r="IG29" s="44"/>
      <c r="IH29" s="44"/>
      <c r="II29" s="44"/>
      <c r="IJ29" s="44"/>
      <c r="IK29" s="44"/>
      <c r="IL29" s="44"/>
      <c r="IM29" s="44"/>
      <c r="IN29" s="44"/>
      <c r="IO29" s="44"/>
      <c r="IP29" s="44"/>
      <c r="IQ29" s="44"/>
      <c r="IR29" s="44"/>
      <c r="IS29" s="44"/>
      <c r="IT29" s="44"/>
      <c r="IU29" s="44"/>
      <c r="IV29" s="44"/>
      <c r="IW29" s="44"/>
      <c r="IX29" s="44"/>
      <c r="IY29" s="44"/>
      <c r="IZ29" s="44"/>
      <c r="JA29" s="44"/>
      <c r="JB29" s="44"/>
      <c r="JC29" s="44"/>
      <c r="JD29" s="44"/>
      <c r="JE29" s="44"/>
      <c r="JF29" s="44"/>
      <c r="JG29" s="44"/>
      <c r="JH29" s="44"/>
      <c r="JI29" s="44"/>
      <c r="JJ29" s="44"/>
      <c r="JK29" s="44"/>
      <c r="JL29" s="44"/>
      <c r="JM29" s="44"/>
      <c r="JN29" s="44"/>
      <c r="JO29" s="44"/>
      <c r="JP29" s="44"/>
      <c r="JQ29" s="44"/>
      <c r="JR29" s="44"/>
      <c r="JS29" s="44"/>
      <c r="JT29" s="44"/>
      <c r="JU29" s="44"/>
      <c r="JV29" s="44"/>
      <c r="JW29" s="44"/>
      <c r="JX29" s="44"/>
      <c r="JY29" s="44"/>
      <c r="JZ29" s="44"/>
      <c r="KA29" s="44"/>
      <c r="KB29" s="44"/>
      <c r="KC29" s="44"/>
      <c r="KD29" s="44"/>
      <c r="KE29" s="44"/>
      <c r="KF29" s="44"/>
      <c r="KG29" s="44"/>
      <c r="KH29" s="44"/>
      <c r="KI29" s="44"/>
      <c r="KJ29" s="44"/>
      <c r="KK29" s="44"/>
      <c r="KL29" s="44"/>
      <c r="KM29" s="44"/>
      <c r="KN29" s="44"/>
      <c r="KO29" s="44"/>
      <c r="KP29" s="44"/>
      <c r="KQ29" s="44"/>
      <c r="KR29" s="44"/>
      <c r="KS29" s="44"/>
      <c r="KT29" s="44"/>
      <c r="KU29" s="44"/>
      <c r="KV29" s="44"/>
      <c r="KW29" s="44"/>
      <c r="KX29" s="44"/>
      <c r="KY29" s="44"/>
      <c r="KZ29" s="44"/>
      <c r="LA29" s="44"/>
      <c r="LB29" s="44"/>
      <c r="LC29" s="44"/>
      <c r="LD29" s="44"/>
      <c r="LE29" s="44"/>
      <c r="LF29" s="44"/>
      <c r="LG29" s="44"/>
      <c r="LH29" s="44"/>
      <c r="LI29" s="44"/>
      <c r="LJ29" s="44"/>
      <c r="LK29" s="44"/>
      <c r="LL29" s="44"/>
      <c r="LM29" s="44"/>
      <c r="LN29" s="44"/>
      <c r="LO29" s="44"/>
      <c r="LP29" s="44"/>
      <c r="LQ29" s="44"/>
      <c r="LR29" s="44"/>
      <c r="LS29" s="44"/>
      <c r="LT29" s="44"/>
      <c r="LU29" s="44"/>
      <c r="LV29" s="44"/>
      <c r="LW29" s="44"/>
      <c r="LX29" s="44"/>
      <c r="LY29" s="44"/>
      <c r="LZ29" s="44"/>
      <c r="MA29" s="44"/>
      <c r="MB29" s="44"/>
      <c r="MC29" s="44"/>
      <c r="MD29" s="44"/>
      <c r="ME29" s="44"/>
      <c r="MF29" s="44"/>
      <c r="MG29" s="44"/>
      <c r="MH29" s="44"/>
      <c r="MI29" s="44"/>
      <c r="MJ29" s="44"/>
      <c r="MK29" s="44"/>
      <c r="ML29" s="44"/>
      <c r="MM29" s="44"/>
      <c r="MN29" s="44"/>
      <c r="MO29" s="44"/>
      <c r="MP29" s="44"/>
      <c r="MQ29" s="44"/>
      <c r="MR29" s="44"/>
      <c r="MS29" s="44"/>
      <c r="MT29" s="44"/>
      <c r="MU29" s="44"/>
      <c r="MV29" s="44"/>
      <c r="MW29" s="44"/>
      <c r="MX29" s="44"/>
      <c r="MY29" s="44"/>
      <c r="MZ29" s="44"/>
      <c r="NA29" s="44"/>
      <c r="NB29" s="44"/>
      <c r="NC29" s="44"/>
      <c r="ND29" s="44"/>
      <c r="NE29" s="44"/>
      <c r="NF29" s="44"/>
      <c r="NG29" s="44"/>
      <c r="NH29" s="44"/>
      <c r="NI29" s="44"/>
      <c r="NJ29" s="44"/>
      <c r="NK29" s="44"/>
      <c r="NL29" s="44"/>
      <c r="NM29" s="44"/>
      <c r="NN29" s="44"/>
      <c r="NO29" s="44"/>
      <c r="NP29" s="366" t="s">
        <v>166</v>
      </c>
      <c r="NQ29" s="346"/>
      <c r="NR29" s="346"/>
      <c r="NS29" s="346"/>
      <c r="NT29" s="346"/>
      <c r="NU29" s="346"/>
      <c r="NV29" s="346"/>
      <c r="NW29" s="346"/>
      <c r="NX29" s="346"/>
      <c r="NY29" s="346"/>
      <c r="NZ29" s="346"/>
      <c r="OE29" s="302"/>
      <c r="OF29" s="302"/>
      <c r="OG29" s="302"/>
      <c r="OH29" s="302"/>
      <c r="OI29" s="302"/>
      <c r="OJ29" s="302"/>
      <c r="OK29" s="302"/>
      <c r="OL29" s="302"/>
      <c r="OM29" s="302"/>
      <c r="ON29" s="302"/>
      <c r="OO29" s="122">
        <v>115</v>
      </c>
      <c r="OP29" s="302"/>
      <c r="OQ29" s="302"/>
      <c r="OR29" s="302"/>
      <c r="OS29" s="302"/>
      <c r="OT29" s="302"/>
      <c r="OU29" s="302"/>
      <c r="OV29" s="302"/>
      <c r="OW29" s="302"/>
      <c r="OX29" s="302"/>
      <c r="OY29" s="302"/>
      <c r="OZ29" s="302"/>
      <c r="PA29" s="302"/>
      <c r="PB29" s="302"/>
      <c r="PC29" s="302"/>
      <c r="PD29" s="302"/>
      <c r="PE29" s="302"/>
      <c r="PF29" s="302"/>
      <c r="PG29" s="302"/>
      <c r="PH29" s="302"/>
      <c r="PI29" s="302"/>
      <c r="PJ29" s="302"/>
      <c r="PK29" s="302"/>
      <c r="PL29" s="302"/>
      <c r="PM29" s="302"/>
      <c r="PN29" s="44"/>
      <c r="PO29" s="44"/>
      <c r="PP29" s="44"/>
      <c r="PQ29" s="44"/>
      <c r="PR29" s="44"/>
      <c r="PS29" s="44"/>
      <c r="PT29" s="44"/>
      <c r="PU29" s="44"/>
      <c r="PV29" s="44"/>
      <c r="PW29" s="44"/>
      <c r="PX29" s="44"/>
      <c r="QC29" s="78" t="s">
        <v>24</v>
      </c>
      <c r="QD29" s="364">
        <f>QD11</f>
        <v>0.5</v>
      </c>
      <c r="QE29" s="364">
        <f>QF11</f>
        <v>-0.5</v>
      </c>
      <c r="QG29" s="354">
        <f>QD29</f>
        <v>0.5</v>
      </c>
      <c r="QH29" s="354">
        <f>QG29</f>
        <v>0.5</v>
      </c>
      <c r="QJ29" s="354">
        <f>QE29</f>
        <v>-0.5</v>
      </c>
      <c r="QK29" s="354">
        <f>QJ29</f>
        <v>-0.5</v>
      </c>
      <c r="QY29" s="346"/>
      <c r="QZ29" s="346"/>
      <c r="RA29" s="346"/>
      <c r="RB29" s="346"/>
      <c r="RC29" s="346"/>
      <c r="RD29" s="346"/>
      <c r="RE29" s="346"/>
      <c r="RF29" s="346"/>
      <c r="RG29" s="346"/>
      <c r="RH29" s="346"/>
      <c r="RI29" s="346"/>
      <c r="RJ29" s="346"/>
      <c r="RK29" s="346"/>
      <c r="RL29" s="346"/>
      <c r="RM29" s="346"/>
      <c r="RN29" s="346"/>
      <c r="RO29" s="346"/>
      <c r="RP29" s="346"/>
      <c r="RQ29" s="346"/>
      <c r="RR29" s="346"/>
      <c r="RS29" s="346"/>
      <c r="RT29" s="346"/>
      <c r="RU29" s="346"/>
      <c r="RV29" s="346"/>
      <c r="RW29" s="346"/>
      <c r="RX29" s="346"/>
      <c r="RY29" s="346"/>
      <c r="RZ29" s="346"/>
      <c r="SA29" s="346"/>
      <c r="SB29" s="346"/>
      <c r="SC29" s="346"/>
      <c r="SD29" s="346"/>
      <c r="SE29" s="346"/>
      <c r="SF29" s="346"/>
      <c r="SG29" s="346"/>
      <c r="SH29" s="346"/>
      <c r="SI29" s="346"/>
      <c r="SJ29" s="346"/>
      <c r="SK29" s="346"/>
      <c r="SL29" s="346"/>
      <c r="SM29" s="346"/>
      <c r="SN29" s="346"/>
      <c r="SO29" s="346"/>
      <c r="SP29" s="346"/>
      <c r="SQ29" s="346"/>
      <c r="SR29" s="346"/>
      <c r="SS29" s="346"/>
      <c r="ST29" s="346"/>
      <c r="SU29" s="346"/>
      <c r="SV29" s="346"/>
      <c r="SW29" s="346"/>
      <c r="SX29" s="346"/>
      <c r="SY29" s="346"/>
      <c r="SZ29" s="346"/>
      <c r="TA29" s="346"/>
    </row>
    <row r="30" spans="1:521" ht="14.1" customHeight="1" x14ac:dyDescent="0.2">
      <c r="A30" s="16"/>
      <c r="B30" s="22"/>
      <c r="C30" s="27"/>
      <c r="D30" s="420" t="s">
        <v>154</v>
      </c>
      <c r="E30" s="420"/>
      <c r="F30" s="420"/>
      <c r="G30" s="420"/>
      <c r="H30" s="27"/>
      <c r="I30" s="27"/>
      <c r="J30" s="27"/>
      <c r="K30" s="27"/>
      <c r="L30" s="27"/>
      <c r="M30" s="27"/>
      <c r="N30" s="27"/>
      <c r="O30" s="27"/>
      <c r="P30" s="16"/>
      <c r="Q30" s="442" t="s">
        <v>188</v>
      </c>
      <c r="R30" s="443"/>
      <c r="S30" s="444"/>
      <c r="T30" s="436" t="s">
        <v>92</v>
      </c>
      <c r="U30" s="504"/>
      <c r="V30" s="504"/>
      <c r="W30" s="524" t="s">
        <v>189</v>
      </c>
      <c r="X30" s="525"/>
      <c r="Y30" s="525"/>
      <c r="Z30" s="525" t="s">
        <v>190</v>
      </c>
      <c r="AA30" s="525"/>
      <c r="AB30" s="525"/>
      <c r="AC30" s="279" t="s">
        <v>0</v>
      </c>
      <c r="AD30" s="279"/>
      <c r="AE30" s="280"/>
      <c r="AF30" s="140"/>
      <c r="AG30" s="249"/>
      <c r="AH30" s="75"/>
      <c r="AI30" s="75"/>
      <c r="AJ30" s="45"/>
      <c r="AK30" s="45"/>
      <c r="AL30" s="45"/>
      <c r="AM30" s="204"/>
      <c r="AN30" s="204"/>
      <c r="AO30" s="204"/>
      <c r="AP30" s="204"/>
      <c r="AQ30" s="204"/>
      <c r="AR30" s="204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  <c r="BO30" s="75"/>
      <c r="BP30" s="75"/>
      <c r="BQ30" s="75"/>
      <c r="BR30" s="75"/>
      <c r="BS30" s="75"/>
      <c r="BT30" s="75"/>
      <c r="BU30" s="75"/>
      <c r="BV30" s="75"/>
      <c r="BW30" s="75"/>
      <c r="BX30" s="75"/>
      <c r="BY30" s="75"/>
      <c r="BZ30" s="75"/>
      <c r="CA30" s="75"/>
      <c r="CB30" s="75"/>
      <c r="CC30" s="75"/>
      <c r="CD30" s="250"/>
      <c r="CE30" s="207"/>
      <c r="CF30" s="170"/>
      <c r="CG30" s="170"/>
      <c r="CH30" s="170"/>
      <c r="CI30" s="170"/>
      <c r="CJ30" s="170"/>
      <c r="CK30" s="170"/>
      <c r="CL30" s="170"/>
      <c r="CM30" s="170"/>
      <c r="CN30" s="170"/>
      <c r="CO30" s="170"/>
      <c r="CP30" s="170"/>
      <c r="CQ30" s="170"/>
      <c r="CR30" s="170"/>
      <c r="CS30" s="170"/>
      <c r="CT30" s="170"/>
      <c r="CU30" s="170"/>
      <c r="CV30" s="170"/>
      <c r="CW30" s="170"/>
      <c r="CX30" s="170"/>
      <c r="CY30" s="170"/>
      <c r="CZ30" s="170"/>
      <c r="DA30" s="170"/>
      <c r="DB30" s="170"/>
      <c r="DC30" s="170"/>
      <c r="DD30" s="170"/>
      <c r="DE30" s="170"/>
      <c r="DF30" s="170"/>
      <c r="DG30" s="170"/>
      <c r="DH30" s="170"/>
      <c r="DI30" s="170"/>
      <c r="DJ30" s="170"/>
      <c r="DK30" s="170"/>
      <c r="DL30" s="170"/>
      <c r="DM30" s="170"/>
      <c r="DN30" s="170"/>
      <c r="DO30" s="170"/>
      <c r="DP30" s="170"/>
      <c r="DQ30" s="170"/>
      <c r="DR30" s="170"/>
      <c r="DS30" s="170"/>
      <c r="DT30" s="170"/>
      <c r="DU30" s="170"/>
      <c r="DV30" s="170"/>
      <c r="DW30" s="170"/>
      <c r="DX30" s="170"/>
      <c r="DY30" s="170"/>
      <c r="DZ30" s="170"/>
      <c r="EA30" s="170"/>
      <c r="EB30" s="170"/>
      <c r="EC30" s="170"/>
      <c r="ED30" s="170"/>
      <c r="EE30" s="170"/>
      <c r="EF30" s="170"/>
      <c r="EG30" s="170"/>
      <c r="EH30" s="170"/>
      <c r="EI30" s="170"/>
      <c r="EJ30" s="170"/>
      <c r="EK30" s="170"/>
      <c r="EL30" s="170"/>
      <c r="EM30" s="170"/>
      <c r="EN30" s="170"/>
      <c r="EO30" s="170"/>
      <c r="EP30" s="170"/>
      <c r="EQ30" s="170"/>
      <c r="ER30" s="170"/>
      <c r="ES30" s="170"/>
      <c r="ET30" s="170"/>
      <c r="EU30" s="170"/>
      <c r="EV30" s="170"/>
      <c r="EW30" s="170"/>
      <c r="EX30" s="170"/>
      <c r="EY30" s="170"/>
      <c r="EZ30" s="170"/>
      <c r="FA30" s="170"/>
      <c r="FB30" s="170"/>
      <c r="FC30" s="170"/>
      <c r="FD30" s="170"/>
      <c r="FE30" s="170"/>
      <c r="FF30" s="170"/>
      <c r="FG30" s="170"/>
      <c r="FH30" s="170"/>
      <c r="FI30" s="170"/>
      <c r="FJ30" s="170"/>
      <c r="FK30" s="170"/>
      <c r="FL30" s="170"/>
      <c r="FM30" s="170"/>
      <c r="FN30" s="170"/>
      <c r="FO30" s="170"/>
      <c r="FP30" s="170"/>
      <c r="FQ30" s="170"/>
      <c r="FR30" s="170"/>
      <c r="FS30" s="170"/>
      <c r="FT30" s="170"/>
      <c r="FU30" s="170"/>
      <c r="FV30" s="170"/>
      <c r="FW30" s="170"/>
      <c r="FX30" s="170"/>
      <c r="FY30" s="170"/>
      <c r="FZ30" s="170"/>
      <c r="GA30" s="170"/>
      <c r="GB30" s="170"/>
      <c r="GC30" s="170"/>
      <c r="GD30" s="170"/>
      <c r="GE30" s="170"/>
      <c r="GF30" s="170"/>
      <c r="GG30" s="170"/>
      <c r="GH30" s="170"/>
      <c r="GI30" s="170"/>
      <c r="GJ30" s="170"/>
      <c r="GK30" s="170"/>
      <c r="GL30" s="170"/>
      <c r="GM30" s="170"/>
      <c r="GN30" s="170"/>
      <c r="GO30" s="170"/>
      <c r="GP30" s="170"/>
      <c r="GQ30" s="170"/>
      <c r="GR30" s="170"/>
      <c r="GS30" s="170"/>
      <c r="GT30" s="170"/>
      <c r="GU30" s="170"/>
      <c r="GV30" s="170"/>
      <c r="GW30" s="170"/>
      <c r="GX30" s="170"/>
      <c r="GY30" s="170"/>
      <c r="GZ30" s="170"/>
      <c r="HA30" s="170"/>
      <c r="HB30" s="170"/>
      <c r="HC30" s="170"/>
      <c r="HD30" s="170"/>
      <c r="HE30" s="153"/>
      <c r="HF30" s="153"/>
      <c r="HG30" s="153"/>
      <c r="HH30" s="153"/>
      <c r="HI30" s="153"/>
      <c r="HJ30" s="153"/>
      <c r="HK30" s="153"/>
      <c r="HL30" s="153"/>
      <c r="HM30" s="153"/>
      <c r="HN30" s="153"/>
      <c r="HO30" s="153"/>
      <c r="HP30" s="153"/>
      <c r="HQ30" s="153"/>
      <c r="HR30" s="153"/>
      <c r="HS30" s="153"/>
      <c r="HT30" s="153"/>
      <c r="HU30" s="153"/>
      <c r="HV30" s="153"/>
      <c r="HW30" s="153"/>
      <c r="HX30" s="153"/>
      <c r="HY30" s="153"/>
      <c r="HZ30" s="153"/>
      <c r="IA30" s="153"/>
      <c r="IB30" s="153"/>
      <c r="IC30" s="153"/>
      <c r="ID30" s="153"/>
      <c r="IE30" s="153"/>
      <c r="IF30" s="153"/>
      <c r="IG30" s="153"/>
      <c r="IH30" s="153"/>
      <c r="II30" s="153"/>
      <c r="IJ30" s="153"/>
      <c r="IK30" s="153"/>
      <c r="IL30" s="153"/>
      <c r="IM30" s="153"/>
      <c r="IN30" s="153"/>
      <c r="IO30" s="153"/>
      <c r="IP30" s="153"/>
      <c r="IQ30" s="153"/>
      <c r="IR30" s="153"/>
      <c r="IS30" s="153"/>
      <c r="IT30" s="153"/>
      <c r="IU30" s="153"/>
      <c r="IV30" s="153"/>
      <c r="IW30" s="153"/>
      <c r="IX30" s="153"/>
      <c r="IY30" s="153"/>
      <c r="IZ30" s="153"/>
      <c r="JA30" s="153"/>
      <c r="JB30" s="153"/>
      <c r="JC30" s="153"/>
      <c r="JD30" s="153"/>
      <c r="JE30" s="153"/>
      <c r="JF30" s="153"/>
      <c r="JG30" s="153"/>
      <c r="JH30" s="153"/>
      <c r="JI30" s="153"/>
      <c r="JJ30" s="153"/>
      <c r="JK30" s="153"/>
      <c r="JL30" s="153"/>
      <c r="JM30" s="153"/>
      <c r="JN30" s="153"/>
      <c r="JO30" s="153"/>
      <c r="JP30" s="153"/>
      <c r="JQ30" s="153"/>
      <c r="JR30" s="153"/>
      <c r="JS30" s="153"/>
      <c r="JT30" s="153"/>
      <c r="JU30" s="153"/>
      <c r="JV30" s="153"/>
      <c r="JW30" s="153"/>
      <c r="JX30" s="153"/>
      <c r="JY30" s="153"/>
      <c r="JZ30" s="153"/>
      <c r="KA30" s="153"/>
      <c r="KB30" s="153"/>
      <c r="KC30" s="153"/>
      <c r="KD30" s="153"/>
      <c r="KE30" s="153"/>
      <c r="KF30" s="153"/>
      <c r="KG30" s="153"/>
      <c r="KH30" s="153"/>
      <c r="KI30" s="153"/>
      <c r="KJ30" s="153"/>
      <c r="KK30" s="153"/>
      <c r="KL30" s="153"/>
      <c r="KM30" s="153"/>
      <c r="KN30" s="153"/>
      <c r="KO30" s="153"/>
      <c r="KP30" s="153"/>
      <c r="KQ30" s="153"/>
      <c r="KR30" s="153"/>
      <c r="KS30" s="153"/>
      <c r="KT30" s="153"/>
      <c r="KU30" s="153"/>
      <c r="KV30" s="153"/>
      <c r="KW30" s="153"/>
      <c r="KX30" s="153"/>
      <c r="KY30" s="153"/>
      <c r="KZ30" s="153"/>
      <c r="LA30" s="153"/>
      <c r="LB30" s="153"/>
      <c r="LC30" s="153"/>
      <c r="LD30" s="153"/>
      <c r="LE30" s="153"/>
      <c r="LF30" s="153"/>
      <c r="LG30" s="153"/>
      <c r="LH30" s="153"/>
      <c r="LI30" s="153"/>
      <c r="LJ30" s="153"/>
      <c r="LK30" s="153"/>
      <c r="LL30" s="153"/>
      <c r="LM30" s="153"/>
      <c r="LN30" s="153"/>
      <c r="LO30" s="153"/>
      <c r="LP30" s="153"/>
      <c r="LQ30" s="153"/>
      <c r="LR30" s="153"/>
      <c r="LS30" s="153"/>
      <c r="LT30" s="153"/>
      <c r="LU30" s="153"/>
      <c r="LV30" s="153"/>
      <c r="LW30" s="153"/>
      <c r="LX30" s="153"/>
      <c r="LY30" s="153"/>
      <c r="LZ30" s="153"/>
      <c r="MA30" s="153"/>
      <c r="MB30" s="153"/>
      <c r="MC30" s="153"/>
      <c r="MD30" s="153"/>
      <c r="ME30" s="153"/>
      <c r="MF30" s="153"/>
      <c r="MG30" s="153"/>
      <c r="MH30" s="153"/>
      <c r="MI30" s="153"/>
      <c r="MJ30" s="153"/>
      <c r="MK30" s="153"/>
      <c r="ML30" s="153"/>
      <c r="MM30" s="153"/>
      <c r="MN30" s="153"/>
      <c r="MO30" s="153"/>
      <c r="MP30" s="153"/>
      <c r="MQ30" s="153"/>
      <c r="MR30" s="153"/>
      <c r="MS30" s="153"/>
      <c r="MT30" s="153"/>
      <c r="MU30" s="153"/>
      <c r="MV30" s="153"/>
      <c r="MW30" s="153"/>
      <c r="MX30" s="153"/>
      <c r="MY30" s="153"/>
      <c r="MZ30" s="153"/>
      <c r="NA30" s="153"/>
      <c r="NB30" s="153"/>
      <c r="NC30" s="153"/>
      <c r="ND30" s="153"/>
      <c r="NE30" s="153"/>
      <c r="NF30" s="153"/>
      <c r="NG30" s="153"/>
      <c r="NH30" s="153"/>
      <c r="NI30" s="153"/>
      <c r="NJ30" s="153"/>
      <c r="NK30" s="153"/>
      <c r="NL30" s="153"/>
      <c r="NM30" s="153"/>
      <c r="NN30" s="153"/>
      <c r="NO30" s="153"/>
      <c r="NP30" s="346" t="s">
        <v>53</v>
      </c>
      <c r="NQ30" s="346"/>
      <c r="NR30" s="346"/>
      <c r="NS30" s="322" t="s">
        <v>1</v>
      </c>
      <c r="NT30" s="380">
        <f>H34*NT17*(NT28-(NT27/100))</f>
        <v>8936.046571428571</v>
      </c>
      <c r="NU30" s="380"/>
      <c r="NV30" s="380"/>
      <c r="NW30" s="346" t="s">
        <v>17</v>
      </c>
      <c r="NX30" s="346"/>
      <c r="NY30" s="346"/>
      <c r="NZ30" s="346"/>
      <c r="OE30" s="113"/>
      <c r="OF30" s="113"/>
      <c r="OG30" s="114"/>
      <c r="OH30" s="114"/>
      <c r="OI30" s="114"/>
      <c r="OJ30" s="114"/>
      <c r="OK30" s="12"/>
      <c r="OL30" s="302"/>
      <c r="OM30" s="302"/>
      <c r="ON30" s="302"/>
      <c r="OO30" s="122">
        <v>120</v>
      </c>
      <c r="OP30" s="302"/>
      <c r="OQ30" s="302"/>
      <c r="OR30" s="302"/>
      <c r="OS30" s="302"/>
      <c r="OT30" s="302"/>
      <c r="OU30" s="302"/>
      <c r="OV30" s="302"/>
      <c r="OW30" s="302"/>
      <c r="OX30" s="302"/>
      <c r="OY30" s="302"/>
      <c r="OZ30" s="302"/>
      <c r="PA30" s="302"/>
      <c r="PB30" s="302"/>
      <c r="PC30" s="302"/>
      <c r="PD30" s="302"/>
      <c r="PE30" s="302"/>
      <c r="PF30" s="302"/>
      <c r="PG30" s="302"/>
      <c r="PH30" s="302"/>
      <c r="PI30" s="302"/>
      <c r="PJ30" s="302"/>
      <c r="PK30" s="302"/>
      <c r="PL30" s="302"/>
      <c r="PM30" s="302"/>
      <c r="PN30" s="153"/>
      <c r="PO30" s="153"/>
      <c r="PP30" s="153"/>
      <c r="PQ30" s="153"/>
      <c r="PR30" s="153"/>
      <c r="PS30" s="153"/>
      <c r="PT30" s="153"/>
      <c r="PU30" s="153"/>
      <c r="PV30" s="153"/>
      <c r="PW30" s="153"/>
      <c r="PX30" s="153"/>
      <c r="QC30" s="78" t="s">
        <v>122</v>
      </c>
      <c r="QY30" s="346"/>
      <c r="QZ30" s="346"/>
      <c r="RA30" s="346"/>
      <c r="RB30" s="346"/>
      <c r="RC30" s="346"/>
      <c r="RD30" s="346"/>
      <c r="RE30" s="346"/>
      <c r="RF30" s="346"/>
      <c r="RG30" s="346"/>
      <c r="RH30" s="346"/>
      <c r="RI30" s="346"/>
      <c r="RJ30" s="346"/>
      <c r="RK30" s="346"/>
      <c r="RL30" s="346"/>
      <c r="RM30" s="346"/>
      <c r="RN30" s="346"/>
      <c r="RO30" s="346"/>
      <c r="RP30" s="346"/>
      <c r="RQ30" s="346"/>
      <c r="RR30" s="346"/>
      <c r="RS30" s="346"/>
      <c r="RT30" s="346"/>
      <c r="RU30" s="346"/>
      <c r="RV30" s="346"/>
      <c r="RW30" s="346"/>
      <c r="RX30" s="346"/>
      <c r="RY30" s="346"/>
      <c r="RZ30" s="346"/>
      <c r="SA30" s="346"/>
      <c r="SB30" s="346"/>
      <c r="SC30" s="346"/>
      <c r="SD30" s="346"/>
      <c r="SE30" s="346"/>
      <c r="SF30" s="346"/>
      <c r="SG30" s="346"/>
      <c r="SH30" s="346"/>
      <c r="SI30" s="346"/>
      <c r="SJ30" s="346"/>
      <c r="SK30" s="346"/>
      <c r="SL30" s="346"/>
      <c r="SM30" s="346"/>
      <c r="SN30" s="346"/>
      <c r="SO30" s="346"/>
      <c r="SP30" s="346"/>
      <c r="SQ30" s="346"/>
      <c r="SR30" s="346"/>
      <c r="SS30" s="346"/>
      <c r="ST30" s="346"/>
      <c r="SU30" s="346"/>
      <c r="SV30" s="346"/>
      <c r="SW30" s="346"/>
      <c r="SX30" s="346"/>
      <c r="SY30" s="346"/>
      <c r="SZ30" s="346"/>
      <c r="TA30" s="346"/>
    </row>
    <row r="31" spans="1:521" ht="14.1" customHeight="1" thickBot="1" x14ac:dyDescent="0.25">
      <c r="A31" s="16"/>
      <c r="B31" s="22"/>
      <c r="C31" s="58"/>
      <c r="D31" s="421"/>
      <c r="E31" s="421"/>
      <c r="F31" s="421"/>
      <c r="G31" s="421"/>
      <c r="H31" s="59"/>
      <c r="I31" s="59"/>
      <c r="J31" s="59"/>
      <c r="K31" s="59"/>
      <c r="L31" s="59"/>
      <c r="M31" s="59"/>
      <c r="N31" s="59"/>
      <c r="O31" s="109"/>
      <c r="P31" s="16"/>
      <c r="Q31" s="428"/>
      <c r="R31" s="429"/>
      <c r="S31" s="430"/>
      <c r="T31" s="436" t="s">
        <v>53</v>
      </c>
      <c r="U31" s="504"/>
      <c r="V31" s="504"/>
      <c r="W31" s="530">
        <f>NT30</f>
        <v>8936.046571428571</v>
      </c>
      <c r="X31" s="531"/>
      <c r="Y31" s="531"/>
      <c r="Z31" s="531">
        <f>NT36</f>
        <v>29766.451096122448</v>
      </c>
      <c r="AA31" s="531"/>
      <c r="AB31" s="531"/>
      <c r="AC31" s="509" t="s">
        <v>17</v>
      </c>
      <c r="AD31" s="510"/>
      <c r="AE31" s="511"/>
      <c r="AF31" s="140"/>
      <c r="AG31" s="249"/>
      <c r="AH31" s="75"/>
      <c r="AI31" s="75"/>
      <c r="AJ31" s="251"/>
      <c r="AK31" s="156"/>
      <c r="AL31" s="156"/>
      <c r="AM31" s="135"/>
      <c r="AN31" s="135"/>
      <c r="AO31" s="135"/>
      <c r="AP31" s="135"/>
      <c r="AQ31" s="135"/>
      <c r="AR31" s="13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  <c r="BM31" s="75"/>
      <c r="BN31" s="75"/>
      <c r="BO31" s="75"/>
      <c r="BP31" s="75"/>
      <c r="BQ31" s="75"/>
      <c r="BR31" s="75"/>
      <c r="BS31" s="75"/>
      <c r="BT31" s="75"/>
      <c r="BU31" s="75"/>
      <c r="BV31" s="75"/>
      <c r="BW31" s="75"/>
      <c r="BX31" s="75"/>
      <c r="BY31" s="75"/>
      <c r="BZ31" s="75"/>
      <c r="CA31" s="75"/>
      <c r="CB31" s="75"/>
      <c r="CC31" s="75"/>
      <c r="CD31" s="250"/>
      <c r="CE31" s="207"/>
      <c r="CF31" s="170"/>
      <c r="CG31" s="170"/>
      <c r="CH31" s="170"/>
      <c r="CI31" s="170"/>
      <c r="CJ31" s="170"/>
      <c r="CK31" s="170"/>
      <c r="CL31" s="170"/>
      <c r="CM31" s="170"/>
      <c r="CN31" s="170"/>
      <c r="CO31" s="170"/>
      <c r="CP31" s="170"/>
      <c r="CQ31" s="170"/>
      <c r="CR31" s="170"/>
      <c r="CS31" s="170"/>
      <c r="CT31" s="170"/>
      <c r="CU31" s="170"/>
      <c r="CV31" s="170"/>
      <c r="CW31" s="170"/>
      <c r="CX31" s="170"/>
      <c r="CY31" s="170"/>
      <c r="CZ31" s="170"/>
      <c r="DA31" s="170"/>
      <c r="DB31" s="170"/>
      <c r="DC31" s="170"/>
      <c r="DD31" s="170"/>
      <c r="DE31" s="170"/>
      <c r="DF31" s="170"/>
      <c r="DG31" s="170"/>
      <c r="DH31" s="170"/>
      <c r="DI31" s="170"/>
      <c r="DJ31" s="170"/>
      <c r="DK31" s="170"/>
      <c r="DL31" s="170"/>
      <c r="DM31" s="170"/>
      <c r="DN31" s="170"/>
      <c r="DO31" s="170"/>
      <c r="DP31" s="170"/>
      <c r="DQ31" s="170"/>
      <c r="DR31" s="170"/>
      <c r="DS31" s="170"/>
      <c r="DT31" s="170"/>
      <c r="DU31" s="170"/>
      <c r="DV31" s="170"/>
      <c r="DW31" s="170"/>
      <c r="DX31" s="170"/>
      <c r="DY31" s="170"/>
      <c r="DZ31" s="170"/>
      <c r="EA31" s="170"/>
      <c r="EB31" s="170"/>
      <c r="EC31" s="170"/>
      <c r="ED31" s="170"/>
      <c r="EE31" s="170"/>
      <c r="EF31" s="170"/>
      <c r="EG31" s="170"/>
      <c r="EH31" s="170"/>
      <c r="EI31" s="170"/>
      <c r="EJ31" s="170"/>
      <c r="EK31" s="170"/>
      <c r="EL31" s="170"/>
      <c r="EM31" s="170"/>
      <c r="EN31" s="170"/>
      <c r="EO31" s="170"/>
      <c r="EP31" s="170"/>
      <c r="EQ31" s="170"/>
      <c r="ER31" s="170"/>
      <c r="ES31" s="170"/>
      <c r="ET31" s="170"/>
      <c r="EU31" s="170"/>
      <c r="EV31" s="170"/>
      <c r="EW31" s="170"/>
      <c r="EX31" s="170"/>
      <c r="EY31" s="170"/>
      <c r="EZ31" s="170"/>
      <c r="FA31" s="170"/>
      <c r="FB31" s="170"/>
      <c r="FC31" s="170"/>
      <c r="FD31" s="170"/>
      <c r="FE31" s="170"/>
      <c r="FF31" s="170"/>
      <c r="FG31" s="170"/>
      <c r="FH31" s="170"/>
      <c r="FI31" s="170"/>
      <c r="FJ31" s="170"/>
      <c r="FK31" s="170"/>
      <c r="FL31" s="170"/>
      <c r="FM31" s="170"/>
      <c r="FN31" s="170"/>
      <c r="FO31" s="170"/>
      <c r="FP31" s="170"/>
      <c r="FQ31" s="170"/>
      <c r="FR31" s="170"/>
      <c r="FS31" s="170"/>
      <c r="FT31" s="170"/>
      <c r="FU31" s="170"/>
      <c r="FV31" s="170"/>
      <c r="FW31" s="170"/>
      <c r="FX31" s="170"/>
      <c r="FY31" s="170"/>
      <c r="FZ31" s="170"/>
      <c r="GA31" s="170"/>
      <c r="GB31" s="170"/>
      <c r="GC31" s="170"/>
      <c r="GD31" s="170"/>
      <c r="GE31" s="170"/>
      <c r="GF31" s="170"/>
      <c r="GG31" s="170"/>
      <c r="GH31" s="170"/>
      <c r="GI31" s="170"/>
      <c r="GJ31" s="170"/>
      <c r="GK31" s="170"/>
      <c r="GL31" s="170"/>
      <c r="GM31" s="170"/>
      <c r="GN31" s="170"/>
      <c r="GO31" s="170"/>
      <c r="GP31" s="170"/>
      <c r="GQ31" s="170"/>
      <c r="GR31" s="170"/>
      <c r="GS31" s="170"/>
      <c r="GT31" s="170"/>
      <c r="GU31" s="170"/>
      <c r="GV31" s="170"/>
      <c r="GW31" s="170"/>
      <c r="GX31" s="170"/>
      <c r="GY31" s="170"/>
      <c r="GZ31" s="170"/>
      <c r="HA31" s="170"/>
      <c r="HB31" s="170"/>
      <c r="HC31" s="170"/>
      <c r="HD31" s="170"/>
      <c r="HE31" s="153"/>
      <c r="HF31" s="153"/>
      <c r="HG31" s="153"/>
      <c r="HH31" s="153"/>
      <c r="HI31" s="153"/>
      <c r="HJ31" s="153"/>
      <c r="HK31" s="153"/>
      <c r="HL31" s="153"/>
      <c r="HM31" s="153"/>
      <c r="HN31" s="153"/>
      <c r="HO31" s="153"/>
      <c r="HP31" s="153"/>
      <c r="HQ31" s="153"/>
      <c r="HR31" s="153"/>
      <c r="HS31" s="153"/>
      <c r="HT31" s="153"/>
      <c r="HU31" s="153"/>
      <c r="HV31" s="153"/>
      <c r="HW31" s="153"/>
      <c r="HX31" s="153"/>
      <c r="HY31" s="153"/>
      <c r="HZ31" s="153"/>
      <c r="IA31" s="153"/>
      <c r="IB31" s="153"/>
      <c r="IC31" s="153"/>
      <c r="ID31" s="153"/>
      <c r="IE31" s="153"/>
      <c r="IF31" s="153"/>
      <c r="IG31" s="153"/>
      <c r="IH31" s="153"/>
      <c r="II31" s="153"/>
      <c r="IJ31" s="153"/>
      <c r="IK31" s="153"/>
      <c r="IL31" s="153"/>
      <c r="IM31" s="153"/>
      <c r="IN31" s="153"/>
      <c r="IO31" s="153"/>
      <c r="IP31" s="153"/>
      <c r="IQ31" s="153"/>
      <c r="IR31" s="153"/>
      <c r="IS31" s="153"/>
      <c r="IT31" s="153"/>
      <c r="IU31" s="153"/>
      <c r="IV31" s="153"/>
      <c r="IW31" s="153"/>
      <c r="IX31" s="153"/>
      <c r="IY31" s="153"/>
      <c r="IZ31" s="153"/>
      <c r="JA31" s="153"/>
      <c r="JB31" s="153"/>
      <c r="JC31" s="153"/>
      <c r="JD31" s="153"/>
      <c r="JE31" s="153"/>
      <c r="JF31" s="153"/>
      <c r="JG31" s="153"/>
      <c r="JH31" s="153"/>
      <c r="JI31" s="153"/>
      <c r="JJ31" s="153"/>
      <c r="JK31" s="153"/>
      <c r="JL31" s="153"/>
      <c r="JM31" s="153"/>
      <c r="JN31" s="153"/>
      <c r="JO31" s="153"/>
      <c r="JP31" s="153"/>
      <c r="JQ31" s="153"/>
      <c r="JR31" s="153"/>
      <c r="JS31" s="153"/>
      <c r="JT31" s="153"/>
      <c r="JU31" s="153"/>
      <c r="JV31" s="153"/>
      <c r="JW31" s="153"/>
      <c r="JX31" s="153"/>
      <c r="JY31" s="153"/>
      <c r="JZ31" s="153"/>
      <c r="KA31" s="153"/>
      <c r="KB31" s="153"/>
      <c r="KC31" s="153"/>
      <c r="KD31" s="153"/>
      <c r="KE31" s="153"/>
      <c r="KF31" s="153"/>
      <c r="KG31" s="153"/>
      <c r="KH31" s="153"/>
      <c r="KI31" s="153"/>
      <c r="KJ31" s="153"/>
      <c r="KK31" s="153"/>
      <c r="KL31" s="153"/>
      <c r="KM31" s="153"/>
      <c r="KN31" s="153"/>
      <c r="KO31" s="153"/>
      <c r="KP31" s="153"/>
      <c r="KQ31" s="153"/>
      <c r="KR31" s="153"/>
      <c r="KS31" s="153"/>
      <c r="KT31" s="153"/>
      <c r="KU31" s="153"/>
      <c r="KV31" s="153"/>
      <c r="KW31" s="153"/>
      <c r="KX31" s="153"/>
      <c r="KY31" s="153"/>
      <c r="KZ31" s="153"/>
      <c r="LA31" s="153"/>
      <c r="LB31" s="153"/>
      <c r="LC31" s="153"/>
      <c r="LD31" s="153"/>
      <c r="LE31" s="153"/>
      <c r="LF31" s="153"/>
      <c r="LG31" s="153"/>
      <c r="LH31" s="153"/>
      <c r="LI31" s="153"/>
      <c r="LJ31" s="153"/>
      <c r="LK31" s="153"/>
      <c r="LL31" s="153"/>
      <c r="LM31" s="153"/>
      <c r="LN31" s="153"/>
      <c r="LO31" s="153"/>
      <c r="LP31" s="153"/>
      <c r="LQ31" s="153"/>
      <c r="LR31" s="153"/>
      <c r="LS31" s="153"/>
      <c r="LT31" s="153"/>
      <c r="LU31" s="153"/>
      <c r="LV31" s="153"/>
      <c r="LW31" s="153"/>
      <c r="LX31" s="153"/>
      <c r="LY31" s="153"/>
      <c r="LZ31" s="153"/>
      <c r="MA31" s="153"/>
      <c r="MB31" s="153"/>
      <c r="MC31" s="153"/>
      <c r="MD31" s="153"/>
      <c r="ME31" s="153"/>
      <c r="MF31" s="153"/>
      <c r="MG31" s="153"/>
      <c r="MH31" s="153"/>
      <c r="MI31" s="153"/>
      <c r="MJ31" s="153"/>
      <c r="MK31" s="153"/>
      <c r="ML31" s="153"/>
      <c r="MM31" s="153"/>
      <c r="MN31" s="153"/>
      <c r="MO31" s="153"/>
      <c r="MP31" s="153"/>
      <c r="MQ31" s="153"/>
      <c r="MR31" s="153"/>
      <c r="MS31" s="153"/>
      <c r="MT31" s="153"/>
      <c r="MU31" s="153"/>
      <c r="MV31" s="153"/>
      <c r="MW31" s="153"/>
      <c r="MX31" s="153"/>
      <c r="MY31" s="153"/>
      <c r="MZ31" s="153"/>
      <c r="NA31" s="153"/>
      <c r="NB31" s="153"/>
      <c r="NC31" s="153"/>
      <c r="ND31" s="153"/>
      <c r="NE31" s="153"/>
      <c r="NF31" s="153"/>
      <c r="NG31" s="153"/>
      <c r="NH31" s="153"/>
      <c r="NI31" s="153"/>
      <c r="NJ31" s="153"/>
      <c r="NK31" s="153"/>
      <c r="NL31" s="153"/>
      <c r="NM31" s="153"/>
      <c r="NN31" s="153"/>
      <c r="NO31" s="153"/>
      <c r="NP31" s="1" t="s">
        <v>55</v>
      </c>
      <c r="NQ31" s="322"/>
      <c r="NR31" s="322"/>
      <c r="NS31" s="322" t="s">
        <v>1</v>
      </c>
      <c r="NT31" s="517">
        <f>(0.53*H12*NT2^0.5)*H34*100*NT27</f>
        <v>16762.09101139085</v>
      </c>
      <c r="NU31" s="517"/>
      <c r="NV31" s="517"/>
      <c r="NW31" s="298" t="s">
        <v>17</v>
      </c>
      <c r="NX31" s="14" t="s">
        <v>52</v>
      </c>
      <c r="NY31" s="302"/>
      <c r="NZ31" s="11" t="str">
        <f>IF(NT31&gt;=NT30,"Ok","Not Ok")</f>
        <v>Ok</v>
      </c>
      <c r="OE31" s="113"/>
      <c r="OF31" s="113"/>
      <c r="OG31" s="114"/>
      <c r="OH31" s="114"/>
      <c r="OI31" s="114"/>
      <c r="OJ31" s="114"/>
      <c r="OK31" s="12"/>
      <c r="OL31" s="302"/>
      <c r="OM31" s="302"/>
      <c r="ON31" s="302"/>
      <c r="OO31" s="302"/>
      <c r="OP31" s="302"/>
      <c r="OQ31" s="302"/>
      <c r="OR31" s="302"/>
      <c r="OS31" s="302"/>
      <c r="OT31" s="302"/>
      <c r="OU31" s="302"/>
      <c r="OV31" s="302"/>
      <c r="OW31" s="302"/>
      <c r="OX31" s="302"/>
      <c r="OY31" s="302"/>
      <c r="OZ31" s="302"/>
      <c r="PA31" s="302"/>
      <c r="PB31" s="302"/>
      <c r="PC31" s="302"/>
      <c r="PD31" s="302"/>
      <c r="PE31" s="302"/>
      <c r="PF31" s="302"/>
      <c r="PG31" s="302"/>
      <c r="PH31" s="302"/>
      <c r="PI31" s="302"/>
      <c r="PJ31" s="302"/>
      <c r="PK31" s="302"/>
      <c r="PL31" s="302"/>
      <c r="PM31" s="302"/>
      <c r="PN31" s="153"/>
      <c r="PO31" s="153"/>
      <c r="PP31" s="153"/>
      <c r="PQ31" s="153"/>
      <c r="PR31" s="153"/>
      <c r="PS31" s="153"/>
      <c r="PT31" s="153"/>
      <c r="PU31" s="153"/>
      <c r="PV31" s="153"/>
      <c r="PW31" s="153"/>
      <c r="PX31" s="153"/>
      <c r="QC31" s="78" t="s">
        <v>23</v>
      </c>
      <c r="QD31" s="364">
        <f>QD10</f>
        <v>-0.5</v>
      </c>
      <c r="QE31" s="364">
        <f>QE10</f>
        <v>0.5</v>
      </c>
      <c r="QG31" s="354">
        <f>QD31</f>
        <v>-0.5</v>
      </c>
      <c r="QH31" s="354">
        <f>QG31</f>
        <v>-0.5</v>
      </c>
      <c r="QJ31" s="354">
        <f>QE31</f>
        <v>0.5</v>
      </c>
      <c r="QK31" s="354">
        <f>QJ31</f>
        <v>0.5</v>
      </c>
      <c r="QY31" s="346"/>
      <c r="QZ31" s="346"/>
      <c r="RA31" s="346"/>
      <c r="RB31" s="346"/>
      <c r="RC31" s="346"/>
      <c r="RD31" s="346"/>
      <c r="RE31" s="346"/>
      <c r="RF31" s="346"/>
      <c r="RG31" s="346"/>
      <c r="RH31" s="346"/>
      <c r="RI31" s="346"/>
      <c r="RJ31" s="346"/>
      <c r="RK31" s="346"/>
      <c r="RL31" s="346"/>
      <c r="RM31" s="346"/>
      <c r="RN31" s="346"/>
      <c r="RO31" s="346"/>
      <c r="RP31" s="346"/>
      <c r="RQ31" s="346"/>
      <c r="RR31" s="346"/>
      <c r="RS31" s="346"/>
      <c r="RT31" s="346"/>
      <c r="RU31" s="346"/>
      <c r="RV31" s="346"/>
      <c r="RW31" s="346"/>
      <c r="RX31" s="346"/>
      <c r="RY31" s="346"/>
      <c r="RZ31" s="346"/>
      <c r="SA31" s="346"/>
      <c r="SB31" s="346"/>
      <c r="SC31" s="346"/>
      <c r="SD31" s="346"/>
      <c r="SE31" s="346"/>
      <c r="SF31" s="346"/>
      <c r="SG31" s="346"/>
      <c r="SH31" s="346"/>
      <c r="SI31" s="346"/>
      <c r="SJ31" s="346"/>
      <c r="SK31" s="346"/>
      <c r="SL31" s="346"/>
      <c r="SM31" s="346"/>
      <c r="SN31" s="346"/>
      <c r="SO31" s="346"/>
      <c r="SP31" s="346"/>
      <c r="SQ31" s="346"/>
      <c r="SR31" s="346"/>
      <c r="SS31" s="346"/>
      <c r="ST31" s="346"/>
      <c r="SU31" s="346"/>
      <c r="SV31" s="346"/>
      <c r="SW31" s="346"/>
      <c r="SX31" s="346"/>
      <c r="SY31" s="346"/>
      <c r="SZ31" s="346"/>
      <c r="TA31" s="346"/>
    </row>
    <row r="32" spans="1:521" ht="14.1" customHeight="1" x14ac:dyDescent="0.2">
      <c r="A32" s="16"/>
      <c r="B32" s="22"/>
      <c r="C32" s="60"/>
      <c r="D32" s="27"/>
      <c r="E32" s="27"/>
      <c r="F32" s="222" t="s">
        <v>9</v>
      </c>
      <c r="G32" s="27"/>
      <c r="H32" s="469">
        <v>1.4</v>
      </c>
      <c r="I32" s="470"/>
      <c r="J32" s="471"/>
      <c r="K32" s="27"/>
      <c r="L32" s="307" t="s">
        <v>16</v>
      </c>
      <c r="M32" s="234"/>
      <c r="N32" s="27"/>
      <c r="O32" s="110"/>
      <c r="P32" s="140"/>
      <c r="Q32" s="428"/>
      <c r="R32" s="429"/>
      <c r="S32" s="430"/>
      <c r="T32" s="240" t="s">
        <v>171</v>
      </c>
      <c r="U32" s="238"/>
      <c r="V32" s="239"/>
      <c r="W32" s="532">
        <f>NT31</f>
        <v>16762.09101139085</v>
      </c>
      <c r="X32" s="533"/>
      <c r="Y32" s="533"/>
      <c r="Z32" s="533">
        <f>NT40</f>
        <v>39941.668295714204</v>
      </c>
      <c r="AA32" s="533"/>
      <c r="AB32" s="533"/>
      <c r="AC32" s="509" t="s">
        <v>17</v>
      </c>
      <c r="AD32" s="510"/>
      <c r="AE32" s="511"/>
      <c r="AF32" s="140"/>
      <c r="AG32" s="249"/>
      <c r="AH32" s="75"/>
      <c r="AI32" s="75"/>
      <c r="AJ32" s="251"/>
      <c r="AK32" s="156"/>
      <c r="AL32" s="156"/>
      <c r="AM32" s="365"/>
      <c r="AN32" s="365"/>
      <c r="AO32" s="365"/>
      <c r="AP32" s="365"/>
      <c r="AQ32" s="365"/>
      <c r="AR32" s="36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5"/>
      <c r="BM32" s="75"/>
      <c r="BN32" s="75"/>
      <c r="BO32" s="75"/>
      <c r="BP32" s="75"/>
      <c r="BQ32" s="75"/>
      <c r="BR32" s="75"/>
      <c r="BS32" s="75"/>
      <c r="BT32" s="75"/>
      <c r="BU32" s="75"/>
      <c r="BV32" s="75"/>
      <c r="BW32" s="75"/>
      <c r="BX32" s="75"/>
      <c r="BY32" s="75"/>
      <c r="BZ32" s="75"/>
      <c r="CA32" s="75"/>
      <c r="CB32" s="75"/>
      <c r="CC32" s="75"/>
      <c r="CD32" s="250"/>
      <c r="CE32" s="207"/>
      <c r="CF32" s="170"/>
      <c r="CG32" s="170"/>
      <c r="CH32" s="170"/>
      <c r="CI32" s="170"/>
      <c r="CJ32" s="170"/>
      <c r="CK32" s="170"/>
      <c r="CL32" s="170"/>
      <c r="CM32" s="170"/>
      <c r="CN32" s="170"/>
      <c r="CO32" s="170"/>
      <c r="CP32" s="170"/>
      <c r="CQ32" s="170"/>
      <c r="CR32" s="170"/>
      <c r="CS32" s="170"/>
      <c r="CT32" s="170"/>
      <c r="CU32" s="170"/>
      <c r="CV32" s="170"/>
      <c r="CW32" s="170"/>
      <c r="CX32" s="170"/>
      <c r="CY32" s="170"/>
      <c r="CZ32" s="170"/>
      <c r="DA32" s="170"/>
      <c r="DB32" s="170"/>
      <c r="DC32" s="170"/>
      <c r="DD32" s="170"/>
      <c r="DE32" s="170"/>
      <c r="DF32" s="170"/>
      <c r="DG32" s="170"/>
      <c r="DH32" s="170"/>
      <c r="DI32" s="170"/>
      <c r="DJ32" s="170"/>
      <c r="DK32" s="170"/>
      <c r="DL32" s="170"/>
      <c r="DM32" s="170"/>
      <c r="DN32" s="170"/>
      <c r="DO32" s="170"/>
      <c r="DP32" s="170"/>
      <c r="DQ32" s="170"/>
      <c r="DR32" s="170"/>
      <c r="DS32" s="170"/>
      <c r="DT32" s="170"/>
      <c r="DU32" s="170"/>
      <c r="DV32" s="170"/>
      <c r="DW32" s="170"/>
      <c r="DX32" s="170"/>
      <c r="DY32" s="170"/>
      <c r="DZ32" s="170"/>
      <c r="EA32" s="170"/>
      <c r="EB32" s="170"/>
      <c r="EC32" s="170"/>
      <c r="ED32" s="170"/>
      <c r="EE32" s="170"/>
      <c r="EF32" s="170"/>
      <c r="EG32" s="170"/>
      <c r="EH32" s="170"/>
      <c r="EI32" s="170"/>
      <c r="EJ32" s="170"/>
      <c r="EK32" s="170"/>
      <c r="EL32" s="170"/>
      <c r="EM32" s="170"/>
      <c r="EN32" s="170"/>
      <c r="EO32" s="170"/>
      <c r="EP32" s="170"/>
      <c r="EQ32" s="170"/>
      <c r="ER32" s="170"/>
      <c r="ES32" s="170"/>
      <c r="ET32" s="170"/>
      <c r="EU32" s="170"/>
      <c r="EV32" s="170"/>
      <c r="EW32" s="170"/>
      <c r="EX32" s="170"/>
      <c r="EY32" s="170"/>
      <c r="EZ32" s="170"/>
      <c r="FA32" s="170"/>
      <c r="FB32" s="170"/>
      <c r="FC32" s="170"/>
      <c r="FD32" s="170"/>
      <c r="FE32" s="170"/>
      <c r="FF32" s="170"/>
      <c r="FG32" s="170"/>
      <c r="FH32" s="170"/>
      <c r="FI32" s="170"/>
      <c r="FJ32" s="170"/>
      <c r="FK32" s="170"/>
      <c r="FL32" s="170"/>
      <c r="FM32" s="170"/>
      <c r="FN32" s="170"/>
      <c r="FO32" s="170"/>
      <c r="FP32" s="170"/>
      <c r="FQ32" s="170"/>
      <c r="FR32" s="170"/>
      <c r="FS32" s="170"/>
      <c r="FT32" s="170"/>
      <c r="FU32" s="170"/>
      <c r="FV32" s="170"/>
      <c r="FW32" s="170"/>
      <c r="FX32" s="170"/>
      <c r="FY32" s="170"/>
      <c r="FZ32" s="170"/>
      <c r="GA32" s="170"/>
      <c r="GB32" s="170"/>
      <c r="GC32" s="170"/>
      <c r="GD32" s="170"/>
      <c r="GE32" s="170"/>
      <c r="GF32" s="170"/>
      <c r="GG32" s="170"/>
      <c r="GH32" s="170"/>
      <c r="GI32" s="170"/>
      <c r="GJ32" s="170"/>
      <c r="GK32" s="170"/>
      <c r="GL32" s="170"/>
      <c r="GM32" s="170"/>
      <c r="GN32" s="170"/>
      <c r="GO32" s="170"/>
      <c r="GP32" s="170"/>
      <c r="GQ32" s="170"/>
      <c r="GR32" s="170"/>
      <c r="GS32" s="170"/>
      <c r="GT32" s="170"/>
      <c r="GU32" s="170"/>
      <c r="GV32" s="170"/>
      <c r="GW32" s="170"/>
      <c r="GX32" s="170"/>
      <c r="GY32" s="170"/>
      <c r="GZ32" s="170"/>
      <c r="HA32" s="170"/>
      <c r="HB32" s="170"/>
      <c r="HC32" s="170"/>
      <c r="HD32" s="170"/>
      <c r="HE32" s="153"/>
      <c r="HF32" s="153"/>
      <c r="HG32" s="153"/>
      <c r="HH32" s="153"/>
      <c r="HI32" s="153"/>
      <c r="HJ32" s="153"/>
      <c r="HK32" s="153"/>
      <c r="HL32" s="153"/>
      <c r="HM32" s="153"/>
      <c r="HN32" s="153"/>
      <c r="HO32" s="153"/>
      <c r="HP32" s="153"/>
      <c r="HQ32" s="153"/>
      <c r="HR32" s="153"/>
      <c r="HS32" s="153"/>
      <c r="HT32" s="153"/>
      <c r="HU32" s="153"/>
      <c r="HV32" s="153"/>
      <c r="HW32" s="153"/>
      <c r="HX32" s="153"/>
      <c r="HY32" s="153"/>
      <c r="HZ32" s="153"/>
      <c r="IA32" s="153"/>
      <c r="IB32" s="153"/>
      <c r="IC32" s="153"/>
      <c r="ID32" s="153"/>
      <c r="IE32" s="153"/>
      <c r="IF32" s="153"/>
      <c r="IG32" s="153"/>
      <c r="IH32" s="153"/>
      <c r="II32" s="153"/>
      <c r="IJ32" s="153"/>
      <c r="IK32" s="153"/>
      <c r="IL32" s="153"/>
      <c r="IM32" s="153"/>
      <c r="IN32" s="153"/>
      <c r="IO32" s="153"/>
      <c r="IP32" s="153"/>
      <c r="IQ32" s="153"/>
      <c r="IR32" s="153"/>
      <c r="IS32" s="153"/>
      <c r="IT32" s="153"/>
      <c r="IU32" s="153"/>
      <c r="IV32" s="153"/>
      <c r="IW32" s="153"/>
      <c r="IX32" s="153"/>
      <c r="IY32" s="153"/>
      <c r="IZ32" s="153"/>
      <c r="JA32" s="153"/>
      <c r="JB32" s="153"/>
      <c r="JC32" s="153"/>
      <c r="JD32" s="153"/>
      <c r="JE32" s="153"/>
      <c r="JF32" s="153"/>
      <c r="JG32" s="153"/>
      <c r="JH32" s="153"/>
      <c r="JI32" s="153"/>
      <c r="JJ32" s="153"/>
      <c r="JK32" s="153"/>
      <c r="JL32" s="153"/>
      <c r="JM32" s="153"/>
      <c r="JN32" s="153"/>
      <c r="JO32" s="153"/>
      <c r="JP32" s="153"/>
      <c r="JQ32" s="153"/>
      <c r="JR32" s="153"/>
      <c r="JS32" s="153"/>
      <c r="JT32" s="153"/>
      <c r="JU32" s="153"/>
      <c r="JV32" s="153"/>
      <c r="JW32" s="153"/>
      <c r="JX32" s="153"/>
      <c r="JY32" s="153"/>
      <c r="JZ32" s="153"/>
      <c r="KA32" s="153"/>
      <c r="KB32" s="153"/>
      <c r="KC32" s="153"/>
      <c r="KD32" s="153"/>
      <c r="KE32" s="153"/>
      <c r="KF32" s="153"/>
      <c r="KG32" s="153"/>
      <c r="KH32" s="153"/>
      <c r="KI32" s="153"/>
      <c r="KJ32" s="153"/>
      <c r="KK32" s="153"/>
      <c r="KL32" s="153"/>
      <c r="KM32" s="153"/>
      <c r="KN32" s="153"/>
      <c r="KO32" s="153"/>
      <c r="KP32" s="153"/>
      <c r="KQ32" s="153"/>
      <c r="KR32" s="153"/>
      <c r="KS32" s="153"/>
      <c r="KT32" s="153"/>
      <c r="KU32" s="153"/>
      <c r="KV32" s="153"/>
      <c r="KW32" s="153"/>
      <c r="KX32" s="153"/>
      <c r="KY32" s="153"/>
      <c r="KZ32" s="153"/>
      <c r="LA32" s="153"/>
      <c r="LB32" s="153"/>
      <c r="LC32" s="153"/>
      <c r="LD32" s="153"/>
      <c r="LE32" s="153"/>
      <c r="LF32" s="153"/>
      <c r="LG32" s="153"/>
      <c r="LH32" s="153"/>
      <c r="LI32" s="153"/>
      <c r="LJ32" s="153"/>
      <c r="LK32" s="153"/>
      <c r="LL32" s="153"/>
      <c r="LM32" s="153"/>
      <c r="LN32" s="153"/>
      <c r="LO32" s="153"/>
      <c r="LP32" s="153"/>
      <c r="LQ32" s="153"/>
      <c r="LR32" s="153"/>
      <c r="LS32" s="153"/>
      <c r="LT32" s="153"/>
      <c r="LU32" s="153"/>
      <c r="LV32" s="153"/>
      <c r="LW32" s="153"/>
      <c r="LX32" s="153"/>
      <c r="LY32" s="153"/>
      <c r="LZ32" s="153"/>
      <c r="MA32" s="153"/>
      <c r="MB32" s="153"/>
      <c r="MC32" s="153"/>
      <c r="MD32" s="153"/>
      <c r="ME32" s="153"/>
      <c r="MF32" s="153"/>
      <c r="MG32" s="153"/>
      <c r="MH32" s="153"/>
      <c r="MI32" s="153"/>
      <c r="MJ32" s="153"/>
      <c r="MK32" s="153"/>
      <c r="ML32" s="153"/>
      <c r="MM32" s="153"/>
      <c r="MN32" s="153"/>
      <c r="MO32" s="153"/>
      <c r="MP32" s="153"/>
      <c r="MQ32" s="153"/>
      <c r="MR32" s="153"/>
      <c r="MS32" s="153"/>
      <c r="MT32" s="153"/>
      <c r="MU32" s="153"/>
      <c r="MV32" s="153"/>
      <c r="MW32" s="153"/>
      <c r="MX32" s="153"/>
      <c r="MY32" s="153"/>
      <c r="MZ32" s="153"/>
      <c r="NA32" s="153"/>
      <c r="NB32" s="153"/>
      <c r="NC32" s="153"/>
      <c r="ND32" s="153"/>
      <c r="NE32" s="153"/>
      <c r="NF32" s="153"/>
      <c r="NG32" s="153"/>
      <c r="NH32" s="153"/>
      <c r="NI32" s="153"/>
      <c r="NJ32" s="153"/>
      <c r="NK32" s="153"/>
      <c r="NL32" s="153"/>
      <c r="NM32" s="153"/>
      <c r="NN32" s="153"/>
      <c r="NO32" s="153"/>
      <c r="NP32" s="367" t="s">
        <v>164</v>
      </c>
      <c r="NQ32" s="346"/>
      <c r="NR32" s="346"/>
      <c r="NS32" s="322"/>
      <c r="NT32" s="346"/>
      <c r="NU32" s="346"/>
      <c r="NV32" s="346"/>
      <c r="NW32" s="346"/>
      <c r="NX32" s="346"/>
      <c r="NY32" s="346"/>
      <c r="NZ32" s="346"/>
      <c r="OE32" s="113"/>
      <c r="OF32" s="113"/>
      <c r="OG32" s="114"/>
      <c r="OH32" s="114"/>
      <c r="OI32" s="114"/>
      <c r="OJ32" s="114"/>
      <c r="OK32" s="12"/>
      <c r="OL32" s="302"/>
      <c r="OM32" s="302"/>
      <c r="ON32" s="302"/>
      <c r="OO32" s="302"/>
      <c r="OP32" s="302"/>
      <c r="OQ32" s="302"/>
      <c r="OR32" s="302"/>
      <c r="OS32" s="302"/>
      <c r="OT32" s="302"/>
      <c r="OU32" s="302"/>
      <c r="OV32" s="302"/>
      <c r="OW32" s="302"/>
      <c r="OX32" s="302"/>
      <c r="OY32" s="302"/>
      <c r="OZ32" s="302"/>
      <c r="PA32" s="302"/>
      <c r="PB32" s="302"/>
      <c r="PC32" s="302"/>
      <c r="PD32" s="302"/>
      <c r="PE32" s="302"/>
      <c r="PF32" s="302"/>
      <c r="PG32" s="302"/>
      <c r="PH32" s="302"/>
      <c r="PI32" s="302"/>
      <c r="PJ32" s="302"/>
      <c r="PK32" s="302"/>
      <c r="PL32" s="302"/>
      <c r="PM32" s="302"/>
      <c r="PN32" s="153"/>
      <c r="PO32" s="153"/>
      <c r="PP32" s="153"/>
      <c r="PQ32" s="153"/>
      <c r="PR32" s="153"/>
      <c r="PS32" s="153"/>
      <c r="PT32" s="153"/>
      <c r="PU32" s="153"/>
      <c r="PV32" s="153"/>
      <c r="PW32" s="153"/>
      <c r="PX32" s="153"/>
      <c r="QC32" s="78" t="s">
        <v>24</v>
      </c>
      <c r="QD32" s="347">
        <f>QD11+(0.2/QC3)</f>
        <v>0.6428571428571429</v>
      </c>
      <c r="QE32" s="347">
        <f>QD32</f>
        <v>0.6428571428571429</v>
      </c>
      <c r="QG32" s="78">
        <f>QD32+(0.03/QC3)</f>
        <v>0.66428571428571437</v>
      </c>
      <c r="QH32" s="78">
        <f>QD32-(0.03/QC3)</f>
        <v>0.62142857142857144</v>
      </c>
      <c r="QJ32" s="78">
        <f>QG32</f>
        <v>0.66428571428571437</v>
      </c>
      <c r="QK32" s="78">
        <f>QH32</f>
        <v>0.62142857142857144</v>
      </c>
      <c r="QY32" s="346"/>
      <c r="QZ32" s="346"/>
      <c r="RA32" s="346"/>
      <c r="RB32" s="346"/>
      <c r="RC32" s="346"/>
      <c r="RD32" s="346"/>
      <c r="RE32" s="346"/>
      <c r="RF32" s="346"/>
      <c r="RG32" s="346"/>
      <c r="RH32" s="346"/>
      <c r="RI32" s="346"/>
      <c r="RJ32" s="346"/>
      <c r="RK32" s="346"/>
      <c r="RL32" s="346"/>
      <c r="RM32" s="346"/>
      <c r="RN32" s="346"/>
      <c r="RO32" s="346"/>
      <c r="RP32" s="346"/>
      <c r="RQ32" s="346"/>
      <c r="RR32" s="346"/>
      <c r="RS32" s="346"/>
      <c r="RT32" s="346"/>
      <c r="RU32" s="346"/>
      <c r="RV32" s="346"/>
      <c r="RW32" s="346"/>
      <c r="RX32" s="346"/>
      <c r="RY32" s="346"/>
      <c r="RZ32" s="346"/>
      <c r="SA32" s="346"/>
      <c r="SB32" s="346"/>
      <c r="SC32" s="346"/>
      <c r="SD32" s="346"/>
      <c r="SE32" s="346"/>
      <c r="SF32" s="346"/>
      <c r="SG32" s="346"/>
      <c r="SH32" s="346"/>
      <c r="SI32" s="346"/>
      <c r="SJ32" s="346"/>
      <c r="SK32" s="346"/>
      <c r="SL32" s="346"/>
      <c r="SM32" s="346"/>
      <c r="SN32" s="346"/>
      <c r="SO32" s="346"/>
      <c r="SP32" s="346"/>
      <c r="SQ32" s="346"/>
      <c r="SR32" s="346"/>
      <c r="SS32" s="346"/>
      <c r="ST32" s="346"/>
      <c r="SU32" s="346"/>
      <c r="SV32" s="346"/>
      <c r="SW32" s="346"/>
      <c r="SX32" s="346"/>
      <c r="SY32" s="346"/>
      <c r="SZ32" s="346"/>
      <c r="TA32" s="346"/>
    </row>
    <row r="33" spans="1:521" ht="14.1" customHeight="1" thickBot="1" x14ac:dyDescent="0.25">
      <c r="A33" s="16"/>
      <c r="B33" s="22"/>
      <c r="C33" s="60"/>
      <c r="D33" s="27"/>
      <c r="E33" s="27"/>
      <c r="F33" s="27"/>
      <c r="G33" s="27"/>
      <c r="H33" s="189"/>
      <c r="I33" s="189"/>
      <c r="J33" s="189"/>
      <c r="K33" s="27"/>
      <c r="L33" s="307"/>
      <c r="M33" s="233"/>
      <c r="N33" s="27"/>
      <c r="O33" s="110"/>
      <c r="P33" s="140"/>
      <c r="Q33" s="431"/>
      <c r="R33" s="432"/>
      <c r="S33" s="433"/>
      <c r="T33" s="526" t="s">
        <v>73</v>
      </c>
      <c r="U33" s="527"/>
      <c r="V33" s="527"/>
      <c r="W33" s="528" t="str">
        <f>IF(W32&gt;=W31,"OK","NOT")</f>
        <v>OK</v>
      </c>
      <c r="X33" s="529"/>
      <c r="Y33" s="529"/>
      <c r="Z33" s="529" t="str">
        <f>IF(Z32&gt;=Z31,"OK","NOT")</f>
        <v>OK</v>
      </c>
      <c r="AA33" s="529"/>
      <c r="AB33" s="529"/>
      <c r="AC33" s="281" t="s">
        <v>0</v>
      </c>
      <c r="AD33" s="281"/>
      <c r="AE33" s="282"/>
      <c r="AF33" s="140"/>
      <c r="AG33" s="249"/>
      <c r="AH33" s="75"/>
      <c r="AI33" s="75"/>
      <c r="AJ33" s="45"/>
      <c r="AK33" s="45"/>
      <c r="AL33" s="45"/>
      <c r="AM33" s="252"/>
      <c r="AN33" s="252"/>
      <c r="AO33" s="252"/>
      <c r="AP33" s="252"/>
      <c r="AQ33" s="252"/>
      <c r="AR33" s="252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  <c r="CA33" s="75"/>
      <c r="CB33" s="75"/>
      <c r="CC33" s="75"/>
      <c r="CD33" s="250"/>
      <c r="CE33" s="207"/>
      <c r="CF33" s="170"/>
      <c r="CG33" s="170"/>
      <c r="CH33" s="170"/>
      <c r="CI33" s="170"/>
      <c r="CJ33" s="170"/>
      <c r="CK33" s="170"/>
      <c r="CL33" s="170"/>
      <c r="CM33" s="170"/>
      <c r="CN33" s="170"/>
      <c r="CO33" s="170"/>
      <c r="CP33" s="170"/>
      <c r="CQ33" s="170"/>
      <c r="CR33" s="170"/>
      <c r="CS33" s="170"/>
      <c r="CT33" s="170"/>
      <c r="CU33" s="170"/>
      <c r="CV33" s="170"/>
      <c r="CW33" s="170"/>
      <c r="CX33" s="170"/>
      <c r="CY33" s="170"/>
      <c r="CZ33" s="170"/>
      <c r="DA33" s="170"/>
      <c r="DB33" s="170"/>
      <c r="DC33" s="170"/>
      <c r="DD33" s="170"/>
      <c r="DE33" s="170"/>
      <c r="DF33" s="170"/>
      <c r="DG33" s="170"/>
      <c r="DH33" s="170"/>
      <c r="DI33" s="170"/>
      <c r="DJ33" s="170"/>
      <c r="DK33" s="170"/>
      <c r="DL33" s="170"/>
      <c r="DM33" s="170"/>
      <c r="DN33" s="170"/>
      <c r="DO33" s="170"/>
      <c r="DP33" s="170"/>
      <c r="DQ33" s="170"/>
      <c r="DR33" s="170"/>
      <c r="DS33" s="170"/>
      <c r="DT33" s="170"/>
      <c r="DU33" s="170"/>
      <c r="DV33" s="170"/>
      <c r="DW33" s="170"/>
      <c r="DX33" s="170"/>
      <c r="DY33" s="170"/>
      <c r="DZ33" s="170"/>
      <c r="EA33" s="170"/>
      <c r="EB33" s="170"/>
      <c r="EC33" s="170"/>
      <c r="ED33" s="170"/>
      <c r="EE33" s="170"/>
      <c r="EF33" s="170"/>
      <c r="EG33" s="170"/>
      <c r="EH33" s="170"/>
      <c r="EI33" s="170"/>
      <c r="EJ33" s="170"/>
      <c r="EK33" s="170"/>
      <c r="EL33" s="170"/>
      <c r="EM33" s="170"/>
      <c r="EN33" s="170"/>
      <c r="EO33" s="170"/>
      <c r="EP33" s="170"/>
      <c r="EQ33" s="170"/>
      <c r="ER33" s="170"/>
      <c r="ES33" s="170"/>
      <c r="ET33" s="170"/>
      <c r="EU33" s="170"/>
      <c r="EV33" s="170"/>
      <c r="EW33" s="170"/>
      <c r="EX33" s="170"/>
      <c r="EY33" s="170"/>
      <c r="EZ33" s="170"/>
      <c r="FA33" s="170"/>
      <c r="FB33" s="170"/>
      <c r="FC33" s="170"/>
      <c r="FD33" s="170"/>
      <c r="FE33" s="170"/>
      <c r="FF33" s="170"/>
      <c r="FG33" s="170"/>
      <c r="FH33" s="170"/>
      <c r="FI33" s="170"/>
      <c r="FJ33" s="170"/>
      <c r="FK33" s="170"/>
      <c r="FL33" s="170"/>
      <c r="FM33" s="170"/>
      <c r="FN33" s="170"/>
      <c r="FO33" s="170"/>
      <c r="FP33" s="170"/>
      <c r="FQ33" s="170"/>
      <c r="FR33" s="170"/>
      <c r="FS33" s="170"/>
      <c r="FT33" s="170"/>
      <c r="FU33" s="170"/>
      <c r="FV33" s="170"/>
      <c r="FW33" s="170"/>
      <c r="FX33" s="170"/>
      <c r="FY33" s="170"/>
      <c r="FZ33" s="170"/>
      <c r="GA33" s="170"/>
      <c r="GB33" s="170"/>
      <c r="GC33" s="170"/>
      <c r="GD33" s="170"/>
      <c r="GE33" s="170"/>
      <c r="GF33" s="170"/>
      <c r="GG33" s="170"/>
      <c r="GH33" s="170"/>
      <c r="GI33" s="170"/>
      <c r="GJ33" s="170"/>
      <c r="GK33" s="170"/>
      <c r="GL33" s="170"/>
      <c r="GM33" s="170"/>
      <c r="GN33" s="170"/>
      <c r="GO33" s="170"/>
      <c r="GP33" s="170"/>
      <c r="GQ33" s="170"/>
      <c r="GR33" s="170"/>
      <c r="GS33" s="170"/>
      <c r="GT33" s="170"/>
      <c r="GU33" s="170"/>
      <c r="GV33" s="170"/>
      <c r="GW33" s="170"/>
      <c r="GX33" s="170"/>
      <c r="GY33" s="170"/>
      <c r="GZ33" s="170"/>
      <c r="HA33" s="170"/>
      <c r="HB33" s="170"/>
      <c r="HC33" s="170"/>
      <c r="HD33" s="170"/>
      <c r="HE33" s="153"/>
      <c r="HF33" s="153"/>
      <c r="HG33" s="153"/>
      <c r="HH33" s="153"/>
      <c r="HI33" s="153"/>
      <c r="HJ33" s="153"/>
      <c r="HK33" s="153"/>
      <c r="HL33" s="153"/>
      <c r="HM33" s="153"/>
      <c r="HN33" s="153"/>
      <c r="HO33" s="153"/>
      <c r="HP33" s="153"/>
      <c r="HQ33" s="153"/>
      <c r="HR33" s="153"/>
      <c r="HS33" s="153"/>
      <c r="HT33" s="153"/>
      <c r="HU33" s="153"/>
      <c r="HV33" s="153"/>
      <c r="HW33" s="153"/>
      <c r="HX33" s="153"/>
      <c r="HY33" s="153"/>
      <c r="HZ33" s="153"/>
      <c r="IA33" s="153"/>
      <c r="IB33" s="153"/>
      <c r="IC33" s="153"/>
      <c r="ID33" s="153"/>
      <c r="IE33" s="153"/>
      <c r="IF33" s="153"/>
      <c r="IG33" s="153"/>
      <c r="IH33" s="153"/>
      <c r="II33" s="153"/>
      <c r="IJ33" s="153"/>
      <c r="IK33" s="153"/>
      <c r="IL33" s="153"/>
      <c r="IM33" s="153"/>
      <c r="IN33" s="153"/>
      <c r="IO33" s="153"/>
      <c r="IP33" s="153"/>
      <c r="IQ33" s="153"/>
      <c r="IR33" s="153"/>
      <c r="IS33" s="153"/>
      <c r="IT33" s="153"/>
      <c r="IU33" s="153"/>
      <c r="IV33" s="153"/>
      <c r="IW33" s="153"/>
      <c r="IX33" s="153"/>
      <c r="IY33" s="153"/>
      <c r="IZ33" s="153"/>
      <c r="JA33" s="153"/>
      <c r="JB33" s="153"/>
      <c r="JC33" s="153"/>
      <c r="JD33" s="153"/>
      <c r="JE33" s="153"/>
      <c r="JF33" s="153"/>
      <c r="JG33" s="153"/>
      <c r="JH33" s="153"/>
      <c r="JI33" s="153"/>
      <c r="JJ33" s="153"/>
      <c r="JK33" s="153"/>
      <c r="JL33" s="153"/>
      <c r="JM33" s="153"/>
      <c r="JN33" s="153"/>
      <c r="JO33" s="153"/>
      <c r="JP33" s="153"/>
      <c r="JQ33" s="153"/>
      <c r="JR33" s="153"/>
      <c r="JS33" s="153"/>
      <c r="JT33" s="153"/>
      <c r="JU33" s="153"/>
      <c r="JV33" s="153"/>
      <c r="JW33" s="153"/>
      <c r="JX33" s="153"/>
      <c r="JY33" s="153"/>
      <c r="JZ33" s="153"/>
      <c r="KA33" s="153"/>
      <c r="KB33" s="153"/>
      <c r="KC33" s="153"/>
      <c r="KD33" s="153"/>
      <c r="KE33" s="153"/>
      <c r="KF33" s="153"/>
      <c r="KG33" s="153"/>
      <c r="KH33" s="153"/>
      <c r="KI33" s="153"/>
      <c r="KJ33" s="153"/>
      <c r="KK33" s="153"/>
      <c r="KL33" s="153"/>
      <c r="KM33" s="153"/>
      <c r="KN33" s="153"/>
      <c r="KO33" s="153"/>
      <c r="KP33" s="153"/>
      <c r="KQ33" s="153"/>
      <c r="KR33" s="153"/>
      <c r="KS33" s="153"/>
      <c r="KT33" s="153"/>
      <c r="KU33" s="153"/>
      <c r="KV33" s="153"/>
      <c r="KW33" s="153"/>
      <c r="KX33" s="153"/>
      <c r="KY33" s="153"/>
      <c r="KZ33" s="153"/>
      <c r="LA33" s="153"/>
      <c r="LB33" s="153"/>
      <c r="LC33" s="153"/>
      <c r="LD33" s="153"/>
      <c r="LE33" s="153"/>
      <c r="LF33" s="153"/>
      <c r="LG33" s="153"/>
      <c r="LH33" s="153"/>
      <c r="LI33" s="153"/>
      <c r="LJ33" s="153"/>
      <c r="LK33" s="153"/>
      <c r="LL33" s="153"/>
      <c r="LM33" s="153"/>
      <c r="LN33" s="153"/>
      <c r="LO33" s="153"/>
      <c r="LP33" s="153"/>
      <c r="LQ33" s="153"/>
      <c r="LR33" s="153"/>
      <c r="LS33" s="153"/>
      <c r="LT33" s="153"/>
      <c r="LU33" s="153"/>
      <c r="LV33" s="153"/>
      <c r="LW33" s="153"/>
      <c r="LX33" s="153"/>
      <c r="LY33" s="153"/>
      <c r="LZ33" s="153"/>
      <c r="MA33" s="153"/>
      <c r="MB33" s="153"/>
      <c r="MC33" s="153"/>
      <c r="MD33" s="153"/>
      <c r="ME33" s="153"/>
      <c r="MF33" s="153"/>
      <c r="MG33" s="153"/>
      <c r="MH33" s="153"/>
      <c r="MI33" s="153"/>
      <c r="MJ33" s="153"/>
      <c r="MK33" s="153"/>
      <c r="ML33" s="153"/>
      <c r="MM33" s="153"/>
      <c r="MN33" s="153"/>
      <c r="MO33" s="153"/>
      <c r="MP33" s="153"/>
      <c r="MQ33" s="153"/>
      <c r="MR33" s="153"/>
      <c r="MS33" s="153"/>
      <c r="MT33" s="153"/>
      <c r="MU33" s="153"/>
      <c r="MV33" s="153"/>
      <c r="MW33" s="153"/>
      <c r="MX33" s="153"/>
      <c r="MY33" s="153"/>
      <c r="MZ33" s="153"/>
      <c r="NA33" s="153"/>
      <c r="NB33" s="153"/>
      <c r="NC33" s="153"/>
      <c r="ND33" s="153"/>
      <c r="NE33" s="153"/>
      <c r="NF33" s="153"/>
      <c r="NG33" s="153"/>
      <c r="NH33" s="153"/>
      <c r="NI33" s="153"/>
      <c r="NJ33" s="153"/>
      <c r="NK33" s="153"/>
      <c r="NL33" s="153"/>
      <c r="NM33" s="153"/>
      <c r="NN33" s="153"/>
      <c r="NO33" s="153"/>
      <c r="NP33" s="346" t="s">
        <v>22</v>
      </c>
      <c r="NQ33" s="346"/>
      <c r="NR33" s="346"/>
      <c r="NS33" s="322" t="s">
        <v>1</v>
      </c>
      <c r="NT33" s="382">
        <f>NT27/2</f>
        <v>10.85</v>
      </c>
      <c r="NU33" s="382"/>
      <c r="NV33" s="382"/>
      <c r="NW33" s="346" t="s">
        <v>20</v>
      </c>
      <c r="NX33" s="346"/>
      <c r="NY33" s="346"/>
      <c r="NZ33" s="346"/>
      <c r="OE33" s="113"/>
      <c r="OF33" s="113"/>
      <c r="OG33" s="114"/>
      <c r="OH33" s="114"/>
      <c r="OI33" s="114"/>
      <c r="OJ33" s="114"/>
      <c r="OK33" s="12"/>
      <c r="OL33" s="302"/>
      <c r="OM33" s="302"/>
      <c r="ON33" s="302"/>
      <c r="OO33" s="302"/>
      <c r="OP33" s="302"/>
      <c r="OQ33" s="302"/>
      <c r="OR33" s="302"/>
      <c r="OS33" s="302"/>
      <c r="OT33" s="302"/>
      <c r="OU33" s="302"/>
      <c r="OV33" s="302"/>
      <c r="OW33" s="302"/>
      <c r="OX33" s="302"/>
      <c r="OY33" s="302"/>
      <c r="OZ33" s="302"/>
      <c r="PA33" s="302"/>
      <c r="PB33" s="302"/>
      <c r="PC33" s="302"/>
      <c r="PD33" s="302"/>
      <c r="PE33" s="302"/>
      <c r="PF33" s="302"/>
      <c r="PG33" s="302"/>
      <c r="PH33" s="302"/>
      <c r="PI33" s="302"/>
      <c r="PJ33" s="302"/>
      <c r="PK33" s="302"/>
      <c r="PL33" s="302"/>
      <c r="PM33" s="302"/>
      <c r="PN33" s="153"/>
      <c r="PO33" s="153"/>
      <c r="PP33" s="153"/>
      <c r="PQ33" s="153"/>
      <c r="PR33" s="153"/>
      <c r="PS33" s="153"/>
      <c r="PT33" s="153"/>
      <c r="PU33" s="153"/>
      <c r="PV33" s="153"/>
      <c r="PW33" s="153"/>
      <c r="PX33" s="153"/>
      <c r="QY33" s="346"/>
      <c r="QZ33" s="346"/>
      <c r="RA33" s="346"/>
      <c r="RB33" s="346"/>
      <c r="RC33" s="346"/>
      <c r="RD33" s="346"/>
      <c r="RE33" s="346"/>
      <c r="RF33" s="346"/>
      <c r="RG33" s="346"/>
      <c r="RH33" s="346"/>
      <c r="RI33" s="346"/>
      <c r="RJ33" s="346"/>
      <c r="RK33" s="346"/>
      <c r="RL33" s="346"/>
      <c r="RM33" s="346"/>
      <c r="RN33" s="346"/>
      <c r="RO33" s="346"/>
      <c r="RP33" s="346"/>
      <c r="RQ33" s="346"/>
      <c r="RR33" s="346"/>
      <c r="RS33" s="346"/>
      <c r="RT33" s="346"/>
      <c r="RU33" s="346"/>
      <c r="RV33" s="346"/>
      <c r="RW33" s="346"/>
      <c r="RX33" s="346"/>
      <c r="RY33" s="346"/>
      <c r="RZ33" s="346"/>
      <c r="SA33" s="346"/>
      <c r="SB33" s="346"/>
      <c r="SC33" s="346"/>
      <c r="SD33" s="346"/>
      <c r="SE33" s="346"/>
      <c r="SF33" s="346"/>
      <c r="SG33" s="346"/>
      <c r="SH33" s="346"/>
      <c r="SI33" s="346"/>
      <c r="SJ33" s="346"/>
      <c r="SK33" s="346"/>
      <c r="SL33" s="346"/>
      <c r="SM33" s="346"/>
      <c r="SN33" s="346"/>
      <c r="SO33" s="346"/>
      <c r="SP33" s="346"/>
      <c r="SQ33" s="346"/>
      <c r="SR33" s="346"/>
      <c r="SS33" s="346"/>
      <c r="ST33" s="346"/>
      <c r="SU33" s="346"/>
      <c r="SV33" s="346"/>
      <c r="SW33" s="346"/>
      <c r="SX33" s="346"/>
      <c r="SY33" s="346"/>
      <c r="SZ33" s="346"/>
      <c r="TA33" s="346"/>
    </row>
    <row r="34" spans="1:521" ht="14.1" customHeight="1" x14ac:dyDescent="0.2">
      <c r="A34" s="16"/>
      <c r="B34" s="22"/>
      <c r="C34" s="60"/>
      <c r="D34" s="27"/>
      <c r="E34" s="27"/>
      <c r="F34" s="222" t="s">
        <v>10</v>
      </c>
      <c r="G34" s="27"/>
      <c r="H34" s="469">
        <v>1.4</v>
      </c>
      <c r="I34" s="470"/>
      <c r="J34" s="471"/>
      <c r="K34" s="27"/>
      <c r="L34" s="307" t="s">
        <v>16</v>
      </c>
      <c r="M34" s="234"/>
      <c r="N34" s="27"/>
      <c r="O34" s="110"/>
      <c r="P34" s="140"/>
      <c r="Q34" s="481" t="s">
        <v>86</v>
      </c>
      <c r="R34" s="482"/>
      <c r="S34" s="483"/>
      <c r="T34" s="526" t="s">
        <v>191</v>
      </c>
      <c r="U34" s="527"/>
      <c r="V34" s="527"/>
      <c r="W34" s="524" t="s">
        <v>105</v>
      </c>
      <c r="X34" s="525"/>
      <c r="Y34" s="525"/>
      <c r="Z34" s="525" t="s">
        <v>106</v>
      </c>
      <c r="AA34" s="525"/>
      <c r="AB34" s="525"/>
      <c r="AC34" s="279" t="s">
        <v>0</v>
      </c>
      <c r="AD34" s="279"/>
      <c r="AE34" s="280"/>
      <c r="AF34" s="140"/>
      <c r="AG34" s="331"/>
      <c r="AH34" s="320"/>
      <c r="AI34" s="320"/>
      <c r="AJ34" s="320"/>
      <c r="AK34" s="320"/>
      <c r="AL34" s="320"/>
      <c r="AM34" s="320"/>
      <c r="AN34" s="320"/>
      <c r="AO34" s="320"/>
      <c r="AP34" s="320"/>
      <c r="AQ34" s="320"/>
      <c r="AR34" s="320"/>
      <c r="AS34" s="320"/>
      <c r="AT34" s="320"/>
      <c r="AU34" s="320"/>
      <c r="AV34" s="320"/>
      <c r="AW34" s="320"/>
      <c r="AX34" s="320"/>
      <c r="AY34" s="320"/>
      <c r="AZ34" s="320"/>
      <c r="BA34" s="320"/>
      <c r="BB34" s="320"/>
      <c r="BC34" s="320"/>
      <c r="BD34" s="320"/>
      <c r="BE34" s="320"/>
      <c r="BF34" s="320"/>
      <c r="BG34" s="320"/>
      <c r="BH34" s="320"/>
      <c r="BI34" s="320"/>
      <c r="BJ34" s="320"/>
      <c r="BK34" s="320"/>
      <c r="BL34" s="320"/>
      <c r="BM34" s="320"/>
      <c r="BN34" s="320"/>
      <c r="BO34" s="320"/>
      <c r="BP34" s="320"/>
      <c r="BQ34" s="320"/>
      <c r="BR34" s="320"/>
      <c r="BS34" s="320"/>
      <c r="BT34" s="320"/>
      <c r="BU34" s="320"/>
      <c r="BV34" s="320"/>
      <c r="BW34" s="320"/>
      <c r="BX34" s="320"/>
      <c r="BY34" s="320"/>
      <c r="BZ34" s="320"/>
      <c r="CA34" s="320"/>
      <c r="CB34" s="320"/>
      <c r="CC34" s="320"/>
      <c r="CD34" s="332"/>
      <c r="CE34" s="274"/>
      <c r="CF34" s="226"/>
      <c r="CG34" s="226"/>
      <c r="CH34" s="226"/>
      <c r="CI34" s="226"/>
      <c r="CJ34" s="226"/>
      <c r="CK34" s="226"/>
      <c r="CL34" s="226"/>
      <c r="CM34" s="226"/>
      <c r="CN34" s="226"/>
      <c r="CO34" s="226"/>
      <c r="CP34" s="226"/>
      <c r="CQ34" s="226"/>
      <c r="CR34" s="226"/>
      <c r="CS34" s="226"/>
      <c r="CT34" s="226"/>
      <c r="CU34" s="226"/>
      <c r="CV34" s="226"/>
      <c r="CW34" s="226"/>
      <c r="CX34" s="226"/>
      <c r="CY34" s="226"/>
      <c r="CZ34" s="226"/>
      <c r="DA34" s="226"/>
      <c r="DB34" s="226"/>
      <c r="DC34" s="226"/>
      <c r="DD34" s="226"/>
      <c r="DE34" s="226"/>
      <c r="DF34" s="226"/>
      <c r="DG34" s="226"/>
      <c r="DH34" s="226"/>
      <c r="DI34" s="226"/>
      <c r="DJ34" s="226"/>
      <c r="DK34" s="226"/>
      <c r="DL34" s="226"/>
      <c r="DM34" s="226"/>
      <c r="DN34" s="226"/>
      <c r="DO34" s="226"/>
      <c r="DP34" s="226"/>
      <c r="DQ34" s="226"/>
      <c r="DR34" s="226"/>
      <c r="DS34" s="226"/>
      <c r="DT34" s="226"/>
      <c r="DU34" s="226"/>
      <c r="DV34" s="226"/>
      <c r="DW34" s="226"/>
      <c r="DX34" s="226"/>
      <c r="DY34" s="226"/>
      <c r="DZ34" s="226"/>
      <c r="EA34" s="226"/>
      <c r="EB34" s="226"/>
      <c r="EC34" s="226"/>
      <c r="ED34" s="226"/>
      <c r="EE34" s="226"/>
      <c r="EF34" s="226"/>
      <c r="EG34" s="226"/>
      <c r="EH34" s="226"/>
      <c r="EI34" s="226"/>
      <c r="EJ34" s="226"/>
      <c r="EK34" s="226"/>
      <c r="EL34" s="226"/>
      <c r="EM34" s="226"/>
      <c r="EN34" s="226"/>
      <c r="EO34" s="226"/>
      <c r="EP34" s="226"/>
      <c r="EQ34" s="226"/>
      <c r="ER34" s="226"/>
      <c r="ES34" s="226"/>
      <c r="ET34" s="226"/>
      <c r="EU34" s="226"/>
      <c r="EV34" s="226"/>
      <c r="EW34" s="226"/>
      <c r="EX34" s="226"/>
      <c r="EY34" s="226"/>
      <c r="EZ34" s="226"/>
      <c r="FA34" s="226"/>
      <c r="FB34" s="226"/>
      <c r="FC34" s="226"/>
      <c r="FD34" s="226"/>
      <c r="FE34" s="226"/>
      <c r="FF34" s="226"/>
      <c r="FG34" s="226"/>
      <c r="FH34" s="226"/>
      <c r="FI34" s="226"/>
      <c r="FJ34" s="226"/>
      <c r="FK34" s="226"/>
      <c r="FL34" s="226"/>
      <c r="FM34" s="226"/>
      <c r="FN34" s="226"/>
      <c r="FO34" s="226"/>
      <c r="FP34" s="226"/>
      <c r="FQ34" s="226"/>
      <c r="FR34" s="226"/>
      <c r="FS34" s="226"/>
      <c r="FT34" s="226"/>
      <c r="FU34" s="226"/>
      <c r="FV34" s="226"/>
      <c r="FW34" s="226"/>
      <c r="FX34" s="226"/>
      <c r="FY34" s="226"/>
      <c r="FZ34" s="226"/>
      <c r="GA34" s="226"/>
      <c r="GB34" s="226"/>
      <c r="GC34" s="226"/>
      <c r="GD34" s="226"/>
      <c r="GE34" s="226"/>
      <c r="GF34" s="226"/>
      <c r="GG34" s="226"/>
      <c r="GH34" s="226"/>
      <c r="GI34" s="226"/>
      <c r="GJ34" s="226"/>
      <c r="GK34" s="226"/>
      <c r="GL34" s="226"/>
      <c r="GM34" s="226"/>
      <c r="GN34" s="226"/>
      <c r="GO34" s="226"/>
      <c r="GP34" s="226"/>
      <c r="GQ34" s="226"/>
      <c r="GR34" s="226"/>
      <c r="GS34" s="226"/>
      <c r="GT34" s="226"/>
      <c r="GU34" s="226"/>
      <c r="GV34" s="226"/>
      <c r="GW34" s="226"/>
      <c r="GX34" s="226"/>
      <c r="GY34" s="226"/>
      <c r="GZ34" s="226"/>
      <c r="HA34" s="226"/>
      <c r="HB34" s="226"/>
      <c r="HC34" s="226"/>
      <c r="HD34" s="226"/>
      <c r="NP34" s="346" t="s">
        <v>165</v>
      </c>
      <c r="NQ34" s="346"/>
      <c r="NR34" s="346"/>
      <c r="NS34" s="322" t="s">
        <v>1</v>
      </c>
      <c r="NT34" s="382">
        <f>IF(QC6+QC7&lt;QC4,(2*(H26+NT27))+(2*(H28+NT27)),QC4*200)</f>
        <v>166.8</v>
      </c>
      <c r="NU34" s="382"/>
      <c r="NV34" s="382"/>
      <c r="NW34" s="346" t="s">
        <v>20</v>
      </c>
      <c r="NX34" s="346"/>
      <c r="NY34" s="346"/>
      <c r="NZ34" s="346"/>
      <c r="OA34" s="302"/>
      <c r="OB34" s="302"/>
      <c r="OC34" s="302"/>
      <c r="OD34" s="302"/>
      <c r="OE34" s="64"/>
      <c r="OF34" s="2"/>
      <c r="OG34" s="302"/>
      <c r="OH34" s="4"/>
      <c r="OI34" s="302"/>
      <c r="OJ34" s="11"/>
      <c r="OK34" s="131"/>
      <c r="OL34" s="131"/>
      <c r="OM34" s="131"/>
      <c r="ON34" s="131"/>
      <c r="OO34" s="131"/>
      <c r="OP34" s="131"/>
      <c r="OQ34" s="131"/>
      <c r="OR34" s="131"/>
      <c r="OS34" s="131"/>
      <c r="OT34" s="131"/>
      <c r="OU34" s="131"/>
      <c r="OV34" s="131"/>
      <c r="OW34" s="131"/>
      <c r="OX34" s="131"/>
      <c r="OY34" s="131"/>
      <c r="OZ34" s="131"/>
      <c r="PA34" s="131"/>
      <c r="PB34" s="131"/>
      <c r="PC34" s="131"/>
      <c r="PD34" s="131"/>
      <c r="PE34" s="302"/>
      <c r="PF34" s="302"/>
      <c r="PG34" s="302"/>
      <c r="PH34" s="302"/>
      <c r="PI34" s="302"/>
      <c r="PJ34" s="302"/>
      <c r="PK34" s="302"/>
      <c r="PL34" s="302"/>
      <c r="PM34" s="302"/>
      <c r="QY34" s="346"/>
      <c r="QZ34" s="346"/>
      <c r="RA34" s="346"/>
      <c r="RB34" s="346"/>
      <c r="RC34" s="346"/>
      <c r="RD34" s="346"/>
      <c r="RE34" s="346"/>
      <c r="RF34" s="346"/>
      <c r="RG34" s="346"/>
      <c r="RH34" s="346"/>
      <c r="RI34" s="346"/>
      <c r="RJ34" s="346"/>
      <c r="RK34" s="346"/>
      <c r="RL34" s="346"/>
      <c r="RM34" s="346"/>
      <c r="RN34" s="346"/>
      <c r="RO34" s="346"/>
      <c r="RP34" s="346"/>
      <c r="RQ34" s="346"/>
      <c r="RR34" s="346"/>
      <c r="RS34" s="346"/>
      <c r="RT34" s="346"/>
      <c r="RU34" s="346"/>
      <c r="RV34" s="346"/>
      <c r="RW34" s="346"/>
      <c r="RX34" s="346"/>
      <c r="RY34" s="346"/>
      <c r="RZ34" s="346"/>
      <c r="SA34" s="346"/>
      <c r="SB34" s="346"/>
      <c r="SC34" s="346"/>
      <c r="SD34" s="346"/>
      <c r="SE34" s="346"/>
      <c r="SF34" s="346"/>
      <c r="SG34" s="346"/>
      <c r="SH34" s="346"/>
      <c r="SI34" s="346"/>
      <c r="SJ34" s="346"/>
      <c r="SK34" s="346"/>
      <c r="SL34" s="346"/>
      <c r="SM34" s="346"/>
      <c r="SN34" s="346"/>
      <c r="SO34" s="346"/>
      <c r="SP34" s="346"/>
      <c r="SQ34" s="346"/>
      <c r="SR34" s="346"/>
      <c r="SS34" s="346"/>
      <c r="ST34" s="346"/>
      <c r="SU34" s="346"/>
      <c r="SV34" s="346"/>
      <c r="SW34" s="346"/>
      <c r="SX34" s="346"/>
      <c r="SY34" s="346"/>
      <c r="SZ34" s="346"/>
      <c r="TA34" s="346"/>
    </row>
    <row r="35" spans="1:521" ht="14.1" customHeight="1" thickBot="1" x14ac:dyDescent="0.25">
      <c r="A35" s="226"/>
      <c r="B35" s="283"/>
      <c r="C35" s="60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110"/>
      <c r="P35" s="124"/>
      <c r="Q35" s="484"/>
      <c r="R35" s="485"/>
      <c r="S35" s="486"/>
      <c r="T35" s="434" t="s">
        <v>8</v>
      </c>
      <c r="U35" s="435"/>
      <c r="V35" s="436"/>
      <c r="W35" s="530">
        <f>NT18</f>
        <v>4199.7085714285713</v>
      </c>
      <c r="X35" s="531"/>
      <c r="Y35" s="531"/>
      <c r="Z35" s="531">
        <f>NT44</f>
        <v>4199.7085714285713</v>
      </c>
      <c r="AA35" s="531"/>
      <c r="AB35" s="531"/>
      <c r="AC35" s="509" t="s">
        <v>68</v>
      </c>
      <c r="AD35" s="510"/>
      <c r="AE35" s="511"/>
      <c r="AF35" s="124"/>
      <c r="AG35" s="331"/>
      <c r="AH35" s="320"/>
      <c r="AI35" s="320"/>
      <c r="AJ35" s="320"/>
      <c r="AK35" s="320"/>
      <c r="AL35" s="320"/>
      <c r="AM35" s="320"/>
      <c r="AN35" s="320"/>
      <c r="AO35" s="320"/>
      <c r="AP35" s="320"/>
      <c r="AQ35" s="320"/>
      <c r="AR35" s="320"/>
      <c r="AS35" s="320"/>
      <c r="AT35" s="320"/>
      <c r="AU35" s="320"/>
      <c r="AV35" s="320"/>
      <c r="AW35" s="320"/>
      <c r="AX35" s="320"/>
      <c r="AY35" s="320"/>
      <c r="AZ35" s="320"/>
      <c r="BA35" s="320"/>
      <c r="BB35" s="320"/>
      <c r="BC35" s="320"/>
      <c r="BD35" s="320"/>
      <c r="BE35" s="320"/>
      <c r="BF35" s="320"/>
      <c r="BG35" s="320"/>
      <c r="BH35" s="320"/>
      <c r="BI35" s="320"/>
      <c r="BJ35" s="320"/>
      <c r="BK35" s="320"/>
      <c r="BL35" s="320"/>
      <c r="BM35" s="320"/>
      <c r="BN35" s="320"/>
      <c r="BO35" s="320"/>
      <c r="BP35" s="320"/>
      <c r="BQ35" s="320"/>
      <c r="BR35" s="320"/>
      <c r="BS35" s="320"/>
      <c r="BT35" s="320"/>
      <c r="BU35" s="320"/>
      <c r="BV35" s="320"/>
      <c r="BW35" s="320"/>
      <c r="BX35" s="320"/>
      <c r="BY35" s="320"/>
      <c r="BZ35" s="320"/>
      <c r="CA35" s="320"/>
      <c r="CB35" s="320"/>
      <c r="CC35" s="320"/>
      <c r="CD35" s="332"/>
      <c r="CE35" s="274"/>
      <c r="CF35" s="226"/>
      <c r="CG35" s="226"/>
      <c r="CH35" s="226"/>
      <c r="CI35" s="226"/>
      <c r="CJ35" s="226"/>
      <c r="CK35" s="226"/>
      <c r="CL35" s="226"/>
      <c r="CM35" s="226"/>
      <c r="CN35" s="226"/>
      <c r="CO35" s="226"/>
      <c r="CP35" s="226"/>
      <c r="CQ35" s="226"/>
      <c r="CR35" s="226"/>
      <c r="CS35" s="226"/>
      <c r="CT35" s="226"/>
      <c r="CU35" s="226"/>
      <c r="CV35" s="226"/>
      <c r="CW35" s="226"/>
      <c r="CX35" s="226"/>
      <c r="CY35" s="226"/>
      <c r="CZ35" s="226"/>
      <c r="DA35" s="226"/>
      <c r="DB35" s="226"/>
      <c r="DC35" s="226"/>
      <c r="DD35" s="226"/>
      <c r="DE35" s="226"/>
      <c r="DF35" s="226"/>
      <c r="DG35" s="226"/>
      <c r="DH35" s="226"/>
      <c r="DI35" s="226"/>
      <c r="DJ35" s="226"/>
      <c r="DK35" s="226"/>
      <c r="DL35" s="226"/>
      <c r="DM35" s="226"/>
      <c r="DN35" s="226"/>
      <c r="DO35" s="226"/>
      <c r="DP35" s="226"/>
      <c r="DQ35" s="226"/>
      <c r="DR35" s="226"/>
      <c r="DS35" s="226"/>
      <c r="DT35" s="226"/>
      <c r="DU35" s="226"/>
      <c r="DV35" s="226"/>
      <c r="DW35" s="226"/>
      <c r="DX35" s="226"/>
      <c r="DY35" s="226"/>
      <c r="DZ35" s="226"/>
      <c r="EA35" s="226"/>
      <c r="EB35" s="226"/>
      <c r="EC35" s="226"/>
      <c r="ED35" s="226"/>
      <c r="EE35" s="226"/>
      <c r="EF35" s="226"/>
      <c r="EG35" s="226"/>
      <c r="EH35" s="226"/>
      <c r="EI35" s="226"/>
      <c r="EJ35" s="226"/>
      <c r="EK35" s="226"/>
      <c r="EL35" s="226"/>
      <c r="EM35" s="226"/>
      <c r="EN35" s="226"/>
      <c r="EO35" s="226"/>
      <c r="EP35" s="226"/>
      <c r="EQ35" s="226"/>
      <c r="ER35" s="226"/>
      <c r="ES35" s="226"/>
      <c r="ET35" s="226"/>
      <c r="EU35" s="226"/>
      <c r="EV35" s="226"/>
      <c r="EW35" s="226"/>
      <c r="EX35" s="226"/>
      <c r="EY35" s="226"/>
      <c r="EZ35" s="226"/>
      <c r="FA35" s="226"/>
      <c r="FB35" s="226"/>
      <c r="FC35" s="226"/>
      <c r="FD35" s="226"/>
      <c r="FE35" s="226"/>
      <c r="FF35" s="226"/>
      <c r="FG35" s="226"/>
      <c r="FH35" s="226"/>
      <c r="FI35" s="226"/>
      <c r="FJ35" s="226"/>
      <c r="FK35" s="226"/>
      <c r="FL35" s="226"/>
      <c r="FM35" s="226"/>
      <c r="FN35" s="226"/>
      <c r="FO35" s="226"/>
      <c r="FP35" s="226"/>
      <c r="FQ35" s="226"/>
      <c r="FR35" s="226"/>
      <c r="FS35" s="226"/>
      <c r="FT35" s="226"/>
      <c r="FU35" s="226"/>
      <c r="FV35" s="226"/>
      <c r="FW35" s="226"/>
      <c r="FX35" s="226"/>
      <c r="FY35" s="226"/>
      <c r="FZ35" s="226"/>
      <c r="GA35" s="226"/>
      <c r="GB35" s="226"/>
      <c r="GC35" s="226"/>
      <c r="GD35" s="226"/>
      <c r="GE35" s="226"/>
      <c r="GF35" s="226"/>
      <c r="GG35" s="226"/>
      <c r="GH35" s="226"/>
      <c r="GI35" s="226"/>
      <c r="GJ35" s="226"/>
      <c r="GK35" s="226"/>
      <c r="GL35" s="226"/>
      <c r="GM35" s="226"/>
      <c r="GN35" s="226"/>
      <c r="GO35" s="226"/>
      <c r="GP35" s="226"/>
      <c r="GQ35" s="226"/>
      <c r="GR35" s="226"/>
      <c r="GS35" s="226"/>
      <c r="GT35" s="226"/>
      <c r="GU35" s="226"/>
      <c r="GV35" s="226"/>
      <c r="GW35" s="226"/>
      <c r="GX35" s="226"/>
      <c r="GY35" s="226"/>
      <c r="GZ35" s="226"/>
      <c r="HA35" s="226"/>
      <c r="HB35" s="226"/>
      <c r="HC35" s="226"/>
      <c r="HD35" s="226"/>
      <c r="NP35" s="346" t="s">
        <v>167</v>
      </c>
      <c r="NQ35" s="346"/>
      <c r="NR35" s="346"/>
      <c r="NS35" s="322" t="s">
        <v>1</v>
      </c>
      <c r="NT35" s="382">
        <f>((H26+NT27)*(H28+NT27))/10000</f>
        <v>0.17388900000000004</v>
      </c>
      <c r="NU35" s="382"/>
      <c r="NV35" s="382"/>
      <c r="NW35" s="346" t="s">
        <v>158</v>
      </c>
      <c r="NX35" s="322"/>
      <c r="NY35" s="302"/>
      <c r="NZ35" s="302"/>
      <c r="OA35" s="302"/>
      <c r="OB35" s="302"/>
      <c r="OC35" s="302"/>
      <c r="OD35" s="302"/>
      <c r="OE35" s="64"/>
      <c r="OF35" s="2"/>
      <c r="OG35" s="13"/>
      <c r="OH35" s="13"/>
      <c r="OI35" s="13"/>
      <c r="OJ35" s="302"/>
      <c r="OK35" s="131"/>
      <c r="OL35" s="131"/>
      <c r="OM35" s="131"/>
      <c r="ON35" s="131"/>
      <c r="OO35" s="131"/>
      <c r="OP35" s="131"/>
      <c r="OQ35" s="131"/>
      <c r="OR35" s="131"/>
      <c r="OS35" s="131"/>
      <c r="OT35" s="131"/>
      <c r="OU35" s="131"/>
      <c r="OV35" s="131"/>
      <c r="OW35" s="131"/>
      <c r="OX35" s="131"/>
      <c r="OY35" s="131"/>
      <c r="OZ35" s="131"/>
      <c r="PA35" s="131"/>
      <c r="PB35" s="131"/>
      <c r="PC35" s="131"/>
      <c r="PD35" s="131"/>
      <c r="PE35" s="302"/>
      <c r="PF35" s="302"/>
      <c r="PG35" s="302"/>
      <c r="PH35" s="302"/>
      <c r="PI35" s="302"/>
      <c r="PJ35" s="302"/>
      <c r="PK35" s="302"/>
      <c r="PL35" s="302"/>
      <c r="PM35" s="302"/>
      <c r="QC35" s="78" t="s">
        <v>140</v>
      </c>
      <c r="QY35" s="346"/>
      <c r="QZ35" s="346"/>
      <c r="RA35" s="346"/>
      <c r="RB35" s="346"/>
      <c r="RC35" s="346"/>
      <c r="RD35" s="346"/>
      <c r="RE35" s="346"/>
      <c r="RF35" s="346"/>
      <c r="RG35" s="346"/>
      <c r="RH35" s="346"/>
      <c r="RI35" s="346"/>
      <c r="RJ35" s="346"/>
      <c r="RK35" s="346"/>
      <c r="RL35" s="346"/>
      <c r="RM35" s="346"/>
      <c r="RN35" s="346"/>
      <c r="RO35" s="346"/>
      <c r="RP35" s="346"/>
      <c r="RQ35" s="346"/>
      <c r="RR35" s="346"/>
      <c r="RS35" s="346"/>
      <c r="RT35" s="346"/>
      <c r="RU35" s="346"/>
      <c r="RV35" s="346"/>
      <c r="RW35" s="346"/>
      <c r="RX35" s="346"/>
      <c r="RY35" s="346"/>
      <c r="RZ35" s="346"/>
      <c r="SA35" s="346"/>
      <c r="SB35" s="346"/>
      <c r="SC35" s="346"/>
      <c r="SD35" s="346"/>
      <c r="SE35" s="346"/>
      <c r="SF35" s="346"/>
      <c r="SG35" s="346"/>
      <c r="SH35" s="346"/>
      <c r="SI35" s="346"/>
      <c r="SJ35" s="346"/>
      <c r="SK35" s="346"/>
      <c r="SL35" s="346"/>
      <c r="SM35" s="346"/>
      <c r="SN35" s="346"/>
      <c r="SO35" s="346"/>
      <c r="SP35" s="346"/>
      <c r="SQ35" s="346"/>
      <c r="SR35" s="346"/>
      <c r="SS35" s="346"/>
      <c r="ST35" s="346"/>
      <c r="SU35" s="346"/>
      <c r="SV35" s="346"/>
      <c r="SW35" s="346"/>
      <c r="SX35" s="346"/>
      <c r="SY35" s="346"/>
      <c r="SZ35" s="346"/>
      <c r="TA35" s="346"/>
    </row>
    <row r="36" spans="1:521" ht="14.1" customHeight="1" x14ac:dyDescent="0.2">
      <c r="A36" s="226"/>
      <c r="B36" s="283"/>
      <c r="C36" s="60"/>
      <c r="D36" s="27"/>
      <c r="E36" s="27"/>
      <c r="F36" s="30" t="s">
        <v>229</v>
      </c>
      <c r="G36" s="27"/>
      <c r="H36" s="417">
        <v>30</v>
      </c>
      <c r="I36" s="418"/>
      <c r="J36" s="419"/>
      <c r="K36" s="27"/>
      <c r="L36" s="27" t="s">
        <v>20</v>
      </c>
      <c r="M36" s="208"/>
      <c r="N36" s="140"/>
      <c r="O36" s="19"/>
      <c r="P36" s="226"/>
      <c r="Q36" s="484"/>
      <c r="R36" s="485"/>
      <c r="S36" s="486"/>
      <c r="T36" s="472" t="s">
        <v>104</v>
      </c>
      <c r="U36" s="473"/>
      <c r="V36" s="474"/>
      <c r="W36" s="537">
        <f>NT43</f>
        <v>14.278600000000001</v>
      </c>
      <c r="X36" s="538"/>
      <c r="Y36" s="538"/>
      <c r="Z36" s="538">
        <f>NT48</f>
        <v>13.7522</v>
      </c>
      <c r="AA36" s="538"/>
      <c r="AB36" s="538"/>
      <c r="AC36" s="509" t="s">
        <v>19</v>
      </c>
      <c r="AD36" s="510"/>
      <c r="AE36" s="511"/>
      <c r="AF36" s="124"/>
      <c r="AG36" s="331"/>
      <c r="AH36" s="320"/>
      <c r="AI36" s="320"/>
      <c r="AJ36" s="320"/>
      <c r="AK36" s="320"/>
      <c r="AL36" s="320"/>
      <c r="AM36" s="320"/>
      <c r="AN36" s="320"/>
      <c r="AO36" s="320"/>
      <c r="AP36" s="320"/>
      <c r="AQ36" s="320"/>
      <c r="AR36" s="320"/>
      <c r="AS36" s="320"/>
      <c r="AT36" s="320"/>
      <c r="AU36" s="320"/>
      <c r="AV36" s="320"/>
      <c r="AW36" s="320"/>
      <c r="AX36" s="320"/>
      <c r="AY36" s="320"/>
      <c r="AZ36" s="320"/>
      <c r="BA36" s="320"/>
      <c r="BB36" s="320"/>
      <c r="BC36" s="320"/>
      <c r="BD36" s="320"/>
      <c r="BE36" s="320"/>
      <c r="BF36" s="320"/>
      <c r="BG36" s="320"/>
      <c r="BH36" s="320"/>
      <c r="BI36" s="320"/>
      <c r="BJ36" s="320"/>
      <c r="BK36" s="320"/>
      <c r="BL36" s="320"/>
      <c r="BM36" s="320"/>
      <c r="BN36" s="320"/>
      <c r="BO36" s="320"/>
      <c r="BP36" s="320"/>
      <c r="BQ36" s="320"/>
      <c r="BR36" s="320"/>
      <c r="BS36" s="320"/>
      <c r="BT36" s="320"/>
      <c r="BU36" s="320"/>
      <c r="BV36" s="320"/>
      <c r="BW36" s="320"/>
      <c r="BX36" s="320"/>
      <c r="BY36" s="320"/>
      <c r="BZ36" s="320"/>
      <c r="CA36" s="320"/>
      <c r="CB36" s="320"/>
      <c r="CC36" s="320"/>
      <c r="CD36" s="332"/>
      <c r="CE36" s="274"/>
      <c r="CF36" s="226"/>
      <c r="CG36" s="226"/>
      <c r="CH36" s="226"/>
      <c r="CI36" s="226"/>
      <c r="CJ36" s="226"/>
      <c r="CK36" s="226"/>
      <c r="CL36" s="226"/>
      <c r="CM36" s="226"/>
      <c r="CN36" s="226"/>
      <c r="CO36" s="226"/>
      <c r="CP36" s="226"/>
      <c r="CQ36" s="226"/>
      <c r="CR36" s="226"/>
      <c r="CS36" s="226"/>
      <c r="CT36" s="226"/>
      <c r="CU36" s="226"/>
      <c r="CV36" s="226"/>
      <c r="CW36" s="226"/>
      <c r="CX36" s="226"/>
      <c r="CY36" s="226"/>
      <c r="CZ36" s="226"/>
      <c r="DA36" s="226"/>
      <c r="DB36" s="226"/>
      <c r="DC36" s="226"/>
      <c r="DD36" s="226"/>
      <c r="DE36" s="226"/>
      <c r="DF36" s="226"/>
      <c r="DG36" s="226"/>
      <c r="DH36" s="226"/>
      <c r="DI36" s="226"/>
      <c r="DJ36" s="226"/>
      <c r="DK36" s="226"/>
      <c r="DL36" s="226"/>
      <c r="DM36" s="226"/>
      <c r="DN36" s="226"/>
      <c r="DO36" s="226"/>
      <c r="DP36" s="226"/>
      <c r="DQ36" s="226"/>
      <c r="DR36" s="226"/>
      <c r="DS36" s="226"/>
      <c r="DT36" s="226"/>
      <c r="DU36" s="226"/>
      <c r="DV36" s="226"/>
      <c r="DW36" s="226"/>
      <c r="DX36" s="226"/>
      <c r="DY36" s="226"/>
      <c r="DZ36" s="226"/>
      <c r="EA36" s="226"/>
      <c r="EB36" s="226"/>
      <c r="EC36" s="226"/>
      <c r="ED36" s="226"/>
      <c r="EE36" s="226"/>
      <c r="EF36" s="226"/>
      <c r="EG36" s="226"/>
      <c r="EH36" s="226"/>
      <c r="EI36" s="226"/>
      <c r="EJ36" s="226"/>
      <c r="EK36" s="226"/>
      <c r="EL36" s="226"/>
      <c r="EM36" s="226"/>
      <c r="EN36" s="226"/>
      <c r="EO36" s="226"/>
      <c r="EP36" s="226"/>
      <c r="EQ36" s="226"/>
      <c r="ER36" s="226"/>
      <c r="ES36" s="226"/>
      <c r="ET36" s="226"/>
      <c r="EU36" s="226"/>
      <c r="EV36" s="226"/>
      <c r="EW36" s="226"/>
      <c r="EX36" s="226"/>
      <c r="EY36" s="226"/>
      <c r="EZ36" s="226"/>
      <c r="FA36" s="226"/>
      <c r="FB36" s="226"/>
      <c r="FC36" s="226"/>
      <c r="FD36" s="226"/>
      <c r="FE36" s="226"/>
      <c r="FF36" s="226"/>
      <c r="FG36" s="226"/>
      <c r="FH36" s="226"/>
      <c r="FI36" s="226"/>
      <c r="FJ36" s="226"/>
      <c r="FK36" s="226"/>
      <c r="FL36" s="226"/>
      <c r="FM36" s="226"/>
      <c r="FN36" s="226"/>
      <c r="FO36" s="226"/>
      <c r="FP36" s="226"/>
      <c r="FQ36" s="226"/>
      <c r="FR36" s="226"/>
      <c r="FS36" s="226"/>
      <c r="FT36" s="226"/>
      <c r="FU36" s="226"/>
      <c r="FV36" s="226"/>
      <c r="FW36" s="226"/>
      <c r="FX36" s="226"/>
      <c r="FY36" s="226"/>
      <c r="FZ36" s="226"/>
      <c r="GA36" s="226"/>
      <c r="GB36" s="226"/>
      <c r="GC36" s="226"/>
      <c r="GD36" s="226"/>
      <c r="GE36" s="226"/>
      <c r="GF36" s="226"/>
      <c r="GG36" s="226"/>
      <c r="GH36" s="226"/>
      <c r="GI36" s="226"/>
      <c r="GJ36" s="226"/>
      <c r="GK36" s="226"/>
      <c r="GL36" s="226"/>
      <c r="GM36" s="226"/>
      <c r="GN36" s="226"/>
      <c r="GO36" s="226"/>
      <c r="GP36" s="226"/>
      <c r="GQ36" s="226"/>
      <c r="GR36" s="226"/>
      <c r="GS36" s="226"/>
      <c r="GT36" s="226"/>
      <c r="GU36" s="226"/>
      <c r="GV36" s="226"/>
      <c r="GW36" s="226"/>
      <c r="GX36" s="226"/>
      <c r="GY36" s="226"/>
      <c r="GZ36" s="226"/>
      <c r="HA36" s="226"/>
      <c r="HB36" s="226"/>
      <c r="HC36" s="226"/>
      <c r="HD36" s="226"/>
      <c r="NP36" s="346" t="s">
        <v>53</v>
      </c>
      <c r="NQ36" s="346"/>
      <c r="NR36" s="346"/>
      <c r="NS36" s="322" t="s">
        <v>1</v>
      </c>
      <c r="NT36" s="382">
        <f>NT17*((H32*H34)-NT35)</f>
        <v>29766.451096122448</v>
      </c>
      <c r="NU36" s="382"/>
      <c r="NV36" s="382"/>
      <c r="NW36" s="346" t="s">
        <v>17</v>
      </c>
      <c r="NX36" s="302"/>
      <c r="NY36" s="302"/>
      <c r="NZ36" s="302"/>
      <c r="OA36" s="302"/>
      <c r="OB36" s="302"/>
      <c r="OC36" s="302"/>
      <c r="OD36" s="302"/>
      <c r="OE36" s="64"/>
      <c r="OF36" s="2"/>
      <c r="OG36" s="119"/>
      <c r="OH36" s="119"/>
      <c r="OI36" s="11"/>
      <c r="OJ36" s="302"/>
      <c r="OK36" s="131"/>
      <c r="OL36" s="131"/>
      <c r="OX36" s="131"/>
      <c r="OY36" s="131"/>
      <c r="OZ36" s="131"/>
      <c r="PA36" s="131"/>
      <c r="PB36" s="131"/>
      <c r="PC36" s="131"/>
      <c r="PD36" s="131"/>
      <c r="PE36" s="302"/>
      <c r="PF36" s="302"/>
      <c r="PG36" s="302"/>
      <c r="PH36" s="302"/>
      <c r="PI36" s="302"/>
      <c r="PJ36" s="302"/>
      <c r="PK36" s="302"/>
      <c r="PL36" s="302"/>
      <c r="PM36" s="302"/>
      <c r="QC36" s="78" t="s">
        <v>23</v>
      </c>
      <c r="QD36" s="78">
        <f>QD13</f>
        <v>-7.1428571428571438E-2</v>
      </c>
      <c r="QE36" s="354">
        <f>QD10</f>
        <v>-0.5</v>
      </c>
      <c r="QF36" s="354">
        <f>QE36</f>
        <v>-0.5</v>
      </c>
      <c r="QG36" s="354">
        <f>QE10</f>
        <v>0.5</v>
      </c>
      <c r="QH36" s="354">
        <f>QG36</f>
        <v>0.5</v>
      </c>
      <c r="QI36" s="78">
        <f>QE13</f>
        <v>7.1428571428571438E-2</v>
      </c>
      <c r="QY36" s="346"/>
      <c r="QZ36" s="346"/>
      <c r="RA36" s="346"/>
      <c r="RB36" s="346"/>
      <c r="RC36" s="346"/>
      <c r="RD36" s="346"/>
      <c r="RE36" s="346"/>
      <c r="RF36" s="346"/>
      <c r="RG36" s="346"/>
      <c r="RH36" s="346"/>
      <c r="RI36" s="346"/>
      <c r="RJ36" s="346"/>
      <c r="RK36" s="346"/>
      <c r="RL36" s="346"/>
      <c r="RM36" s="346"/>
      <c r="RN36" s="346"/>
      <c r="RO36" s="346"/>
      <c r="RP36" s="346"/>
      <c r="RQ36" s="346"/>
      <c r="RR36" s="346"/>
      <c r="RS36" s="346"/>
      <c r="RT36" s="346"/>
      <c r="RU36" s="346"/>
      <c r="RV36" s="346"/>
      <c r="RW36" s="346"/>
      <c r="RX36" s="346"/>
      <c r="RY36" s="346"/>
      <c r="RZ36" s="346"/>
      <c r="SA36" s="346"/>
      <c r="SB36" s="346"/>
      <c r="SC36" s="346"/>
      <c r="SD36" s="346"/>
      <c r="SE36" s="346"/>
      <c r="SF36" s="346"/>
      <c r="SG36" s="346"/>
      <c r="SH36" s="346"/>
      <c r="SI36" s="346"/>
      <c r="SJ36" s="346"/>
      <c r="SK36" s="346"/>
      <c r="SL36" s="346"/>
      <c r="SM36" s="346"/>
      <c r="SN36" s="346"/>
      <c r="SO36" s="346"/>
      <c r="SP36" s="346"/>
      <c r="SQ36" s="346"/>
      <c r="SR36" s="346"/>
      <c r="SS36" s="346"/>
      <c r="ST36" s="346"/>
      <c r="SU36" s="346"/>
      <c r="SV36" s="346"/>
      <c r="SW36" s="346"/>
      <c r="SX36" s="346"/>
      <c r="SY36" s="346"/>
      <c r="SZ36" s="346"/>
      <c r="TA36" s="346"/>
    </row>
    <row r="37" spans="1:521" ht="14.1" customHeight="1" thickBot="1" x14ac:dyDescent="0.25">
      <c r="A37" s="226"/>
      <c r="B37" s="283"/>
      <c r="C37" s="22"/>
      <c r="D37" s="140"/>
      <c r="E37" s="140"/>
      <c r="F37" s="140"/>
      <c r="G37" s="140"/>
      <c r="H37" s="140"/>
      <c r="I37" s="140"/>
      <c r="J37" s="140"/>
      <c r="K37" s="140"/>
      <c r="L37" s="208"/>
      <c r="M37" s="208"/>
      <c r="N37" s="140"/>
      <c r="O37" s="19"/>
      <c r="P37" s="226"/>
      <c r="Q37" s="484"/>
      <c r="R37" s="485"/>
      <c r="S37" s="486"/>
      <c r="T37" s="526" t="s">
        <v>192</v>
      </c>
      <c r="U37" s="527"/>
      <c r="V37" s="527"/>
      <c r="W37" s="539">
        <f>ROUNDUP(W36/OZ16,0)</f>
        <v>8</v>
      </c>
      <c r="X37" s="540"/>
      <c r="Y37" s="540"/>
      <c r="Z37" s="540">
        <f>ROUNDUP(Z36/OZ16,0)</f>
        <v>7</v>
      </c>
      <c r="AA37" s="540"/>
      <c r="AB37" s="540"/>
      <c r="AC37" s="509" t="s">
        <v>121</v>
      </c>
      <c r="AD37" s="510"/>
      <c r="AE37" s="511"/>
      <c r="AF37" s="124"/>
      <c r="AG37" s="331"/>
      <c r="AH37" s="320"/>
      <c r="AI37" s="320"/>
      <c r="AJ37" s="320"/>
      <c r="AK37" s="320"/>
      <c r="AL37" s="320"/>
      <c r="AM37" s="320"/>
      <c r="AN37" s="320"/>
      <c r="AO37" s="320"/>
      <c r="AP37" s="320"/>
      <c r="AQ37" s="320"/>
      <c r="AR37" s="320"/>
      <c r="AS37" s="320"/>
      <c r="AT37" s="320"/>
      <c r="AU37" s="320"/>
      <c r="AV37" s="320"/>
      <c r="AW37" s="320"/>
      <c r="AX37" s="320"/>
      <c r="AY37" s="320"/>
      <c r="AZ37" s="320"/>
      <c r="BA37" s="320"/>
      <c r="BB37" s="320"/>
      <c r="BC37" s="320"/>
      <c r="BD37" s="320"/>
      <c r="BE37" s="320"/>
      <c r="BF37" s="320"/>
      <c r="BG37" s="320"/>
      <c r="BH37" s="320"/>
      <c r="BI37" s="320"/>
      <c r="BJ37" s="320"/>
      <c r="BK37" s="320"/>
      <c r="BL37" s="320"/>
      <c r="BM37" s="320"/>
      <c r="BN37" s="320"/>
      <c r="BO37" s="320"/>
      <c r="BP37" s="320"/>
      <c r="BQ37" s="320"/>
      <c r="BR37" s="320"/>
      <c r="BS37" s="320"/>
      <c r="BT37" s="320"/>
      <c r="BU37" s="320"/>
      <c r="BV37" s="320"/>
      <c r="BW37" s="320"/>
      <c r="BX37" s="320"/>
      <c r="BY37" s="320"/>
      <c r="BZ37" s="320"/>
      <c r="CA37" s="320"/>
      <c r="CB37" s="320"/>
      <c r="CC37" s="320"/>
      <c r="CD37" s="332"/>
      <c r="CE37" s="274"/>
      <c r="CF37" s="226"/>
      <c r="CG37" s="226"/>
      <c r="CH37" s="226"/>
      <c r="CI37" s="226"/>
      <c r="CJ37" s="226"/>
      <c r="CK37" s="226"/>
      <c r="CL37" s="226"/>
      <c r="CM37" s="226"/>
      <c r="CN37" s="226"/>
      <c r="CO37" s="226"/>
      <c r="CP37" s="226"/>
      <c r="CQ37" s="226"/>
      <c r="CR37" s="226"/>
      <c r="CS37" s="226"/>
      <c r="CT37" s="226"/>
      <c r="CU37" s="226"/>
      <c r="CV37" s="226"/>
      <c r="CW37" s="226"/>
      <c r="CX37" s="226"/>
      <c r="CY37" s="226"/>
      <c r="CZ37" s="226"/>
      <c r="DA37" s="226"/>
      <c r="DB37" s="226"/>
      <c r="DC37" s="226"/>
      <c r="DD37" s="226"/>
      <c r="DE37" s="226"/>
      <c r="DF37" s="226"/>
      <c r="DG37" s="226"/>
      <c r="DH37" s="226"/>
      <c r="DI37" s="226"/>
      <c r="DJ37" s="226"/>
      <c r="DK37" s="226"/>
      <c r="DL37" s="226"/>
      <c r="DM37" s="226"/>
      <c r="DN37" s="226"/>
      <c r="DO37" s="226"/>
      <c r="DP37" s="226"/>
      <c r="DQ37" s="226"/>
      <c r="DR37" s="226"/>
      <c r="DS37" s="226"/>
      <c r="DT37" s="226"/>
      <c r="DU37" s="226"/>
      <c r="DV37" s="226"/>
      <c r="DW37" s="226"/>
      <c r="DX37" s="226"/>
      <c r="DY37" s="226"/>
      <c r="DZ37" s="226"/>
      <c r="EA37" s="226"/>
      <c r="EB37" s="226"/>
      <c r="EC37" s="226"/>
      <c r="ED37" s="226"/>
      <c r="EE37" s="226"/>
      <c r="EF37" s="226"/>
      <c r="EG37" s="226"/>
      <c r="EH37" s="226"/>
      <c r="EI37" s="226"/>
      <c r="EJ37" s="226"/>
      <c r="EK37" s="226"/>
      <c r="EL37" s="226"/>
      <c r="EM37" s="226"/>
      <c r="EN37" s="226"/>
      <c r="EO37" s="226"/>
      <c r="EP37" s="226"/>
      <c r="EQ37" s="226"/>
      <c r="ER37" s="226"/>
      <c r="ES37" s="226"/>
      <c r="ET37" s="226"/>
      <c r="EU37" s="226"/>
      <c r="EV37" s="226"/>
      <c r="EW37" s="226"/>
      <c r="EX37" s="226"/>
      <c r="EY37" s="226"/>
      <c r="EZ37" s="226"/>
      <c r="FA37" s="226"/>
      <c r="FB37" s="226"/>
      <c r="FC37" s="226"/>
      <c r="FD37" s="226"/>
      <c r="FE37" s="226"/>
      <c r="FF37" s="226"/>
      <c r="FG37" s="226"/>
      <c r="FH37" s="226"/>
      <c r="FI37" s="226"/>
      <c r="FJ37" s="226"/>
      <c r="FK37" s="226"/>
      <c r="FL37" s="226"/>
      <c r="FM37" s="226"/>
      <c r="FN37" s="226"/>
      <c r="FO37" s="226"/>
      <c r="FP37" s="226"/>
      <c r="FQ37" s="226"/>
      <c r="FR37" s="226"/>
      <c r="FS37" s="226"/>
      <c r="FT37" s="226"/>
      <c r="FU37" s="226"/>
      <c r="FV37" s="226"/>
      <c r="FW37" s="226"/>
      <c r="FX37" s="226"/>
      <c r="FY37" s="226"/>
      <c r="FZ37" s="226"/>
      <c r="GA37" s="226"/>
      <c r="GB37" s="226"/>
      <c r="GC37" s="226"/>
      <c r="GD37" s="226"/>
      <c r="GE37" s="226"/>
      <c r="GF37" s="226"/>
      <c r="GG37" s="226"/>
      <c r="GH37" s="226"/>
      <c r="GI37" s="226"/>
      <c r="GJ37" s="226"/>
      <c r="GK37" s="226"/>
      <c r="GL37" s="226"/>
      <c r="GM37" s="226"/>
      <c r="GN37" s="226"/>
      <c r="GO37" s="226"/>
      <c r="GP37" s="226"/>
      <c r="GQ37" s="226"/>
      <c r="GR37" s="226"/>
      <c r="GS37" s="226"/>
      <c r="GT37" s="226"/>
      <c r="GU37" s="226"/>
      <c r="GV37" s="226"/>
      <c r="GW37" s="226"/>
      <c r="GX37" s="226"/>
      <c r="GY37" s="226"/>
      <c r="GZ37" s="226"/>
      <c r="HA37" s="226"/>
      <c r="HB37" s="226"/>
      <c r="HC37" s="226"/>
      <c r="HD37" s="226"/>
      <c r="NP37" s="67" t="s">
        <v>168</v>
      </c>
      <c r="NQ37" s="346"/>
      <c r="NR37" s="346"/>
      <c r="NS37" s="322" t="s">
        <v>1</v>
      </c>
      <c r="NT37" s="382">
        <f>MAX(H26,H28)/MIN(H26,H28)</f>
        <v>1</v>
      </c>
      <c r="NU37" s="382"/>
      <c r="NV37" s="382"/>
      <c r="NW37" s="346"/>
      <c r="NX37" s="322"/>
      <c r="NY37" s="302"/>
      <c r="NZ37" s="302"/>
      <c r="OA37" s="302"/>
      <c r="OB37" s="302"/>
      <c r="OC37" s="302"/>
      <c r="OD37" s="302"/>
      <c r="OE37" s="64"/>
      <c r="OF37" s="2"/>
      <c r="OG37" s="302"/>
      <c r="OH37" s="302"/>
      <c r="OI37" s="79"/>
      <c r="OJ37" s="79"/>
      <c r="OK37" s="131"/>
      <c r="OL37" s="131"/>
      <c r="OX37" s="131"/>
      <c r="OY37" s="131"/>
      <c r="OZ37" s="131"/>
      <c r="PA37" s="131"/>
      <c r="PB37" s="131"/>
      <c r="PC37" s="131"/>
      <c r="PD37" s="131"/>
      <c r="PE37" s="302"/>
      <c r="PF37" s="302"/>
      <c r="PG37" s="302"/>
      <c r="PH37" s="302"/>
      <c r="PI37" s="302"/>
      <c r="PJ37" s="302"/>
      <c r="PK37" s="302"/>
      <c r="PL37" s="302"/>
      <c r="PM37" s="302"/>
      <c r="QC37" s="78" t="s">
        <v>24</v>
      </c>
      <c r="QD37" s="78">
        <f>QC8/QC3</f>
        <v>0.2142857142857143</v>
      </c>
      <c r="QE37" s="78">
        <f>QD37</f>
        <v>0.2142857142857143</v>
      </c>
      <c r="QF37" s="78">
        <v>0</v>
      </c>
      <c r="QG37" s="78">
        <v>0</v>
      </c>
      <c r="QH37" s="78">
        <f>QD37</f>
        <v>0.2142857142857143</v>
      </c>
      <c r="QI37" s="78">
        <f>QD37</f>
        <v>0.2142857142857143</v>
      </c>
      <c r="QY37" s="346"/>
      <c r="QZ37" s="346"/>
      <c r="RA37" s="346"/>
      <c r="RB37" s="346"/>
      <c r="RC37" s="346"/>
      <c r="RD37" s="346"/>
      <c r="RE37" s="346"/>
      <c r="RF37" s="346"/>
      <c r="RG37" s="346"/>
      <c r="RH37" s="346"/>
      <c r="RI37" s="346"/>
      <c r="RJ37" s="346"/>
      <c r="RK37" s="346"/>
      <c r="RL37" s="346"/>
      <c r="RM37" s="346"/>
      <c r="RN37" s="346"/>
      <c r="RO37" s="346"/>
      <c r="RP37" s="346"/>
      <c r="RQ37" s="346"/>
      <c r="RR37" s="346"/>
      <c r="RS37" s="346"/>
      <c r="RT37" s="346"/>
      <c r="RU37" s="346"/>
      <c r="RV37" s="346"/>
      <c r="RW37" s="346"/>
      <c r="RX37" s="346"/>
      <c r="RY37" s="346"/>
      <c r="RZ37" s="346"/>
      <c r="SA37" s="346"/>
      <c r="SB37" s="346"/>
      <c r="SC37" s="346"/>
      <c r="SD37" s="346"/>
      <c r="SE37" s="346"/>
      <c r="SF37" s="346"/>
      <c r="SG37" s="346"/>
      <c r="SH37" s="346"/>
      <c r="SI37" s="346"/>
      <c r="SJ37" s="346"/>
      <c r="SK37" s="346"/>
      <c r="SL37" s="346"/>
      <c r="SM37" s="346"/>
      <c r="SN37" s="346"/>
      <c r="SO37" s="346"/>
      <c r="SP37" s="346"/>
      <c r="SQ37" s="346"/>
      <c r="SR37" s="346"/>
      <c r="SS37" s="346"/>
      <c r="ST37" s="346"/>
      <c r="SU37" s="346"/>
      <c r="SV37" s="346"/>
      <c r="SW37" s="346"/>
      <c r="SX37" s="346"/>
      <c r="SY37" s="346"/>
      <c r="SZ37" s="346"/>
      <c r="TA37" s="346"/>
    </row>
    <row r="38" spans="1:521" ht="14.1" customHeight="1" x14ac:dyDescent="0.2">
      <c r="A38" s="226"/>
      <c r="B38" s="283"/>
      <c r="C38" s="273"/>
      <c r="D38" s="27"/>
      <c r="E38" s="27"/>
      <c r="F38" s="30" t="s">
        <v>43</v>
      </c>
      <c r="G38" s="27"/>
      <c r="H38" s="466">
        <v>7.5</v>
      </c>
      <c r="I38" s="467"/>
      <c r="J38" s="468"/>
      <c r="K38" s="27"/>
      <c r="L38" s="27" t="s">
        <v>20</v>
      </c>
      <c r="M38" s="124"/>
      <c r="N38" s="124"/>
      <c r="O38" s="274"/>
      <c r="P38" s="226"/>
      <c r="Q38" s="484"/>
      <c r="R38" s="485"/>
      <c r="S38" s="486"/>
      <c r="T38" s="526" t="s">
        <v>193</v>
      </c>
      <c r="U38" s="527"/>
      <c r="V38" s="527"/>
      <c r="W38" s="541">
        <v>8</v>
      </c>
      <c r="X38" s="542"/>
      <c r="Y38" s="542"/>
      <c r="Z38" s="542">
        <v>8</v>
      </c>
      <c r="AA38" s="542"/>
      <c r="AB38" s="542"/>
      <c r="AC38" s="509" t="s">
        <v>121</v>
      </c>
      <c r="AD38" s="510"/>
      <c r="AE38" s="511"/>
      <c r="AF38" s="124"/>
      <c r="AG38" s="331"/>
      <c r="AH38" s="320"/>
      <c r="AI38" s="320"/>
      <c r="AJ38" s="320"/>
      <c r="AK38" s="320"/>
      <c r="AL38" s="320"/>
      <c r="AM38" s="320"/>
      <c r="AN38" s="320"/>
      <c r="AO38" s="320"/>
      <c r="AP38" s="320"/>
      <c r="AQ38" s="320"/>
      <c r="AR38" s="320"/>
      <c r="AS38" s="320"/>
      <c r="AT38" s="320"/>
      <c r="AU38" s="320"/>
      <c r="AV38" s="320"/>
      <c r="AW38" s="320"/>
      <c r="AX38" s="320"/>
      <c r="AY38" s="320"/>
      <c r="AZ38" s="320"/>
      <c r="BA38" s="320"/>
      <c r="BB38" s="320"/>
      <c r="BC38" s="320"/>
      <c r="BD38" s="320"/>
      <c r="BE38" s="320"/>
      <c r="BF38" s="320"/>
      <c r="BG38" s="320"/>
      <c r="BH38" s="320"/>
      <c r="BI38" s="320"/>
      <c r="BJ38" s="320"/>
      <c r="BK38" s="320"/>
      <c r="BL38" s="320"/>
      <c r="BM38" s="320"/>
      <c r="BN38" s="320"/>
      <c r="BO38" s="320"/>
      <c r="BP38" s="320"/>
      <c r="BQ38" s="320"/>
      <c r="BR38" s="320"/>
      <c r="BS38" s="320"/>
      <c r="BT38" s="320"/>
      <c r="BU38" s="320"/>
      <c r="BV38" s="320"/>
      <c r="BW38" s="320"/>
      <c r="BX38" s="320"/>
      <c r="BY38" s="320"/>
      <c r="BZ38" s="320"/>
      <c r="CA38" s="320"/>
      <c r="CB38" s="320"/>
      <c r="CC38" s="320"/>
      <c r="CD38" s="332"/>
      <c r="CE38" s="274"/>
      <c r="CF38" s="226"/>
      <c r="CG38" s="226"/>
      <c r="CH38" s="226"/>
      <c r="CI38" s="226"/>
      <c r="CJ38" s="226"/>
      <c r="CK38" s="226"/>
      <c r="CL38" s="226"/>
      <c r="CM38" s="226"/>
      <c r="CN38" s="226"/>
      <c r="CO38" s="226"/>
      <c r="CP38" s="226"/>
      <c r="CQ38" s="226"/>
      <c r="CR38" s="226"/>
      <c r="CS38" s="226"/>
      <c r="CT38" s="226"/>
      <c r="CU38" s="226"/>
      <c r="CV38" s="226"/>
      <c r="CW38" s="226"/>
      <c r="CX38" s="226"/>
      <c r="CY38" s="226"/>
      <c r="CZ38" s="226"/>
      <c r="DA38" s="226"/>
      <c r="DB38" s="226"/>
      <c r="DC38" s="226"/>
      <c r="DD38" s="226"/>
      <c r="DE38" s="226"/>
      <c r="DF38" s="226"/>
      <c r="DG38" s="226"/>
      <c r="DH38" s="226"/>
      <c r="DI38" s="226"/>
      <c r="DJ38" s="226"/>
      <c r="DK38" s="226"/>
      <c r="DL38" s="226"/>
      <c r="DM38" s="226"/>
      <c r="DN38" s="226"/>
      <c r="DO38" s="226"/>
      <c r="DP38" s="226"/>
      <c r="DQ38" s="226"/>
      <c r="DR38" s="226"/>
      <c r="DS38" s="226"/>
      <c r="DT38" s="226"/>
      <c r="DU38" s="226"/>
      <c r="DV38" s="226"/>
      <c r="DW38" s="226"/>
      <c r="DX38" s="226"/>
      <c r="DY38" s="226"/>
      <c r="DZ38" s="226"/>
      <c r="EA38" s="226"/>
      <c r="EB38" s="226"/>
      <c r="EC38" s="226"/>
      <c r="ED38" s="226"/>
      <c r="EE38" s="226"/>
      <c r="EF38" s="226"/>
      <c r="EG38" s="226"/>
      <c r="EH38" s="226"/>
      <c r="EI38" s="226"/>
      <c r="EJ38" s="226"/>
      <c r="EK38" s="226"/>
      <c r="EL38" s="226"/>
      <c r="EM38" s="226"/>
      <c r="EN38" s="226"/>
      <c r="EO38" s="226"/>
      <c r="EP38" s="226"/>
      <c r="EQ38" s="226"/>
      <c r="ER38" s="226"/>
      <c r="ES38" s="226"/>
      <c r="ET38" s="226"/>
      <c r="EU38" s="226"/>
      <c r="EV38" s="226"/>
      <c r="EW38" s="226"/>
      <c r="EX38" s="226"/>
      <c r="EY38" s="226"/>
      <c r="EZ38" s="226"/>
      <c r="FA38" s="226"/>
      <c r="FB38" s="226"/>
      <c r="FC38" s="226"/>
      <c r="FD38" s="226"/>
      <c r="FE38" s="226"/>
      <c r="FF38" s="226"/>
      <c r="FG38" s="226"/>
      <c r="FH38" s="226"/>
      <c r="FI38" s="226"/>
      <c r="FJ38" s="226"/>
      <c r="FK38" s="226"/>
      <c r="FL38" s="226"/>
      <c r="FM38" s="226"/>
      <c r="FN38" s="226"/>
      <c r="FO38" s="226"/>
      <c r="FP38" s="226"/>
      <c r="FQ38" s="226"/>
      <c r="FR38" s="226"/>
      <c r="FS38" s="226"/>
      <c r="FT38" s="226"/>
      <c r="FU38" s="226"/>
      <c r="FV38" s="226"/>
      <c r="FW38" s="226"/>
      <c r="FX38" s="226"/>
      <c r="FY38" s="226"/>
      <c r="FZ38" s="226"/>
      <c r="GA38" s="226"/>
      <c r="GB38" s="226"/>
      <c r="GC38" s="226"/>
      <c r="GD38" s="226"/>
      <c r="GE38" s="226"/>
      <c r="GF38" s="226"/>
      <c r="GG38" s="226"/>
      <c r="GH38" s="226"/>
      <c r="GI38" s="226"/>
      <c r="GJ38" s="226"/>
      <c r="GK38" s="226"/>
      <c r="GL38" s="226"/>
      <c r="GM38" s="226"/>
      <c r="GN38" s="226"/>
      <c r="GO38" s="226"/>
      <c r="GP38" s="226"/>
      <c r="GQ38" s="226"/>
      <c r="GR38" s="226"/>
      <c r="GS38" s="226"/>
      <c r="GT38" s="226"/>
      <c r="GU38" s="226"/>
      <c r="GV38" s="226"/>
      <c r="GW38" s="226"/>
      <c r="GX38" s="226"/>
      <c r="GY38" s="226"/>
      <c r="GZ38" s="226"/>
      <c r="HA38" s="226"/>
      <c r="HB38" s="226"/>
      <c r="HC38" s="226"/>
      <c r="HD38" s="226"/>
      <c r="NP38" s="1" t="s">
        <v>169</v>
      </c>
      <c r="NQ38" s="322"/>
      <c r="NR38" s="322"/>
      <c r="NS38" s="322" t="s">
        <v>1</v>
      </c>
      <c r="NT38" s="391">
        <f>H12*0.27*(2+(4/NT37))*NT2^0.5*NT34*NT27</f>
        <v>61042.927017978313</v>
      </c>
      <c r="NU38" s="391"/>
      <c r="NV38" s="391"/>
      <c r="NW38" s="298" t="s">
        <v>17</v>
      </c>
      <c r="NX38" s="346"/>
      <c r="NY38" s="346"/>
      <c r="NZ38" s="346"/>
      <c r="OA38" s="302"/>
      <c r="OB38" s="302"/>
      <c r="OC38" s="302"/>
      <c r="OD38" s="302"/>
      <c r="OG38" s="302"/>
      <c r="OH38" s="302"/>
      <c r="OI38" s="79"/>
      <c r="OJ38" s="79"/>
      <c r="QC38" s="78" t="s">
        <v>102</v>
      </c>
      <c r="QY38" s="346"/>
      <c r="QZ38" s="346"/>
      <c r="RA38" s="346"/>
      <c r="RB38" s="346"/>
      <c r="RC38" s="346"/>
      <c r="RD38" s="346"/>
      <c r="RE38" s="346"/>
      <c r="RF38" s="346"/>
      <c r="RG38" s="346"/>
      <c r="RH38" s="346"/>
      <c r="RI38" s="346"/>
      <c r="RJ38" s="346"/>
      <c r="RK38" s="346"/>
      <c r="RL38" s="346"/>
      <c r="RM38" s="346"/>
      <c r="RN38" s="346"/>
      <c r="RO38" s="346"/>
      <c r="RP38" s="346"/>
      <c r="RQ38" s="346"/>
      <c r="RR38" s="346"/>
      <c r="RS38" s="346"/>
      <c r="RT38" s="346"/>
      <c r="RU38" s="346"/>
      <c r="RV38" s="346"/>
      <c r="RW38" s="346"/>
      <c r="RX38" s="346"/>
      <c r="RY38" s="346"/>
      <c r="RZ38" s="346"/>
      <c r="SA38" s="346"/>
      <c r="SB38" s="346"/>
      <c r="SC38" s="346"/>
      <c r="SD38" s="346"/>
      <c r="SE38" s="346"/>
      <c r="SF38" s="346"/>
      <c r="SG38" s="346"/>
      <c r="SH38" s="346"/>
      <c r="SI38" s="346"/>
      <c r="SJ38" s="346"/>
      <c r="SK38" s="346"/>
      <c r="SL38" s="346"/>
      <c r="SM38" s="346"/>
      <c r="SN38" s="346"/>
      <c r="SO38" s="346"/>
      <c r="SP38" s="346"/>
      <c r="SQ38" s="346"/>
      <c r="SR38" s="346"/>
      <c r="SS38" s="346"/>
      <c r="ST38" s="346"/>
      <c r="SU38" s="346"/>
      <c r="SV38" s="346"/>
      <c r="SW38" s="346"/>
      <c r="SX38" s="346"/>
      <c r="SY38" s="346"/>
      <c r="SZ38" s="346"/>
      <c r="TA38" s="346"/>
    </row>
    <row r="39" spans="1:521" ht="14.1" customHeight="1" x14ac:dyDescent="0.2">
      <c r="A39" s="226"/>
      <c r="B39" s="283"/>
      <c r="C39" s="275"/>
      <c r="D39" s="276"/>
      <c r="E39" s="276"/>
      <c r="F39" s="276"/>
      <c r="G39" s="276"/>
      <c r="H39" s="276"/>
      <c r="I39" s="276"/>
      <c r="J39" s="276"/>
      <c r="K39" s="276"/>
      <c r="L39" s="276"/>
      <c r="M39" s="276"/>
      <c r="N39" s="276"/>
      <c r="O39" s="277"/>
      <c r="P39" s="226"/>
      <c r="Q39" s="487"/>
      <c r="R39" s="488"/>
      <c r="S39" s="489"/>
      <c r="T39" s="535" t="s">
        <v>73</v>
      </c>
      <c r="U39" s="536"/>
      <c r="V39" s="536"/>
      <c r="W39" s="543" t="str">
        <f>IF(W38&gt;=W37,"OK","NOT")</f>
        <v>OK</v>
      </c>
      <c r="X39" s="544"/>
      <c r="Y39" s="544"/>
      <c r="Z39" s="544" t="str">
        <f>IF(Z38&gt;=Z37,"OK","NOT")</f>
        <v>OK</v>
      </c>
      <c r="AA39" s="544"/>
      <c r="AB39" s="544"/>
      <c r="AC39" s="284" t="s">
        <v>0</v>
      </c>
      <c r="AD39" s="284"/>
      <c r="AE39" s="285"/>
      <c r="AF39" s="145"/>
      <c r="AG39" s="368"/>
      <c r="AH39" s="369"/>
      <c r="AI39" s="369"/>
      <c r="AJ39" s="344"/>
      <c r="AK39" s="344"/>
      <c r="AL39" s="344"/>
      <c r="AM39" s="344"/>
      <c r="AN39" s="344"/>
      <c r="AO39" s="344"/>
      <c r="AP39" s="344"/>
      <c r="AQ39" s="344"/>
      <c r="AR39" s="344"/>
      <c r="AS39" s="344"/>
      <c r="AT39" s="344"/>
      <c r="AU39" s="344"/>
      <c r="AV39" s="344"/>
      <c r="AW39" s="344"/>
      <c r="AX39" s="344"/>
      <c r="AY39" s="344"/>
      <c r="AZ39" s="344"/>
      <c r="BA39" s="344"/>
      <c r="BB39" s="344"/>
      <c r="BC39" s="344"/>
      <c r="BD39" s="344"/>
      <c r="BE39" s="344"/>
      <c r="BF39" s="344"/>
      <c r="BG39" s="344"/>
      <c r="BH39" s="344"/>
      <c r="BI39" s="344"/>
      <c r="BJ39" s="344"/>
      <c r="BK39" s="344"/>
      <c r="BL39" s="344"/>
      <c r="BM39" s="344"/>
      <c r="BN39" s="344"/>
      <c r="BO39" s="344"/>
      <c r="BP39" s="344"/>
      <c r="BQ39" s="344"/>
      <c r="BR39" s="344"/>
      <c r="BS39" s="344"/>
      <c r="BT39" s="344"/>
      <c r="BU39" s="344"/>
      <c r="BV39" s="344"/>
      <c r="BW39" s="344"/>
      <c r="BX39" s="344"/>
      <c r="BY39" s="344"/>
      <c r="BZ39" s="344"/>
      <c r="CA39" s="344"/>
      <c r="CB39" s="344"/>
      <c r="CC39" s="344"/>
      <c r="CD39" s="345"/>
      <c r="CE39" s="274"/>
      <c r="CF39" s="226"/>
      <c r="CG39" s="226"/>
      <c r="CH39" s="226"/>
      <c r="CI39" s="226"/>
      <c r="CJ39" s="226"/>
      <c r="CK39" s="226"/>
      <c r="CL39" s="226"/>
      <c r="CM39" s="226"/>
      <c r="CN39" s="226"/>
      <c r="CO39" s="226"/>
      <c r="CP39" s="226"/>
      <c r="CQ39" s="226"/>
      <c r="CR39" s="226"/>
      <c r="CS39" s="226"/>
      <c r="CT39" s="226"/>
      <c r="CU39" s="226"/>
      <c r="CV39" s="226"/>
      <c r="CW39" s="226"/>
      <c r="CX39" s="226"/>
      <c r="CY39" s="226"/>
      <c r="CZ39" s="226"/>
      <c r="DA39" s="226"/>
      <c r="DB39" s="226"/>
      <c r="DC39" s="226"/>
      <c r="DD39" s="226"/>
      <c r="DE39" s="226"/>
      <c r="DF39" s="226"/>
      <c r="DG39" s="226"/>
      <c r="DH39" s="226"/>
      <c r="DI39" s="226"/>
      <c r="DJ39" s="226"/>
      <c r="DK39" s="226"/>
      <c r="DL39" s="226"/>
      <c r="DM39" s="226"/>
      <c r="DN39" s="226"/>
      <c r="DO39" s="226"/>
      <c r="DP39" s="226"/>
      <c r="DQ39" s="226"/>
      <c r="DR39" s="226"/>
      <c r="DS39" s="226"/>
      <c r="DT39" s="226"/>
      <c r="DU39" s="226"/>
      <c r="DV39" s="226"/>
      <c r="DW39" s="226"/>
      <c r="DX39" s="226"/>
      <c r="DY39" s="226"/>
      <c r="DZ39" s="226"/>
      <c r="EA39" s="226"/>
      <c r="EB39" s="226"/>
      <c r="EC39" s="226"/>
      <c r="ED39" s="226"/>
      <c r="EE39" s="226"/>
      <c r="EF39" s="226"/>
      <c r="EG39" s="226"/>
      <c r="EH39" s="226"/>
      <c r="EI39" s="226"/>
      <c r="EJ39" s="226"/>
      <c r="EK39" s="226"/>
      <c r="EL39" s="226"/>
      <c r="EM39" s="226"/>
      <c r="EN39" s="226"/>
      <c r="EO39" s="226"/>
      <c r="EP39" s="226"/>
      <c r="EQ39" s="226"/>
      <c r="ER39" s="226"/>
      <c r="ES39" s="226"/>
      <c r="ET39" s="226"/>
      <c r="EU39" s="226"/>
      <c r="EV39" s="226"/>
      <c r="EW39" s="226"/>
      <c r="EX39" s="226"/>
      <c r="EY39" s="226"/>
      <c r="EZ39" s="226"/>
      <c r="FA39" s="226"/>
      <c r="FB39" s="226"/>
      <c r="FC39" s="226"/>
      <c r="FD39" s="226"/>
      <c r="FE39" s="226"/>
      <c r="FF39" s="226"/>
      <c r="FG39" s="226"/>
      <c r="FH39" s="226"/>
      <c r="FI39" s="226"/>
      <c r="FJ39" s="226"/>
      <c r="FK39" s="226"/>
      <c r="FL39" s="226"/>
      <c r="FM39" s="226"/>
      <c r="FN39" s="226"/>
      <c r="FO39" s="226"/>
      <c r="FP39" s="226"/>
      <c r="FQ39" s="226"/>
      <c r="FR39" s="226"/>
      <c r="FS39" s="226"/>
      <c r="FT39" s="226"/>
      <c r="FU39" s="226"/>
      <c r="FV39" s="226"/>
      <c r="FW39" s="226"/>
      <c r="FX39" s="226"/>
      <c r="FY39" s="226"/>
      <c r="FZ39" s="226"/>
      <c r="GA39" s="226"/>
      <c r="GB39" s="226"/>
      <c r="GC39" s="226"/>
      <c r="GD39" s="226"/>
      <c r="GE39" s="226"/>
      <c r="GF39" s="226"/>
      <c r="GG39" s="226"/>
      <c r="GH39" s="226"/>
      <c r="GI39" s="226"/>
      <c r="GJ39" s="226"/>
      <c r="GK39" s="226"/>
      <c r="GL39" s="226"/>
      <c r="GM39" s="226"/>
      <c r="GN39" s="226"/>
      <c r="GO39" s="226"/>
      <c r="GP39" s="226"/>
      <c r="GQ39" s="226"/>
      <c r="GR39" s="226"/>
      <c r="GS39" s="226"/>
      <c r="GT39" s="226"/>
      <c r="GU39" s="226"/>
      <c r="GV39" s="226"/>
      <c r="GW39" s="226"/>
      <c r="GX39" s="226"/>
      <c r="GY39" s="226"/>
      <c r="GZ39" s="226"/>
      <c r="HA39" s="226"/>
      <c r="HB39" s="226"/>
      <c r="HC39" s="226"/>
      <c r="HD39" s="226"/>
      <c r="NP39" s="1" t="s">
        <v>170</v>
      </c>
      <c r="NQ39" s="346"/>
      <c r="NR39" s="346"/>
      <c r="NS39" s="322" t="s">
        <v>1</v>
      </c>
      <c r="NT39" s="382">
        <f>H12*1.06*NT2^0.5*NT34*NT27</f>
        <v>39941.668295714204</v>
      </c>
      <c r="NU39" s="382"/>
      <c r="NV39" s="382"/>
      <c r="NW39" s="298" t="s">
        <v>17</v>
      </c>
      <c r="NX39" s="346"/>
      <c r="NY39" s="346"/>
      <c r="NZ39" s="346"/>
      <c r="OA39" s="302"/>
      <c r="OB39" s="302"/>
      <c r="OC39" s="302"/>
      <c r="OD39" s="302"/>
      <c r="QC39" s="78" t="s">
        <v>23</v>
      </c>
      <c r="QD39" s="78">
        <f>QD36</f>
        <v>-7.1428571428571438E-2</v>
      </c>
      <c r="QE39" s="78">
        <f>QD39</f>
        <v>-7.1428571428571438E-2</v>
      </c>
      <c r="QG39" s="78">
        <f>QI36</f>
        <v>7.1428571428571438E-2</v>
      </c>
      <c r="QH39" s="78">
        <f>QG39</f>
        <v>7.1428571428571438E-2</v>
      </c>
      <c r="QJ39" s="78">
        <f>QD39-(0.1/QC3)</f>
        <v>-0.14285714285714288</v>
      </c>
      <c r="QK39" s="78">
        <f>QG39+(0.1/QC3)</f>
        <v>0.14285714285714288</v>
      </c>
      <c r="QY39" s="346"/>
      <c r="QZ39" s="346"/>
      <c r="RA39" s="346"/>
      <c r="RB39" s="346"/>
      <c r="RC39" s="346"/>
      <c r="RD39" s="346"/>
      <c r="RE39" s="346"/>
      <c r="RF39" s="346"/>
      <c r="RG39" s="346"/>
      <c r="RH39" s="346"/>
      <c r="RI39" s="346"/>
      <c r="RJ39" s="346"/>
      <c r="RK39" s="346"/>
      <c r="RL39" s="346"/>
      <c r="RM39" s="346"/>
      <c r="RN39" s="346"/>
      <c r="RO39" s="346"/>
      <c r="RP39" s="346"/>
      <c r="RQ39" s="346"/>
      <c r="RR39" s="346"/>
      <c r="RS39" s="346"/>
      <c r="RT39" s="346"/>
      <c r="RU39" s="346"/>
      <c r="RV39" s="346"/>
      <c r="RW39" s="346"/>
      <c r="RX39" s="346"/>
      <c r="RY39" s="346"/>
      <c r="RZ39" s="346"/>
      <c r="SA39" s="346"/>
      <c r="SB39" s="346"/>
      <c r="SC39" s="346"/>
      <c r="SD39" s="346"/>
      <c r="SE39" s="346"/>
      <c r="SF39" s="346"/>
      <c r="SG39" s="346"/>
      <c r="SH39" s="346"/>
      <c r="SI39" s="346"/>
      <c r="SJ39" s="346"/>
      <c r="SK39" s="346"/>
      <c r="SL39" s="346"/>
      <c r="SM39" s="346"/>
      <c r="SN39" s="346"/>
      <c r="SO39" s="346"/>
      <c r="SP39" s="346"/>
      <c r="SQ39" s="346"/>
      <c r="SR39" s="346"/>
      <c r="SS39" s="346"/>
      <c r="ST39" s="346"/>
      <c r="SU39" s="346"/>
      <c r="SV39" s="346"/>
      <c r="SW39" s="346"/>
      <c r="SX39" s="346"/>
      <c r="SY39" s="346"/>
      <c r="SZ39" s="346"/>
      <c r="TA39" s="346"/>
    </row>
    <row r="40" spans="1:521" ht="14.1" customHeight="1" x14ac:dyDescent="0.2">
      <c r="A40" s="226"/>
      <c r="B40" s="275"/>
      <c r="C40" s="343"/>
      <c r="D40" s="276"/>
      <c r="E40" s="276"/>
      <c r="F40" s="276"/>
      <c r="G40" s="276"/>
      <c r="H40" s="276"/>
      <c r="I40" s="276"/>
      <c r="J40" s="276"/>
      <c r="K40" s="276"/>
      <c r="L40" s="276"/>
      <c r="M40" s="276"/>
      <c r="N40" s="276"/>
      <c r="O40" s="276"/>
      <c r="P40" s="276"/>
      <c r="Q40" s="276"/>
      <c r="R40" s="276"/>
      <c r="S40" s="276"/>
      <c r="T40" s="276"/>
      <c r="U40" s="276"/>
      <c r="V40" s="276"/>
      <c r="W40" s="276"/>
      <c r="X40" s="276"/>
      <c r="Y40" s="276"/>
      <c r="Z40" s="276"/>
      <c r="AA40" s="276"/>
      <c r="AB40" s="276"/>
      <c r="AC40" s="276"/>
      <c r="AD40" s="276"/>
      <c r="AE40" s="276"/>
      <c r="AF40" s="370"/>
      <c r="AG40" s="370"/>
      <c r="AH40" s="370"/>
      <c r="AI40" s="370"/>
      <c r="AJ40" s="276"/>
      <c r="AK40" s="276"/>
      <c r="AL40" s="276"/>
      <c r="AM40" s="276"/>
      <c r="AN40" s="276"/>
      <c r="AO40" s="276"/>
      <c r="AP40" s="276"/>
      <c r="AQ40" s="276"/>
      <c r="AR40" s="276"/>
      <c r="AS40" s="276"/>
      <c r="AT40" s="276"/>
      <c r="AU40" s="276"/>
      <c r="AV40" s="276"/>
      <c r="AW40" s="276"/>
      <c r="AX40" s="276"/>
      <c r="AY40" s="276"/>
      <c r="AZ40" s="276"/>
      <c r="BA40" s="276"/>
      <c r="BB40" s="276"/>
      <c r="BC40" s="276"/>
      <c r="BD40" s="276"/>
      <c r="BE40" s="276"/>
      <c r="BF40" s="276"/>
      <c r="BG40" s="276"/>
      <c r="BH40" s="276"/>
      <c r="BI40" s="276"/>
      <c r="BJ40" s="276"/>
      <c r="BK40" s="276"/>
      <c r="BL40" s="276"/>
      <c r="BM40" s="276"/>
      <c r="BN40" s="276"/>
      <c r="BO40" s="276"/>
      <c r="BP40" s="276"/>
      <c r="BQ40" s="276"/>
      <c r="BR40" s="276"/>
      <c r="BS40" s="276"/>
      <c r="BT40" s="276"/>
      <c r="BU40" s="276"/>
      <c r="BV40" s="276"/>
      <c r="BW40" s="276"/>
      <c r="BX40" s="276"/>
      <c r="BY40" s="276"/>
      <c r="BZ40" s="276"/>
      <c r="CA40" s="276"/>
      <c r="CB40" s="276"/>
      <c r="CC40" s="276"/>
      <c r="CD40" s="276"/>
      <c r="CE40" s="277"/>
      <c r="CF40" s="226"/>
      <c r="CG40" s="226"/>
      <c r="CH40" s="226"/>
      <c r="CI40" s="226"/>
      <c r="CJ40" s="226"/>
      <c r="CK40" s="226"/>
      <c r="CL40" s="226"/>
      <c r="CM40" s="226"/>
      <c r="CN40" s="226"/>
      <c r="CO40" s="226"/>
      <c r="CP40" s="226"/>
      <c r="CQ40" s="226"/>
      <c r="CR40" s="226"/>
      <c r="CS40" s="226"/>
      <c r="CT40" s="226"/>
      <c r="CU40" s="226"/>
      <c r="CV40" s="226"/>
      <c r="CW40" s="226"/>
      <c r="CX40" s="226"/>
      <c r="CY40" s="226"/>
      <c r="CZ40" s="226"/>
      <c r="DA40" s="226"/>
      <c r="DB40" s="226"/>
      <c r="DC40" s="226"/>
      <c r="DD40" s="226"/>
      <c r="DE40" s="226"/>
      <c r="DF40" s="226"/>
      <c r="DG40" s="226"/>
      <c r="DH40" s="226"/>
      <c r="DI40" s="226"/>
      <c r="DJ40" s="226"/>
      <c r="DK40" s="226"/>
      <c r="DL40" s="226"/>
      <c r="DM40" s="226"/>
      <c r="DN40" s="226"/>
      <c r="DO40" s="226"/>
      <c r="DP40" s="226"/>
      <c r="DQ40" s="226"/>
      <c r="DR40" s="226"/>
      <c r="DS40" s="226"/>
      <c r="DT40" s="226"/>
      <c r="DU40" s="226"/>
      <c r="DV40" s="226"/>
      <c r="DW40" s="226"/>
      <c r="DX40" s="226"/>
      <c r="DY40" s="226"/>
      <c r="DZ40" s="226"/>
      <c r="EA40" s="226"/>
      <c r="EB40" s="226"/>
      <c r="EC40" s="226"/>
      <c r="ED40" s="226"/>
      <c r="EE40" s="226"/>
      <c r="EF40" s="226"/>
      <c r="EG40" s="226"/>
      <c r="EH40" s="226"/>
      <c r="EI40" s="226"/>
      <c r="EJ40" s="226"/>
      <c r="EK40" s="226"/>
      <c r="EL40" s="226"/>
      <c r="EM40" s="226"/>
      <c r="EN40" s="226"/>
      <c r="EO40" s="226"/>
      <c r="EP40" s="226"/>
      <c r="EQ40" s="226"/>
      <c r="ER40" s="226"/>
      <c r="ES40" s="226"/>
      <c r="ET40" s="226"/>
      <c r="EU40" s="226"/>
      <c r="EV40" s="226"/>
      <c r="EW40" s="226"/>
      <c r="EX40" s="226"/>
      <c r="EY40" s="226"/>
      <c r="EZ40" s="226"/>
      <c r="FA40" s="226"/>
      <c r="FB40" s="226"/>
      <c r="FC40" s="226"/>
      <c r="FD40" s="226"/>
      <c r="FE40" s="226"/>
      <c r="FF40" s="226"/>
      <c r="FG40" s="226"/>
      <c r="FH40" s="226"/>
      <c r="FI40" s="226"/>
      <c r="FJ40" s="226"/>
      <c r="FK40" s="226"/>
      <c r="FL40" s="226"/>
      <c r="FM40" s="226"/>
      <c r="FN40" s="226"/>
      <c r="FO40" s="226"/>
      <c r="FP40" s="226"/>
      <c r="FQ40" s="226"/>
      <c r="FR40" s="226"/>
      <c r="FS40" s="226"/>
      <c r="FT40" s="226"/>
      <c r="FU40" s="226"/>
      <c r="FV40" s="226"/>
      <c r="FW40" s="226"/>
      <c r="FX40" s="226"/>
      <c r="FY40" s="226"/>
      <c r="FZ40" s="226"/>
      <c r="GA40" s="226"/>
      <c r="GB40" s="226"/>
      <c r="GC40" s="226"/>
      <c r="GD40" s="226"/>
      <c r="GE40" s="226"/>
      <c r="GF40" s="226"/>
      <c r="GG40" s="226"/>
      <c r="GH40" s="226"/>
      <c r="GI40" s="226"/>
      <c r="GJ40" s="226"/>
      <c r="GK40" s="226"/>
      <c r="GL40" s="226"/>
      <c r="GM40" s="226"/>
      <c r="GN40" s="226"/>
      <c r="GO40" s="226"/>
      <c r="GP40" s="226"/>
      <c r="GQ40" s="226"/>
      <c r="GR40" s="226"/>
      <c r="GS40" s="226"/>
      <c r="GT40" s="226"/>
      <c r="GU40" s="226"/>
      <c r="GV40" s="226"/>
      <c r="GW40" s="226"/>
      <c r="GX40" s="226"/>
      <c r="GY40" s="226"/>
      <c r="GZ40" s="226"/>
      <c r="HA40" s="226"/>
      <c r="HB40" s="226"/>
      <c r="HC40" s="226"/>
      <c r="HD40" s="226"/>
      <c r="NP40" s="1" t="s">
        <v>171</v>
      </c>
      <c r="NQ40" s="168"/>
      <c r="NR40" s="168"/>
      <c r="NS40" s="322" t="s">
        <v>1</v>
      </c>
      <c r="NT40" s="383">
        <f>MIN(NT38:NV39)</f>
        <v>39941.668295714204</v>
      </c>
      <c r="NU40" s="384"/>
      <c r="NV40" s="384"/>
      <c r="NW40" s="168"/>
      <c r="NX40" s="14" t="s">
        <v>52</v>
      </c>
      <c r="NY40" s="302"/>
      <c r="NZ40" s="11" t="str">
        <f>IF(NT40&gt;=NT36,"Ok","Not Ok")</f>
        <v>Ok</v>
      </c>
      <c r="QC40" s="78" t="s">
        <v>24</v>
      </c>
      <c r="QD40" s="78">
        <f>QD37</f>
        <v>0.2142857142857143</v>
      </c>
      <c r="QE40" s="78">
        <v>0.8</v>
      </c>
      <c r="QG40" s="78">
        <f>QD40</f>
        <v>0.2142857142857143</v>
      </c>
      <c r="QH40" s="78">
        <f>QE40</f>
        <v>0.8</v>
      </c>
      <c r="QJ40" s="78">
        <f>QH40</f>
        <v>0.8</v>
      </c>
      <c r="QK40" s="78">
        <f>QJ40</f>
        <v>0.8</v>
      </c>
      <c r="QY40" s="346"/>
      <c r="QZ40" s="346"/>
      <c r="RA40" s="346"/>
      <c r="RB40" s="346"/>
      <c r="RC40" s="346"/>
      <c r="RD40" s="346"/>
      <c r="RE40" s="346"/>
      <c r="RF40" s="346"/>
      <c r="RG40" s="346"/>
      <c r="RH40" s="346"/>
      <c r="RI40" s="346"/>
      <c r="RJ40" s="346"/>
      <c r="RK40" s="346"/>
      <c r="RL40" s="346"/>
      <c r="RM40" s="346"/>
      <c r="RN40" s="346"/>
      <c r="RO40" s="346"/>
      <c r="RP40" s="346"/>
      <c r="RQ40" s="346"/>
      <c r="RR40" s="346"/>
      <c r="RS40" s="346"/>
      <c r="RT40" s="346"/>
      <c r="RU40" s="346"/>
      <c r="RV40" s="346"/>
      <c r="RW40" s="346"/>
      <c r="RX40" s="346"/>
      <c r="RY40" s="346"/>
      <c r="RZ40" s="346"/>
      <c r="SA40" s="346"/>
      <c r="SB40" s="346"/>
      <c r="SC40" s="346"/>
      <c r="SD40" s="346"/>
      <c r="SE40" s="346"/>
      <c r="SF40" s="346"/>
      <c r="SG40" s="346"/>
      <c r="SH40" s="346"/>
      <c r="SI40" s="346"/>
      <c r="SJ40" s="346"/>
      <c r="SK40" s="346"/>
      <c r="SL40" s="346"/>
      <c r="SM40" s="346"/>
      <c r="SN40" s="346"/>
      <c r="SO40" s="346"/>
      <c r="SP40" s="346"/>
      <c r="SQ40" s="346"/>
      <c r="SR40" s="346"/>
      <c r="SS40" s="346"/>
      <c r="ST40" s="346"/>
      <c r="SU40" s="346"/>
      <c r="SV40" s="346"/>
      <c r="SW40" s="346"/>
      <c r="SX40" s="346"/>
      <c r="SY40" s="346"/>
      <c r="SZ40" s="346"/>
      <c r="TA40" s="346"/>
    </row>
    <row r="41" spans="1:521" ht="14.1" customHeight="1" x14ac:dyDescent="0.2">
      <c r="A41" s="226"/>
      <c r="B41" s="124"/>
      <c r="C41" s="124"/>
      <c r="D41" s="226"/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26"/>
      <c r="Z41" s="226"/>
      <c r="AA41" s="226"/>
      <c r="AB41" s="226"/>
      <c r="AC41" s="226"/>
      <c r="AD41" s="226"/>
      <c r="AE41" s="226"/>
      <c r="AF41" s="145"/>
      <c r="AG41" s="145"/>
      <c r="AH41" s="145"/>
      <c r="AI41" s="145"/>
      <c r="AJ41" s="226"/>
      <c r="AK41" s="226"/>
      <c r="AL41" s="226"/>
      <c r="AM41" s="226"/>
      <c r="AN41" s="226"/>
      <c r="AO41" s="226"/>
      <c r="AP41" s="226"/>
      <c r="AQ41" s="226"/>
      <c r="AR41" s="226"/>
      <c r="AS41" s="226"/>
      <c r="AT41" s="226"/>
      <c r="AU41" s="226"/>
      <c r="AV41" s="226"/>
      <c r="AW41" s="226"/>
      <c r="AX41" s="226"/>
      <c r="AY41" s="226"/>
      <c r="AZ41" s="226"/>
      <c r="BA41" s="226"/>
      <c r="BB41" s="226"/>
      <c r="BC41" s="226"/>
      <c r="BD41" s="226"/>
      <c r="BE41" s="226"/>
      <c r="BF41" s="226"/>
      <c r="BG41" s="226"/>
      <c r="BH41" s="226"/>
      <c r="BI41" s="226"/>
      <c r="BJ41" s="226"/>
      <c r="BK41" s="226"/>
      <c r="BL41" s="226"/>
      <c r="BM41" s="226"/>
      <c r="BN41" s="226"/>
      <c r="BO41" s="226"/>
      <c r="BP41" s="226"/>
      <c r="BQ41" s="226"/>
      <c r="BR41" s="226"/>
      <c r="BS41" s="226"/>
      <c r="BT41" s="226"/>
      <c r="BU41" s="226"/>
      <c r="BV41" s="226"/>
      <c r="BW41" s="226"/>
      <c r="BX41" s="226"/>
      <c r="BY41" s="226"/>
      <c r="BZ41" s="226"/>
      <c r="CA41" s="226"/>
      <c r="CB41" s="226"/>
      <c r="CC41" s="226"/>
      <c r="CD41" s="226"/>
      <c r="CE41" s="226"/>
      <c r="CF41" s="226"/>
      <c r="CG41" s="226"/>
      <c r="CH41" s="226"/>
      <c r="CI41" s="226"/>
      <c r="CJ41" s="226"/>
      <c r="CK41" s="226"/>
      <c r="CL41" s="226"/>
      <c r="CM41" s="226"/>
      <c r="CN41" s="226"/>
      <c r="CO41" s="226"/>
      <c r="CP41" s="226"/>
      <c r="CQ41" s="226"/>
      <c r="CR41" s="226"/>
      <c r="CS41" s="226"/>
      <c r="CT41" s="226"/>
      <c r="CU41" s="226"/>
      <c r="CV41" s="226"/>
      <c r="CW41" s="226"/>
      <c r="CX41" s="226"/>
      <c r="CY41" s="226"/>
      <c r="CZ41" s="226"/>
      <c r="DA41" s="226"/>
      <c r="DB41" s="226"/>
      <c r="DC41" s="226"/>
      <c r="DD41" s="226"/>
      <c r="DE41" s="226"/>
      <c r="DF41" s="226"/>
      <c r="DG41" s="226"/>
      <c r="DH41" s="226"/>
      <c r="DI41" s="226"/>
      <c r="DJ41" s="226"/>
      <c r="DK41" s="226"/>
      <c r="DL41" s="226"/>
      <c r="DM41" s="226"/>
      <c r="DN41" s="226"/>
      <c r="DO41" s="226"/>
      <c r="DP41" s="226"/>
      <c r="DQ41" s="226"/>
      <c r="DR41" s="226"/>
      <c r="DS41" s="226"/>
      <c r="DT41" s="226"/>
      <c r="DU41" s="226"/>
      <c r="DV41" s="226"/>
      <c r="DW41" s="226"/>
      <c r="DX41" s="226"/>
      <c r="DY41" s="226"/>
      <c r="DZ41" s="226"/>
      <c r="EA41" s="226"/>
      <c r="EB41" s="226"/>
      <c r="EC41" s="226"/>
      <c r="ED41" s="226"/>
      <c r="EE41" s="226"/>
      <c r="EF41" s="226"/>
      <c r="EG41" s="226"/>
      <c r="EH41" s="226"/>
      <c r="EI41" s="226"/>
      <c r="EJ41" s="226"/>
      <c r="EK41" s="226"/>
      <c r="EL41" s="226"/>
      <c r="EM41" s="226"/>
      <c r="EN41" s="226"/>
      <c r="EO41" s="226"/>
      <c r="EP41" s="226"/>
      <c r="EQ41" s="226"/>
      <c r="ER41" s="226"/>
      <c r="ES41" s="226"/>
      <c r="ET41" s="226"/>
      <c r="EU41" s="226"/>
      <c r="EV41" s="226"/>
      <c r="EW41" s="226"/>
      <c r="EX41" s="226"/>
      <c r="EY41" s="226"/>
      <c r="EZ41" s="226"/>
      <c r="FA41" s="226"/>
      <c r="FB41" s="226"/>
      <c r="FC41" s="226"/>
      <c r="FD41" s="226"/>
      <c r="FE41" s="226"/>
      <c r="FF41" s="226"/>
      <c r="FG41" s="226"/>
      <c r="FH41" s="226"/>
      <c r="FI41" s="226"/>
      <c r="FJ41" s="226"/>
      <c r="FK41" s="226"/>
      <c r="FL41" s="226"/>
      <c r="FM41" s="226"/>
      <c r="FN41" s="226"/>
      <c r="FO41" s="226"/>
      <c r="FP41" s="226"/>
      <c r="FQ41" s="226"/>
      <c r="FR41" s="226"/>
      <c r="FS41" s="226"/>
      <c r="FT41" s="226"/>
      <c r="FU41" s="226"/>
      <c r="FV41" s="226"/>
      <c r="FW41" s="226"/>
      <c r="FX41" s="226"/>
      <c r="FY41" s="226"/>
      <c r="FZ41" s="226"/>
      <c r="GA41" s="226"/>
      <c r="GB41" s="226"/>
      <c r="GC41" s="226"/>
      <c r="GD41" s="226"/>
      <c r="GE41" s="226"/>
      <c r="GF41" s="226"/>
      <c r="GG41" s="226"/>
      <c r="GH41" s="226"/>
      <c r="GI41" s="226"/>
      <c r="GJ41" s="226"/>
      <c r="GK41" s="226"/>
      <c r="GL41" s="226"/>
      <c r="GM41" s="226"/>
      <c r="GN41" s="226"/>
      <c r="GO41" s="226"/>
      <c r="GP41" s="226"/>
      <c r="GQ41" s="226"/>
      <c r="GR41" s="226"/>
      <c r="GS41" s="226"/>
      <c r="GT41" s="226"/>
      <c r="GU41" s="226"/>
      <c r="GV41" s="226"/>
      <c r="GW41" s="226"/>
      <c r="GX41" s="226"/>
      <c r="GY41" s="226"/>
      <c r="GZ41" s="226"/>
      <c r="HA41" s="226"/>
      <c r="HB41" s="226"/>
      <c r="HC41" s="226"/>
      <c r="HD41" s="226"/>
      <c r="NP41" s="301" t="s">
        <v>118</v>
      </c>
      <c r="NQ41" s="322"/>
      <c r="NR41" s="322"/>
      <c r="NS41" s="322" t="s">
        <v>1</v>
      </c>
      <c r="NT41" s="385">
        <f>(NT18*100)/(H10*(H34*100)*(NT27^2))</f>
        <v>7.0783028750160906</v>
      </c>
      <c r="NU41" s="385"/>
      <c r="NV41" s="385"/>
      <c r="NW41" s="301" t="s">
        <v>2</v>
      </c>
      <c r="NX41" s="13"/>
      <c r="NY41" s="168"/>
      <c r="NZ41" s="168"/>
      <c r="QC41" s="78" t="s">
        <v>139</v>
      </c>
      <c r="QY41" s="346"/>
      <c r="QZ41" s="346"/>
      <c r="RA41" s="346"/>
      <c r="RB41" s="346"/>
      <c r="RC41" s="346"/>
      <c r="RD41" s="346"/>
      <c r="RE41" s="346"/>
      <c r="RF41" s="346"/>
      <c r="RG41" s="346"/>
      <c r="RH41" s="346"/>
      <c r="RI41" s="346"/>
      <c r="RJ41" s="346"/>
      <c r="RK41" s="346"/>
      <c r="RL41" s="346"/>
      <c r="RM41" s="346"/>
      <c r="RN41" s="346"/>
      <c r="RO41" s="346"/>
      <c r="RP41" s="346"/>
      <c r="RQ41" s="346"/>
      <c r="RR41" s="346"/>
      <c r="RS41" s="346"/>
      <c r="RT41" s="346"/>
      <c r="RU41" s="346"/>
      <c r="RV41" s="346"/>
      <c r="RW41" s="346"/>
      <c r="RX41" s="346"/>
      <c r="RY41" s="346"/>
      <c r="RZ41" s="346"/>
      <c r="SA41" s="346"/>
      <c r="SB41" s="346"/>
      <c r="SC41" s="346"/>
      <c r="SD41" s="346"/>
      <c r="SE41" s="346"/>
      <c r="SF41" s="346"/>
      <c r="SG41" s="346"/>
      <c r="SH41" s="346"/>
      <c r="SI41" s="346"/>
      <c r="SJ41" s="346"/>
      <c r="SK41" s="346"/>
      <c r="SL41" s="346"/>
      <c r="SM41" s="346"/>
      <c r="SN41" s="346"/>
      <c r="SO41" s="346"/>
      <c r="SP41" s="346"/>
      <c r="SQ41" s="346"/>
      <c r="SR41" s="346"/>
      <c r="SS41" s="346"/>
      <c r="ST41" s="346"/>
      <c r="SU41" s="346"/>
      <c r="SV41" s="346"/>
      <c r="SW41" s="346"/>
      <c r="SX41" s="346"/>
      <c r="SY41" s="346"/>
      <c r="SZ41" s="346"/>
      <c r="TA41" s="346"/>
    </row>
    <row r="42" spans="1:521" ht="14.1" customHeight="1" x14ac:dyDescent="0.2">
      <c r="A42" s="226"/>
      <c r="B42" s="124"/>
      <c r="C42" s="124"/>
      <c r="D42" s="226"/>
      <c r="E42" s="226"/>
      <c r="F42" s="226"/>
      <c r="G42" s="226"/>
      <c r="H42" s="226"/>
      <c r="I42" s="226"/>
      <c r="J42" s="226"/>
      <c r="K42" s="226"/>
      <c r="L42" s="226"/>
      <c r="M42" s="226"/>
      <c r="N42" s="226"/>
      <c r="O42" s="226"/>
      <c r="P42" s="226"/>
      <c r="Q42" s="226"/>
      <c r="R42" s="226"/>
      <c r="S42" s="226"/>
      <c r="T42" s="226"/>
      <c r="U42" s="226"/>
      <c r="V42" s="226"/>
      <c r="W42" s="226"/>
      <c r="X42" s="226"/>
      <c r="Y42" s="226"/>
      <c r="Z42" s="226"/>
      <c r="AA42" s="226"/>
      <c r="AB42" s="226"/>
      <c r="AC42" s="226"/>
      <c r="AD42" s="226"/>
      <c r="AE42" s="226"/>
      <c r="AF42" s="145"/>
      <c r="AG42" s="145"/>
      <c r="AH42" s="145"/>
      <c r="AI42" s="145"/>
      <c r="AJ42" s="226"/>
      <c r="AK42" s="226"/>
      <c r="AL42" s="226"/>
      <c r="AM42" s="226"/>
      <c r="AN42" s="226"/>
      <c r="AO42" s="226"/>
      <c r="AP42" s="226"/>
      <c r="AQ42" s="226"/>
      <c r="AR42" s="226"/>
      <c r="AS42" s="226"/>
      <c r="AT42" s="226"/>
      <c r="AU42" s="226"/>
      <c r="AV42" s="226"/>
      <c r="AW42" s="226"/>
      <c r="AX42" s="226"/>
      <c r="AY42" s="226"/>
      <c r="AZ42" s="226"/>
      <c r="BA42" s="226"/>
      <c r="BB42" s="226"/>
      <c r="BC42" s="226"/>
      <c r="BD42" s="226"/>
      <c r="BE42" s="226"/>
      <c r="BF42" s="226"/>
      <c r="BG42" s="226"/>
      <c r="BH42" s="226"/>
      <c r="BI42" s="226"/>
      <c r="BJ42" s="226"/>
      <c r="BK42" s="226"/>
      <c r="BL42" s="226"/>
      <c r="BM42" s="226"/>
      <c r="BN42" s="226"/>
      <c r="BO42" s="226"/>
      <c r="BP42" s="226"/>
      <c r="BQ42" s="226"/>
      <c r="BR42" s="226"/>
      <c r="BS42" s="226"/>
      <c r="BT42" s="226"/>
      <c r="BU42" s="226"/>
      <c r="BV42" s="226"/>
      <c r="BW42" s="226"/>
      <c r="BX42" s="226"/>
      <c r="BY42" s="226"/>
      <c r="BZ42" s="226"/>
      <c r="CA42" s="226"/>
      <c r="CB42" s="226"/>
      <c r="CC42" s="226"/>
      <c r="CD42" s="226"/>
      <c r="CE42" s="226"/>
      <c r="CF42" s="226"/>
      <c r="CG42" s="226"/>
      <c r="CH42" s="226"/>
      <c r="CI42" s="226"/>
      <c r="CJ42" s="226"/>
      <c r="CK42" s="226"/>
      <c r="CL42" s="226"/>
      <c r="CM42" s="226"/>
      <c r="CN42" s="226"/>
      <c r="CO42" s="226"/>
      <c r="CP42" s="226"/>
      <c r="CQ42" s="226"/>
      <c r="CR42" s="226"/>
      <c r="CS42" s="226"/>
      <c r="CT42" s="226"/>
      <c r="CU42" s="226"/>
      <c r="CV42" s="226"/>
      <c r="CW42" s="226"/>
      <c r="CX42" s="226"/>
      <c r="CY42" s="226"/>
      <c r="CZ42" s="226"/>
      <c r="DA42" s="226"/>
      <c r="DB42" s="226"/>
      <c r="DC42" s="226"/>
      <c r="DD42" s="226"/>
      <c r="DE42" s="226"/>
      <c r="DF42" s="226"/>
      <c r="DG42" s="226"/>
      <c r="DH42" s="226"/>
      <c r="DI42" s="226"/>
      <c r="DJ42" s="226"/>
      <c r="DK42" s="226"/>
      <c r="DL42" s="226"/>
      <c r="DM42" s="226"/>
      <c r="DN42" s="226"/>
      <c r="DO42" s="226"/>
      <c r="DP42" s="226"/>
      <c r="DQ42" s="226"/>
      <c r="DR42" s="226"/>
      <c r="DS42" s="226"/>
      <c r="DT42" s="226"/>
      <c r="DU42" s="226"/>
      <c r="DV42" s="226"/>
      <c r="DW42" s="226"/>
      <c r="DX42" s="226"/>
      <c r="DY42" s="226"/>
      <c r="DZ42" s="226"/>
      <c r="EA42" s="226"/>
      <c r="EB42" s="226"/>
      <c r="EC42" s="226"/>
      <c r="ED42" s="226"/>
      <c r="EE42" s="226"/>
      <c r="EF42" s="226"/>
      <c r="EG42" s="226"/>
      <c r="EH42" s="226"/>
      <c r="EI42" s="226"/>
      <c r="EJ42" s="226"/>
      <c r="EK42" s="226"/>
      <c r="EL42" s="226"/>
      <c r="EM42" s="226"/>
      <c r="EN42" s="226"/>
      <c r="EO42" s="226"/>
      <c r="EP42" s="226"/>
      <c r="EQ42" s="226"/>
      <c r="ER42" s="226"/>
      <c r="ES42" s="226"/>
      <c r="ET42" s="226"/>
      <c r="EU42" s="226"/>
      <c r="EV42" s="226"/>
      <c r="EW42" s="226"/>
      <c r="EX42" s="226"/>
      <c r="EY42" s="226"/>
      <c r="EZ42" s="226"/>
      <c r="FA42" s="226"/>
      <c r="FB42" s="226"/>
      <c r="FC42" s="226"/>
      <c r="FD42" s="226"/>
      <c r="FE42" s="226"/>
      <c r="FF42" s="226"/>
      <c r="FG42" s="226"/>
      <c r="FH42" s="226"/>
      <c r="FI42" s="226"/>
      <c r="FJ42" s="226"/>
      <c r="FK42" s="226"/>
      <c r="FL42" s="226"/>
      <c r="FM42" s="226"/>
      <c r="FN42" s="226"/>
      <c r="FO42" s="226"/>
      <c r="FP42" s="226"/>
      <c r="FQ42" s="226"/>
      <c r="FR42" s="226"/>
      <c r="FS42" s="226"/>
      <c r="FT42" s="226"/>
      <c r="FU42" s="226"/>
      <c r="FV42" s="226"/>
      <c r="FW42" s="226"/>
      <c r="FX42" s="226"/>
      <c r="FY42" s="226"/>
      <c r="FZ42" s="226"/>
      <c r="GA42" s="226"/>
      <c r="GB42" s="226"/>
      <c r="GC42" s="226"/>
      <c r="GD42" s="226"/>
      <c r="GE42" s="226"/>
      <c r="GF42" s="226"/>
      <c r="GG42" s="226"/>
      <c r="GH42" s="226"/>
      <c r="GI42" s="226"/>
      <c r="GJ42" s="226"/>
      <c r="GK42" s="226"/>
      <c r="GL42" s="226"/>
      <c r="GM42" s="226"/>
      <c r="GN42" s="226"/>
      <c r="GO42" s="226"/>
      <c r="GP42" s="226"/>
      <c r="GQ42" s="226"/>
      <c r="GR42" s="226"/>
      <c r="GS42" s="226"/>
      <c r="GT42" s="226"/>
      <c r="GU42" s="226"/>
      <c r="GV42" s="226"/>
      <c r="GW42" s="226"/>
      <c r="GX42" s="226"/>
      <c r="GY42" s="226"/>
      <c r="GZ42" s="226"/>
      <c r="HA42" s="226"/>
      <c r="HB42" s="226"/>
      <c r="HC42" s="226"/>
      <c r="HD42" s="226"/>
      <c r="NP42" s="1" t="s">
        <v>35</v>
      </c>
      <c r="NQ42" s="322"/>
      <c r="NR42" s="322"/>
      <c r="NS42" s="322" t="s">
        <v>1</v>
      </c>
      <c r="NT42" s="378">
        <f>0.85*(NT2/NT3)*(1-SQRT(1-((2*NT41)/(0.85*NT2))))</f>
        <v>2.428837236637651E-3</v>
      </c>
      <c r="NU42" s="378"/>
      <c r="NV42" s="378"/>
      <c r="NW42" s="299" t="s">
        <v>0</v>
      </c>
      <c r="NX42" s="346"/>
      <c r="NY42" s="346"/>
      <c r="NZ42" s="346"/>
      <c r="QC42" s="78" t="s">
        <v>23</v>
      </c>
      <c r="QD42" s="78">
        <f>QD28</f>
        <v>-0.6428571428571429</v>
      </c>
      <c r="QE42" s="78">
        <f>QD42</f>
        <v>-0.6428571428571429</v>
      </c>
      <c r="QG42" s="78">
        <f>QG28</f>
        <v>-0.66428571428571437</v>
      </c>
      <c r="QH42" s="78">
        <f>QH28</f>
        <v>-0.62142857142857144</v>
      </c>
      <c r="QJ42" s="78">
        <f>QG42</f>
        <v>-0.66428571428571437</v>
      </c>
      <c r="QK42" s="78">
        <f>QH42</f>
        <v>-0.62142857142857144</v>
      </c>
      <c r="QM42" s="355" t="str">
        <f>CONCATENATE("T = ",QC8)</f>
        <v>T = 0.3</v>
      </c>
      <c r="QO42" s="78">
        <f>QD42</f>
        <v>-0.6428571428571429</v>
      </c>
      <c r="QQ42" s="78">
        <f>QJ42</f>
        <v>-0.66428571428571437</v>
      </c>
      <c r="QR42" s="78">
        <f>QK42</f>
        <v>-0.62142857142857144</v>
      </c>
      <c r="QT42" s="78">
        <f>QQ42</f>
        <v>-0.66428571428571437</v>
      </c>
      <c r="QU42" s="78">
        <f>QR42</f>
        <v>-0.62142857142857144</v>
      </c>
      <c r="QY42" s="346"/>
      <c r="QZ42" s="346"/>
      <c r="RA42" s="346"/>
      <c r="RB42" s="346"/>
      <c r="RC42" s="346"/>
      <c r="RD42" s="346"/>
      <c r="RE42" s="346"/>
      <c r="RF42" s="346"/>
      <c r="RG42" s="346"/>
      <c r="RH42" s="346"/>
      <c r="RI42" s="346"/>
      <c r="RJ42" s="346"/>
      <c r="RK42" s="346"/>
      <c r="RL42" s="346"/>
      <c r="RM42" s="346"/>
      <c r="RN42" s="346"/>
      <c r="RO42" s="346"/>
      <c r="RP42" s="346"/>
      <c r="RQ42" s="346"/>
      <c r="RR42" s="346"/>
      <c r="RS42" s="346"/>
      <c r="RT42" s="346"/>
      <c r="RU42" s="346"/>
      <c r="RV42" s="346"/>
      <c r="RW42" s="346"/>
      <c r="RX42" s="346"/>
      <c r="RY42" s="346"/>
      <c r="RZ42" s="346"/>
      <c r="SA42" s="346"/>
      <c r="SB42" s="346"/>
      <c r="SC42" s="346"/>
      <c r="SD42" s="346"/>
      <c r="SE42" s="346"/>
      <c r="SF42" s="346"/>
      <c r="SG42" s="346"/>
      <c r="SH42" s="346"/>
      <c r="SI42" s="346"/>
      <c r="SJ42" s="346"/>
      <c r="SK42" s="346"/>
      <c r="SL42" s="346"/>
      <c r="SM42" s="346"/>
      <c r="SN42" s="346"/>
      <c r="SO42" s="346"/>
      <c r="SP42" s="346"/>
      <c r="SQ42" s="346"/>
      <c r="SR42" s="346"/>
      <c r="SS42" s="346"/>
      <c r="ST42" s="346"/>
      <c r="SU42" s="346"/>
      <c r="SV42" s="346"/>
      <c r="SW42" s="346"/>
      <c r="SX42" s="346"/>
      <c r="SY42" s="346"/>
      <c r="SZ42" s="346"/>
      <c r="TA42" s="346"/>
    </row>
    <row r="43" spans="1:521" ht="14.1" customHeight="1" x14ac:dyDescent="0.2">
      <c r="A43" s="226"/>
      <c r="B43" s="124"/>
      <c r="C43" s="124"/>
      <c r="D43" s="226"/>
      <c r="E43" s="226"/>
      <c r="F43" s="226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26"/>
      <c r="Y43" s="226"/>
      <c r="Z43" s="226"/>
      <c r="AA43" s="226"/>
      <c r="AB43" s="226"/>
      <c r="AC43" s="226"/>
      <c r="AD43" s="226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  <c r="EE43" s="16"/>
      <c r="EF43" s="16"/>
      <c r="EG43" s="16"/>
      <c r="EH43" s="16"/>
      <c r="EI43" s="16"/>
      <c r="EJ43" s="16"/>
      <c r="EK43" s="16"/>
      <c r="EL43" s="16"/>
      <c r="EM43" s="16"/>
      <c r="EN43" s="16"/>
      <c r="EO43" s="16"/>
      <c r="EP43" s="16"/>
      <c r="EQ43" s="16"/>
      <c r="ER43" s="16"/>
      <c r="ES43" s="16"/>
      <c r="ET43" s="16"/>
      <c r="EU43" s="16"/>
      <c r="EV43" s="16"/>
      <c r="EW43" s="16"/>
      <c r="EX43" s="16"/>
      <c r="EY43" s="16"/>
      <c r="EZ43" s="16"/>
      <c r="FA43" s="16"/>
      <c r="FB43" s="16"/>
      <c r="FC43" s="16"/>
      <c r="FD43" s="16"/>
      <c r="FE43" s="16"/>
      <c r="FF43" s="16"/>
      <c r="FG43" s="16"/>
      <c r="FH43" s="16"/>
      <c r="FI43" s="16"/>
      <c r="FJ43" s="16"/>
      <c r="FK43" s="16"/>
      <c r="FL43" s="16"/>
      <c r="FM43" s="16"/>
      <c r="FN43" s="16"/>
      <c r="FO43" s="16"/>
      <c r="FP43" s="16"/>
      <c r="FQ43" s="16"/>
      <c r="FR43" s="16"/>
      <c r="FS43" s="16"/>
      <c r="FT43" s="16"/>
      <c r="FU43" s="16"/>
      <c r="FV43" s="16"/>
      <c r="FW43" s="16"/>
      <c r="FX43" s="16"/>
      <c r="FY43" s="16"/>
      <c r="FZ43" s="16"/>
      <c r="GA43" s="16"/>
      <c r="GB43" s="16"/>
      <c r="GC43" s="16"/>
      <c r="GD43" s="16"/>
      <c r="GE43" s="16"/>
      <c r="GF43" s="16"/>
      <c r="GG43" s="16"/>
      <c r="GH43" s="16"/>
      <c r="GI43" s="16"/>
      <c r="GJ43" s="16"/>
      <c r="GK43" s="16"/>
      <c r="GL43" s="16"/>
      <c r="GM43" s="16"/>
      <c r="GN43" s="16"/>
      <c r="GO43" s="16"/>
      <c r="GP43" s="16"/>
      <c r="GQ43" s="16"/>
      <c r="GR43" s="16"/>
      <c r="GS43" s="16"/>
      <c r="GT43" s="16"/>
      <c r="GU43" s="16"/>
      <c r="GV43" s="16"/>
      <c r="GW43" s="16"/>
      <c r="GX43" s="16"/>
      <c r="GY43" s="16"/>
      <c r="GZ43" s="16"/>
      <c r="HA43" s="16"/>
      <c r="HB43" s="16"/>
      <c r="HC43" s="16"/>
      <c r="HD43" s="16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2"/>
      <c r="NC43" s="2"/>
      <c r="ND43" s="2"/>
      <c r="NE43" s="2"/>
      <c r="NF43" s="2"/>
      <c r="NG43" s="2"/>
      <c r="NH43" s="2"/>
      <c r="NI43" s="2"/>
      <c r="NJ43" s="2"/>
      <c r="NK43" s="2"/>
      <c r="NL43" s="2"/>
      <c r="NM43" s="2"/>
      <c r="NN43" s="2"/>
      <c r="NO43" s="2"/>
      <c r="NP43" s="301" t="s">
        <v>91</v>
      </c>
      <c r="NQ43" s="322"/>
      <c r="NR43" s="322"/>
      <c r="NS43" s="322" t="s">
        <v>1</v>
      </c>
      <c r="NT43" s="381">
        <f>MAX(NT42,NT21)*(H34*100)*NT27</f>
        <v>14.278600000000001</v>
      </c>
      <c r="NU43" s="381"/>
      <c r="NV43" s="381"/>
      <c r="NW43" s="322" t="s">
        <v>19</v>
      </c>
      <c r="NX43" s="302"/>
      <c r="NY43" s="346"/>
      <c r="PN43" s="131"/>
      <c r="PO43" s="131"/>
      <c r="PP43" s="131"/>
      <c r="PQ43" s="131"/>
      <c r="PR43" s="131"/>
      <c r="PS43" s="131"/>
      <c r="PT43" s="131"/>
      <c r="PU43" s="131"/>
      <c r="PV43" s="131"/>
      <c r="PW43" s="131"/>
      <c r="PX43" s="131"/>
      <c r="PY43" s="131"/>
      <c r="QC43" s="78" t="s">
        <v>24</v>
      </c>
      <c r="QD43" s="78">
        <v>0</v>
      </c>
      <c r="QE43" s="78">
        <f>QD37</f>
        <v>0.2142857142857143</v>
      </c>
      <c r="QG43" s="78">
        <f>QD43</f>
        <v>0</v>
      </c>
      <c r="QH43" s="78">
        <f>QG43</f>
        <v>0</v>
      </c>
      <c r="QJ43" s="78">
        <f>QE43</f>
        <v>0.2142857142857143</v>
      </c>
      <c r="QK43" s="78">
        <f>QJ43</f>
        <v>0.2142857142857143</v>
      </c>
      <c r="QO43" s="78">
        <f>QE43/2</f>
        <v>0.10714285714285715</v>
      </c>
      <c r="QQ43" s="78">
        <f>QD58</f>
        <v>-3.5714285714285719E-2</v>
      </c>
      <c r="QR43" s="78">
        <f>QQ43</f>
        <v>-3.5714285714285719E-2</v>
      </c>
      <c r="QT43" s="78">
        <f>QD61</f>
        <v>-0.10714285714285715</v>
      </c>
      <c r="QU43" s="78">
        <f>QT43</f>
        <v>-0.10714285714285715</v>
      </c>
      <c r="QY43" s="346"/>
      <c r="QZ43" s="346"/>
      <c r="RA43" s="346"/>
      <c r="RB43" s="346"/>
      <c r="RC43" s="346"/>
      <c r="RD43" s="346"/>
      <c r="RE43" s="346"/>
      <c r="RF43" s="346"/>
      <c r="RG43" s="346"/>
      <c r="RH43" s="346"/>
      <c r="RI43" s="346"/>
      <c r="RJ43" s="346"/>
      <c r="RK43" s="346"/>
      <c r="RL43" s="346"/>
      <c r="RM43" s="346"/>
      <c r="RN43" s="346"/>
      <c r="RO43" s="346"/>
      <c r="RP43" s="346"/>
      <c r="RQ43" s="346"/>
      <c r="RR43" s="346"/>
      <c r="RS43" s="346"/>
      <c r="RT43" s="346"/>
      <c r="RU43" s="346"/>
      <c r="RV43" s="346"/>
      <c r="RW43" s="346"/>
      <c r="RX43" s="346"/>
      <c r="RY43" s="346"/>
      <c r="RZ43" s="346"/>
      <c r="SA43" s="346"/>
      <c r="SB43" s="346"/>
      <c r="SC43" s="346"/>
      <c r="SD43" s="346"/>
      <c r="SE43" s="346"/>
      <c r="SF43" s="346"/>
      <c r="SG43" s="346"/>
      <c r="SH43" s="346"/>
      <c r="SI43" s="346"/>
      <c r="SJ43" s="346"/>
      <c r="SK43" s="346"/>
      <c r="SL43" s="346"/>
      <c r="SM43" s="346"/>
      <c r="SN43" s="346"/>
      <c r="SO43" s="346"/>
      <c r="SP43" s="346"/>
      <c r="SQ43" s="346"/>
      <c r="SR43" s="346"/>
      <c r="SS43" s="346"/>
      <c r="ST43" s="346"/>
      <c r="SU43" s="346"/>
      <c r="SV43" s="346"/>
      <c r="SW43" s="346"/>
      <c r="SX43" s="346"/>
      <c r="SY43" s="346"/>
      <c r="SZ43" s="346"/>
      <c r="TA43" s="346"/>
    </row>
    <row r="44" spans="1:521" ht="14.1" customHeight="1" x14ac:dyDescent="0.2">
      <c r="A44" s="226"/>
      <c r="B44" s="124"/>
      <c r="C44" s="226"/>
      <c r="D44" s="226"/>
      <c r="E44" s="226"/>
      <c r="F44" s="226"/>
      <c r="G44" s="226"/>
      <c r="H44" s="226"/>
      <c r="I44" s="226"/>
      <c r="J44" s="226"/>
      <c r="K44" s="226"/>
      <c r="L44" s="226"/>
      <c r="M44" s="226"/>
      <c r="N44" s="226"/>
      <c r="O44" s="226"/>
      <c r="P44" s="226"/>
      <c r="Q44" s="226"/>
      <c r="R44" s="226"/>
      <c r="S44" s="226"/>
      <c r="T44" s="226"/>
      <c r="U44" s="226"/>
      <c r="V44" s="226"/>
      <c r="W44" s="226"/>
      <c r="X44" s="226"/>
      <c r="Y44" s="226"/>
      <c r="Z44" s="226"/>
      <c r="AA44" s="226"/>
      <c r="AB44" s="226"/>
      <c r="AC44" s="226"/>
      <c r="AD44" s="226"/>
      <c r="AE44" s="226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  <c r="FF44" s="16"/>
      <c r="FG44" s="16"/>
      <c r="FH44" s="16"/>
      <c r="FI44" s="16"/>
      <c r="FJ44" s="16"/>
      <c r="FK44" s="16"/>
      <c r="FL44" s="16"/>
      <c r="FM44" s="16"/>
      <c r="FN44" s="16"/>
      <c r="FO44" s="16"/>
      <c r="FP44" s="16"/>
      <c r="FQ44" s="16"/>
      <c r="FR44" s="16"/>
      <c r="FS44" s="16"/>
      <c r="FT44" s="16"/>
      <c r="FU44" s="16"/>
      <c r="FV44" s="16"/>
      <c r="FW44" s="16"/>
      <c r="FX44" s="16"/>
      <c r="FY44" s="16"/>
      <c r="FZ44" s="16"/>
      <c r="GA44" s="16"/>
      <c r="GB44" s="16"/>
      <c r="GC44" s="16"/>
      <c r="GD44" s="16"/>
      <c r="GE44" s="16"/>
      <c r="GF44" s="16"/>
      <c r="GG44" s="16"/>
      <c r="GH44" s="16"/>
      <c r="GI44" s="16"/>
      <c r="GJ44" s="16"/>
      <c r="GK44" s="16"/>
      <c r="GL44" s="16"/>
      <c r="GM44" s="16"/>
      <c r="GN44" s="16"/>
      <c r="GO44" s="16"/>
      <c r="GP44" s="16"/>
      <c r="GQ44" s="16"/>
      <c r="GR44" s="16"/>
      <c r="GS44" s="16"/>
      <c r="GT44" s="16"/>
      <c r="GU44" s="16"/>
      <c r="GV44" s="16"/>
      <c r="GW44" s="16"/>
      <c r="GX44" s="16"/>
      <c r="GY44" s="16"/>
      <c r="GZ44" s="16"/>
      <c r="HA44" s="16"/>
      <c r="HB44" s="16"/>
      <c r="HC44" s="16"/>
      <c r="HD44" s="16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2"/>
      <c r="NH44" s="2"/>
      <c r="NI44" s="2"/>
      <c r="NJ44" s="2"/>
      <c r="NK44" s="2"/>
      <c r="NL44" s="2"/>
      <c r="NM44" s="2"/>
      <c r="NN44" s="2"/>
      <c r="NO44" s="2"/>
      <c r="NP44" s="346" t="s">
        <v>67</v>
      </c>
      <c r="NQ44" s="346"/>
      <c r="NR44" s="346"/>
      <c r="NS44" s="322" t="s">
        <v>1</v>
      </c>
      <c r="NT44" s="382">
        <f>H32*NT17*(((H34/2)-(QC6/2))^2/2)</f>
        <v>4199.7085714285713</v>
      </c>
      <c r="NU44" s="382"/>
      <c r="NV44" s="382"/>
      <c r="NW44" s="346" t="s">
        <v>68</v>
      </c>
      <c r="NX44" s="346"/>
      <c r="NY44" s="346"/>
      <c r="PN44" s="131"/>
      <c r="PO44" s="131"/>
      <c r="PP44" s="131"/>
      <c r="PQ44" s="131"/>
      <c r="PR44" s="131"/>
      <c r="PS44" s="131"/>
      <c r="PT44" s="131"/>
      <c r="PU44" s="131"/>
      <c r="PV44" s="131"/>
      <c r="PW44" s="131"/>
      <c r="PX44" s="131"/>
      <c r="PY44" s="131"/>
      <c r="QC44" s="78" t="s">
        <v>122</v>
      </c>
      <c r="QY44" s="346"/>
      <c r="QZ44" s="346"/>
      <c r="RA44" s="346"/>
      <c r="RB44" s="346"/>
      <c r="RC44" s="346"/>
      <c r="RD44" s="346"/>
      <c r="RE44" s="346"/>
      <c r="RF44" s="346"/>
      <c r="RG44" s="346"/>
      <c r="RH44" s="346"/>
      <c r="RI44" s="346"/>
      <c r="RJ44" s="346"/>
      <c r="RK44" s="346"/>
      <c r="RL44" s="346"/>
      <c r="RM44" s="346"/>
      <c r="RN44" s="346"/>
      <c r="RO44" s="346"/>
      <c r="RP44" s="346"/>
      <c r="RQ44" s="346"/>
      <c r="RR44" s="346"/>
      <c r="RS44" s="346"/>
      <c r="RT44" s="346"/>
      <c r="RU44" s="346"/>
      <c r="RV44" s="346"/>
      <c r="RW44" s="346"/>
      <c r="RX44" s="346"/>
      <c r="RY44" s="346"/>
      <c r="RZ44" s="346"/>
      <c r="SA44" s="346"/>
      <c r="SB44" s="346"/>
      <c r="SC44" s="346"/>
      <c r="SD44" s="346"/>
      <c r="SE44" s="346"/>
      <c r="SF44" s="346"/>
      <c r="SG44" s="346"/>
      <c r="SH44" s="346"/>
      <c r="SI44" s="346"/>
      <c r="SJ44" s="346"/>
      <c r="SK44" s="346"/>
      <c r="SL44" s="346"/>
      <c r="SM44" s="346"/>
      <c r="SN44" s="346"/>
      <c r="SO44" s="346"/>
      <c r="SP44" s="346"/>
      <c r="SQ44" s="346"/>
      <c r="SR44" s="346"/>
      <c r="SS44" s="346"/>
      <c r="ST44" s="346"/>
      <c r="SU44" s="346"/>
      <c r="SV44" s="346"/>
      <c r="SW44" s="346"/>
      <c r="SX44" s="346"/>
      <c r="SY44" s="346"/>
      <c r="SZ44" s="346"/>
      <c r="TA44" s="346"/>
    </row>
    <row r="45" spans="1:521" ht="14.1" customHeight="1" x14ac:dyDescent="0.2">
      <c r="A45" s="226"/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6"/>
      <c r="N45" s="226"/>
      <c r="O45" s="226"/>
      <c r="P45" s="226"/>
      <c r="Q45" s="226"/>
      <c r="R45" s="226"/>
      <c r="S45" s="226"/>
      <c r="T45" s="226"/>
      <c r="U45" s="226"/>
      <c r="V45" s="226"/>
      <c r="W45" s="226"/>
      <c r="X45" s="226"/>
      <c r="Y45" s="226"/>
      <c r="Z45" s="226"/>
      <c r="AA45" s="226"/>
      <c r="AB45" s="226"/>
      <c r="AC45" s="226"/>
      <c r="AD45" s="226"/>
      <c r="AE45" s="226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225"/>
      <c r="AT45" s="225"/>
      <c r="AU45" s="225"/>
      <c r="AV45" s="225"/>
      <c r="AW45" s="225"/>
      <c r="AX45" s="225"/>
      <c r="AY45" s="225"/>
      <c r="AZ45" s="225"/>
      <c r="BA45" s="225"/>
      <c r="BB45" s="225"/>
      <c r="BC45" s="225"/>
      <c r="BD45" s="225"/>
      <c r="BE45" s="225"/>
      <c r="BF45" s="225"/>
      <c r="BG45" s="225"/>
      <c r="BH45" s="225"/>
      <c r="BI45" s="225"/>
      <c r="BJ45" s="225"/>
      <c r="BK45" s="225"/>
      <c r="BL45" s="225"/>
      <c r="BM45" s="225"/>
      <c r="BN45" s="225"/>
      <c r="BO45" s="225"/>
      <c r="BP45" s="225"/>
      <c r="BQ45" s="225"/>
      <c r="BR45" s="225"/>
      <c r="BS45" s="225"/>
      <c r="BT45" s="225"/>
      <c r="BU45" s="225"/>
      <c r="BV45" s="225"/>
      <c r="BW45" s="225"/>
      <c r="BX45" s="225"/>
      <c r="BY45" s="225"/>
      <c r="BZ45" s="225"/>
      <c r="CA45" s="225"/>
      <c r="CB45" s="225"/>
      <c r="CC45" s="225"/>
      <c r="CD45" s="225"/>
      <c r="CE45" s="225"/>
      <c r="CF45" s="225"/>
      <c r="CG45" s="225"/>
      <c r="CH45" s="225"/>
      <c r="CI45" s="225"/>
      <c r="CJ45" s="225"/>
      <c r="CK45" s="225"/>
      <c r="CL45" s="225"/>
      <c r="CM45" s="225"/>
      <c r="CN45" s="225"/>
      <c r="CO45" s="225"/>
      <c r="CP45" s="225"/>
      <c r="CQ45" s="225"/>
      <c r="CR45" s="225"/>
      <c r="CS45" s="225"/>
      <c r="CT45" s="225"/>
      <c r="CU45" s="225"/>
      <c r="CV45" s="225"/>
      <c r="CW45" s="225"/>
      <c r="CX45" s="225"/>
      <c r="CY45" s="225"/>
      <c r="CZ45" s="225"/>
      <c r="DA45" s="225"/>
      <c r="DB45" s="225"/>
      <c r="DC45" s="225"/>
      <c r="DD45" s="225"/>
      <c r="DE45" s="225"/>
      <c r="DF45" s="225"/>
      <c r="DG45" s="225"/>
      <c r="DH45" s="225"/>
      <c r="DI45" s="225"/>
      <c r="DJ45" s="225"/>
      <c r="DK45" s="225"/>
      <c r="DL45" s="225"/>
      <c r="DM45" s="225"/>
      <c r="DN45" s="225"/>
      <c r="DO45" s="225"/>
      <c r="DP45" s="225"/>
      <c r="DQ45" s="225"/>
      <c r="DR45" s="225"/>
      <c r="DS45" s="225"/>
      <c r="DT45" s="225"/>
      <c r="DU45" s="225"/>
      <c r="DV45" s="225"/>
      <c r="DW45" s="225"/>
      <c r="DX45" s="225"/>
      <c r="DY45" s="225"/>
      <c r="DZ45" s="225"/>
      <c r="EA45" s="225"/>
      <c r="EB45" s="225"/>
      <c r="EC45" s="225"/>
      <c r="ED45" s="225"/>
      <c r="EE45" s="225"/>
      <c r="EF45" s="225"/>
      <c r="EG45" s="225"/>
      <c r="EH45" s="225"/>
      <c r="EI45" s="225"/>
      <c r="EJ45" s="225"/>
      <c r="EK45" s="225"/>
      <c r="EL45" s="225"/>
      <c r="EM45" s="225"/>
      <c r="EN45" s="225"/>
      <c r="EO45" s="225"/>
      <c r="EP45" s="225"/>
      <c r="EQ45" s="225"/>
      <c r="ER45" s="225"/>
      <c r="ES45" s="225"/>
      <c r="ET45" s="225"/>
      <c r="EU45" s="225"/>
      <c r="EV45" s="225"/>
      <c r="EW45" s="225"/>
      <c r="EX45" s="225"/>
      <c r="EY45" s="225"/>
      <c r="EZ45" s="225"/>
      <c r="FA45" s="225"/>
      <c r="FB45" s="225"/>
      <c r="FC45" s="225"/>
      <c r="FD45" s="225"/>
      <c r="FE45" s="225"/>
      <c r="FF45" s="225"/>
      <c r="FG45" s="225"/>
      <c r="FH45" s="225"/>
      <c r="FI45" s="225"/>
      <c r="FJ45" s="225"/>
      <c r="FK45" s="225"/>
      <c r="FL45" s="225"/>
      <c r="FM45" s="225"/>
      <c r="FN45" s="225"/>
      <c r="FO45" s="225"/>
      <c r="FP45" s="225"/>
      <c r="FQ45" s="225"/>
      <c r="FR45" s="225"/>
      <c r="FS45" s="225"/>
      <c r="FT45" s="225"/>
      <c r="FU45" s="225"/>
      <c r="FV45" s="225"/>
      <c r="FW45" s="225"/>
      <c r="FX45" s="225"/>
      <c r="FY45" s="225"/>
      <c r="FZ45" s="225"/>
      <c r="GA45" s="225"/>
      <c r="GB45" s="225"/>
      <c r="GC45" s="225"/>
      <c r="GD45" s="225"/>
      <c r="GE45" s="225"/>
      <c r="GF45" s="225"/>
      <c r="GG45" s="225"/>
      <c r="GH45" s="225"/>
      <c r="GI45" s="225"/>
      <c r="GJ45" s="225"/>
      <c r="GK45" s="225"/>
      <c r="GL45" s="225"/>
      <c r="GM45" s="225"/>
      <c r="GN45" s="225"/>
      <c r="GO45" s="225"/>
      <c r="GP45" s="225"/>
      <c r="GQ45" s="225"/>
      <c r="GR45" s="225"/>
      <c r="GS45" s="225"/>
      <c r="GT45" s="225"/>
      <c r="GU45" s="225"/>
      <c r="GV45" s="225"/>
      <c r="GW45" s="225"/>
      <c r="GX45" s="225"/>
      <c r="GY45" s="225"/>
      <c r="GZ45" s="225"/>
      <c r="HA45" s="225"/>
      <c r="HB45" s="225"/>
      <c r="HC45" s="225"/>
      <c r="HD45" s="225"/>
      <c r="HE45" s="68"/>
      <c r="HF45" s="68"/>
      <c r="HG45" s="68"/>
      <c r="HH45" s="68"/>
      <c r="HI45" s="68"/>
      <c r="HJ45" s="68"/>
      <c r="HK45" s="68"/>
      <c r="HL45" s="68"/>
      <c r="HM45" s="68"/>
      <c r="HN45" s="68"/>
      <c r="HO45" s="68"/>
      <c r="HP45" s="68"/>
      <c r="HQ45" s="68"/>
      <c r="HR45" s="68"/>
      <c r="HS45" s="68"/>
      <c r="HT45" s="68"/>
      <c r="HU45" s="68"/>
      <c r="HV45" s="68"/>
      <c r="HW45" s="68"/>
      <c r="HX45" s="68"/>
      <c r="HY45" s="68"/>
      <c r="HZ45" s="68"/>
      <c r="IA45" s="68"/>
      <c r="IB45" s="68"/>
      <c r="IC45" s="68"/>
      <c r="ID45" s="68"/>
      <c r="IE45" s="68"/>
      <c r="IF45" s="68"/>
      <c r="IG45" s="68"/>
      <c r="IH45" s="68"/>
      <c r="II45" s="68"/>
      <c r="IJ45" s="68"/>
      <c r="IK45" s="68"/>
      <c r="IL45" s="68"/>
      <c r="IM45" s="68"/>
      <c r="IN45" s="68"/>
      <c r="IO45" s="68"/>
      <c r="IP45" s="68"/>
      <c r="IQ45" s="68"/>
      <c r="IR45" s="68"/>
      <c r="IS45" s="68"/>
      <c r="IT45" s="68"/>
      <c r="IU45" s="68"/>
      <c r="IV45" s="68"/>
      <c r="IW45" s="68"/>
      <c r="IX45" s="68"/>
      <c r="IY45" s="68"/>
      <c r="IZ45" s="68"/>
      <c r="JA45" s="68"/>
      <c r="JB45" s="68"/>
      <c r="JC45" s="68"/>
      <c r="JD45" s="68"/>
      <c r="JE45" s="68"/>
      <c r="JF45" s="68"/>
      <c r="JG45" s="68"/>
      <c r="JH45" s="68"/>
      <c r="JI45" s="68"/>
      <c r="JJ45" s="68"/>
      <c r="JK45" s="68"/>
      <c r="JL45" s="68"/>
      <c r="JM45" s="68"/>
      <c r="JN45" s="68"/>
      <c r="JO45" s="68"/>
      <c r="JP45" s="68"/>
      <c r="JQ45" s="68"/>
      <c r="JR45" s="68"/>
      <c r="JS45" s="68"/>
      <c r="JT45" s="68"/>
      <c r="JU45" s="68"/>
      <c r="JV45" s="68"/>
      <c r="JW45" s="68"/>
      <c r="JX45" s="68"/>
      <c r="JY45" s="68"/>
      <c r="JZ45" s="68"/>
      <c r="KA45" s="68"/>
      <c r="KB45" s="68"/>
      <c r="KC45" s="68"/>
      <c r="KD45" s="68"/>
      <c r="KE45" s="68"/>
      <c r="KF45" s="68"/>
      <c r="KG45" s="68"/>
      <c r="KH45" s="68"/>
      <c r="KI45" s="68"/>
      <c r="KJ45" s="68"/>
      <c r="KK45" s="68"/>
      <c r="KL45" s="68"/>
      <c r="KM45" s="68"/>
      <c r="KN45" s="68"/>
      <c r="KO45" s="68"/>
      <c r="KP45" s="68"/>
      <c r="KQ45" s="68"/>
      <c r="KR45" s="68"/>
      <c r="KS45" s="68"/>
      <c r="KT45" s="68"/>
      <c r="KU45" s="68"/>
      <c r="KV45" s="68"/>
      <c r="KW45" s="68"/>
      <c r="KX45" s="68"/>
      <c r="KY45" s="68"/>
      <c r="KZ45" s="68"/>
      <c r="LA45" s="68"/>
      <c r="LB45" s="68"/>
      <c r="LC45" s="68"/>
      <c r="LD45" s="68"/>
      <c r="LE45" s="68"/>
      <c r="LF45" s="68"/>
      <c r="LG45" s="68"/>
      <c r="LH45" s="68"/>
      <c r="LI45" s="68"/>
      <c r="LJ45" s="68"/>
      <c r="LK45" s="68"/>
      <c r="LL45" s="68"/>
      <c r="LM45" s="68"/>
      <c r="LN45" s="68"/>
      <c r="LO45" s="68"/>
      <c r="LP45" s="68"/>
      <c r="LQ45" s="68"/>
      <c r="LR45" s="68"/>
      <c r="LS45" s="68"/>
      <c r="LT45" s="68"/>
      <c r="LU45" s="68"/>
      <c r="LV45" s="68"/>
      <c r="LW45" s="68"/>
      <c r="LX45" s="68"/>
      <c r="LY45" s="68"/>
      <c r="LZ45" s="68"/>
      <c r="MA45" s="68"/>
      <c r="MB45" s="68"/>
      <c r="MC45" s="68"/>
      <c r="MD45" s="68"/>
      <c r="ME45" s="68"/>
      <c r="MF45" s="68"/>
      <c r="MG45" s="68"/>
      <c r="MH45" s="68"/>
      <c r="MI45" s="68"/>
      <c r="MJ45" s="68"/>
      <c r="MK45" s="68"/>
      <c r="ML45" s="68"/>
      <c r="MM45" s="68"/>
      <c r="MN45" s="68"/>
      <c r="MO45" s="68"/>
      <c r="MP45" s="68"/>
      <c r="MQ45" s="68"/>
      <c r="MR45" s="68"/>
      <c r="MS45" s="68"/>
      <c r="MT45" s="68"/>
      <c r="MU45" s="68"/>
      <c r="MV45" s="68"/>
      <c r="MW45" s="68"/>
      <c r="MX45" s="68"/>
      <c r="MY45" s="68"/>
      <c r="MZ45" s="68"/>
      <c r="NA45" s="68"/>
      <c r="NB45" s="68"/>
      <c r="NC45" s="68"/>
      <c r="ND45" s="68"/>
      <c r="NE45" s="68"/>
      <c r="NF45" s="68"/>
      <c r="NG45" s="68"/>
      <c r="NH45" s="68"/>
      <c r="NI45" s="68"/>
      <c r="NJ45" s="68"/>
      <c r="NK45" s="68"/>
      <c r="NL45" s="68"/>
      <c r="NM45" s="68"/>
      <c r="NN45" s="68"/>
      <c r="NO45" s="68"/>
      <c r="NP45" s="346" t="s">
        <v>179</v>
      </c>
      <c r="NQ45" s="346"/>
      <c r="NR45" s="346"/>
      <c r="NS45" s="322" t="s">
        <v>1</v>
      </c>
      <c r="NT45" s="379">
        <f>NT27-(W19/20)</f>
        <v>20.9</v>
      </c>
      <c r="NU45" s="380"/>
      <c r="NV45" s="380"/>
      <c r="NW45" s="346" t="s">
        <v>20</v>
      </c>
      <c r="NX45" s="346"/>
      <c r="NY45" s="346"/>
      <c r="PN45" s="303"/>
      <c r="PO45" s="303"/>
      <c r="PP45" s="303"/>
      <c r="PQ45" s="303"/>
      <c r="PR45" s="303"/>
      <c r="PS45" s="303"/>
      <c r="PT45" s="303"/>
      <c r="PU45" s="303"/>
      <c r="PV45" s="303"/>
      <c r="PW45" s="303"/>
      <c r="PX45" s="303"/>
      <c r="PY45" s="303"/>
      <c r="QC45" s="78" t="s">
        <v>23</v>
      </c>
      <c r="QD45" s="78">
        <f>QI36</f>
        <v>7.1428571428571438E-2</v>
      </c>
      <c r="QE45" s="354">
        <f>QH36</f>
        <v>0.5</v>
      </c>
      <c r="QG45" s="354">
        <f>QE45</f>
        <v>0.5</v>
      </c>
      <c r="QH45" s="354">
        <f>QG45</f>
        <v>0.5</v>
      </c>
      <c r="QM45" s="355" t="str">
        <f>CONCATENATE("X = ",(QC3/2)-(QC5/2))</f>
        <v>X = 0.6</v>
      </c>
      <c r="QO45" s="78">
        <f>((QE45-QD45)/2)+QD45</f>
        <v>0.2857142857142857</v>
      </c>
      <c r="QY45" s="346"/>
      <c r="QZ45" s="346"/>
      <c r="RA45" s="346"/>
      <c r="RB45" s="346"/>
      <c r="RC45" s="346"/>
      <c r="RD45" s="346"/>
      <c r="RE45" s="346"/>
      <c r="RF45" s="346"/>
      <c r="RG45" s="346"/>
      <c r="RH45" s="346"/>
      <c r="RI45" s="346"/>
      <c r="RJ45" s="346"/>
      <c r="RK45" s="346"/>
      <c r="RL45" s="346"/>
      <c r="RM45" s="346"/>
      <c r="RN45" s="346"/>
      <c r="RO45" s="346"/>
      <c r="RP45" s="346"/>
      <c r="RQ45" s="346"/>
      <c r="RR45" s="346"/>
      <c r="RS45" s="346"/>
      <c r="RT45" s="346"/>
      <c r="RU45" s="346"/>
      <c r="RV45" s="346"/>
      <c r="RW45" s="346"/>
      <c r="RX45" s="346"/>
      <c r="RY45" s="346"/>
      <c r="RZ45" s="346"/>
      <c r="SA45" s="346"/>
      <c r="SB45" s="346"/>
      <c r="SC45" s="346"/>
      <c r="SD45" s="346"/>
      <c r="SE45" s="346"/>
      <c r="SF45" s="346"/>
      <c r="SG45" s="346"/>
      <c r="SH45" s="346"/>
      <c r="SI45" s="346"/>
      <c r="SJ45" s="346"/>
      <c r="SK45" s="346"/>
      <c r="SL45" s="346"/>
      <c r="SM45" s="346"/>
      <c r="SN45" s="346"/>
      <c r="SO45" s="346"/>
      <c r="SP45" s="346"/>
      <c r="SQ45" s="346"/>
      <c r="SR45" s="346"/>
      <c r="SS45" s="346"/>
      <c r="ST45" s="346"/>
      <c r="SU45" s="346"/>
      <c r="SV45" s="346"/>
      <c r="SW45" s="346"/>
      <c r="SX45" s="346"/>
      <c r="SY45" s="346"/>
      <c r="SZ45" s="346"/>
      <c r="TA45" s="346"/>
    </row>
    <row r="46" spans="1:521" ht="14.1" customHeight="1" x14ac:dyDescent="0.2">
      <c r="A46" s="226"/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6"/>
      <c r="N46" s="226"/>
      <c r="O46" s="226"/>
      <c r="P46" s="226"/>
      <c r="Q46" s="226"/>
      <c r="R46" s="226"/>
      <c r="S46" s="226"/>
      <c r="T46" s="226"/>
      <c r="U46" s="226"/>
      <c r="V46" s="226"/>
      <c r="W46" s="226"/>
      <c r="X46" s="226"/>
      <c r="Y46" s="226"/>
      <c r="Z46" s="226"/>
      <c r="AA46" s="226"/>
      <c r="AB46" s="226"/>
      <c r="AC46" s="226"/>
      <c r="AD46" s="226"/>
      <c r="AE46" s="226"/>
      <c r="AF46" s="226"/>
      <c r="AG46" s="226"/>
      <c r="AH46" s="226"/>
      <c r="AI46" s="226"/>
      <c r="AJ46" s="226"/>
      <c r="AK46" s="226"/>
      <c r="AL46" s="226"/>
      <c r="AM46" s="226"/>
      <c r="AN46" s="226"/>
      <c r="AO46" s="226"/>
      <c r="AP46" s="226"/>
      <c r="AQ46" s="226"/>
      <c r="AR46" s="226"/>
      <c r="AS46" s="226"/>
      <c r="AT46" s="226"/>
      <c r="AU46" s="226"/>
      <c r="AV46" s="226"/>
      <c r="AW46" s="226"/>
      <c r="AX46" s="226"/>
      <c r="AY46" s="226"/>
      <c r="AZ46" s="226"/>
      <c r="BA46" s="226"/>
      <c r="BB46" s="226"/>
      <c r="BC46" s="226"/>
      <c r="BD46" s="226"/>
      <c r="BE46" s="226"/>
      <c r="BF46" s="226"/>
      <c r="BG46" s="226"/>
      <c r="BH46" s="226"/>
      <c r="BI46" s="226"/>
      <c r="BJ46" s="145"/>
      <c r="BK46" s="145"/>
      <c r="BL46" s="145"/>
      <c r="BM46" s="145"/>
      <c r="BN46" s="145"/>
      <c r="BO46" s="145"/>
      <c r="BP46" s="145"/>
      <c r="BQ46" s="145"/>
      <c r="BR46" s="145"/>
      <c r="BS46" s="145"/>
      <c r="BT46" s="145"/>
      <c r="BU46" s="145"/>
      <c r="BV46" s="145"/>
      <c r="BW46" s="145"/>
      <c r="BX46" s="145"/>
      <c r="BY46" s="145"/>
      <c r="BZ46" s="145"/>
      <c r="CA46" s="145"/>
      <c r="CB46" s="145"/>
      <c r="CC46" s="145"/>
      <c r="CD46" s="145"/>
      <c r="CE46" s="145"/>
      <c r="CF46" s="145"/>
      <c r="CG46" s="145"/>
      <c r="CH46" s="145"/>
      <c r="CI46" s="145"/>
      <c r="CJ46" s="145"/>
      <c r="CK46" s="145"/>
      <c r="CL46" s="145"/>
      <c r="CM46" s="145"/>
      <c r="CN46" s="145"/>
      <c r="CO46" s="145"/>
      <c r="CP46" s="145"/>
      <c r="CQ46" s="145"/>
      <c r="CR46" s="145"/>
      <c r="CS46" s="145"/>
      <c r="CT46" s="145"/>
      <c r="CU46" s="145"/>
      <c r="CV46" s="145"/>
      <c r="CW46" s="145"/>
      <c r="CX46" s="145"/>
      <c r="CY46" s="145"/>
      <c r="CZ46" s="145"/>
      <c r="DA46" s="145"/>
      <c r="DB46" s="145"/>
      <c r="DC46" s="145"/>
      <c r="DD46" s="145"/>
      <c r="DE46" s="145"/>
      <c r="DF46" s="145"/>
      <c r="DG46" s="145"/>
      <c r="DH46" s="145"/>
      <c r="DI46" s="145"/>
      <c r="DJ46" s="145"/>
      <c r="DK46" s="145"/>
      <c r="DL46" s="145"/>
      <c r="DM46" s="145"/>
      <c r="DN46" s="145"/>
      <c r="DO46" s="145"/>
      <c r="DP46" s="145"/>
      <c r="DQ46" s="145"/>
      <c r="DR46" s="145"/>
      <c r="DS46" s="145"/>
      <c r="DT46" s="145"/>
      <c r="DU46" s="145"/>
      <c r="DV46" s="145"/>
      <c r="DW46" s="145"/>
      <c r="DX46" s="145"/>
      <c r="DY46" s="145"/>
      <c r="DZ46" s="145"/>
      <c r="EA46" s="145"/>
      <c r="EB46" s="145"/>
      <c r="EC46" s="145"/>
      <c r="ED46" s="145"/>
      <c r="EE46" s="145"/>
      <c r="EF46" s="145"/>
      <c r="EG46" s="145"/>
      <c r="EH46" s="145"/>
      <c r="EI46" s="145"/>
      <c r="EJ46" s="145"/>
      <c r="EK46" s="145"/>
      <c r="EL46" s="145"/>
      <c r="EM46" s="145"/>
      <c r="EN46" s="145"/>
      <c r="EO46" s="145"/>
      <c r="EP46" s="145"/>
      <c r="EQ46" s="145"/>
      <c r="ER46" s="145"/>
      <c r="ES46" s="145"/>
      <c r="ET46" s="145"/>
      <c r="EU46" s="145"/>
      <c r="EV46" s="145"/>
      <c r="EW46" s="145"/>
      <c r="EX46" s="145"/>
      <c r="EY46" s="145"/>
      <c r="EZ46" s="145"/>
      <c r="FA46" s="145"/>
      <c r="FB46" s="145"/>
      <c r="FC46" s="145"/>
      <c r="FD46" s="145"/>
      <c r="FE46" s="145"/>
      <c r="FF46" s="145"/>
      <c r="FG46" s="145"/>
      <c r="FH46" s="145"/>
      <c r="FI46" s="145"/>
      <c r="FJ46" s="145"/>
      <c r="FK46" s="145"/>
      <c r="FL46" s="145"/>
      <c r="FM46" s="145"/>
      <c r="FN46" s="145"/>
      <c r="FO46" s="145"/>
      <c r="FP46" s="145"/>
      <c r="FQ46" s="145"/>
      <c r="FR46" s="145"/>
      <c r="FS46" s="145"/>
      <c r="FT46" s="145"/>
      <c r="FU46" s="145"/>
      <c r="FV46" s="145"/>
      <c r="FW46" s="145"/>
      <c r="FX46" s="145"/>
      <c r="FY46" s="145"/>
      <c r="FZ46" s="145"/>
      <c r="GA46" s="145"/>
      <c r="GB46" s="145"/>
      <c r="GC46" s="145"/>
      <c r="GD46" s="145"/>
      <c r="GE46" s="145"/>
      <c r="GF46" s="145"/>
      <c r="GG46" s="145"/>
      <c r="GH46" s="145"/>
      <c r="GI46" s="145"/>
      <c r="GJ46" s="145"/>
      <c r="GK46" s="145"/>
      <c r="GL46" s="145"/>
      <c r="GM46" s="145"/>
      <c r="GN46" s="145"/>
      <c r="GO46" s="145"/>
      <c r="GP46" s="145"/>
      <c r="GQ46" s="145"/>
      <c r="GR46" s="145"/>
      <c r="GS46" s="145"/>
      <c r="GT46" s="145"/>
      <c r="GU46" s="145"/>
      <c r="GV46" s="145"/>
      <c r="GW46" s="145"/>
      <c r="GX46" s="145"/>
      <c r="GY46" s="145"/>
      <c r="GZ46" s="145"/>
      <c r="HA46" s="145"/>
      <c r="HB46" s="145"/>
      <c r="HC46" s="145"/>
      <c r="HD46" s="145"/>
      <c r="HE46" s="302"/>
      <c r="HF46" s="302"/>
      <c r="HG46" s="302"/>
      <c r="HH46" s="302"/>
      <c r="HI46" s="302"/>
      <c r="HJ46" s="302"/>
      <c r="HK46" s="302"/>
      <c r="HL46" s="302"/>
      <c r="HM46" s="302"/>
      <c r="HN46" s="302"/>
      <c r="HO46" s="302"/>
      <c r="HP46" s="302"/>
      <c r="HQ46" s="302"/>
      <c r="HR46" s="302"/>
      <c r="HS46" s="302"/>
      <c r="HT46" s="302"/>
      <c r="HU46" s="302"/>
      <c r="HV46" s="302"/>
      <c r="HW46" s="302"/>
      <c r="HX46" s="302"/>
      <c r="HY46" s="302"/>
      <c r="HZ46" s="302"/>
      <c r="IA46" s="302"/>
      <c r="IB46" s="302"/>
      <c r="IC46" s="302"/>
      <c r="ID46" s="302"/>
      <c r="IE46" s="302"/>
      <c r="IF46" s="302"/>
      <c r="IG46" s="302"/>
      <c r="IH46" s="302"/>
      <c r="II46" s="302"/>
      <c r="IJ46" s="302"/>
      <c r="IK46" s="302"/>
      <c r="IL46" s="302"/>
      <c r="IM46" s="302"/>
      <c r="IN46" s="302"/>
      <c r="IO46" s="302"/>
      <c r="IP46" s="302"/>
      <c r="IQ46" s="302"/>
      <c r="IR46" s="302"/>
      <c r="IS46" s="302"/>
      <c r="IT46" s="302"/>
      <c r="IU46" s="302"/>
      <c r="IV46" s="302"/>
      <c r="IW46" s="302"/>
      <c r="IX46" s="302"/>
      <c r="IY46" s="302"/>
      <c r="IZ46" s="302"/>
      <c r="JA46" s="302"/>
      <c r="JB46" s="302"/>
      <c r="JC46" s="302"/>
      <c r="JD46" s="302"/>
      <c r="JE46" s="302"/>
      <c r="JF46" s="302"/>
      <c r="JG46" s="302"/>
      <c r="JH46" s="302"/>
      <c r="JI46" s="302"/>
      <c r="JJ46" s="302"/>
      <c r="JK46" s="302"/>
      <c r="JL46" s="302"/>
      <c r="JM46" s="302"/>
      <c r="JN46" s="302"/>
      <c r="JO46" s="302"/>
      <c r="JP46" s="302"/>
      <c r="JQ46" s="302"/>
      <c r="JR46" s="302"/>
      <c r="JS46" s="302"/>
      <c r="JT46" s="302"/>
      <c r="JU46" s="302"/>
      <c r="JV46" s="302"/>
      <c r="JW46" s="302"/>
      <c r="JX46" s="302"/>
      <c r="JY46" s="302"/>
      <c r="JZ46" s="302"/>
      <c r="KA46" s="302"/>
      <c r="KB46" s="302"/>
      <c r="KC46" s="302"/>
      <c r="KD46" s="302"/>
      <c r="KE46" s="302"/>
      <c r="KF46" s="302"/>
      <c r="KG46" s="302"/>
      <c r="KH46" s="302"/>
      <c r="KI46" s="302"/>
      <c r="KJ46" s="302"/>
      <c r="KK46" s="302"/>
      <c r="KL46" s="302"/>
      <c r="KM46" s="302"/>
      <c r="KN46" s="302"/>
      <c r="KO46" s="302"/>
      <c r="KP46" s="302"/>
      <c r="KQ46" s="302"/>
      <c r="KR46" s="302"/>
      <c r="KS46" s="302"/>
      <c r="KT46" s="302"/>
      <c r="KU46" s="302"/>
      <c r="KV46" s="302"/>
      <c r="KW46" s="302"/>
      <c r="KX46" s="302"/>
      <c r="KY46" s="302"/>
      <c r="KZ46" s="302"/>
      <c r="LA46" s="302"/>
      <c r="LB46" s="302"/>
      <c r="LC46" s="302"/>
      <c r="LD46" s="302"/>
      <c r="LE46" s="302"/>
      <c r="LF46" s="302"/>
      <c r="LG46" s="302"/>
      <c r="LH46" s="302"/>
      <c r="LI46" s="302"/>
      <c r="LJ46" s="302"/>
      <c r="LK46" s="302"/>
      <c r="LL46" s="302"/>
      <c r="LM46" s="302"/>
      <c r="LN46" s="302"/>
      <c r="LO46" s="302"/>
      <c r="LP46" s="302"/>
      <c r="LQ46" s="302"/>
      <c r="LR46" s="302"/>
      <c r="LS46" s="302"/>
      <c r="LT46" s="302"/>
      <c r="LU46" s="302"/>
      <c r="LV46" s="302"/>
      <c r="LW46" s="302"/>
      <c r="LX46" s="302"/>
      <c r="LY46" s="302"/>
      <c r="LZ46" s="302"/>
      <c r="MA46" s="302"/>
      <c r="MB46" s="302"/>
      <c r="MC46" s="302"/>
      <c r="MD46" s="302"/>
      <c r="ME46" s="302"/>
      <c r="MF46" s="302"/>
      <c r="MG46" s="302"/>
      <c r="MH46" s="302"/>
      <c r="MI46" s="302"/>
      <c r="MJ46" s="302"/>
      <c r="MK46" s="302"/>
      <c r="ML46" s="302"/>
      <c r="MM46" s="302"/>
      <c r="MN46" s="302"/>
      <c r="MO46" s="302"/>
      <c r="MP46" s="302"/>
      <c r="MQ46" s="302"/>
      <c r="MR46" s="302"/>
      <c r="MS46" s="302"/>
      <c r="MT46" s="302"/>
      <c r="MU46" s="302"/>
      <c r="MV46" s="302"/>
      <c r="MW46" s="302"/>
      <c r="MX46" s="302"/>
      <c r="MY46" s="302"/>
      <c r="MZ46" s="302"/>
      <c r="NA46" s="302"/>
      <c r="NB46" s="302"/>
      <c r="NC46" s="302"/>
      <c r="ND46" s="302"/>
      <c r="NE46" s="302"/>
      <c r="NF46" s="302"/>
      <c r="NG46" s="302"/>
      <c r="NH46" s="302"/>
      <c r="NI46" s="302"/>
      <c r="NJ46" s="302"/>
      <c r="NK46" s="302"/>
      <c r="NL46" s="302"/>
      <c r="NM46" s="302"/>
      <c r="NN46" s="302"/>
      <c r="NO46" s="302"/>
      <c r="NP46" s="301" t="s">
        <v>177</v>
      </c>
      <c r="NQ46" s="346"/>
      <c r="NR46" s="346"/>
      <c r="NS46" s="322" t="s">
        <v>1</v>
      </c>
      <c r="NT46" s="385">
        <f>(NT44*100)/(H10*(H32*100)*(NT45^2))</f>
        <v>7.6305534232648684</v>
      </c>
      <c r="NU46" s="385"/>
      <c r="NV46" s="385"/>
      <c r="NW46" s="346" t="s">
        <v>2</v>
      </c>
      <c r="NX46" s="346"/>
      <c r="NY46" s="346"/>
      <c r="PN46" s="302"/>
      <c r="PO46" s="302"/>
      <c r="PP46" s="302"/>
      <c r="PQ46" s="302"/>
      <c r="PR46" s="302"/>
      <c r="PS46" s="302"/>
      <c r="PT46" s="302"/>
      <c r="PU46" s="302"/>
      <c r="PV46" s="302"/>
      <c r="PW46" s="303"/>
      <c r="PX46" s="303"/>
      <c r="PY46" s="303"/>
      <c r="QC46" s="78" t="s">
        <v>24</v>
      </c>
      <c r="QD46" s="78">
        <f>QD37+(0.2/QC3)</f>
        <v>0.35714285714285721</v>
      </c>
      <c r="QE46" s="78">
        <f>QD46</f>
        <v>0.35714285714285721</v>
      </c>
      <c r="QG46" s="78">
        <f>QD46+(0.03/QC3)</f>
        <v>0.37857142857142861</v>
      </c>
      <c r="QH46" s="78">
        <f>QD46-(0.03/QC3)</f>
        <v>0.3357142857142858</v>
      </c>
      <c r="QO46" s="78">
        <f>QD46</f>
        <v>0.35714285714285721</v>
      </c>
      <c r="QY46" s="346"/>
      <c r="QZ46" s="346"/>
      <c r="RA46" s="346"/>
      <c r="RB46" s="346"/>
      <c r="RC46" s="346"/>
      <c r="RD46" s="346"/>
      <c r="RE46" s="346"/>
      <c r="RF46" s="346"/>
      <c r="RG46" s="346"/>
      <c r="RH46" s="346"/>
      <c r="RI46" s="346"/>
      <c r="RJ46" s="346"/>
      <c r="RK46" s="346"/>
      <c r="RL46" s="346"/>
      <c r="RM46" s="346"/>
      <c r="RN46" s="346"/>
      <c r="RO46" s="346"/>
      <c r="RP46" s="346"/>
      <c r="RQ46" s="346"/>
      <c r="RR46" s="346"/>
      <c r="RS46" s="346"/>
      <c r="RT46" s="346"/>
      <c r="RU46" s="346"/>
      <c r="RV46" s="346"/>
      <c r="RW46" s="346"/>
      <c r="RX46" s="346"/>
      <c r="RY46" s="346"/>
      <c r="RZ46" s="346"/>
      <c r="SA46" s="346"/>
      <c r="SB46" s="346"/>
      <c r="SC46" s="346"/>
      <c r="SD46" s="346"/>
      <c r="SE46" s="346"/>
      <c r="SF46" s="346"/>
      <c r="SG46" s="346"/>
      <c r="SH46" s="346"/>
      <c r="SI46" s="346"/>
      <c r="SJ46" s="346"/>
      <c r="SK46" s="346"/>
      <c r="SL46" s="346"/>
      <c r="SM46" s="346"/>
      <c r="SN46" s="346"/>
      <c r="SO46" s="346"/>
      <c r="SP46" s="346"/>
      <c r="SQ46" s="346"/>
      <c r="SR46" s="346"/>
      <c r="SS46" s="346"/>
      <c r="ST46" s="346"/>
      <c r="SU46" s="346"/>
      <c r="SV46" s="346"/>
      <c r="SW46" s="346"/>
      <c r="SX46" s="346"/>
      <c r="SY46" s="346"/>
      <c r="SZ46" s="346"/>
      <c r="TA46" s="346"/>
    </row>
    <row r="47" spans="1:521" ht="14.1" customHeight="1" x14ac:dyDescent="0.2">
      <c r="A47" s="226"/>
      <c r="B47" s="226"/>
      <c r="C47" s="226"/>
      <c r="D47" s="226"/>
      <c r="E47" s="226"/>
      <c r="F47" s="226"/>
      <c r="G47" s="226"/>
      <c r="H47" s="226"/>
      <c r="I47" s="226"/>
      <c r="J47" s="22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26"/>
      <c r="Z47" s="226"/>
      <c r="AA47" s="226"/>
      <c r="AB47" s="226"/>
      <c r="AC47" s="226"/>
      <c r="AD47" s="226"/>
      <c r="AE47" s="226"/>
      <c r="AF47" s="226"/>
      <c r="AG47" s="226"/>
      <c r="AH47" s="226"/>
      <c r="AI47" s="226"/>
      <c r="AJ47" s="226"/>
      <c r="AK47" s="226"/>
      <c r="AL47" s="226"/>
      <c r="AM47" s="226"/>
      <c r="AN47" s="226"/>
      <c r="AO47" s="226"/>
      <c r="AP47" s="226"/>
      <c r="AQ47" s="226"/>
      <c r="AR47" s="226"/>
      <c r="AS47" s="226"/>
      <c r="AT47" s="226"/>
      <c r="AU47" s="226"/>
      <c r="AV47" s="226"/>
      <c r="AW47" s="226"/>
      <c r="AX47" s="226"/>
      <c r="AY47" s="226"/>
      <c r="AZ47" s="226"/>
      <c r="BA47" s="226"/>
      <c r="BB47" s="226"/>
      <c r="BC47" s="226"/>
      <c r="BD47" s="226"/>
      <c r="BE47" s="226"/>
      <c r="BF47" s="226"/>
      <c r="BG47" s="226"/>
      <c r="BH47" s="226"/>
      <c r="BI47" s="226"/>
      <c r="BJ47" s="145"/>
      <c r="BK47" s="145"/>
      <c r="BL47" s="145"/>
      <c r="BM47" s="145"/>
      <c r="BN47" s="145"/>
      <c r="BO47" s="145"/>
      <c r="BP47" s="145"/>
      <c r="BQ47" s="145"/>
      <c r="BR47" s="145"/>
      <c r="BS47" s="145"/>
      <c r="BT47" s="145"/>
      <c r="BU47" s="145"/>
      <c r="BV47" s="145"/>
      <c r="BW47" s="145"/>
      <c r="BX47" s="145"/>
      <c r="BY47" s="145"/>
      <c r="BZ47" s="145"/>
      <c r="CA47" s="145"/>
      <c r="CB47" s="145"/>
      <c r="CC47" s="145"/>
      <c r="CD47" s="145"/>
      <c r="CE47" s="145"/>
      <c r="CF47" s="145"/>
      <c r="CG47" s="145"/>
      <c r="CH47" s="145"/>
      <c r="CI47" s="145"/>
      <c r="CJ47" s="145"/>
      <c r="CK47" s="145"/>
      <c r="CL47" s="145"/>
      <c r="CM47" s="145"/>
      <c r="CN47" s="145"/>
      <c r="CO47" s="145"/>
      <c r="CP47" s="145"/>
      <c r="CQ47" s="145"/>
      <c r="CR47" s="145"/>
      <c r="CS47" s="145"/>
      <c r="CT47" s="145"/>
      <c r="CU47" s="145"/>
      <c r="CV47" s="145"/>
      <c r="CW47" s="145"/>
      <c r="CX47" s="145"/>
      <c r="CY47" s="145"/>
      <c r="CZ47" s="145"/>
      <c r="DA47" s="145"/>
      <c r="DB47" s="145"/>
      <c r="DC47" s="145"/>
      <c r="DD47" s="145"/>
      <c r="DE47" s="145"/>
      <c r="DF47" s="145"/>
      <c r="DG47" s="145"/>
      <c r="DH47" s="145"/>
      <c r="DI47" s="145"/>
      <c r="DJ47" s="145"/>
      <c r="DK47" s="145"/>
      <c r="DL47" s="145"/>
      <c r="DM47" s="145"/>
      <c r="DN47" s="145"/>
      <c r="DO47" s="145"/>
      <c r="DP47" s="145"/>
      <c r="DQ47" s="145"/>
      <c r="DR47" s="145"/>
      <c r="DS47" s="145"/>
      <c r="DT47" s="145"/>
      <c r="DU47" s="145"/>
      <c r="DV47" s="145"/>
      <c r="DW47" s="145"/>
      <c r="DX47" s="145"/>
      <c r="DY47" s="145"/>
      <c r="DZ47" s="145"/>
      <c r="EA47" s="145"/>
      <c r="EB47" s="145"/>
      <c r="EC47" s="145"/>
      <c r="ED47" s="145"/>
      <c r="EE47" s="145"/>
      <c r="EF47" s="145"/>
      <c r="EG47" s="145"/>
      <c r="EH47" s="145"/>
      <c r="EI47" s="145"/>
      <c r="EJ47" s="145"/>
      <c r="EK47" s="145"/>
      <c r="EL47" s="145"/>
      <c r="EM47" s="145"/>
      <c r="EN47" s="145"/>
      <c r="EO47" s="145"/>
      <c r="EP47" s="145"/>
      <c r="EQ47" s="145"/>
      <c r="ER47" s="145"/>
      <c r="ES47" s="145"/>
      <c r="ET47" s="145"/>
      <c r="EU47" s="145"/>
      <c r="EV47" s="145"/>
      <c r="EW47" s="145"/>
      <c r="EX47" s="145"/>
      <c r="EY47" s="145"/>
      <c r="EZ47" s="145"/>
      <c r="FA47" s="145"/>
      <c r="FB47" s="145"/>
      <c r="FC47" s="145"/>
      <c r="FD47" s="145"/>
      <c r="FE47" s="145"/>
      <c r="FF47" s="145"/>
      <c r="FG47" s="145"/>
      <c r="FH47" s="145"/>
      <c r="FI47" s="145"/>
      <c r="FJ47" s="145"/>
      <c r="FK47" s="145"/>
      <c r="FL47" s="145"/>
      <c r="FM47" s="145"/>
      <c r="FN47" s="145"/>
      <c r="FO47" s="145"/>
      <c r="FP47" s="145"/>
      <c r="FQ47" s="145"/>
      <c r="FR47" s="145"/>
      <c r="FS47" s="145"/>
      <c r="FT47" s="145"/>
      <c r="FU47" s="145"/>
      <c r="FV47" s="145"/>
      <c r="FW47" s="145"/>
      <c r="FX47" s="145"/>
      <c r="FY47" s="145"/>
      <c r="FZ47" s="145"/>
      <c r="GA47" s="145"/>
      <c r="GB47" s="145"/>
      <c r="GC47" s="145"/>
      <c r="GD47" s="145"/>
      <c r="GE47" s="145"/>
      <c r="GF47" s="145"/>
      <c r="GG47" s="145"/>
      <c r="GH47" s="145"/>
      <c r="GI47" s="145"/>
      <c r="GJ47" s="145"/>
      <c r="GK47" s="145"/>
      <c r="GL47" s="145"/>
      <c r="GM47" s="145"/>
      <c r="GN47" s="145"/>
      <c r="GO47" s="145"/>
      <c r="GP47" s="145"/>
      <c r="GQ47" s="145"/>
      <c r="GR47" s="145"/>
      <c r="GS47" s="145"/>
      <c r="GT47" s="145"/>
      <c r="GU47" s="145"/>
      <c r="GV47" s="145"/>
      <c r="GW47" s="145"/>
      <c r="GX47" s="145"/>
      <c r="GY47" s="145"/>
      <c r="GZ47" s="145"/>
      <c r="HA47" s="145"/>
      <c r="HB47" s="145"/>
      <c r="HC47" s="145"/>
      <c r="HD47" s="145"/>
      <c r="HE47" s="302"/>
      <c r="HF47" s="302"/>
      <c r="HG47" s="302"/>
      <c r="HH47" s="302"/>
      <c r="HI47" s="302"/>
      <c r="HJ47" s="302"/>
      <c r="HK47" s="302"/>
      <c r="HL47" s="302"/>
      <c r="HM47" s="302"/>
      <c r="HN47" s="302"/>
      <c r="HO47" s="302"/>
      <c r="HP47" s="302"/>
      <c r="HQ47" s="302"/>
      <c r="HR47" s="302"/>
      <c r="HS47" s="302"/>
      <c r="HT47" s="302"/>
      <c r="HU47" s="302"/>
      <c r="HV47" s="302"/>
      <c r="HW47" s="302"/>
      <c r="HX47" s="302"/>
      <c r="HY47" s="302"/>
      <c r="HZ47" s="302"/>
      <c r="IA47" s="302"/>
      <c r="IB47" s="302"/>
      <c r="IC47" s="302"/>
      <c r="ID47" s="302"/>
      <c r="IE47" s="302"/>
      <c r="IF47" s="302"/>
      <c r="IG47" s="302"/>
      <c r="IH47" s="302"/>
      <c r="II47" s="302"/>
      <c r="IJ47" s="302"/>
      <c r="IK47" s="302"/>
      <c r="IL47" s="302"/>
      <c r="IM47" s="302"/>
      <c r="IN47" s="302"/>
      <c r="IO47" s="302"/>
      <c r="IP47" s="302"/>
      <c r="IQ47" s="302"/>
      <c r="IR47" s="302"/>
      <c r="IS47" s="302"/>
      <c r="IT47" s="302"/>
      <c r="IU47" s="302"/>
      <c r="IV47" s="302"/>
      <c r="IW47" s="302"/>
      <c r="IX47" s="302"/>
      <c r="IY47" s="302"/>
      <c r="IZ47" s="302"/>
      <c r="JA47" s="302"/>
      <c r="JB47" s="302"/>
      <c r="JC47" s="302"/>
      <c r="JD47" s="302"/>
      <c r="JE47" s="302"/>
      <c r="JF47" s="302"/>
      <c r="JG47" s="302"/>
      <c r="JH47" s="302"/>
      <c r="JI47" s="302"/>
      <c r="JJ47" s="302"/>
      <c r="JK47" s="302"/>
      <c r="JL47" s="302"/>
      <c r="JM47" s="302"/>
      <c r="JN47" s="302"/>
      <c r="JO47" s="302"/>
      <c r="JP47" s="302"/>
      <c r="JQ47" s="302"/>
      <c r="JR47" s="302"/>
      <c r="JS47" s="302"/>
      <c r="JT47" s="302"/>
      <c r="JU47" s="302"/>
      <c r="JV47" s="302"/>
      <c r="JW47" s="302"/>
      <c r="JX47" s="302"/>
      <c r="JY47" s="302"/>
      <c r="JZ47" s="302"/>
      <c r="KA47" s="302"/>
      <c r="KB47" s="302"/>
      <c r="KC47" s="302"/>
      <c r="KD47" s="302"/>
      <c r="KE47" s="302"/>
      <c r="KF47" s="302"/>
      <c r="KG47" s="302"/>
      <c r="KH47" s="302"/>
      <c r="KI47" s="302"/>
      <c r="KJ47" s="302"/>
      <c r="KK47" s="302"/>
      <c r="KL47" s="302"/>
      <c r="KM47" s="302"/>
      <c r="KN47" s="302"/>
      <c r="KO47" s="302"/>
      <c r="KP47" s="302"/>
      <c r="KQ47" s="302"/>
      <c r="KR47" s="302"/>
      <c r="KS47" s="302"/>
      <c r="KT47" s="302"/>
      <c r="KU47" s="302"/>
      <c r="KV47" s="302"/>
      <c r="KW47" s="302"/>
      <c r="KX47" s="302"/>
      <c r="KY47" s="302"/>
      <c r="KZ47" s="302"/>
      <c r="LA47" s="302"/>
      <c r="LB47" s="302"/>
      <c r="LC47" s="302"/>
      <c r="LD47" s="302"/>
      <c r="LE47" s="302"/>
      <c r="LF47" s="302"/>
      <c r="LG47" s="302"/>
      <c r="LH47" s="302"/>
      <c r="LI47" s="302"/>
      <c r="LJ47" s="302"/>
      <c r="LK47" s="302"/>
      <c r="LL47" s="302"/>
      <c r="LM47" s="302"/>
      <c r="LN47" s="302"/>
      <c r="LO47" s="302"/>
      <c r="LP47" s="302"/>
      <c r="LQ47" s="302"/>
      <c r="LR47" s="302"/>
      <c r="LS47" s="302"/>
      <c r="LT47" s="302"/>
      <c r="LU47" s="302"/>
      <c r="LV47" s="302"/>
      <c r="LW47" s="302"/>
      <c r="LX47" s="302"/>
      <c r="LY47" s="302"/>
      <c r="LZ47" s="302"/>
      <c r="MA47" s="302"/>
      <c r="MB47" s="302"/>
      <c r="MC47" s="302"/>
      <c r="MD47" s="302"/>
      <c r="ME47" s="302"/>
      <c r="MF47" s="302"/>
      <c r="MG47" s="302"/>
      <c r="MH47" s="302"/>
      <c r="MI47" s="302"/>
      <c r="MJ47" s="302"/>
      <c r="MK47" s="302"/>
      <c r="ML47" s="302"/>
      <c r="MM47" s="302"/>
      <c r="MN47" s="302"/>
      <c r="MO47" s="302"/>
      <c r="MP47" s="302"/>
      <c r="MQ47" s="302"/>
      <c r="MR47" s="302"/>
      <c r="MS47" s="302"/>
      <c r="MT47" s="302"/>
      <c r="MU47" s="302"/>
      <c r="MV47" s="302"/>
      <c r="MW47" s="302"/>
      <c r="MX47" s="302"/>
      <c r="MY47" s="302"/>
      <c r="MZ47" s="302"/>
      <c r="NA47" s="302"/>
      <c r="NB47" s="302"/>
      <c r="NC47" s="302"/>
      <c r="ND47" s="302"/>
      <c r="NE47" s="302"/>
      <c r="NF47" s="302"/>
      <c r="NG47" s="302"/>
      <c r="NH47" s="302"/>
      <c r="NI47" s="302"/>
      <c r="NJ47" s="302"/>
      <c r="NK47" s="302"/>
      <c r="NL47" s="302"/>
      <c r="NM47" s="302"/>
      <c r="NN47" s="302"/>
      <c r="NO47" s="302"/>
      <c r="NP47" s="1" t="s">
        <v>35</v>
      </c>
      <c r="NQ47" s="322"/>
      <c r="NR47" s="322"/>
      <c r="NS47" s="322" t="s">
        <v>1</v>
      </c>
      <c r="NT47" s="378">
        <f>0.85*(NT2/NT3)*(1-SQRT(1-((2*NT46)/(0.85*NT2))))</f>
        <v>2.6245566000724116E-3</v>
      </c>
      <c r="NU47" s="378"/>
      <c r="NV47" s="378"/>
      <c r="NW47" s="346" t="s">
        <v>0</v>
      </c>
      <c r="NX47" s="346"/>
      <c r="NY47" s="346"/>
      <c r="PN47" s="302"/>
      <c r="PO47" s="302"/>
      <c r="PP47" s="302"/>
      <c r="PQ47" s="302"/>
      <c r="PR47" s="302"/>
      <c r="PS47" s="302"/>
      <c r="PT47" s="302"/>
      <c r="PU47" s="302"/>
      <c r="PV47" s="302"/>
      <c r="PW47" s="303"/>
      <c r="PX47" s="303"/>
      <c r="PY47" s="303"/>
      <c r="QC47" s="78" t="s">
        <v>142</v>
      </c>
      <c r="QY47" s="346"/>
      <c r="QZ47" s="346"/>
      <c r="RA47" s="346"/>
      <c r="RB47" s="346"/>
      <c r="RC47" s="346"/>
      <c r="RD47" s="346"/>
      <c r="RE47" s="346"/>
      <c r="RF47" s="346"/>
      <c r="RG47" s="346"/>
      <c r="RH47" s="346"/>
      <c r="RI47" s="346"/>
      <c r="RJ47" s="346"/>
      <c r="RK47" s="346"/>
      <c r="RL47" s="346"/>
      <c r="RM47" s="346"/>
      <c r="RN47" s="346"/>
      <c r="RO47" s="346"/>
      <c r="RP47" s="346"/>
      <c r="RQ47" s="346"/>
      <c r="RR47" s="346"/>
      <c r="RS47" s="346"/>
      <c r="RT47" s="346"/>
      <c r="RU47" s="346"/>
      <c r="RV47" s="346"/>
      <c r="RW47" s="346"/>
      <c r="RX47" s="346"/>
      <c r="RY47" s="346"/>
      <c r="RZ47" s="346"/>
      <c r="SA47" s="346"/>
      <c r="SB47" s="346"/>
      <c r="SC47" s="346"/>
      <c r="SD47" s="346"/>
      <c r="SE47" s="346"/>
      <c r="SF47" s="346"/>
      <c r="SG47" s="346"/>
      <c r="SH47" s="346"/>
      <c r="SI47" s="346"/>
      <c r="SJ47" s="346"/>
      <c r="SK47" s="346"/>
      <c r="SL47" s="346"/>
      <c r="SM47" s="346"/>
      <c r="SN47" s="346"/>
      <c r="SO47" s="346"/>
      <c r="SP47" s="346"/>
      <c r="SQ47" s="346"/>
      <c r="SR47" s="346"/>
      <c r="SS47" s="346"/>
      <c r="ST47" s="346"/>
      <c r="SU47" s="346"/>
      <c r="SV47" s="346"/>
      <c r="SW47" s="346"/>
      <c r="SX47" s="346"/>
      <c r="SY47" s="346"/>
      <c r="SZ47" s="346"/>
      <c r="TA47" s="346"/>
    </row>
    <row r="48" spans="1:521" ht="14.1" customHeight="1" x14ac:dyDescent="0.2">
      <c r="A48" s="226"/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6"/>
      <c r="N48" s="226"/>
      <c r="O48" s="226"/>
      <c r="P48" s="226"/>
      <c r="Q48" s="226"/>
      <c r="R48" s="226"/>
      <c r="S48" s="226"/>
      <c r="T48" s="226"/>
      <c r="U48" s="226"/>
      <c r="V48" s="226"/>
      <c r="W48" s="226"/>
      <c r="X48" s="226"/>
      <c r="Y48" s="226"/>
      <c r="Z48" s="226"/>
      <c r="AA48" s="226"/>
      <c r="AB48" s="226"/>
      <c r="AC48" s="226"/>
      <c r="AD48" s="226"/>
      <c r="AE48" s="226"/>
      <c r="AF48" s="226"/>
      <c r="AG48" s="226"/>
      <c r="AH48" s="226"/>
      <c r="AI48" s="226"/>
      <c r="AJ48" s="226"/>
      <c r="AK48" s="226"/>
      <c r="AL48" s="226"/>
      <c r="AM48" s="226"/>
      <c r="AN48" s="226"/>
      <c r="AO48" s="226"/>
      <c r="AP48" s="226"/>
      <c r="AQ48" s="226"/>
      <c r="AR48" s="226"/>
      <c r="AS48" s="226"/>
      <c r="AT48" s="226"/>
      <c r="AU48" s="226"/>
      <c r="AV48" s="226"/>
      <c r="AW48" s="226"/>
      <c r="AX48" s="226"/>
      <c r="AY48" s="226"/>
      <c r="AZ48" s="226"/>
      <c r="BA48" s="226"/>
      <c r="BB48" s="226"/>
      <c r="BC48" s="226"/>
      <c r="BD48" s="226"/>
      <c r="BE48" s="226"/>
      <c r="BF48" s="226"/>
      <c r="BG48" s="226"/>
      <c r="BH48" s="226"/>
      <c r="BI48" s="226"/>
      <c r="BJ48" s="145"/>
      <c r="BK48" s="145"/>
      <c r="BL48" s="145"/>
      <c r="BM48" s="145"/>
      <c r="BN48" s="145"/>
      <c r="BO48" s="145"/>
      <c r="BP48" s="145"/>
      <c r="BQ48" s="145"/>
      <c r="BR48" s="145"/>
      <c r="BS48" s="145"/>
      <c r="BT48" s="145"/>
      <c r="BU48" s="145"/>
      <c r="BV48" s="145"/>
      <c r="BW48" s="145"/>
      <c r="BX48" s="145"/>
      <c r="BY48" s="145"/>
      <c r="BZ48" s="145"/>
      <c r="CA48" s="145"/>
      <c r="CB48" s="145"/>
      <c r="CC48" s="145"/>
      <c r="CD48" s="145"/>
      <c r="CE48" s="145"/>
      <c r="CF48" s="145"/>
      <c r="CG48" s="145"/>
      <c r="CH48" s="145"/>
      <c r="CI48" s="145"/>
      <c r="CJ48" s="145"/>
      <c r="CK48" s="145"/>
      <c r="CL48" s="145"/>
      <c r="CM48" s="145"/>
      <c r="CN48" s="145"/>
      <c r="CO48" s="145"/>
      <c r="CP48" s="145"/>
      <c r="CQ48" s="145"/>
      <c r="CR48" s="145"/>
      <c r="CS48" s="145"/>
      <c r="CT48" s="145"/>
      <c r="CU48" s="145"/>
      <c r="CV48" s="145"/>
      <c r="CW48" s="145"/>
      <c r="CX48" s="145"/>
      <c r="CY48" s="145"/>
      <c r="CZ48" s="145"/>
      <c r="DA48" s="145"/>
      <c r="DB48" s="145"/>
      <c r="DC48" s="145"/>
      <c r="DD48" s="145"/>
      <c r="DE48" s="145"/>
      <c r="DF48" s="145"/>
      <c r="DG48" s="145"/>
      <c r="DH48" s="145"/>
      <c r="DI48" s="145"/>
      <c r="DJ48" s="145"/>
      <c r="DK48" s="145"/>
      <c r="DL48" s="145"/>
      <c r="DM48" s="145"/>
      <c r="DN48" s="145"/>
      <c r="DO48" s="145"/>
      <c r="DP48" s="145"/>
      <c r="DQ48" s="145"/>
      <c r="DR48" s="145"/>
      <c r="DS48" s="145"/>
      <c r="DT48" s="145"/>
      <c r="DU48" s="145"/>
      <c r="DV48" s="145"/>
      <c r="DW48" s="145"/>
      <c r="DX48" s="145"/>
      <c r="DY48" s="145"/>
      <c r="DZ48" s="145"/>
      <c r="EA48" s="145"/>
      <c r="EB48" s="145"/>
      <c r="EC48" s="145"/>
      <c r="ED48" s="145"/>
      <c r="EE48" s="145"/>
      <c r="EF48" s="145"/>
      <c r="EG48" s="145"/>
      <c r="EH48" s="145"/>
      <c r="EI48" s="145"/>
      <c r="EJ48" s="145"/>
      <c r="EK48" s="145"/>
      <c r="EL48" s="145"/>
      <c r="EM48" s="145"/>
      <c r="EN48" s="145"/>
      <c r="EO48" s="145"/>
      <c r="EP48" s="145"/>
      <c r="EQ48" s="145"/>
      <c r="ER48" s="145"/>
      <c r="ES48" s="145"/>
      <c r="ET48" s="145"/>
      <c r="EU48" s="145"/>
      <c r="EV48" s="145"/>
      <c r="EW48" s="145"/>
      <c r="EX48" s="145"/>
      <c r="EY48" s="145"/>
      <c r="EZ48" s="145"/>
      <c r="FA48" s="145"/>
      <c r="FB48" s="145"/>
      <c r="FC48" s="145"/>
      <c r="FD48" s="145"/>
      <c r="FE48" s="145"/>
      <c r="FF48" s="145"/>
      <c r="FG48" s="145"/>
      <c r="FH48" s="145"/>
      <c r="FI48" s="145"/>
      <c r="FJ48" s="145"/>
      <c r="FK48" s="145"/>
      <c r="FL48" s="145"/>
      <c r="FM48" s="145"/>
      <c r="FN48" s="145"/>
      <c r="FO48" s="145"/>
      <c r="FP48" s="145"/>
      <c r="FQ48" s="145"/>
      <c r="FR48" s="145"/>
      <c r="FS48" s="145"/>
      <c r="FT48" s="145"/>
      <c r="FU48" s="145"/>
      <c r="FV48" s="145"/>
      <c r="FW48" s="145"/>
      <c r="FX48" s="145"/>
      <c r="FY48" s="145"/>
      <c r="FZ48" s="145"/>
      <c r="GA48" s="145"/>
      <c r="GB48" s="145"/>
      <c r="GC48" s="145"/>
      <c r="GD48" s="145"/>
      <c r="GE48" s="145"/>
      <c r="GF48" s="145"/>
      <c r="GG48" s="145"/>
      <c r="GH48" s="145"/>
      <c r="GI48" s="145"/>
      <c r="GJ48" s="145"/>
      <c r="GK48" s="145"/>
      <c r="GL48" s="145"/>
      <c r="GM48" s="145"/>
      <c r="GN48" s="145"/>
      <c r="GO48" s="145"/>
      <c r="GP48" s="145"/>
      <c r="GQ48" s="145"/>
      <c r="GR48" s="145"/>
      <c r="GS48" s="145"/>
      <c r="GT48" s="145"/>
      <c r="GU48" s="145"/>
      <c r="GV48" s="145"/>
      <c r="GW48" s="145"/>
      <c r="GX48" s="145"/>
      <c r="GY48" s="145"/>
      <c r="GZ48" s="145"/>
      <c r="HA48" s="145"/>
      <c r="HB48" s="145"/>
      <c r="HC48" s="145"/>
      <c r="HD48" s="145"/>
      <c r="HE48" s="302"/>
      <c r="HF48" s="302"/>
      <c r="HG48" s="302"/>
      <c r="HH48" s="302"/>
      <c r="HI48" s="302"/>
      <c r="HJ48" s="302"/>
      <c r="HK48" s="302"/>
      <c r="HL48" s="302"/>
      <c r="HM48" s="302"/>
      <c r="HN48" s="302"/>
      <c r="HO48" s="302"/>
      <c r="HP48" s="302"/>
      <c r="HQ48" s="302"/>
      <c r="HR48" s="302"/>
      <c r="HS48" s="302"/>
      <c r="HT48" s="302"/>
      <c r="HU48" s="302"/>
      <c r="HV48" s="302"/>
      <c r="HW48" s="302"/>
      <c r="HX48" s="302"/>
      <c r="HY48" s="302"/>
      <c r="HZ48" s="302"/>
      <c r="IA48" s="302"/>
      <c r="IB48" s="302"/>
      <c r="IC48" s="302"/>
      <c r="ID48" s="302"/>
      <c r="IE48" s="302"/>
      <c r="IF48" s="302"/>
      <c r="IG48" s="302"/>
      <c r="IH48" s="302"/>
      <c r="II48" s="302"/>
      <c r="IJ48" s="302"/>
      <c r="IK48" s="302"/>
      <c r="IL48" s="302"/>
      <c r="IM48" s="302"/>
      <c r="IN48" s="302"/>
      <c r="IO48" s="302"/>
      <c r="IP48" s="302"/>
      <c r="IQ48" s="302"/>
      <c r="IR48" s="302"/>
      <c r="IS48" s="302"/>
      <c r="IT48" s="302"/>
      <c r="IU48" s="302"/>
      <c r="IV48" s="302"/>
      <c r="IW48" s="302"/>
      <c r="IX48" s="302"/>
      <c r="IY48" s="302"/>
      <c r="IZ48" s="302"/>
      <c r="JA48" s="302"/>
      <c r="JB48" s="302"/>
      <c r="JC48" s="302"/>
      <c r="JD48" s="302"/>
      <c r="JE48" s="302"/>
      <c r="JF48" s="302"/>
      <c r="JG48" s="302"/>
      <c r="JH48" s="302"/>
      <c r="JI48" s="302"/>
      <c r="JJ48" s="302"/>
      <c r="JK48" s="302"/>
      <c r="JL48" s="302"/>
      <c r="JM48" s="302"/>
      <c r="JN48" s="302"/>
      <c r="JO48" s="302"/>
      <c r="JP48" s="302"/>
      <c r="JQ48" s="302"/>
      <c r="JR48" s="302"/>
      <c r="JS48" s="302"/>
      <c r="JT48" s="302"/>
      <c r="JU48" s="302"/>
      <c r="JV48" s="302"/>
      <c r="JW48" s="302"/>
      <c r="JX48" s="302"/>
      <c r="JY48" s="302"/>
      <c r="JZ48" s="302"/>
      <c r="KA48" s="302"/>
      <c r="KB48" s="302"/>
      <c r="KC48" s="302"/>
      <c r="KD48" s="302"/>
      <c r="KE48" s="302"/>
      <c r="KF48" s="302"/>
      <c r="KG48" s="302"/>
      <c r="KH48" s="302"/>
      <c r="KI48" s="302"/>
      <c r="KJ48" s="302"/>
      <c r="KK48" s="302"/>
      <c r="KL48" s="302"/>
      <c r="KM48" s="302"/>
      <c r="KN48" s="302"/>
      <c r="KO48" s="302"/>
      <c r="KP48" s="302"/>
      <c r="KQ48" s="302"/>
      <c r="KR48" s="302"/>
      <c r="KS48" s="302"/>
      <c r="KT48" s="302"/>
      <c r="KU48" s="302"/>
      <c r="KV48" s="302"/>
      <c r="KW48" s="302"/>
      <c r="KX48" s="302"/>
      <c r="KY48" s="302"/>
      <c r="KZ48" s="302"/>
      <c r="LA48" s="302"/>
      <c r="LB48" s="302"/>
      <c r="LC48" s="302"/>
      <c r="LD48" s="302"/>
      <c r="LE48" s="302"/>
      <c r="LF48" s="302"/>
      <c r="LG48" s="302"/>
      <c r="LH48" s="302"/>
      <c r="LI48" s="302"/>
      <c r="LJ48" s="302"/>
      <c r="LK48" s="302"/>
      <c r="LL48" s="302"/>
      <c r="LM48" s="302"/>
      <c r="LN48" s="302"/>
      <c r="LO48" s="302"/>
      <c r="LP48" s="302"/>
      <c r="LQ48" s="302"/>
      <c r="LR48" s="302"/>
      <c r="LS48" s="302"/>
      <c r="LT48" s="302"/>
      <c r="LU48" s="302"/>
      <c r="LV48" s="302"/>
      <c r="LW48" s="302"/>
      <c r="LX48" s="302"/>
      <c r="LY48" s="302"/>
      <c r="LZ48" s="302"/>
      <c r="MA48" s="302"/>
      <c r="MB48" s="302"/>
      <c r="MC48" s="302"/>
      <c r="MD48" s="302"/>
      <c r="ME48" s="302"/>
      <c r="MF48" s="302"/>
      <c r="MG48" s="302"/>
      <c r="MH48" s="302"/>
      <c r="MI48" s="302"/>
      <c r="MJ48" s="302"/>
      <c r="MK48" s="302"/>
      <c r="ML48" s="302"/>
      <c r="MM48" s="302"/>
      <c r="MN48" s="302"/>
      <c r="MO48" s="302"/>
      <c r="MP48" s="302"/>
      <c r="MQ48" s="302"/>
      <c r="MR48" s="302"/>
      <c r="MS48" s="302"/>
      <c r="MT48" s="302"/>
      <c r="MU48" s="302"/>
      <c r="MV48" s="302"/>
      <c r="MW48" s="302"/>
      <c r="MX48" s="302"/>
      <c r="MY48" s="302"/>
      <c r="MZ48" s="302"/>
      <c r="NA48" s="302"/>
      <c r="NB48" s="302"/>
      <c r="NC48" s="302"/>
      <c r="ND48" s="302"/>
      <c r="NE48" s="302"/>
      <c r="NF48" s="302"/>
      <c r="NG48" s="302"/>
      <c r="NH48" s="302"/>
      <c r="NI48" s="302"/>
      <c r="NJ48" s="302"/>
      <c r="NK48" s="302"/>
      <c r="NL48" s="302"/>
      <c r="NM48" s="302"/>
      <c r="NN48" s="302"/>
      <c r="NO48" s="302"/>
      <c r="NP48" s="301" t="s">
        <v>91</v>
      </c>
      <c r="NQ48" s="322"/>
      <c r="NR48" s="322"/>
      <c r="NS48" s="322" t="s">
        <v>1</v>
      </c>
      <c r="NT48" s="381">
        <f>MAX(NT21,NT47)*(H32*100)*NT45</f>
        <v>13.7522</v>
      </c>
      <c r="NU48" s="381"/>
      <c r="NV48" s="381"/>
      <c r="NW48" s="322" t="s">
        <v>19</v>
      </c>
      <c r="NX48" s="302"/>
      <c r="NY48" s="346"/>
      <c r="PN48" s="302"/>
      <c r="PO48" s="302"/>
      <c r="PP48" s="302"/>
      <c r="PQ48" s="302"/>
      <c r="PR48" s="302"/>
      <c r="PS48" s="302"/>
      <c r="PT48" s="302"/>
      <c r="PU48" s="302"/>
      <c r="PV48" s="302"/>
      <c r="PW48" s="303"/>
      <c r="PX48" s="303"/>
      <c r="PY48" s="303"/>
      <c r="QC48" s="78" t="s">
        <v>23</v>
      </c>
      <c r="QD48" s="354">
        <f>QE36</f>
        <v>-0.5</v>
      </c>
      <c r="QE48" s="78">
        <f>QD48</f>
        <v>-0.5</v>
      </c>
      <c r="QF48" s="354">
        <f>QG36</f>
        <v>0.5</v>
      </c>
      <c r="QG48" s="354">
        <f>QF48</f>
        <v>0.5</v>
      </c>
      <c r="QI48" s="78">
        <v>0</v>
      </c>
      <c r="QJ48" s="78">
        <v>0</v>
      </c>
      <c r="QL48" s="78">
        <f>(-QC3/4)/QC3</f>
        <v>-0.25</v>
      </c>
      <c r="QM48" s="78">
        <f>QL48</f>
        <v>-0.25</v>
      </c>
      <c r="QO48" s="78">
        <f>(QC3/4)/QC3</f>
        <v>0.25</v>
      </c>
      <c r="QP48" s="78">
        <f>QO48</f>
        <v>0.25</v>
      </c>
      <c r="QR48" s="355" t="str">
        <f>CONCATENATE(QC2,"  kg/sq.m.")</f>
        <v>10000  kg/sq.m.</v>
      </c>
      <c r="QU48" s="78">
        <v>0</v>
      </c>
      <c r="QY48" s="346"/>
      <c r="QZ48" s="346"/>
      <c r="RA48" s="346"/>
      <c r="RB48" s="346"/>
      <c r="RC48" s="346"/>
      <c r="RD48" s="346"/>
      <c r="RE48" s="346"/>
      <c r="RF48" s="346"/>
      <c r="RG48" s="346"/>
      <c r="RH48" s="346"/>
      <c r="RI48" s="346"/>
      <c r="RJ48" s="346"/>
      <c r="RK48" s="346"/>
      <c r="RL48" s="346"/>
      <c r="RM48" s="346"/>
      <c r="RN48" s="346"/>
      <c r="RO48" s="346"/>
      <c r="RP48" s="346"/>
      <c r="RQ48" s="346"/>
      <c r="RR48" s="346"/>
      <c r="RS48" s="346"/>
      <c r="RT48" s="346"/>
      <c r="RU48" s="346"/>
      <c r="RV48" s="346"/>
      <c r="RW48" s="346"/>
      <c r="RX48" s="346"/>
      <c r="RY48" s="346"/>
      <c r="RZ48" s="346"/>
      <c r="SA48" s="346"/>
      <c r="SB48" s="346"/>
      <c r="SC48" s="346"/>
      <c r="SD48" s="346"/>
      <c r="SE48" s="346"/>
      <c r="SF48" s="346"/>
      <c r="SG48" s="346"/>
      <c r="SH48" s="346"/>
      <c r="SI48" s="346"/>
      <c r="SJ48" s="346"/>
      <c r="SK48" s="346"/>
      <c r="SL48" s="346"/>
      <c r="SM48" s="346"/>
      <c r="SN48" s="346"/>
      <c r="SO48" s="346"/>
      <c r="SP48" s="346"/>
      <c r="SQ48" s="346"/>
      <c r="SR48" s="346"/>
      <c r="SS48" s="346"/>
      <c r="ST48" s="346"/>
      <c r="SU48" s="346"/>
      <c r="SV48" s="346"/>
      <c r="SW48" s="346"/>
      <c r="SX48" s="346"/>
      <c r="SY48" s="346"/>
      <c r="SZ48" s="346"/>
      <c r="TA48" s="346"/>
    </row>
    <row r="49" spans="1:521" ht="14.1" customHeight="1" x14ac:dyDescent="0.2">
      <c r="A49" s="226"/>
      <c r="B49" s="226"/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  <c r="V49" s="226"/>
      <c r="W49" s="226"/>
      <c r="X49" s="226"/>
      <c r="Y49" s="226"/>
      <c r="Z49" s="226"/>
      <c r="AA49" s="226"/>
      <c r="AB49" s="226"/>
      <c r="AC49" s="226"/>
      <c r="AD49" s="226"/>
      <c r="AE49" s="226"/>
      <c r="AF49" s="226"/>
      <c r="AG49" s="226"/>
      <c r="AH49" s="226"/>
      <c r="AI49" s="226"/>
      <c r="AJ49" s="226"/>
      <c r="AK49" s="226"/>
      <c r="AL49" s="226"/>
      <c r="AM49" s="226"/>
      <c r="AN49" s="226"/>
      <c r="AO49" s="226"/>
      <c r="AP49" s="226"/>
      <c r="AQ49" s="226"/>
      <c r="AR49" s="226"/>
      <c r="AS49" s="226"/>
      <c r="AT49" s="226"/>
      <c r="AU49" s="226"/>
      <c r="AV49" s="226"/>
      <c r="AW49" s="226"/>
      <c r="AX49" s="226"/>
      <c r="AY49" s="226"/>
      <c r="AZ49" s="226"/>
      <c r="BA49" s="226"/>
      <c r="BB49" s="226"/>
      <c r="BC49" s="226"/>
      <c r="BD49" s="226"/>
      <c r="BE49" s="226"/>
      <c r="BF49" s="226"/>
      <c r="BG49" s="226"/>
      <c r="BH49" s="226"/>
      <c r="BI49" s="226"/>
      <c r="BJ49" s="145"/>
      <c r="BK49" s="145"/>
      <c r="BL49" s="145"/>
      <c r="BM49" s="145"/>
      <c r="BN49" s="145"/>
      <c r="BO49" s="145"/>
      <c r="BP49" s="145"/>
      <c r="BQ49" s="145"/>
      <c r="BR49" s="145"/>
      <c r="BS49" s="145"/>
      <c r="BT49" s="145"/>
      <c r="BU49" s="145"/>
      <c r="BV49" s="145"/>
      <c r="BW49" s="145"/>
      <c r="BX49" s="145"/>
      <c r="BY49" s="145"/>
      <c r="BZ49" s="145"/>
      <c r="CA49" s="145"/>
      <c r="CB49" s="145"/>
      <c r="CC49" s="145"/>
      <c r="CD49" s="145"/>
      <c r="CE49" s="145"/>
      <c r="CF49" s="145"/>
      <c r="CG49" s="145"/>
      <c r="CH49" s="145"/>
      <c r="CI49" s="145"/>
      <c r="CJ49" s="145"/>
      <c r="CK49" s="145"/>
      <c r="CL49" s="145"/>
      <c r="CM49" s="145"/>
      <c r="CN49" s="145"/>
      <c r="CO49" s="145"/>
      <c r="CP49" s="145"/>
      <c r="CQ49" s="145"/>
      <c r="CR49" s="145"/>
      <c r="CS49" s="145"/>
      <c r="CT49" s="145"/>
      <c r="CU49" s="145"/>
      <c r="CV49" s="145"/>
      <c r="CW49" s="145"/>
      <c r="CX49" s="145"/>
      <c r="CY49" s="145"/>
      <c r="CZ49" s="145"/>
      <c r="DA49" s="145"/>
      <c r="DB49" s="145"/>
      <c r="DC49" s="145"/>
      <c r="DD49" s="145"/>
      <c r="DE49" s="145"/>
      <c r="DF49" s="145"/>
      <c r="DG49" s="145"/>
      <c r="DH49" s="145"/>
      <c r="DI49" s="145"/>
      <c r="DJ49" s="145"/>
      <c r="DK49" s="145"/>
      <c r="DL49" s="145"/>
      <c r="DM49" s="145"/>
      <c r="DN49" s="145"/>
      <c r="DO49" s="145"/>
      <c r="DP49" s="145"/>
      <c r="DQ49" s="145"/>
      <c r="DR49" s="145"/>
      <c r="DS49" s="145"/>
      <c r="DT49" s="145"/>
      <c r="DU49" s="145"/>
      <c r="DV49" s="145"/>
      <c r="DW49" s="145"/>
      <c r="DX49" s="145"/>
      <c r="DY49" s="145"/>
      <c r="DZ49" s="145"/>
      <c r="EA49" s="145"/>
      <c r="EB49" s="145"/>
      <c r="EC49" s="145"/>
      <c r="ED49" s="145"/>
      <c r="EE49" s="145"/>
      <c r="EF49" s="145"/>
      <c r="EG49" s="145"/>
      <c r="EH49" s="145"/>
      <c r="EI49" s="145"/>
      <c r="EJ49" s="145"/>
      <c r="EK49" s="145"/>
      <c r="EL49" s="145"/>
      <c r="EM49" s="145"/>
      <c r="EN49" s="145"/>
      <c r="EO49" s="145"/>
      <c r="EP49" s="145"/>
      <c r="EQ49" s="145"/>
      <c r="ER49" s="145"/>
      <c r="ES49" s="145"/>
      <c r="ET49" s="145"/>
      <c r="EU49" s="145"/>
      <c r="EV49" s="145"/>
      <c r="EW49" s="145"/>
      <c r="EX49" s="145"/>
      <c r="EY49" s="145"/>
      <c r="EZ49" s="145"/>
      <c r="FA49" s="145"/>
      <c r="FB49" s="145"/>
      <c r="FC49" s="145"/>
      <c r="FD49" s="145"/>
      <c r="FE49" s="145"/>
      <c r="FF49" s="145"/>
      <c r="FG49" s="145"/>
      <c r="FH49" s="145"/>
      <c r="FI49" s="145"/>
      <c r="FJ49" s="145"/>
      <c r="FK49" s="145"/>
      <c r="FL49" s="145"/>
      <c r="FM49" s="145"/>
      <c r="FN49" s="145"/>
      <c r="FO49" s="145"/>
      <c r="FP49" s="145"/>
      <c r="FQ49" s="145"/>
      <c r="FR49" s="145"/>
      <c r="FS49" s="145"/>
      <c r="FT49" s="145"/>
      <c r="FU49" s="145"/>
      <c r="FV49" s="145"/>
      <c r="FW49" s="145"/>
      <c r="FX49" s="145"/>
      <c r="FY49" s="145"/>
      <c r="FZ49" s="145"/>
      <c r="GA49" s="145"/>
      <c r="GB49" s="145"/>
      <c r="GC49" s="145"/>
      <c r="GD49" s="145"/>
      <c r="GE49" s="145"/>
      <c r="GF49" s="145"/>
      <c r="GG49" s="145"/>
      <c r="GH49" s="145"/>
      <c r="GI49" s="145"/>
      <c r="GJ49" s="145"/>
      <c r="GK49" s="145"/>
      <c r="GL49" s="145"/>
      <c r="GM49" s="145"/>
      <c r="GN49" s="145"/>
      <c r="GO49" s="145"/>
      <c r="GP49" s="145"/>
      <c r="GQ49" s="145"/>
      <c r="GR49" s="145"/>
      <c r="GS49" s="145"/>
      <c r="GT49" s="145"/>
      <c r="GU49" s="145"/>
      <c r="GV49" s="145"/>
      <c r="GW49" s="145"/>
      <c r="GX49" s="145"/>
      <c r="GY49" s="145"/>
      <c r="GZ49" s="145"/>
      <c r="HA49" s="145"/>
      <c r="HB49" s="145"/>
      <c r="HC49" s="145"/>
      <c r="HD49" s="145"/>
      <c r="HE49" s="302"/>
      <c r="HF49" s="302"/>
      <c r="HG49" s="302"/>
      <c r="HH49" s="302"/>
      <c r="HI49" s="302"/>
      <c r="HJ49" s="302"/>
      <c r="HK49" s="302"/>
      <c r="HL49" s="302"/>
      <c r="HM49" s="302"/>
      <c r="HN49" s="302"/>
      <c r="HO49" s="302"/>
      <c r="HP49" s="302"/>
      <c r="HQ49" s="302"/>
      <c r="HR49" s="302"/>
      <c r="HS49" s="302"/>
      <c r="HT49" s="302"/>
      <c r="HU49" s="302"/>
      <c r="HV49" s="302"/>
      <c r="HW49" s="302"/>
      <c r="HX49" s="302"/>
      <c r="HY49" s="302"/>
      <c r="HZ49" s="302"/>
      <c r="IA49" s="302"/>
      <c r="IB49" s="302"/>
      <c r="IC49" s="302"/>
      <c r="ID49" s="302"/>
      <c r="IE49" s="302"/>
      <c r="IF49" s="302"/>
      <c r="IG49" s="302"/>
      <c r="IH49" s="302"/>
      <c r="II49" s="302"/>
      <c r="IJ49" s="302"/>
      <c r="IK49" s="302"/>
      <c r="IL49" s="302"/>
      <c r="IM49" s="302"/>
      <c r="IN49" s="302"/>
      <c r="IO49" s="302"/>
      <c r="IP49" s="302"/>
      <c r="IQ49" s="302"/>
      <c r="IR49" s="302"/>
      <c r="IS49" s="302"/>
      <c r="IT49" s="302"/>
      <c r="IU49" s="302"/>
      <c r="IV49" s="302"/>
      <c r="IW49" s="302"/>
      <c r="IX49" s="302"/>
      <c r="IY49" s="302"/>
      <c r="IZ49" s="302"/>
      <c r="JA49" s="302"/>
      <c r="JB49" s="302"/>
      <c r="JC49" s="302"/>
      <c r="JD49" s="302"/>
      <c r="JE49" s="302"/>
      <c r="JF49" s="302"/>
      <c r="JG49" s="302"/>
      <c r="JH49" s="302"/>
      <c r="JI49" s="302"/>
      <c r="JJ49" s="302"/>
      <c r="JK49" s="302"/>
      <c r="JL49" s="302"/>
      <c r="JM49" s="302"/>
      <c r="JN49" s="302"/>
      <c r="JO49" s="302"/>
      <c r="JP49" s="302"/>
      <c r="JQ49" s="302"/>
      <c r="JR49" s="302"/>
      <c r="JS49" s="302"/>
      <c r="JT49" s="302"/>
      <c r="JU49" s="302"/>
      <c r="JV49" s="302"/>
      <c r="JW49" s="302"/>
      <c r="JX49" s="302"/>
      <c r="JY49" s="302"/>
      <c r="JZ49" s="302"/>
      <c r="KA49" s="302"/>
      <c r="KB49" s="302"/>
      <c r="KC49" s="302"/>
      <c r="KD49" s="302"/>
      <c r="KE49" s="302"/>
      <c r="KF49" s="302"/>
      <c r="KG49" s="302"/>
      <c r="KH49" s="302"/>
      <c r="KI49" s="302"/>
      <c r="KJ49" s="302"/>
      <c r="KK49" s="302"/>
      <c r="KL49" s="302"/>
      <c r="KM49" s="302"/>
      <c r="KN49" s="302"/>
      <c r="KO49" s="302"/>
      <c r="KP49" s="302"/>
      <c r="KQ49" s="302"/>
      <c r="KR49" s="302"/>
      <c r="KS49" s="302"/>
      <c r="KT49" s="302"/>
      <c r="KU49" s="302"/>
      <c r="KV49" s="302"/>
      <c r="KW49" s="302"/>
      <c r="KX49" s="302"/>
      <c r="KY49" s="302"/>
      <c r="KZ49" s="302"/>
      <c r="LA49" s="302"/>
      <c r="LB49" s="302"/>
      <c r="LC49" s="302"/>
      <c r="LD49" s="302"/>
      <c r="LE49" s="302"/>
      <c r="LF49" s="302"/>
      <c r="LG49" s="302"/>
      <c r="LH49" s="302"/>
      <c r="LI49" s="302"/>
      <c r="LJ49" s="302"/>
      <c r="LK49" s="302"/>
      <c r="LL49" s="302"/>
      <c r="LM49" s="302"/>
      <c r="LN49" s="302"/>
      <c r="LO49" s="302"/>
      <c r="LP49" s="302"/>
      <c r="LQ49" s="302"/>
      <c r="LR49" s="302"/>
      <c r="LS49" s="302"/>
      <c r="LT49" s="302"/>
      <c r="LU49" s="302"/>
      <c r="LV49" s="302"/>
      <c r="LW49" s="302"/>
      <c r="LX49" s="302"/>
      <c r="LY49" s="302"/>
      <c r="LZ49" s="302"/>
      <c r="MA49" s="302"/>
      <c r="MB49" s="302"/>
      <c r="MC49" s="302"/>
      <c r="MD49" s="302"/>
      <c r="ME49" s="302"/>
      <c r="MF49" s="302"/>
      <c r="MG49" s="302"/>
      <c r="MH49" s="302"/>
      <c r="MI49" s="302"/>
      <c r="MJ49" s="302"/>
      <c r="MK49" s="302"/>
      <c r="ML49" s="302"/>
      <c r="MM49" s="302"/>
      <c r="MN49" s="302"/>
      <c r="MO49" s="302"/>
      <c r="MP49" s="302"/>
      <c r="MQ49" s="302"/>
      <c r="MR49" s="302"/>
      <c r="MS49" s="302"/>
      <c r="MT49" s="302"/>
      <c r="MU49" s="302"/>
      <c r="MV49" s="302"/>
      <c r="MW49" s="302"/>
      <c r="MX49" s="302"/>
      <c r="MY49" s="302"/>
      <c r="MZ49" s="302"/>
      <c r="NA49" s="302"/>
      <c r="NB49" s="302"/>
      <c r="NC49" s="302"/>
      <c r="ND49" s="302"/>
      <c r="NE49" s="302"/>
      <c r="NF49" s="302"/>
      <c r="NG49" s="302"/>
      <c r="NH49" s="302"/>
      <c r="NI49" s="302"/>
      <c r="NJ49" s="302"/>
      <c r="NK49" s="302"/>
      <c r="NL49" s="302"/>
      <c r="NM49" s="302"/>
      <c r="NN49" s="302"/>
      <c r="NO49" s="302"/>
      <c r="NP49" s="191" t="s">
        <v>181</v>
      </c>
      <c r="NQ49" s="346"/>
      <c r="NR49" s="346"/>
      <c r="NS49" s="322" t="s">
        <v>1</v>
      </c>
      <c r="NT49" s="380">
        <f>(0.06*OZ16*NT3)/NT2^0.5</f>
        <v>29.549948086929351</v>
      </c>
      <c r="NU49" s="380"/>
      <c r="NV49" s="380"/>
      <c r="NW49" s="346" t="s">
        <v>20</v>
      </c>
      <c r="NX49" s="346"/>
      <c r="NY49" s="78">
        <v>30</v>
      </c>
      <c r="OD49" s="64"/>
      <c r="PN49" s="302"/>
      <c r="PO49" s="302"/>
      <c r="PP49" s="302"/>
      <c r="PQ49" s="302"/>
      <c r="PR49" s="302"/>
      <c r="PS49" s="302"/>
      <c r="PT49" s="302"/>
      <c r="PU49" s="302"/>
      <c r="PV49" s="302"/>
      <c r="PW49" s="303"/>
      <c r="PX49" s="303"/>
      <c r="PY49" s="303"/>
      <c r="QC49" s="78" t="s">
        <v>24</v>
      </c>
      <c r="QD49" s="78">
        <v>0</v>
      </c>
      <c r="QE49" s="78">
        <v>-7.4999999999999997E-2</v>
      </c>
      <c r="QF49" s="78">
        <v>-7.4999999999999997E-2</v>
      </c>
      <c r="QG49" s="78">
        <v>0</v>
      </c>
      <c r="QI49" s="78">
        <v>0</v>
      </c>
      <c r="QJ49" s="78">
        <f>QE49</f>
        <v>-7.4999999999999997E-2</v>
      </c>
      <c r="QL49" s="78">
        <v>0</v>
      </c>
      <c r="QM49" s="78">
        <f>QE49</f>
        <v>-7.4999999999999997E-2</v>
      </c>
      <c r="QO49" s="78">
        <f>QL49</f>
        <v>0</v>
      </c>
      <c r="QP49" s="78">
        <f>QM49</f>
        <v>-7.4999999999999997E-2</v>
      </c>
      <c r="QU49" s="78">
        <f>QE49</f>
        <v>-7.4999999999999997E-2</v>
      </c>
      <c r="QY49" s="346"/>
      <c r="QZ49" s="346"/>
      <c r="RA49" s="346"/>
      <c r="RB49" s="346"/>
      <c r="RC49" s="346"/>
      <c r="RD49" s="346"/>
      <c r="RE49" s="346"/>
      <c r="RF49" s="346"/>
      <c r="RG49" s="346"/>
      <c r="RH49" s="346"/>
      <c r="RI49" s="346"/>
      <c r="RJ49" s="346"/>
      <c r="RK49" s="346"/>
      <c r="RL49" s="346"/>
      <c r="RM49" s="346"/>
      <c r="RN49" s="346"/>
      <c r="RO49" s="346"/>
      <c r="RP49" s="346"/>
      <c r="RQ49" s="346"/>
      <c r="RR49" s="346"/>
      <c r="RS49" s="346"/>
      <c r="RT49" s="346"/>
      <c r="RU49" s="346"/>
      <c r="RV49" s="346"/>
      <c r="RW49" s="346"/>
      <c r="RX49" s="346"/>
      <c r="RY49" s="346"/>
      <c r="RZ49" s="346"/>
      <c r="SA49" s="346"/>
      <c r="SB49" s="346"/>
      <c r="SC49" s="346"/>
      <c r="SD49" s="346"/>
      <c r="SE49" s="346"/>
      <c r="SF49" s="346"/>
      <c r="SG49" s="346"/>
      <c r="SH49" s="346"/>
      <c r="SI49" s="346"/>
      <c r="SJ49" s="346"/>
      <c r="SK49" s="346"/>
      <c r="SL49" s="346"/>
      <c r="SM49" s="346"/>
      <c r="SN49" s="346"/>
      <c r="SO49" s="346"/>
      <c r="SP49" s="346"/>
      <c r="SQ49" s="346"/>
      <c r="SR49" s="346"/>
      <c r="SS49" s="346"/>
      <c r="ST49" s="346"/>
      <c r="SU49" s="346"/>
      <c r="SV49" s="346"/>
      <c r="SW49" s="346"/>
      <c r="SX49" s="346"/>
      <c r="SY49" s="346"/>
      <c r="SZ49" s="346"/>
      <c r="TA49" s="346"/>
    </row>
    <row r="50" spans="1:521" ht="14.1" customHeight="1" x14ac:dyDescent="0.2">
      <c r="A50" s="226"/>
      <c r="B50" s="226"/>
      <c r="C50" s="226"/>
      <c r="D50" s="226"/>
      <c r="E50" s="226"/>
      <c r="F50" s="226"/>
      <c r="G50" s="226"/>
      <c r="H50" s="226"/>
      <c r="I50" s="226"/>
      <c r="J50" s="226"/>
      <c r="K50" s="226"/>
      <c r="L50" s="226"/>
      <c r="M50" s="226"/>
      <c r="N50" s="226"/>
      <c r="O50" s="226"/>
      <c r="P50" s="226"/>
      <c r="Q50" s="226"/>
      <c r="R50" s="226"/>
      <c r="S50" s="226"/>
      <c r="T50" s="226"/>
      <c r="U50" s="226"/>
      <c r="V50" s="226"/>
      <c r="W50" s="226"/>
      <c r="X50" s="226"/>
      <c r="Y50" s="226"/>
      <c r="Z50" s="226"/>
      <c r="AA50" s="226"/>
      <c r="AB50" s="226"/>
      <c r="AC50" s="226"/>
      <c r="AD50" s="226"/>
      <c r="AE50" s="226"/>
      <c r="AF50" s="226"/>
      <c r="AG50" s="226"/>
      <c r="AH50" s="226"/>
      <c r="AI50" s="226"/>
      <c r="AJ50" s="226"/>
      <c r="AK50" s="226"/>
      <c r="AL50" s="226"/>
      <c r="AM50" s="226"/>
      <c r="AN50" s="226"/>
      <c r="AO50" s="226"/>
      <c r="AP50" s="226"/>
      <c r="AQ50" s="226"/>
      <c r="AR50" s="226"/>
      <c r="AS50" s="226"/>
      <c r="AT50" s="226"/>
      <c r="AU50" s="226"/>
      <c r="AV50" s="226"/>
      <c r="AW50" s="226"/>
      <c r="AX50" s="226"/>
      <c r="AY50" s="226"/>
      <c r="AZ50" s="226"/>
      <c r="BA50" s="226"/>
      <c r="BB50" s="226"/>
      <c r="BC50" s="226"/>
      <c r="BD50" s="226"/>
      <c r="BE50" s="226"/>
      <c r="BF50" s="226"/>
      <c r="BG50" s="226"/>
      <c r="BH50" s="226"/>
      <c r="BI50" s="226"/>
      <c r="BJ50" s="145"/>
      <c r="BK50" s="145"/>
      <c r="BL50" s="145"/>
      <c r="BM50" s="145"/>
      <c r="BN50" s="145"/>
      <c r="BO50" s="145"/>
      <c r="BP50" s="145"/>
      <c r="BQ50" s="145"/>
      <c r="BR50" s="145"/>
      <c r="BS50" s="145"/>
      <c r="BT50" s="145"/>
      <c r="BU50" s="145"/>
      <c r="BV50" s="145"/>
      <c r="BW50" s="145"/>
      <c r="BX50" s="145"/>
      <c r="BY50" s="145"/>
      <c r="BZ50" s="145"/>
      <c r="CA50" s="145"/>
      <c r="CB50" s="145"/>
      <c r="CC50" s="145"/>
      <c r="CD50" s="145"/>
      <c r="CE50" s="145"/>
      <c r="CF50" s="145"/>
      <c r="CG50" s="145"/>
      <c r="CH50" s="145"/>
      <c r="CI50" s="145"/>
      <c r="CJ50" s="145"/>
      <c r="CK50" s="145"/>
      <c r="CL50" s="145"/>
      <c r="CM50" s="145"/>
      <c r="CN50" s="145"/>
      <c r="CO50" s="145"/>
      <c r="CP50" s="145"/>
      <c r="CQ50" s="145"/>
      <c r="CR50" s="145"/>
      <c r="CS50" s="145"/>
      <c r="CT50" s="145"/>
      <c r="CU50" s="145"/>
      <c r="CV50" s="145"/>
      <c r="CW50" s="145"/>
      <c r="CX50" s="145"/>
      <c r="CY50" s="145"/>
      <c r="CZ50" s="145"/>
      <c r="DA50" s="145"/>
      <c r="DB50" s="145"/>
      <c r="DC50" s="145"/>
      <c r="DD50" s="145"/>
      <c r="DE50" s="145"/>
      <c r="DF50" s="145"/>
      <c r="DG50" s="145"/>
      <c r="DH50" s="145"/>
      <c r="DI50" s="145"/>
      <c r="DJ50" s="145"/>
      <c r="DK50" s="145"/>
      <c r="DL50" s="145"/>
      <c r="DM50" s="145"/>
      <c r="DN50" s="145"/>
      <c r="DO50" s="145"/>
      <c r="DP50" s="145"/>
      <c r="DQ50" s="145"/>
      <c r="DR50" s="145"/>
      <c r="DS50" s="145"/>
      <c r="DT50" s="145"/>
      <c r="DU50" s="145"/>
      <c r="DV50" s="145"/>
      <c r="DW50" s="145"/>
      <c r="DX50" s="145"/>
      <c r="DY50" s="145"/>
      <c r="DZ50" s="145"/>
      <c r="EA50" s="145"/>
      <c r="EB50" s="145"/>
      <c r="EC50" s="145"/>
      <c r="ED50" s="145"/>
      <c r="EE50" s="145"/>
      <c r="EF50" s="145"/>
      <c r="EG50" s="145"/>
      <c r="EH50" s="145"/>
      <c r="EI50" s="145"/>
      <c r="EJ50" s="145"/>
      <c r="EK50" s="145"/>
      <c r="EL50" s="145"/>
      <c r="EM50" s="145"/>
      <c r="EN50" s="145"/>
      <c r="EO50" s="145"/>
      <c r="EP50" s="145"/>
      <c r="EQ50" s="145"/>
      <c r="ER50" s="145"/>
      <c r="ES50" s="145"/>
      <c r="ET50" s="145"/>
      <c r="EU50" s="145"/>
      <c r="EV50" s="145"/>
      <c r="EW50" s="145"/>
      <c r="EX50" s="145"/>
      <c r="EY50" s="145"/>
      <c r="EZ50" s="145"/>
      <c r="FA50" s="145"/>
      <c r="FB50" s="145"/>
      <c r="FC50" s="145"/>
      <c r="FD50" s="145"/>
      <c r="FE50" s="145"/>
      <c r="FF50" s="145"/>
      <c r="FG50" s="145"/>
      <c r="FH50" s="145"/>
      <c r="FI50" s="145"/>
      <c r="FJ50" s="145"/>
      <c r="FK50" s="145"/>
      <c r="FL50" s="145"/>
      <c r="FM50" s="145"/>
      <c r="FN50" s="145"/>
      <c r="FO50" s="145"/>
      <c r="FP50" s="145"/>
      <c r="FQ50" s="145"/>
      <c r="FR50" s="145"/>
      <c r="FS50" s="145"/>
      <c r="FT50" s="145"/>
      <c r="FU50" s="145"/>
      <c r="FV50" s="145"/>
      <c r="FW50" s="145"/>
      <c r="FX50" s="145"/>
      <c r="FY50" s="145"/>
      <c r="FZ50" s="145"/>
      <c r="GA50" s="145"/>
      <c r="GB50" s="145"/>
      <c r="GC50" s="145"/>
      <c r="GD50" s="145"/>
      <c r="GE50" s="145"/>
      <c r="GF50" s="145"/>
      <c r="GG50" s="145"/>
      <c r="GH50" s="145"/>
      <c r="GI50" s="145"/>
      <c r="GJ50" s="145"/>
      <c r="GK50" s="145"/>
      <c r="GL50" s="145"/>
      <c r="GM50" s="145"/>
      <c r="GN50" s="145"/>
      <c r="GO50" s="145"/>
      <c r="GP50" s="145"/>
      <c r="GQ50" s="145"/>
      <c r="GR50" s="145"/>
      <c r="GS50" s="145"/>
      <c r="GT50" s="145"/>
      <c r="GU50" s="145"/>
      <c r="GV50" s="145"/>
      <c r="GW50" s="145"/>
      <c r="GX50" s="145"/>
      <c r="GY50" s="145"/>
      <c r="GZ50" s="145"/>
      <c r="HA50" s="145"/>
      <c r="HB50" s="145"/>
      <c r="HC50" s="145"/>
      <c r="HD50" s="145"/>
      <c r="HE50" s="302"/>
      <c r="HF50" s="302"/>
      <c r="HG50" s="302"/>
      <c r="HH50" s="302"/>
      <c r="HI50" s="302"/>
      <c r="HJ50" s="302"/>
      <c r="HK50" s="302"/>
      <c r="HL50" s="302"/>
      <c r="HM50" s="302"/>
      <c r="HN50" s="302"/>
      <c r="HO50" s="302"/>
      <c r="HP50" s="302"/>
      <c r="HQ50" s="302"/>
      <c r="HR50" s="302"/>
      <c r="HS50" s="302"/>
      <c r="HT50" s="302"/>
      <c r="HU50" s="302"/>
      <c r="HV50" s="302"/>
      <c r="HW50" s="302"/>
      <c r="HX50" s="302"/>
      <c r="HY50" s="302"/>
      <c r="HZ50" s="302"/>
      <c r="IA50" s="302"/>
      <c r="IB50" s="302"/>
      <c r="IC50" s="302"/>
      <c r="ID50" s="302"/>
      <c r="IE50" s="302"/>
      <c r="IF50" s="302"/>
      <c r="IG50" s="302"/>
      <c r="IH50" s="302"/>
      <c r="II50" s="302"/>
      <c r="IJ50" s="302"/>
      <c r="IK50" s="302"/>
      <c r="IL50" s="302"/>
      <c r="IM50" s="302"/>
      <c r="IN50" s="302"/>
      <c r="IO50" s="302"/>
      <c r="IP50" s="302"/>
      <c r="IQ50" s="302"/>
      <c r="IR50" s="302"/>
      <c r="IS50" s="302"/>
      <c r="IT50" s="302"/>
      <c r="IU50" s="302"/>
      <c r="IV50" s="302"/>
      <c r="IW50" s="302"/>
      <c r="IX50" s="302"/>
      <c r="IY50" s="302"/>
      <c r="IZ50" s="302"/>
      <c r="JA50" s="302"/>
      <c r="JB50" s="302"/>
      <c r="JC50" s="302"/>
      <c r="JD50" s="302"/>
      <c r="JE50" s="302"/>
      <c r="JF50" s="302"/>
      <c r="JG50" s="302"/>
      <c r="JH50" s="302"/>
      <c r="JI50" s="302"/>
      <c r="JJ50" s="302"/>
      <c r="JK50" s="302"/>
      <c r="JL50" s="302"/>
      <c r="JM50" s="302"/>
      <c r="JN50" s="302"/>
      <c r="JO50" s="302"/>
      <c r="JP50" s="302"/>
      <c r="JQ50" s="302"/>
      <c r="JR50" s="302"/>
      <c r="JS50" s="302"/>
      <c r="JT50" s="302"/>
      <c r="JU50" s="302"/>
      <c r="JV50" s="302"/>
      <c r="JW50" s="302"/>
      <c r="JX50" s="302"/>
      <c r="JY50" s="302"/>
      <c r="JZ50" s="302"/>
      <c r="KA50" s="302"/>
      <c r="KB50" s="302"/>
      <c r="KC50" s="302"/>
      <c r="KD50" s="302"/>
      <c r="KE50" s="302"/>
      <c r="KF50" s="302"/>
      <c r="KG50" s="302"/>
      <c r="KH50" s="302"/>
      <c r="KI50" s="302"/>
      <c r="KJ50" s="302"/>
      <c r="KK50" s="302"/>
      <c r="KL50" s="302"/>
      <c r="KM50" s="302"/>
      <c r="KN50" s="302"/>
      <c r="KO50" s="302"/>
      <c r="KP50" s="302"/>
      <c r="KQ50" s="302"/>
      <c r="KR50" s="302"/>
      <c r="KS50" s="302"/>
      <c r="KT50" s="302"/>
      <c r="KU50" s="302"/>
      <c r="KV50" s="302"/>
      <c r="KW50" s="302"/>
      <c r="KX50" s="302"/>
      <c r="KY50" s="302"/>
      <c r="KZ50" s="302"/>
      <c r="LA50" s="302"/>
      <c r="LB50" s="302"/>
      <c r="LC50" s="302"/>
      <c r="LD50" s="302"/>
      <c r="LE50" s="302"/>
      <c r="LF50" s="302"/>
      <c r="LG50" s="302"/>
      <c r="LH50" s="302"/>
      <c r="LI50" s="302"/>
      <c r="LJ50" s="302"/>
      <c r="LK50" s="302"/>
      <c r="LL50" s="302"/>
      <c r="LM50" s="302"/>
      <c r="LN50" s="302"/>
      <c r="LO50" s="302"/>
      <c r="LP50" s="302"/>
      <c r="LQ50" s="302"/>
      <c r="LR50" s="302"/>
      <c r="LS50" s="302"/>
      <c r="LT50" s="302"/>
      <c r="LU50" s="302"/>
      <c r="LV50" s="302"/>
      <c r="LW50" s="302"/>
      <c r="LX50" s="302"/>
      <c r="LY50" s="302"/>
      <c r="LZ50" s="302"/>
      <c r="MA50" s="302"/>
      <c r="MB50" s="302"/>
      <c r="MC50" s="302"/>
      <c r="MD50" s="302"/>
      <c r="ME50" s="302"/>
      <c r="MF50" s="302"/>
      <c r="MG50" s="302"/>
      <c r="MH50" s="302"/>
      <c r="MI50" s="302"/>
      <c r="MJ50" s="302"/>
      <c r="MK50" s="302"/>
      <c r="ML50" s="302"/>
      <c r="MM50" s="302"/>
      <c r="MN50" s="302"/>
      <c r="MO50" s="302"/>
      <c r="MP50" s="302"/>
      <c r="MQ50" s="302"/>
      <c r="MR50" s="302"/>
      <c r="MS50" s="302"/>
      <c r="MT50" s="302"/>
      <c r="MU50" s="302"/>
      <c r="MV50" s="302"/>
      <c r="MW50" s="302"/>
      <c r="MX50" s="302"/>
      <c r="MY50" s="302"/>
      <c r="MZ50" s="302"/>
      <c r="NA50" s="302"/>
      <c r="NB50" s="302"/>
      <c r="NC50" s="302"/>
      <c r="ND50" s="302"/>
      <c r="NE50" s="302"/>
      <c r="NF50" s="302"/>
      <c r="NG50" s="302"/>
      <c r="NH50" s="302"/>
      <c r="NI50" s="302"/>
      <c r="NJ50" s="302"/>
      <c r="NK50" s="302"/>
      <c r="NL50" s="302"/>
      <c r="NM50" s="302"/>
      <c r="NN50" s="302"/>
      <c r="NO50" s="302"/>
      <c r="NP50" s="191" t="s">
        <v>180</v>
      </c>
      <c r="NQ50" s="322"/>
      <c r="NR50" s="322"/>
      <c r="NS50" s="322" t="s">
        <v>1</v>
      </c>
      <c r="NT50" s="490">
        <f>(MAX(H32,H34)*100)-H38-(MAX(H26,H28)/2)</f>
        <v>122.5</v>
      </c>
      <c r="NU50" s="490"/>
      <c r="NV50" s="490"/>
      <c r="NW50" s="346" t="s">
        <v>20</v>
      </c>
      <c r="NX50" s="322"/>
      <c r="NY50" s="302"/>
      <c r="NZ50" s="302"/>
      <c r="OA50" s="302"/>
      <c r="OB50" s="64"/>
      <c r="OC50" s="64"/>
      <c r="OD50" s="64"/>
      <c r="PN50" s="302"/>
      <c r="PO50" s="302"/>
      <c r="PP50" s="302"/>
      <c r="PQ50" s="302"/>
      <c r="PR50" s="302"/>
      <c r="PS50" s="302"/>
      <c r="PT50" s="302"/>
      <c r="PU50" s="302"/>
      <c r="PV50" s="302"/>
      <c r="PW50" s="303"/>
      <c r="PX50" s="303"/>
      <c r="PY50" s="303"/>
      <c r="QC50" s="78" t="s">
        <v>143</v>
      </c>
      <c r="QJ50" s="78" t="s">
        <v>93</v>
      </c>
      <c r="QY50" s="346"/>
      <c r="QZ50" s="346"/>
      <c r="RA50" s="346"/>
      <c r="RB50" s="346"/>
      <c r="RC50" s="346"/>
      <c r="RD50" s="346"/>
      <c r="RE50" s="346"/>
      <c r="RF50" s="346"/>
      <c r="RG50" s="346"/>
      <c r="RH50" s="346"/>
      <c r="RI50" s="346"/>
      <c r="RJ50" s="346"/>
      <c r="RK50" s="346"/>
      <c r="RL50" s="346"/>
      <c r="RM50" s="346"/>
      <c r="RN50" s="346"/>
      <c r="RO50" s="346"/>
      <c r="RP50" s="346"/>
      <c r="RQ50" s="346"/>
      <c r="RR50" s="346"/>
      <c r="RS50" s="346"/>
      <c r="RT50" s="346"/>
      <c r="RU50" s="346"/>
      <c r="RV50" s="346"/>
      <c r="RW50" s="346"/>
      <c r="RX50" s="346"/>
      <c r="RY50" s="346"/>
      <c r="RZ50" s="346"/>
      <c r="SA50" s="346"/>
      <c r="SB50" s="346"/>
      <c r="SC50" s="346"/>
      <c r="SD50" s="346"/>
      <c r="SE50" s="346"/>
      <c r="SF50" s="346"/>
      <c r="SG50" s="346"/>
      <c r="SH50" s="346"/>
      <c r="SI50" s="346"/>
      <c r="SJ50" s="346"/>
      <c r="SK50" s="346"/>
      <c r="SL50" s="346"/>
      <c r="SM50" s="346"/>
      <c r="SN50" s="346"/>
      <c r="SO50" s="346"/>
      <c r="SP50" s="346"/>
      <c r="SQ50" s="346"/>
      <c r="SR50" s="346"/>
      <c r="SS50" s="346"/>
      <c r="ST50" s="346"/>
      <c r="SU50" s="346"/>
      <c r="SV50" s="346"/>
      <c r="SW50" s="346"/>
      <c r="SX50" s="346"/>
      <c r="SY50" s="346"/>
      <c r="SZ50" s="346"/>
      <c r="TA50" s="346"/>
    </row>
    <row r="51" spans="1:521" ht="14.1" customHeight="1" x14ac:dyDescent="0.2">
      <c r="A51" s="226"/>
      <c r="B51" s="226"/>
      <c r="C51" s="226"/>
      <c r="D51" s="226"/>
      <c r="E51" s="226"/>
      <c r="F51" s="226"/>
      <c r="G51" s="226"/>
      <c r="H51" s="226"/>
      <c r="I51" s="226"/>
      <c r="J51" s="226"/>
      <c r="K51" s="226"/>
      <c r="L51" s="226"/>
      <c r="M51" s="226"/>
      <c r="N51" s="226"/>
      <c r="O51" s="226"/>
      <c r="P51" s="226"/>
      <c r="Q51" s="226"/>
      <c r="R51" s="226"/>
      <c r="S51" s="226"/>
      <c r="T51" s="226"/>
      <c r="U51" s="226"/>
      <c r="V51" s="226"/>
      <c r="W51" s="226"/>
      <c r="X51" s="226"/>
      <c r="Y51" s="226"/>
      <c r="Z51" s="226"/>
      <c r="AA51" s="226"/>
      <c r="AB51" s="226"/>
      <c r="AC51" s="226"/>
      <c r="AD51" s="226"/>
      <c r="AE51" s="226"/>
      <c r="AF51" s="226"/>
      <c r="AG51" s="226"/>
      <c r="AH51" s="226"/>
      <c r="AI51" s="226"/>
      <c r="AJ51" s="226"/>
      <c r="AK51" s="226"/>
      <c r="AL51" s="226"/>
      <c r="AM51" s="226"/>
      <c r="AN51" s="226"/>
      <c r="AO51" s="226"/>
      <c r="AP51" s="226"/>
      <c r="AQ51" s="226"/>
      <c r="AR51" s="226"/>
      <c r="AS51" s="226"/>
      <c r="AT51" s="226"/>
      <c r="AU51" s="226"/>
      <c r="AV51" s="226"/>
      <c r="AW51" s="226"/>
      <c r="AX51" s="226"/>
      <c r="AY51" s="226"/>
      <c r="AZ51" s="226"/>
      <c r="BA51" s="226"/>
      <c r="BB51" s="226"/>
      <c r="BC51" s="226"/>
      <c r="BD51" s="226"/>
      <c r="BE51" s="226"/>
      <c r="BF51" s="226"/>
      <c r="BG51" s="226"/>
      <c r="BH51" s="226"/>
      <c r="BI51" s="226"/>
      <c r="BJ51" s="145"/>
      <c r="BK51" s="145"/>
      <c r="BL51" s="145"/>
      <c r="BM51" s="145"/>
      <c r="BN51" s="145"/>
      <c r="BO51" s="145"/>
      <c r="BP51" s="145"/>
      <c r="BQ51" s="145"/>
      <c r="BR51" s="145"/>
      <c r="BS51" s="145"/>
      <c r="BT51" s="145"/>
      <c r="BU51" s="145"/>
      <c r="BV51" s="145"/>
      <c r="BW51" s="145"/>
      <c r="BX51" s="145"/>
      <c r="BY51" s="145"/>
      <c r="BZ51" s="145"/>
      <c r="CA51" s="145"/>
      <c r="CB51" s="145"/>
      <c r="CC51" s="145"/>
      <c r="CD51" s="145"/>
      <c r="CE51" s="145"/>
      <c r="CF51" s="145"/>
      <c r="CG51" s="145"/>
      <c r="CH51" s="145"/>
      <c r="CI51" s="145"/>
      <c r="CJ51" s="145"/>
      <c r="CK51" s="145"/>
      <c r="CL51" s="145"/>
      <c r="CM51" s="145"/>
      <c r="CN51" s="145"/>
      <c r="CO51" s="145"/>
      <c r="CP51" s="145"/>
      <c r="CQ51" s="145"/>
      <c r="CR51" s="145"/>
      <c r="CS51" s="145"/>
      <c r="CT51" s="145"/>
      <c r="CU51" s="145"/>
      <c r="CV51" s="145"/>
      <c r="CW51" s="145"/>
      <c r="CX51" s="145"/>
      <c r="CY51" s="145"/>
      <c r="CZ51" s="145"/>
      <c r="DA51" s="145"/>
      <c r="DB51" s="145"/>
      <c r="DC51" s="145"/>
      <c r="DD51" s="145"/>
      <c r="DE51" s="145"/>
      <c r="DF51" s="145"/>
      <c r="DG51" s="145"/>
      <c r="DH51" s="145"/>
      <c r="DI51" s="145"/>
      <c r="DJ51" s="145"/>
      <c r="DK51" s="145"/>
      <c r="DL51" s="145"/>
      <c r="DM51" s="145"/>
      <c r="DN51" s="145"/>
      <c r="DO51" s="145"/>
      <c r="DP51" s="145"/>
      <c r="DQ51" s="145"/>
      <c r="DR51" s="145"/>
      <c r="DS51" s="145"/>
      <c r="DT51" s="145"/>
      <c r="DU51" s="145"/>
      <c r="DV51" s="145"/>
      <c r="DW51" s="145"/>
      <c r="DX51" s="145"/>
      <c r="DY51" s="145"/>
      <c r="DZ51" s="145"/>
      <c r="EA51" s="145"/>
      <c r="EB51" s="145"/>
      <c r="EC51" s="145"/>
      <c r="ED51" s="145"/>
      <c r="EE51" s="145"/>
      <c r="EF51" s="145"/>
      <c r="EG51" s="145"/>
      <c r="EH51" s="145"/>
      <c r="EI51" s="145"/>
      <c r="EJ51" s="145"/>
      <c r="EK51" s="145"/>
      <c r="EL51" s="145"/>
      <c r="EM51" s="145"/>
      <c r="EN51" s="145"/>
      <c r="EO51" s="145"/>
      <c r="EP51" s="145"/>
      <c r="EQ51" s="145"/>
      <c r="ER51" s="145"/>
      <c r="ES51" s="145"/>
      <c r="ET51" s="145"/>
      <c r="EU51" s="145"/>
      <c r="EV51" s="145"/>
      <c r="EW51" s="145"/>
      <c r="EX51" s="145"/>
      <c r="EY51" s="145"/>
      <c r="EZ51" s="145"/>
      <c r="FA51" s="145"/>
      <c r="FB51" s="145"/>
      <c r="FC51" s="145"/>
      <c r="FD51" s="145"/>
      <c r="FE51" s="145"/>
      <c r="FF51" s="145"/>
      <c r="FG51" s="145"/>
      <c r="FH51" s="145"/>
      <c r="FI51" s="145"/>
      <c r="FJ51" s="145"/>
      <c r="FK51" s="145"/>
      <c r="FL51" s="145"/>
      <c r="FM51" s="145"/>
      <c r="FN51" s="145"/>
      <c r="FO51" s="145"/>
      <c r="FP51" s="145"/>
      <c r="FQ51" s="145"/>
      <c r="FR51" s="145"/>
      <c r="FS51" s="145"/>
      <c r="FT51" s="145"/>
      <c r="FU51" s="145"/>
      <c r="FV51" s="145"/>
      <c r="FW51" s="145"/>
      <c r="FX51" s="145"/>
      <c r="FY51" s="145"/>
      <c r="FZ51" s="145"/>
      <c r="GA51" s="145"/>
      <c r="GB51" s="145"/>
      <c r="GC51" s="145"/>
      <c r="GD51" s="145"/>
      <c r="GE51" s="145"/>
      <c r="GF51" s="145"/>
      <c r="GG51" s="145"/>
      <c r="GH51" s="145"/>
      <c r="GI51" s="145"/>
      <c r="GJ51" s="145"/>
      <c r="GK51" s="145"/>
      <c r="GL51" s="145"/>
      <c r="GM51" s="145"/>
      <c r="GN51" s="145"/>
      <c r="GO51" s="145"/>
      <c r="GP51" s="145"/>
      <c r="GQ51" s="145"/>
      <c r="GR51" s="145"/>
      <c r="GS51" s="145"/>
      <c r="GT51" s="145"/>
      <c r="GU51" s="145"/>
      <c r="GV51" s="145"/>
      <c r="GW51" s="145"/>
      <c r="GX51" s="145"/>
      <c r="GY51" s="145"/>
      <c r="GZ51" s="145"/>
      <c r="HA51" s="145"/>
      <c r="HB51" s="145"/>
      <c r="HC51" s="145"/>
      <c r="HD51" s="145"/>
      <c r="HE51" s="302"/>
      <c r="HF51" s="302"/>
      <c r="HG51" s="302"/>
      <c r="HH51" s="302"/>
      <c r="HI51" s="302"/>
      <c r="HJ51" s="302"/>
      <c r="HK51" s="302"/>
      <c r="HL51" s="302"/>
      <c r="HM51" s="302"/>
      <c r="HN51" s="302"/>
      <c r="HO51" s="302"/>
      <c r="HP51" s="302"/>
      <c r="HQ51" s="302"/>
      <c r="HR51" s="302"/>
      <c r="HS51" s="302"/>
      <c r="HT51" s="302"/>
      <c r="HU51" s="302"/>
      <c r="HV51" s="302"/>
      <c r="HW51" s="302"/>
      <c r="HX51" s="302"/>
      <c r="HY51" s="302"/>
      <c r="HZ51" s="302"/>
      <c r="IA51" s="302"/>
      <c r="IB51" s="302"/>
      <c r="IC51" s="302"/>
      <c r="ID51" s="302"/>
      <c r="IE51" s="302"/>
      <c r="IF51" s="302"/>
      <c r="IG51" s="302"/>
      <c r="IH51" s="302"/>
      <c r="II51" s="302"/>
      <c r="IJ51" s="302"/>
      <c r="IK51" s="302"/>
      <c r="IL51" s="302"/>
      <c r="IM51" s="302"/>
      <c r="IN51" s="302"/>
      <c r="IO51" s="302"/>
      <c r="IP51" s="302"/>
      <c r="IQ51" s="302"/>
      <c r="IR51" s="302"/>
      <c r="IS51" s="302"/>
      <c r="IT51" s="302"/>
      <c r="IU51" s="302"/>
      <c r="IV51" s="302"/>
      <c r="IW51" s="302"/>
      <c r="IX51" s="302"/>
      <c r="IY51" s="302"/>
      <c r="IZ51" s="302"/>
      <c r="JA51" s="302"/>
      <c r="JB51" s="302"/>
      <c r="JC51" s="302"/>
      <c r="JD51" s="302"/>
      <c r="JE51" s="302"/>
      <c r="JF51" s="302"/>
      <c r="JG51" s="302"/>
      <c r="JH51" s="302"/>
      <c r="JI51" s="302"/>
      <c r="JJ51" s="302"/>
      <c r="JK51" s="302"/>
      <c r="JL51" s="302"/>
      <c r="JM51" s="302"/>
      <c r="JN51" s="302"/>
      <c r="JO51" s="302"/>
      <c r="JP51" s="302"/>
      <c r="JQ51" s="302"/>
      <c r="JR51" s="302"/>
      <c r="JS51" s="302"/>
      <c r="JT51" s="302"/>
      <c r="JU51" s="302"/>
      <c r="JV51" s="302"/>
      <c r="JW51" s="302"/>
      <c r="JX51" s="302"/>
      <c r="JY51" s="302"/>
      <c r="JZ51" s="302"/>
      <c r="KA51" s="302"/>
      <c r="KB51" s="302"/>
      <c r="KC51" s="302"/>
      <c r="KD51" s="302"/>
      <c r="KE51" s="302"/>
      <c r="KF51" s="302"/>
      <c r="KG51" s="302"/>
      <c r="KH51" s="302"/>
      <c r="KI51" s="302"/>
      <c r="KJ51" s="302"/>
      <c r="KK51" s="302"/>
      <c r="KL51" s="302"/>
      <c r="KM51" s="302"/>
      <c r="KN51" s="302"/>
      <c r="KO51" s="302"/>
      <c r="KP51" s="302"/>
      <c r="KQ51" s="302"/>
      <c r="KR51" s="302"/>
      <c r="KS51" s="302"/>
      <c r="KT51" s="302"/>
      <c r="KU51" s="302"/>
      <c r="KV51" s="302"/>
      <c r="KW51" s="302"/>
      <c r="KX51" s="302"/>
      <c r="KY51" s="302"/>
      <c r="KZ51" s="302"/>
      <c r="LA51" s="302"/>
      <c r="LB51" s="302"/>
      <c r="LC51" s="302"/>
      <c r="LD51" s="302"/>
      <c r="LE51" s="302"/>
      <c r="LF51" s="302"/>
      <c r="LG51" s="302"/>
      <c r="LH51" s="302"/>
      <c r="LI51" s="302"/>
      <c r="LJ51" s="302"/>
      <c r="LK51" s="302"/>
      <c r="LL51" s="302"/>
      <c r="LM51" s="302"/>
      <c r="LN51" s="302"/>
      <c r="LO51" s="302"/>
      <c r="LP51" s="302"/>
      <c r="LQ51" s="302"/>
      <c r="LR51" s="302"/>
      <c r="LS51" s="302"/>
      <c r="LT51" s="302"/>
      <c r="LU51" s="302"/>
      <c r="LV51" s="302"/>
      <c r="LW51" s="302"/>
      <c r="LX51" s="302"/>
      <c r="LY51" s="302"/>
      <c r="LZ51" s="302"/>
      <c r="MA51" s="302"/>
      <c r="MB51" s="302"/>
      <c r="MC51" s="302"/>
      <c r="MD51" s="302"/>
      <c r="ME51" s="302"/>
      <c r="MF51" s="302"/>
      <c r="MG51" s="302"/>
      <c r="MH51" s="302"/>
      <c r="MI51" s="302"/>
      <c r="MJ51" s="302"/>
      <c r="MK51" s="302"/>
      <c r="ML51" s="302"/>
      <c r="MM51" s="302"/>
      <c r="MN51" s="302"/>
      <c r="MO51" s="302"/>
      <c r="MP51" s="302"/>
      <c r="MQ51" s="302"/>
      <c r="MR51" s="302"/>
      <c r="MS51" s="302"/>
      <c r="MT51" s="302"/>
      <c r="MU51" s="302"/>
      <c r="MV51" s="302"/>
      <c r="MW51" s="302"/>
      <c r="MX51" s="302"/>
      <c r="MY51" s="302"/>
      <c r="MZ51" s="302"/>
      <c r="NA51" s="302"/>
      <c r="NB51" s="302"/>
      <c r="NC51" s="302"/>
      <c r="ND51" s="302"/>
      <c r="NE51" s="302"/>
      <c r="NF51" s="302"/>
      <c r="NG51" s="302"/>
      <c r="NH51" s="302"/>
      <c r="NI51" s="302"/>
      <c r="NJ51" s="302"/>
      <c r="NK51" s="302"/>
      <c r="NL51" s="302"/>
      <c r="NM51" s="302"/>
      <c r="NN51" s="302"/>
      <c r="NO51" s="302"/>
      <c r="NP51" s="302"/>
      <c r="NQ51" s="302"/>
      <c r="NR51" s="302"/>
      <c r="NS51" s="302"/>
      <c r="NT51" s="302"/>
      <c r="NU51" s="302"/>
      <c r="NV51" s="302"/>
      <c r="NW51" s="302"/>
      <c r="NX51" s="302"/>
      <c r="NY51" s="302"/>
      <c r="NZ51" s="302"/>
      <c r="OA51" s="302"/>
      <c r="OB51" s="302"/>
      <c r="OC51" s="302"/>
      <c r="OD51" s="302"/>
      <c r="OE51" s="302"/>
      <c r="OF51" s="302"/>
      <c r="OG51" s="302"/>
      <c r="OH51" s="302"/>
      <c r="OI51" s="302"/>
      <c r="OJ51" s="302"/>
      <c r="OK51" s="302"/>
      <c r="OL51" s="302"/>
      <c r="OM51" s="302"/>
      <c r="ON51" s="302"/>
      <c r="OO51" s="302"/>
      <c r="OP51" s="302"/>
      <c r="OQ51" s="302"/>
      <c r="OR51" s="302"/>
      <c r="OS51" s="302"/>
      <c r="OT51" s="302"/>
      <c r="OU51" s="302"/>
      <c r="OV51" s="302"/>
      <c r="OW51" s="302"/>
      <c r="OX51" s="302"/>
      <c r="OY51" s="302"/>
      <c r="OZ51" s="302"/>
      <c r="PA51" s="302"/>
      <c r="PB51" s="302"/>
      <c r="PC51" s="302"/>
      <c r="PD51" s="302"/>
      <c r="PE51" s="302"/>
      <c r="PF51" s="302"/>
      <c r="PG51" s="302"/>
      <c r="PH51" s="302"/>
      <c r="PI51" s="302"/>
      <c r="PJ51" s="302"/>
      <c r="PK51" s="302"/>
      <c r="PL51" s="302"/>
      <c r="PM51" s="302"/>
      <c r="PN51" s="302"/>
      <c r="PO51" s="302"/>
      <c r="PP51" s="302"/>
      <c r="PQ51" s="302"/>
      <c r="PR51" s="302"/>
      <c r="PS51" s="302"/>
      <c r="PT51" s="302"/>
      <c r="PU51" s="302"/>
      <c r="PV51" s="302"/>
      <c r="PW51" s="303"/>
      <c r="PX51" s="303"/>
      <c r="PY51" s="303"/>
      <c r="QC51" s="78" t="s">
        <v>23</v>
      </c>
      <c r="QD51" s="354">
        <f>QD36</f>
        <v>-7.1428571428571438E-2</v>
      </c>
      <c r="QE51" s="354">
        <f>QE36</f>
        <v>-0.5</v>
      </c>
      <c r="QG51" s="354">
        <f>QH36</f>
        <v>0.5</v>
      </c>
      <c r="QH51" s="78">
        <f>QI36</f>
        <v>7.1428571428571438E-2</v>
      </c>
      <c r="QJ51" s="78">
        <f>QK54</f>
        <v>-0.6428571428571429</v>
      </c>
      <c r="QK51" s="78">
        <f>QJ51</f>
        <v>-0.6428571428571429</v>
      </c>
      <c r="QM51" s="78">
        <f>QQ42</f>
        <v>-0.66428571428571437</v>
      </c>
      <c r="QN51" s="78">
        <f>QR42</f>
        <v>-0.62142857142857144</v>
      </c>
      <c r="QP51" s="371">
        <f>W18-QC8</f>
        <v>0.7</v>
      </c>
      <c r="QR51" s="78">
        <f>QJ51</f>
        <v>-0.6428571428571429</v>
      </c>
      <c r="QY51" s="346"/>
      <c r="QZ51" s="346"/>
      <c r="RA51" s="346"/>
      <c r="RB51" s="346"/>
      <c r="RC51" s="346"/>
      <c r="RD51" s="346"/>
      <c r="RE51" s="346"/>
      <c r="RF51" s="346"/>
      <c r="RG51" s="346"/>
      <c r="RH51" s="346"/>
      <c r="RI51" s="346"/>
      <c r="RJ51" s="346"/>
      <c r="RK51" s="346"/>
      <c r="RL51" s="346"/>
      <c r="RM51" s="346"/>
      <c r="RN51" s="346"/>
      <c r="RO51" s="346"/>
      <c r="RP51" s="346"/>
      <c r="RQ51" s="346"/>
      <c r="RR51" s="346"/>
      <c r="RS51" s="346"/>
      <c r="RT51" s="346"/>
      <c r="RU51" s="346"/>
      <c r="RV51" s="346"/>
      <c r="RW51" s="346"/>
      <c r="RX51" s="346"/>
      <c r="RY51" s="346"/>
      <c r="RZ51" s="346"/>
      <c r="SA51" s="346"/>
      <c r="SB51" s="346"/>
      <c r="SC51" s="346"/>
      <c r="SD51" s="346"/>
      <c r="SE51" s="346"/>
      <c r="SF51" s="346"/>
      <c r="SG51" s="346"/>
      <c r="SH51" s="346"/>
      <c r="SI51" s="346"/>
      <c r="SJ51" s="346"/>
      <c r="SK51" s="346"/>
      <c r="SL51" s="346"/>
      <c r="SM51" s="346"/>
      <c r="SN51" s="346"/>
      <c r="SO51" s="346"/>
      <c r="SP51" s="346"/>
      <c r="SQ51" s="346"/>
      <c r="SR51" s="346"/>
      <c r="SS51" s="346"/>
      <c r="ST51" s="346"/>
      <c r="SU51" s="346"/>
      <c r="SV51" s="346"/>
      <c r="SW51" s="346"/>
      <c r="SX51" s="346"/>
      <c r="SY51" s="346"/>
      <c r="SZ51" s="346"/>
      <c r="TA51" s="346"/>
    </row>
    <row r="52" spans="1:521" ht="14.1" customHeight="1" x14ac:dyDescent="0.2">
      <c r="A52" s="226"/>
      <c r="B52" s="226"/>
      <c r="C52" s="226"/>
      <c r="D52" s="226"/>
      <c r="E52" s="226"/>
      <c r="F52" s="226"/>
      <c r="G52" s="226"/>
      <c r="H52" s="226"/>
      <c r="I52" s="226"/>
      <c r="J52" s="226"/>
      <c r="K52" s="226"/>
      <c r="L52" s="226"/>
      <c r="M52" s="226"/>
      <c r="N52" s="226"/>
      <c r="O52" s="226"/>
      <c r="P52" s="226"/>
      <c r="Q52" s="226"/>
      <c r="R52" s="226"/>
      <c r="S52" s="226"/>
      <c r="T52" s="226"/>
      <c r="U52" s="226"/>
      <c r="V52" s="226"/>
      <c r="W52" s="226"/>
      <c r="X52" s="226"/>
      <c r="Y52" s="226"/>
      <c r="Z52" s="226"/>
      <c r="AA52" s="226"/>
      <c r="AB52" s="226"/>
      <c r="AC52" s="226"/>
      <c r="AD52" s="226"/>
      <c r="AE52" s="226"/>
      <c r="AF52" s="226"/>
      <c r="AG52" s="226"/>
      <c r="AH52" s="226"/>
      <c r="AI52" s="226"/>
      <c r="AJ52" s="226"/>
      <c r="AK52" s="226"/>
      <c r="AL52" s="226"/>
      <c r="AM52" s="226"/>
      <c r="AN52" s="226"/>
      <c r="AO52" s="226"/>
      <c r="AP52" s="226"/>
      <c r="AQ52" s="226"/>
      <c r="AR52" s="226"/>
      <c r="AS52" s="226"/>
      <c r="AT52" s="226"/>
      <c r="AU52" s="226"/>
      <c r="AV52" s="226"/>
      <c r="AW52" s="226"/>
      <c r="AX52" s="226"/>
      <c r="AY52" s="226"/>
      <c r="AZ52" s="226"/>
      <c r="BA52" s="226"/>
      <c r="BB52" s="226"/>
      <c r="BC52" s="226"/>
      <c r="BD52" s="226"/>
      <c r="BE52" s="226"/>
      <c r="BF52" s="226"/>
      <c r="BG52" s="226"/>
      <c r="BH52" s="226"/>
      <c r="BI52" s="226"/>
      <c r="BJ52" s="145"/>
      <c r="BK52" s="145"/>
      <c r="BL52" s="145"/>
      <c r="BM52" s="145"/>
      <c r="BN52" s="145"/>
      <c r="BO52" s="145"/>
      <c r="BP52" s="145"/>
      <c r="BQ52" s="145"/>
      <c r="BR52" s="145"/>
      <c r="BS52" s="145"/>
      <c r="BT52" s="145"/>
      <c r="BU52" s="145"/>
      <c r="BV52" s="145"/>
      <c r="BW52" s="145"/>
      <c r="BX52" s="145"/>
      <c r="BY52" s="145"/>
      <c r="BZ52" s="145"/>
      <c r="CA52" s="145"/>
      <c r="CB52" s="145"/>
      <c r="CC52" s="145"/>
      <c r="CD52" s="145"/>
      <c r="CE52" s="145"/>
      <c r="CF52" s="145"/>
      <c r="CG52" s="145"/>
      <c r="CH52" s="145"/>
      <c r="CI52" s="145"/>
      <c r="CJ52" s="145"/>
      <c r="CK52" s="145"/>
      <c r="CL52" s="145"/>
      <c r="CM52" s="145"/>
      <c r="CN52" s="145"/>
      <c r="CO52" s="145"/>
      <c r="CP52" s="145"/>
      <c r="CQ52" s="145"/>
      <c r="CR52" s="145"/>
      <c r="CS52" s="145"/>
      <c r="CT52" s="145"/>
      <c r="CU52" s="145"/>
      <c r="CV52" s="145"/>
      <c r="CW52" s="145"/>
      <c r="CX52" s="145"/>
      <c r="CY52" s="145"/>
      <c r="CZ52" s="145"/>
      <c r="DA52" s="145"/>
      <c r="DB52" s="145"/>
      <c r="DC52" s="145"/>
      <c r="DD52" s="145"/>
      <c r="DE52" s="145"/>
      <c r="DF52" s="145"/>
      <c r="DG52" s="145"/>
      <c r="DH52" s="145"/>
      <c r="DI52" s="145"/>
      <c r="DJ52" s="145"/>
      <c r="DK52" s="145"/>
      <c r="DL52" s="145"/>
      <c r="DM52" s="145"/>
      <c r="DN52" s="145"/>
      <c r="DO52" s="145"/>
      <c r="DP52" s="145"/>
      <c r="DQ52" s="145"/>
      <c r="DR52" s="145"/>
      <c r="DS52" s="145"/>
      <c r="DT52" s="145"/>
      <c r="DU52" s="145"/>
      <c r="DV52" s="145"/>
      <c r="DW52" s="145"/>
      <c r="DX52" s="145"/>
      <c r="DY52" s="145"/>
      <c r="DZ52" s="145"/>
      <c r="EA52" s="145"/>
      <c r="EB52" s="145"/>
      <c r="EC52" s="145"/>
      <c r="ED52" s="145"/>
      <c r="EE52" s="145"/>
      <c r="EF52" s="145"/>
      <c r="EG52" s="145"/>
      <c r="EH52" s="145"/>
      <c r="EI52" s="145"/>
      <c r="EJ52" s="145"/>
      <c r="EK52" s="145"/>
      <c r="EL52" s="145"/>
      <c r="EM52" s="145"/>
      <c r="EN52" s="145"/>
      <c r="EO52" s="145"/>
      <c r="EP52" s="145"/>
      <c r="EQ52" s="145"/>
      <c r="ER52" s="145"/>
      <c r="ES52" s="145"/>
      <c r="ET52" s="145"/>
      <c r="EU52" s="145"/>
      <c r="EV52" s="145"/>
      <c r="EW52" s="145"/>
      <c r="EX52" s="145"/>
      <c r="EY52" s="145"/>
      <c r="EZ52" s="145"/>
      <c r="FA52" s="145"/>
      <c r="FB52" s="145"/>
      <c r="FC52" s="145"/>
      <c r="FD52" s="145"/>
      <c r="FE52" s="145"/>
      <c r="FF52" s="145"/>
      <c r="FG52" s="145"/>
      <c r="FH52" s="145"/>
      <c r="FI52" s="145"/>
      <c r="FJ52" s="145"/>
      <c r="FK52" s="145"/>
      <c r="FL52" s="145"/>
      <c r="FM52" s="145"/>
      <c r="FN52" s="145"/>
      <c r="FO52" s="145"/>
      <c r="FP52" s="145"/>
      <c r="FQ52" s="145"/>
      <c r="FR52" s="145"/>
      <c r="FS52" s="145"/>
      <c r="FT52" s="145"/>
      <c r="FU52" s="145"/>
      <c r="FV52" s="145"/>
      <c r="FW52" s="145"/>
      <c r="FX52" s="145"/>
      <c r="FY52" s="145"/>
      <c r="FZ52" s="145"/>
      <c r="GA52" s="145"/>
      <c r="GB52" s="145"/>
      <c r="GC52" s="145"/>
      <c r="GD52" s="145"/>
      <c r="GE52" s="145"/>
      <c r="GF52" s="145"/>
      <c r="GG52" s="145"/>
      <c r="GH52" s="145"/>
      <c r="GI52" s="145"/>
      <c r="GJ52" s="145"/>
      <c r="GK52" s="145"/>
      <c r="GL52" s="145"/>
      <c r="GM52" s="145"/>
      <c r="GN52" s="145"/>
      <c r="GO52" s="145"/>
      <c r="GP52" s="145"/>
      <c r="GQ52" s="145"/>
      <c r="GR52" s="145"/>
      <c r="GS52" s="145"/>
      <c r="GT52" s="145"/>
      <c r="GU52" s="145"/>
      <c r="GV52" s="145"/>
      <c r="GW52" s="145"/>
      <c r="GX52" s="145"/>
      <c r="GY52" s="145"/>
      <c r="GZ52" s="145"/>
      <c r="HA52" s="145"/>
      <c r="HB52" s="145"/>
      <c r="HC52" s="145"/>
      <c r="HD52" s="145"/>
      <c r="HE52" s="302"/>
      <c r="HF52" s="302"/>
      <c r="HG52" s="302"/>
      <c r="HH52" s="302"/>
      <c r="HI52" s="302"/>
      <c r="HJ52" s="302"/>
      <c r="HK52" s="302"/>
      <c r="HL52" s="302"/>
      <c r="HM52" s="302"/>
      <c r="HN52" s="302"/>
      <c r="HO52" s="302"/>
      <c r="HP52" s="302"/>
      <c r="HQ52" s="302"/>
      <c r="HR52" s="302"/>
      <c r="HS52" s="302"/>
      <c r="HT52" s="302"/>
      <c r="HU52" s="302"/>
      <c r="HV52" s="302"/>
      <c r="HW52" s="302"/>
      <c r="HX52" s="302"/>
      <c r="HY52" s="302"/>
      <c r="HZ52" s="302"/>
      <c r="IA52" s="302"/>
      <c r="IB52" s="302"/>
      <c r="IC52" s="302"/>
      <c r="ID52" s="302"/>
      <c r="IE52" s="302"/>
      <c r="IF52" s="302"/>
      <c r="IG52" s="302"/>
      <c r="IH52" s="302"/>
      <c r="II52" s="302"/>
      <c r="IJ52" s="302"/>
      <c r="IK52" s="302"/>
      <c r="IL52" s="302"/>
      <c r="IM52" s="302"/>
      <c r="IN52" s="302"/>
      <c r="IO52" s="302"/>
      <c r="IP52" s="302"/>
      <c r="IQ52" s="302"/>
      <c r="IR52" s="302"/>
      <c r="IS52" s="302"/>
      <c r="IT52" s="302"/>
      <c r="IU52" s="302"/>
      <c r="IV52" s="302"/>
      <c r="IW52" s="302"/>
      <c r="IX52" s="302"/>
      <c r="IY52" s="302"/>
      <c r="IZ52" s="302"/>
      <c r="JA52" s="302"/>
      <c r="JB52" s="302"/>
      <c r="JC52" s="302"/>
      <c r="JD52" s="302"/>
      <c r="JE52" s="302"/>
      <c r="JF52" s="302"/>
      <c r="JG52" s="302"/>
      <c r="JH52" s="302"/>
      <c r="JI52" s="302"/>
      <c r="JJ52" s="302"/>
      <c r="JK52" s="302"/>
      <c r="JL52" s="302"/>
      <c r="JM52" s="302"/>
      <c r="JN52" s="302"/>
      <c r="JO52" s="302"/>
      <c r="JP52" s="302"/>
      <c r="JQ52" s="302"/>
      <c r="JR52" s="302"/>
      <c r="JS52" s="302"/>
      <c r="JT52" s="302"/>
      <c r="JU52" s="302"/>
      <c r="JV52" s="302"/>
      <c r="JW52" s="302"/>
      <c r="JX52" s="302"/>
      <c r="JY52" s="302"/>
      <c r="JZ52" s="302"/>
      <c r="KA52" s="302"/>
      <c r="KB52" s="302"/>
      <c r="KC52" s="302"/>
      <c r="KD52" s="302"/>
      <c r="KE52" s="302"/>
      <c r="KF52" s="302"/>
      <c r="KG52" s="302"/>
      <c r="KH52" s="302"/>
      <c r="KI52" s="302"/>
      <c r="KJ52" s="302"/>
      <c r="KK52" s="302"/>
      <c r="KL52" s="302"/>
      <c r="KM52" s="302"/>
      <c r="KN52" s="302"/>
      <c r="KO52" s="302"/>
      <c r="KP52" s="302"/>
      <c r="KQ52" s="302"/>
      <c r="KR52" s="302"/>
      <c r="KS52" s="302"/>
      <c r="KT52" s="302"/>
      <c r="KU52" s="302"/>
      <c r="KV52" s="302"/>
      <c r="KW52" s="302"/>
      <c r="KX52" s="302"/>
      <c r="KY52" s="302"/>
      <c r="KZ52" s="302"/>
      <c r="LA52" s="302"/>
      <c r="LB52" s="302"/>
      <c r="LC52" s="302"/>
      <c r="LD52" s="302"/>
      <c r="LE52" s="302"/>
      <c r="LF52" s="302"/>
      <c r="LG52" s="302"/>
      <c r="LH52" s="302"/>
      <c r="LI52" s="302"/>
      <c r="LJ52" s="302"/>
      <c r="LK52" s="302"/>
      <c r="LL52" s="302"/>
      <c r="LM52" s="302"/>
      <c r="LN52" s="302"/>
      <c r="LO52" s="302"/>
      <c r="LP52" s="302"/>
      <c r="LQ52" s="302"/>
      <c r="LR52" s="302"/>
      <c r="LS52" s="302"/>
      <c r="LT52" s="302"/>
      <c r="LU52" s="302"/>
      <c r="LV52" s="302"/>
      <c r="LW52" s="302"/>
      <c r="LX52" s="302"/>
      <c r="LY52" s="302"/>
      <c r="LZ52" s="302"/>
      <c r="MA52" s="302"/>
      <c r="MB52" s="302"/>
      <c r="MC52" s="302"/>
      <c r="MD52" s="302"/>
      <c r="ME52" s="302"/>
      <c r="MF52" s="302"/>
      <c r="MG52" s="302"/>
      <c r="MH52" s="302"/>
      <c r="MI52" s="302"/>
      <c r="MJ52" s="302"/>
      <c r="MK52" s="302"/>
      <c r="ML52" s="302"/>
      <c r="MM52" s="302"/>
      <c r="MN52" s="302"/>
      <c r="MO52" s="302"/>
      <c r="MP52" s="302"/>
      <c r="MQ52" s="302"/>
      <c r="MR52" s="302"/>
      <c r="MS52" s="302"/>
      <c r="MT52" s="302"/>
      <c r="MU52" s="302"/>
      <c r="MV52" s="302"/>
      <c r="MW52" s="302"/>
      <c r="MX52" s="302"/>
      <c r="MY52" s="302"/>
      <c r="MZ52" s="302"/>
      <c r="NA52" s="302"/>
      <c r="NB52" s="302"/>
      <c r="NC52" s="302"/>
      <c r="ND52" s="302"/>
      <c r="NE52" s="302"/>
      <c r="NF52" s="302"/>
      <c r="NG52" s="302"/>
      <c r="NH52" s="302"/>
      <c r="NI52" s="302"/>
      <c r="NJ52" s="302"/>
      <c r="NK52" s="302"/>
      <c r="NL52" s="302"/>
      <c r="NM52" s="302"/>
      <c r="NN52" s="302"/>
      <c r="NO52" s="302"/>
      <c r="NP52" s="302"/>
      <c r="NQ52" s="302"/>
      <c r="NR52" s="302"/>
      <c r="NS52" s="302"/>
      <c r="NT52" s="302"/>
      <c r="NU52" s="302"/>
      <c r="NV52" s="302"/>
      <c r="NW52" s="302"/>
      <c r="NX52" s="302"/>
      <c r="NY52" s="302"/>
      <c r="NZ52" s="302"/>
      <c r="OA52" s="302"/>
      <c r="OB52" s="302"/>
      <c r="OC52" s="302"/>
      <c r="OD52" s="302"/>
      <c r="OE52" s="302"/>
      <c r="OF52" s="302"/>
      <c r="OG52" s="302"/>
      <c r="OH52" s="302"/>
      <c r="OI52" s="302"/>
      <c r="OJ52" s="302"/>
      <c r="OK52" s="302"/>
      <c r="OL52" s="302"/>
      <c r="OM52" s="302"/>
      <c r="ON52" s="302"/>
      <c r="OO52" s="302"/>
      <c r="OP52" s="302"/>
      <c r="OQ52" s="302"/>
      <c r="OR52" s="302"/>
      <c r="OS52" s="302"/>
      <c r="OT52" s="302"/>
      <c r="OU52" s="302"/>
      <c r="OV52" s="302"/>
      <c r="OW52" s="302"/>
      <c r="OX52" s="302"/>
      <c r="OY52" s="302"/>
      <c r="OZ52" s="302"/>
      <c r="PA52" s="302"/>
      <c r="PB52" s="302"/>
      <c r="PC52" s="302"/>
      <c r="PD52" s="302"/>
      <c r="PE52" s="302"/>
      <c r="PF52" s="302"/>
      <c r="PG52" s="302"/>
      <c r="PH52" s="302"/>
      <c r="PI52" s="302"/>
      <c r="PJ52" s="302"/>
      <c r="PK52" s="302"/>
      <c r="PL52" s="302"/>
      <c r="PM52" s="302"/>
      <c r="PN52" s="302"/>
      <c r="PO52" s="302"/>
      <c r="PP52" s="302"/>
      <c r="PQ52" s="302"/>
      <c r="PR52" s="302"/>
      <c r="PS52" s="302"/>
      <c r="PT52" s="302"/>
      <c r="PU52" s="302"/>
      <c r="PV52" s="302"/>
      <c r="PW52" s="303"/>
      <c r="PX52" s="303"/>
      <c r="PY52" s="303"/>
      <c r="QC52" s="78" t="s">
        <v>24</v>
      </c>
      <c r="QD52" s="78">
        <v>0.7</v>
      </c>
      <c r="QE52" s="78">
        <f>QD52</f>
        <v>0.7</v>
      </c>
      <c r="QG52" s="78">
        <f>QD52</f>
        <v>0.7</v>
      </c>
      <c r="QH52" s="78">
        <f>QD52</f>
        <v>0.7</v>
      </c>
      <c r="QJ52" s="78">
        <f>QD52</f>
        <v>0.7</v>
      </c>
      <c r="QK52" s="78">
        <f>QD37</f>
        <v>0.2142857142857143</v>
      </c>
      <c r="QM52" s="78">
        <f>QJ52</f>
        <v>0.7</v>
      </c>
      <c r="QN52" s="78">
        <f>QM52</f>
        <v>0.7</v>
      </c>
      <c r="QR52" s="78">
        <f>((QJ52-QK52)/2)+QK52</f>
        <v>0.45714285714285713</v>
      </c>
      <c r="QY52" s="346"/>
      <c r="QZ52" s="346"/>
      <c r="RA52" s="346"/>
      <c r="RB52" s="346"/>
      <c r="RC52" s="346"/>
      <c r="RD52" s="346"/>
      <c r="RE52" s="346"/>
      <c r="RF52" s="346"/>
      <c r="RG52" s="346"/>
      <c r="RH52" s="346"/>
      <c r="RI52" s="346"/>
      <c r="RJ52" s="346"/>
      <c r="RK52" s="346"/>
      <c r="RL52" s="346"/>
      <c r="RM52" s="346"/>
      <c r="RN52" s="346"/>
      <c r="RO52" s="346"/>
      <c r="RP52" s="346"/>
      <c r="RQ52" s="346"/>
      <c r="RR52" s="346"/>
      <c r="RS52" s="346"/>
      <c r="RT52" s="346"/>
      <c r="RU52" s="346"/>
      <c r="RV52" s="346"/>
      <c r="RW52" s="346"/>
      <c r="RX52" s="346"/>
      <c r="RY52" s="346"/>
      <c r="RZ52" s="346"/>
      <c r="SA52" s="346"/>
      <c r="SB52" s="346"/>
      <c r="SC52" s="346"/>
      <c r="SD52" s="346"/>
      <c r="SE52" s="346"/>
      <c r="SF52" s="346"/>
      <c r="SG52" s="346"/>
      <c r="SH52" s="346"/>
      <c r="SI52" s="346"/>
      <c r="SJ52" s="346"/>
      <c r="SK52" s="346"/>
      <c r="SL52" s="346"/>
      <c r="SM52" s="346"/>
      <c r="SN52" s="346"/>
      <c r="SO52" s="346"/>
      <c r="SP52" s="346"/>
      <c r="SQ52" s="346"/>
      <c r="SR52" s="346"/>
      <c r="SS52" s="346"/>
      <c r="ST52" s="346"/>
      <c r="SU52" s="346"/>
      <c r="SV52" s="346"/>
      <c r="SW52" s="346"/>
      <c r="SX52" s="346"/>
      <c r="SY52" s="346"/>
      <c r="SZ52" s="346"/>
      <c r="TA52" s="346"/>
    </row>
    <row r="53" spans="1:521" ht="14.1" customHeight="1" x14ac:dyDescent="0.2">
      <c r="A53" s="226"/>
      <c r="B53" s="226"/>
      <c r="C53" s="226"/>
      <c r="D53" s="226"/>
      <c r="E53" s="226"/>
      <c r="F53" s="226"/>
      <c r="G53" s="226"/>
      <c r="H53" s="226"/>
      <c r="I53" s="226"/>
      <c r="J53" s="226"/>
      <c r="K53" s="226"/>
      <c r="L53" s="226"/>
      <c r="M53" s="226"/>
      <c r="N53" s="226"/>
      <c r="O53" s="226"/>
      <c r="P53" s="226"/>
      <c r="Q53" s="226"/>
      <c r="R53" s="226"/>
      <c r="S53" s="226"/>
      <c r="T53" s="226"/>
      <c r="U53" s="226"/>
      <c r="V53" s="226"/>
      <c r="W53" s="226"/>
      <c r="X53" s="226"/>
      <c r="Y53" s="226"/>
      <c r="Z53" s="226"/>
      <c r="AA53" s="226"/>
      <c r="AB53" s="226"/>
      <c r="AC53" s="226"/>
      <c r="AD53" s="226"/>
      <c r="AE53" s="226"/>
      <c r="AF53" s="226"/>
      <c r="AG53" s="226"/>
      <c r="AH53" s="226"/>
      <c r="AI53" s="226"/>
      <c r="AJ53" s="226"/>
      <c r="AK53" s="226"/>
      <c r="AL53" s="226"/>
      <c r="AM53" s="226"/>
      <c r="AN53" s="226"/>
      <c r="AO53" s="226"/>
      <c r="AP53" s="226"/>
      <c r="AQ53" s="226"/>
      <c r="AR53" s="226"/>
      <c r="AS53" s="226"/>
      <c r="AT53" s="226"/>
      <c r="AU53" s="226"/>
      <c r="AV53" s="226"/>
      <c r="AW53" s="226"/>
      <c r="AX53" s="226"/>
      <c r="AY53" s="226"/>
      <c r="AZ53" s="226"/>
      <c r="BA53" s="226"/>
      <c r="BB53" s="226"/>
      <c r="BC53" s="226"/>
      <c r="BD53" s="226"/>
      <c r="BE53" s="226"/>
      <c r="BF53" s="226"/>
      <c r="BG53" s="226"/>
      <c r="BH53" s="226"/>
      <c r="BI53" s="226"/>
      <c r="BJ53" s="145"/>
      <c r="BK53" s="145"/>
      <c r="BL53" s="145"/>
      <c r="BM53" s="145"/>
      <c r="BN53" s="145"/>
      <c r="BO53" s="145"/>
      <c r="BP53" s="145"/>
      <c r="BQ53" s="145"/>
      <c r="BR53" s="145"/>
      <c r="BS53" s="145"/>
      <c r="BT53" s="145"/>
      <c r="BU53" s="145"/>
      <c r="BV53" s="145"/>
      <c r="BW53" s="145"/>
      <c r="BX53" s="145"/>
      <c r="BY53" s="145"/>
      <c r="BZ53" s="145"/>
      <c r="CA53" s="145"/>
      <c r="CB53" s="145"/>
      <c r="CC53" s="145"/>
      <c r="CD53" s="145"/>
      <c r="CE53" s="145"/>
      <c r="CF53" s="145"/>
      <c r="CG53" s="145"/>
      <c r="CH53" s="145"/>
      <c r="CI53" s="145"/>
      <c r="CJ53" s="145"/>
      <c r="CK53" s="145"/>
      <c r="CL53" s="145"/>
      <c r="CM53" s="145"/>
      <c r="CN53" s="145"/>
      <c r="CO53" s="145"/>
      <c r="CP53" s="145"/>
      <c r="CQ53" s="145"/>
      <c r="CR53" s="145"/>
      <c r="CS53" s="145"/>
      <c r="CT53" s="145"/>
      <c r="CU53" s="145"/>
      <c r="CV53" s="145"/>
      <c r="CW53" s="145"/>
      <c r="CX53" s="145"/>
      <c r="CY53" s="145"/>
      <c r="CZ53" s="145"/>
      <c r="DA53" s="145"/>
      <c r="DB53" s="145"/>
      <c r="DC53" s="145"/>
      <c r="DD53" s="145"/>
      <c r="DE53" s="145"/>
      <c r="DF53" s="145"/>
      <c r="DG53" s="145"/>
      <c r="DH53" s="145"/>
      <c r="DI53" s="145"/>
      <c r="DJ53" s="145"/>
      <c r="DK53" s="145"/>
      <c r="DL53" s="145"/>
      <c r="DM53" s="145"/>
      <c r="DN53" s="145"/>
      <c r="DO53" s="145"/>
      <c r="DP53" s="145"/>
      <c r="DQ53" s="145"/>
      <c r="DR53" s="145"/>
      <c r="DS53" s="145"/>
      <c r="DT53" s="145"/>
      <c r="DU53" s="145"/>
      <c r="DV53" s="145"/>
      <c r="DW53" s="145"/>
      <c r="DX53" s="145"/>
      <c r="DY53" s="145"/>
      <c r="DZ53" s="145"/>
      <c r="EA53" s="145"/>
      <c r="EB53" s="145"/>
      <c r="EC53" s="145"/>
      <c r="ED53" s="145"/>
      <c r="EE53" s="145"/>
      <c r="EF53" s="145"/>
      <c r="EG53" s="145"/>
      <c r="EH53" s="145"/>
      <c r="EI53" s="145"/>
      <c r="EJ53" s="145"/>
      <c r="EK53" s="145"/>
      <c r="EL53" s="145"/>
      <c r="EM53" s="145"/>
      <c r="EN53" s="145"/>
      <c r="EO53" s="145"/>
      <c r="EP53" s="145"/>
      <c r="EQ53" s="145"/>
      <c r="ER53" s="145"/>
      <c r="ES53" s="145"/>
      <c r="ET53" s="145"/>
      <c r="EU53" s="145"/>
      <c r="EV53" s="145"/>
      <c r="EW53" s="145"/>
      <c r="EX53" s="145"/>
      <c r="EY53" s="145"/>
      <c r="EZ53" s="145"/>
      <c r="FA53" s="145"/>
      <c r="FB53" s="145"/>
      <c r="FC53" s="145"/>
      <c r="FD53" s="145"/>
      <c r="FE53" s="145"/>
      <c r="FF53" s="145"/>
      <c r="FG53" s="145"/>
      <c r="FH53" s="145"/>
      <c r="FI53" s="145"/>
      <c r="FJ53" s="145"/>
      <c r="FK53" s="145"/>
      <c r="FL53" s="145"/>
      <c r="FM53" s="145"/>
      <c r="FN53" s="145"/>
      <c r="FO53" s="145"/>
      <c r="FP53" s="145"/>
      <c r="FQ53" s="145"/>
      <c r="FR53" s="145"/>
      <c r="FS53" s="145"/>
      <c r="FT53" s="145"/>
      <c r="FU53" s="145"/>
      <c r="FV53" s="145"/>
      <c r="FW53" s="145"/>
      <c r="FX53" s="145"/>
      <c r="FY53" s="145"/>
      <c r="FZ53" s="145"/>
      <c r="GA53" s="145"/>
      <c r="GB53" s="145"/>
      <c r="GC53" s="145"/>
      <c r="GD53" s="145"/>
      <c r="GE53" s="145"/>
      <c r="GF53" s="145"/>
      <c r="GG53" s="145"/>
      <c r="GH53" s="145"/>
      <c r="GI53" s="145"/>
      <c r="GJ53" s="145"/>
      <c r="GK53" s="145"/>
      <c r="GL53" s="145"/>
      <c r="GM53" s="145"/>
      <c r="GN53" s="145"/>
      <c r="GO53" s="145"/>
      <c r="GP53" s="145"/>
      <c r="GQ53" s="145"/>
      <c r="GR53" s="145"/>
      <c r="GS53" s="145"/>
      <c r="GT53" s="145"/>
      <c r="GU53" s="145"/>
      <c r="GV53" s="145"/>
      <c r="GW53" s="145"/>
      <c r="GX53" s="145"/>
      <c r="GY53" s="145"/>
      <c r="GZ53" s="145"/>
      <c r="HA53" s="145"/>
      <c r="HB53" s="145"/>
      <c r="HC53" s="145"/>
      <c r="HD53" s="145"/>
      <c r="HE53" s="302"/>
      <c r="HF53" s="302"/>
      <c r="HG53" s="302"/>
      <c r="HH53" s="302"/>
      <c r="HI53" s="302"/>
      <c r="HJ53" s="302"/>
      <c r="HK53" s="302"/>
      <c r="HL53" s="302"/>
      <c r="HM53" s="302"/>
      <c r="HN53" s="302"/>
      <c r="HO53" s="302"/>
      <c r="HP53" s="302"/>
      <c r="HQ53" s="302"/>
      <c r="HR53" s="302"/>
      <c r="HS53" s="302"/>
      <c r="HT53" s="302"/>
      <c r="HU53" s="302"/>
      <c r="HV53" s="302"/>
      <c r="HW53" s="302"/>
      <c r="HX53" s="302"/>
      <c r="HY53" s="302"/>
      <c r="HZ53" s="302"/>
      <c r="IA53" s="302"/>
      <c r="IB53" s="302"/>
      <c r="IC53" s="302"/>
      <c r="ID53" s="302"/>
      <c r="IE53" s="302"/>
      <c r="IF53" s="302"/>
      <c r="IG53" s="302"/>
      <c r="IH53" s="302"/>
      <c r="II53" s="302"/>
      <c r="IJ53" s="302"/>
      <c r="IK53" s="302"/>
      <c r="IL53" s="302"/>
      <c r="IM53" s="302"/>
      <c r="IN53" s="302"/>
      <c r="IO53" s="302"/>
      <c r="IP53" s="302"/>
      <c r="IQ53" s="302"/>
      <c r="IR53" s="302"/>
      <c r="IS53" s="302"/>
      <c r="IT53" s="302"/>
      <c r="IU53" s="302"/>
      <c r="IV53" s="302"/>
      <c r="IW53" s="302"/>
      <c r="IX53" s="302"/>
      <c r="IY53" s="302"/>
      <c r="IZ53" s="302"/>
      <c r="JA53" s="302"/>
      <c r="JB53" s="302"/>
      <c r="JC53" s="302"/>
      <c r="JD53" s="302"/>
      <c r="JE53" s="302"/>
      <c r="JF53" s="302"/>
      <c r="JG53" s="302"/>
      <c r="JH53" s="302"/>
      <c r="JI53" s="302"/>
      <c r="JJ53" s="302"/>
      <c r="JK53" s="302"/>
      <c r="JL53" s="302"/>
      <c r="JM53" s="302"/>
      <c r="JN53" s="302"/>
      <c r="JO53" s="302"/>
      <c r="JP53" s="302"/>
      <c r="JQ53" s="302"/>
      <c r="JR53" s="302"/>
      <c r="JS53" s="302"/>
      <c r="JT53" s="302"/>
      <c r="JU53" s="302"/>
      <c r="JV53" s="302"/>
      <c r="JW53" s="302"/>
      <c r="JX53" s="302"/>
      <c r="JY53" s="302"/>
      <c r="JZ53" s="302"/>
      <c r="KA53" s="302"/>
      <c r="KB53" s="302"/>
      <c r="KC53" s="302"/>
      <c r="KD53" s="302"/>
      <c r="KE53" s="302"/>
      <c r="KF53" s="302"/>
      <c r="KG53" s="302"/>
      <c r="KH53" s="302"/>
      <c r="KI53" s="302"/>
      <c r="KJ53" s="302"/>
      <c r="KK53" s="302"/>
      <c r="KL53" s="302"/>
      <c r="KM53" s="302"/>
      <c r="KN53" s="302"/>
      <c r="KO53" s="302"/>
      <c r="KP53" s="302"/>
      <c r="KQ53" s="302"/>
      <c r="KR53" s="302"/>
      <c r="KS53" s="302"/>
      <c r="KT53" s="302"/>
      <c r="KU53" s="302"/>
      <c r="KV53" s="302"/>
      <c r="KW53" s="302"/>
      <c r="KX53" s="302"/>
      <c r="KY53" s="302"/>
      <c r="KZ53" s="302"/>
      <c r="LA53" s="302"/>
      <c r="LB53" s="302"/>
      <c r="LC53" s="302"/>
      <c r="LD53" s="302"/>
      <c r="LE53" s="302"/>
      <c r="LF53" s="302"/>
      <c r="LG53" s="302"/>
      <c r="LH53" s="302"/>
      <c r="LI53" s="302"/>
      <c r="LJ53" s="302"/>
      <c r="LK53" s="302"/>
      <c r="LL53" s="302"/>
      <c r="LM53" s="302"/>
      <c r="LN53" s="302"/>
      <c r="LO53" s="302"/>
      <c r="LP53" s="302"/>
      <c r="LQ53" s="302"/>
      <c r="LR53" s="302"/>
      <c r="LS53" s="302"/>
      <c r="LT53" s="302"/>
      <c r="LU53" s="302"/>
      <c r="LV53" s="302"/>
      <c r="LW53" s="302"/>
      <c r="LX53" s="302"/>
      <c r="LY53" s="302"/>
      <c r="LZ53" s="302"/>
      <c r="MA53" s="302"/>
      <c r="MB53" s="302"/>
      <c r="MC53" s="302"/>
      <c r="MD53" s="302"/>
      <c r="ME53" s="302"/>
      <c r="MF53" s="302"/>
      <c r="MG53" s="302"/>
      <c r="MH53" s="302"/>
      <c r="MI53" s="302"/>
      <c r="MJ53" s="302"/>
      <c r="MK53" s="302"/>
      <c r="ML53" s="302"/>
      <c r="MM53" s="302"/>
      <c r="MN53" s="302"/>
      <c r="MO53" s="302"/>
      <c r="MP53" s="302"/>
      <c r="MQ53" s="302"/>
      <c r="MR53" s="302"/>
      <c r="MS53" s="302"/>
      <c r="MT53" s="302"/>
      <c r="MU53" s="302"/>
      <c r="MV53" s="302"/>
      <c r="MW53" s="302"/>
      <c r="MX53" s="302"/>
      <c r="MY53" s="302"/>
      <c r="MZ53" s="302"/>
      <c r="NA53" s="302"/>
      <c r="NB53" s="302"/>
      <c r="NC53" s="302"/>
      <c r="ND53" s="302"/>
      <c r="NE53" s="302"/>
      <c r="NF53" s="302"/>
      <c r="NG53" s="302"/>
      <c r="NH53" s="302"/>
      <c r="NI53" s="302"/>
      <c r="NJ53" s="302"/>
      <c r="NK53" s="302"/>
      <c r="NL53" s="302"/>
      <c r="NM53" s="302"/>
      <c r="NN53" s="302"/>
      <c r="NO53" s="302"/>
      <c r="NP53" s="302"/>
      <c r="NQ53" s="302"/>
      <c r="NR53" s="302"/>
      <c r="NS53" s="302"/>
      <c r="NT53" s="302"/>
      <c r="NU53" s="302"/>
      <c r="NV53" s="302"/>
      <c r="NW53" s="302"/>
      <c r="NX53" s="302"/>
      <c r="NY53" s="302"/>
      <c r="NZ53" s="302"/>
      <c r="OA53" s="302"/>
      <c r="OB53" s="302"/>
      <c r="OC53" s="302"/>
      <c r="OD53" s="302"/>
      <c r="OE53" s="302"/>
      <c r="OF53" s="302"/>
      <c r="OG53" s="302"/>
      <c r="OH53" s="302"/>
      <c r="OI53" s="302"/>
      <c r="OJ53" s="302"/>
      <c r="OK53" s="302"/>
      <c r="OL53" s="302"/>
      <c r="OM53" s="302"/>
      <c r="ON53" s="302"/>
      <c r="OO53" s="302"/>
      <c r="OP53" s="302"/>
      <c r="OQ53" s="302"/>
      <c r="OR53" s="302"/>
      <c r="OS53" s="302"/>
      <c r="OT53" s="302"/>
      <c r="OU53" s="302"/>
      <c r="OV53" s="302"/>
      <c r="OW53" s="302"/>
      <c r="OX53" s="302"/>
      <c r="OY53" s="302"/>
      <c r="OZ53" s="302"/>
      <c r="PA53" s="302"/>
      <c r="PB53" s="302"/>
      <c r="PC53" s="302"/>
      <c r="PD53" s="302"/>
      <c r="PE53" s="302"/>
      <c r="PF53" s="302"/>
      <c r="PG53" s="302"/>
      <c r="PH53" s="302"/>
      <c r="PI53" s="302"/>
      <c r="PJ53" s="302"/>
      <c r="PK53" s="302"/>
      <c r="PL53" s="302"/>
      <c r="PM53" s="302"/>
      <c r="PN53" s="302"/>
      <c r="PO53" s="302"/>
      <c r="PP53" s="302"/>
      <c r="PQ53" s="302"/>
      <c r="PR53" s="302"/>
      <c r="PS53" s="302"/>
      <c r="PT53" s="302"/>
      <c r="PU53" s="302"/>
      <c r="PV53" s="302"/>
      <c r="PW53" s="303"/>
      <c r="PX53" s="303"/>
      <c r="PY53" s="303"/>
      <c r="QC53" s="463" t="s">
        <v>145</v>
      </c>
      <c r="QD53" s="464"/>
      <c r="QJ53" s="78" t="s">
        <v>93</v>
      </c>
      <c r="QY53" s="346"/>
      <c r="QZ53" s="346"/>
      <c r="RA53" s="346"/>
      <c r="RB53" s="346"/>
      <c r="RC53" s="346"/>
      <c r="RD53" s="346"/>
      <c r="RE53" s="346"/>
      <c r="RF53" s="346"/>
      <c r="RG53" s="346"/>
      <c r="RH53" s="346"/>
      <c r="RI53" s="346"/>
      <c r="RJ53" s="346"/>
      <c r="RK53" s="346"/>
      <c r="RL53" s="346"/>
      <c r="RM53" s="346"/>
      <c r="RN53" s="346"/>
      <c r="RO53" s="346"/>
      <c r="RP53" s="346"/>
      <c r="RQ53" s="346"/>
      <c r="RR53" s="346"/>
      <c r="RS53" s="346"/>
      <c r="RT53" s="346"/>
      <c r="RU53" s="346"/>
      <c r="RV53" s="346"/>
      <c r="RW53" s="346"/>
      <c r="RX53" s="346"/>
      <c r="RY53" s="346"/>
      <c r="RZ53" s="346"/>
      <c r="SA53" s="346"/>
      <c r="SB53" s="346"/>
      <c r="SC53" s="346"/>
      <c r="SD53" s="346"/>
      <c r="SE53" s="346"/>
      <c r="SF53" s="346"/>
      <c r="SG53" s="346"/>
      <c r="SH53" s="346"/>
      <c r="SI53" s="346"/>
      <c r="SJ53" s="346"/>
      <c r="SK53" s="346"/>
      <c r="SL53" s="346"/>
      <c r="SM53" s="346"/>
      <c r="SN53" s="346"/>
      <c r="SO53" s="346"/>
      <c r="SP53" s="346"/>
      <c r="SQ53" s="346"/>
      <c r="SR53" s="346"/>
      <c r="SS53" s="346"/>
      <c r="ST53" s="346"/>
      <c r="SU53" s="346"/>
      <c r="SV53" s="346"/>
      <c r="SW53" s="346"/>
      <c r="SX53" s="346"/>
      <c r="SY53" s="346"/>
      <c r="SZ53" s="346"/>
      <c r="TA53" s="346"/>
    </row>
    <row r="54" spans="1:521" ht="14.1" customHeight="1" x14ac:dyDescent="0.2">
      <c r="A54" s="226"/>
      <c r="B54" s="226"/>
      <c r="C54" s="226"/>
      <c r="D54" s="226"/>
      <c r="E54" s="226"/>
      <c r="F54" s="226"/>
      <c r="G54" s="226"/>
      <c r="H54" s="226"/>
      <c r="I54" s="226"/>
      <c r="J54" s="226"/>
      <c r="K54" s="226"/>
      <c r="L54" s="226"/>
      <c r="M54" s="226"/>
      <c r="N54" s="226"/>
      <c r="O54" s="226"/>
      <c r="P54" s="226"/>
      <c r="Q54" s="226"/>
      <c r="R54" s="226"/>
      <c r="S54" s="226"/>
      <c r="T54" s="226"/>
      <c r="U54" s="226"/>
      <c r="V54" s="226"/>
      <c r="W54" s="226"/>
      <c r="X54" s="226"/>
      <c r="Y54" s="226"/>
      <c r="Z54" s="226"/>
      <c r="AA54" s="226"/>
      <c r="AB54" s="226"/>
      <c r="AC54" s="226"/>
      <c r="AD54" s="226"/>
      <c r="AE54" s="226"/>
      <c r="AF54" s="226"/>
      <c r="AG54" s="226"/>
      <c r="AH54" s="226"/>
      <c r="AI54" s="226"/>
      <c r="AJ54" s="226"/>
      <c r="AK54" s="226"/>
      <c r="AL54" s="226"/>
      <c r="AM54" s="226"/>
      <c r="AN54" s="226"/>
      <c r="AO54" s="226"/>
      <c r="AP54" s="226"/>
      <c r="AQ54" s="226"/>
      <c r="AR54" s="226"/>
      <c r="AS54" s="226"/>
      <c r="AT54" s="226"/>
      <c r="AU54" s="226"/>
      <c r="AV54" s="226"/>
      <c r="AW54" s="226"/>
      <c r="AX54" s="226"/>
      <c r="AY54" s="226"/>
      <c r="AZ54" s="226"/>
      <c r="BA54" s="226"/>
      <c r="BB54" s="226"/>
      <c r="BC54" s="226"/>
      <c r="BD54" s="226"/>
      <c r="BE54" s="226"/>
      <c r="BF54" s="226"/>
      <c r="BG54" s="226"/>
      <c r="BH54" s="226"/>
      <c r="BI54" s="226"/>
      <c r="BJ54" s="145"/>
      <c r="BK54" s="145"/>
      <c r="BL54" s="145"/>
      <c r="BM54" s="145"/>
      <c r="BN54" s="145"/>
      <c r="BO54" s="145"/>
      <c r="BP54" s="145"/>
      <c r="BQ54" s="145"/>
      <c r="BR54" s="145"/>
      <c r="BS54" s="145"/>
      <c r="BT54" s="145"/>
      <c r="BU54" s="145"/>
      <c r="BV54" s="145"/>
      <c r="BW54" s="145"/>
      <c r="BX54" s="145"/>
      <c r="BY54" s="145"/>
      <c r="BZ54" s="145"/>
      <c r="CA54" s="145"/>
      <c r="CB54" s="145"/>
      <c r="CC54" s="145"/>
      <c r="CD54" s="145"/>
      <c r="CE54" s="145"/>
      <c r="CF54" s="145"/>
      <c r="CG54" s="145"/>
      <c r="CH54" s="145"/>
      <c r="CI54" s="145"/>
      <c r="CJ54" s="145"/>
      <c r="CK54" s="145"/>
      <c r="CL54" s="145"/>
      <c r="CM54" s="145"/>
      <c r="CN54" s="145"/>
      <c r="CO54" s="145"/>
      <c r="CP54" s="145"/>
      <c r="CQ54" s="145"/>
      <c r="CR54" s="145"/>
      <c r="CS54" s="145"/>
      <c r="CT54" s="145"/>
      <c r="CU54" s="145"/>
      <c r="CV54" s="145"/>
      <c r="CW54" s="145"/>
      <c r="CX54" s="145"/>
      <c r="CY54" s="145"/>
      <c r="CZ54" s="145"/>
      <c r="DA54" s="145"/>
      <c r="DB54" s="145"/>
      <c r="DC54" s="145"/>
      <c r="DD54" s="145"/>
      <c r="DE54" s="145"/>
      <c r="DF54" s="145"/>
      <c r="DG54" s="145"/>
      <c r="DH54" s="145"/>
      <c r="DI54" s="145"/>
      <c r="DJ54" s="145"/>
      <c r="DK54" s="145"/>
      <c r="DL54" s="145"/>
      <c r="DM54" s="145"/>
      <c r="DN54" s="145"/>
      <c r="DO54" s="145"/>
      <c r="DP54" s="145"/>
      <c r="DQ54" s="145"/>
      <c r="DR54" s="145"/>
      <c r="DS54" s="145"/>
      <c r="DT54" s="145"/>
      <c r="DU54" s="145"/>
      <c r="DV54" s="145"/>
      <c r="DW54" s="145"/>
      <c r="DX54" s="145"/>
      <c r="DY54" s="145"/>
      <c r="DZ54" s="145"/>
      <c r="EA54" s="145"/>
      <c r="EB54" s="145"/>
      <c r="EC54" s="145"/>
      <c r="ED54" s="145"/>
      <c r="EE54" s="145"/>
      <c r="EF54" s="145"/>
      <c r="EG54" s="145"/>
      <c r="EH54" s="145"/>
      <c r="EI54" s="145"/>
      <c r="EJ54" s="145"/>
      <c r="EK54" s="145"/>
      <c r="EL54" s="145"/>
      <c r="EM54" s="145"/>
      <c r="EN54" s="145"/>
      <c r="EO54" s="145"/>
      <c r="EP54" s="145"/>
      <c r="EQ54" s="145"/>
      <c r="ER54" s="145"/>
      <c r="ES54" s="145"/>
      <c r="ET54" s="145"/>
      <c r="EU54" s="145"/>
      <c r="EV54" s="145"/>
      <c r="EW54" s="145"/>
      <c r="EX54" s="145"/>
      <c r="EY54" s="145"/>
      <c r="EZ54" s="145"/>
      <c r="FA54" s="145"/>
      <c r="FB54" s="145"/>
      <c r="FC54" s="145"/>
      <c r="FD54" s="145"/>
      <c r="FE54" s="145"/>
      <c r="FF54" s="145"/>
      <c r="FG54" s="145"/>
      <c r="FH54" s="145"/>
      <c r="FI54" s="145"/>
      <c r="FJ54" s="145"/>
      <c r="FK54" s="145"/>
      <c r="FL54" s="145"/>
      <c r="FM54" s="145"/>
      <c r="FN54" s="145"/>
      <c r="FO54" s="145"/>
      <c r="FP54" s="145"/>
      <c r="FQ54" s="145"/>
      <c r="FR54" s="145"/>
      <c r="FS54" s="145"/>
      <c r="FT54" s="145"/>
      <c r="FU54" s="145"/>
      <c r="FV54" s="145"/>
      <c r="FW54" s="145"/>
      <c r="FX54" s="145"/>
      <c r="FY54" s="145"/>
      <c r="FZ54" s="145"/>
      <c r="GA54" s="145"/>
      <c r="GB54" s="145"/>
      <c r="GC54" s="145"/>
      <c r="GD54" s="145"/>
      <c r="GE54" s="145"/>
      <c r="GF54" s="145"/>
      <c r="GG54" s="145"/>
      <c r="GH54" s="145"/>
      <c r="GI54" s="145"/>
      <c r="GJ54" s="145"/>
      <c r="GK54" s="145"/>
      <c r="GL54" s="145"/>
      <c r="GM54" s="145"/>
      <c r="GN54" s="145"/>
      <c r="GO54" s="145"/>
      <c r="GP54" s="145"/>
      <c r="GQ54" s="145"/>
      <c r="GR54" s="145"/>
      <c r="GS54" s="145"/>
      <c r="GT54" s="145"/>
      <c r="GU54" s="145"/>
      <c r="GV54" s="145"/>
      <c r="GW54" s="145"/>
      <c r="GX54" s="145"/>
      <c r="GY54" s="145"/>
      <c r="GZ54" s="145"/>
      <c r="HA54" s="145"/>
      <c r="HB54" s="145"/>
      <c r="HC54" s="145"/>
      <c r="HD54" s="145"/>
      <c r="HE54" s="302"/>
      <c r="HF54" s="302"/>
      <c r="HG54" s="302"/>
      <c r="HH54" s="302"/>
      <c r="HI54" s="302"/>
      <c r="HJ54" s="302"/>
      <c r="HK54" s="302"/>
      <c r="HL54" s="302"/>
      <c r="HM54" s="302"/>
      <c r="HN54" s="302"/>
      <c r="HO54" s="302"/>
      <c r="HP54" s="302"/>
      <c r="HQ54" s="302"/>
      <c r="HR54" s="302"/>
      <c r="HS54" s="302"/>
      <c r="HT54" s="302"/>
      <c r="HU54" s="302"/>
      <c r="HV54" s="302"/>
      <c r="HW54" s="302"/>
      <c r="HX54" s="302"/>
      <c r="HY54" s="302"/>
      <c r="HZ54" s="302"/>
      <c r="IA54" s="302"/>
      <c r="IB54" s="302"/>
      <c r="IC54" s="302"/>
      <c r="ID54" s="302"/>
      <c r="IE54" s="302"/>
      <c r="IF54" s="302"/>
      <c r="IG54" s="302"/>
      <c r="IH54" s="302"/>
      <c r="II54" s="302"/>
      <c r="IJ54" s="302"/>
      <c r="IK54" s="302"/>
      <c r="IL54" s="302"/>
      <c r="IM54" s="302"/>
      <c r="IN54" s="302"/>
      <c r="IO54" s="302"/>
      <c r="IP54" s="302"/>
      <c r="IQ54" s="302"/>
      <c r="IR54" s="302"/>
      <c r="IS54" s="302"/>
      <c r="IT54" s="302"/>
      <c r="IU54" s="302"/>
      <c r="IV54" s="302"/>
      <c r="IW54" s="302"/>
      <c r="IX54" s="302"/>
      <c r="IY54" s="302"/>
      <c r="IZ54" s="302"/>
      <c r="JA54" s="302"/>
      <c r="JB54" s="302"/>
      <c r="JC54" s="302"/>
      <c r="JD54" s="302"/>
      <c r="JE54" s="302"/>
      <c r="JF54" s="302"/>
      <c r="JG54" s="302"/>
      <c r="JH54" s="302"/>
      <c r="JI54" s="302"/>
      <c r="JJ54" s="302"/>
      <c r="JK54" s="302"/>
      <c r="JL54" s="302"/>
      <c r="JM54" s="302"/>
      <c r="JN54" s="302"/>
      <c r="JO54" s="302"/>
      <c r="JP54" s="302"/>
      <c r="JQ54" s="302"/>
      <c r="JR54" s="302"/>
      <c r="JS54" s="302"/>
      <c r="JT54" s="302"/>
      <c r="JU54" s="302"/>
      <c r="JV54" s="302"/>
      <c r="JW54" s="302"/>
      <c r="JX54" s="302"/>
      <c r="JY54" s="302"/>
      <c r="JZ54" s="302"/>
      <c r="KA54" s="302"/>
      <c r="KB54" s="302"/>
      <c r="KC54" s="302"/>
      <c r="KD54" s="302"/>
      <c r="KE54" s="302"/>
      <c r="KF54" s="302"/>
      <c r="KG54" s="302"/>
      <c r="KH54" s="302"/>
      <c r="KI54" s="302"/>
      <c r="KJ54" s="302"/>
      <c r="KK54" s="302"/>
      <c r="KL54" s="302"/>
      <c r="KM54" s="302"/>
      <c r="KN54" s="302"/>
      <c r="KO54" s="302"/>
      <c r="KP54" s="302"/>
      <c r="KQ54" s="302"/>
      <c r="KR54" s="302"/>
      <c r="KS54" s="302"/>
      <c r="KT54" s="302"/>
      <c r="KU54" s="302"/>
      <c r="KV54" s="302"/>
      <c r="KW54" s="302"/>
      <c r="KX54" s="302"/>
      <c r="KY54" s="302"/>
      <c r="KZ54" s="302"/>
      <c r="LA54" s="302"/>
      <c r="LB54" s="302"/>
      <c r="LC54" s="302"/>
      <c r="LD54" s="302"/>
      <c r="LE54" s="302"/>
      <c r="LF54" s="302"/>
      <c r="LG54" s="302"/>
      <c r="LH54" s="302"/>
      <c r="LI54" s="302"/>
      <c r="LJ54" s="302"/>
      <c r="LK54" s="302"/>
      <c r="LL54" s="302"/>
      <c r="LM54" s="302"/>
      <c r="LN54" s="302"/>
      <c r="LO54" s="302"/>
      <c r="LP54" s="302"/>
      <c r="LQ54" s="302"/>
      <c r="LR54" s="302"/>
      <c r="LS54" s="302"/>
      <c r="LT54" s="302"/>
      <c r="LU54" s="302"/>
      <c r="LV54" s="302"/>
      <c r="LW54" s="302"/>
      <c r="LX54" s="302"/>
      <c r="LY54" s="302"/>
      <c r="LZ54" s="302"/>
      <c r="MA54" s="302"/>
      <c r="MB54" s="302"/>
      <c r="MC54" s="302"/>
      <c r="MD54" s="302"/>
      <c r="ME54" s="302"/>
      <c r="MF54" s="302"/>
      <c r="MG54" s="302"/>
      <c r="MH54" s="302"/>
      <c r="MI54" s="302"/>
      <c r="MJ54" s="302"/>
      <c r="MK54" s="302"/>
      <c r="ML54" s="302"/>
      <c r="MM54" s="302"/>
      <c r="MN54" s="302"/>
      <c r="MO54" s="302"/>
      <c r="MP54" s="302"/>
      <c r="MQ54" s="302"/>
      <c r="MR54" s="302"/>
      <c r="MS54" s="302"/>
      <c r="MT54" s="302"/>
      <c r="MU54" s="302"/>
      <c r="MV54" s="302"/>
      <c r="MW54" s="302"/>
      <c r="MX54" s="302"/>
      <c r="MY54" s="302"/>
      <c r="MZ54" s="302"/>
      <c r="NA54" s="302"/>
      <c r="NB54" s="302"/>
      <c r="NC54" s="302"/>
      <c r="ND54" s="302"/>
      <c r="NE54" s="302"/>
      <c r="NF54" s="302"/>
      <c r="NG54" s="302"/>
      <c r="NH54" s="302"/>
      <c r="NI54" s="302"/>
      <c r="NJ54" s="302"/>
      <c r="NK54" s="302"/>
      <c r="NL54" s="302"/>
      <c r="NM54" s="302"/>
      <c r="NN54" s="302"/>
      <c r="NO54" s="302"/>
      <c r="NP54" s="302"/>
      <c r="NQ54" s="302"/>
      <c r="NR54" s="302"/>
      <c r="NS54" s="302"/>
      <c r="NT54" s="302"/>
      <c r="NU54" s="302"/>
      <c r="NV54" s="302"/>
      <c r="NW54" s="302"/>
      <c r="NX54" s="302"/>
      <c r="NY54" s="302"/>
      <c r="NZ54" s="302"/>
      <c r="OA54" s="302"/>
      <c r="OB54" s="302"/>
      <c r="OC54" s="302"/>
      <c r="OD54" s="302"/>
      <c r="OE54" s="302"/>
      <c r="OF54" s="302"/>
      <c r="OG54" s="302"/>
      <c r="OH54" s="302"/>
      <c r="OI54" s="302"/>
      <c r="OJ54" s="302"/>
      <c r="OK54" s="302"/>
      <c r="OL54" s="302"/>
      <c r="OM54" s="302"/>
      <c r="ON54" s="302"/>
      <c r="OO54" s="302"/>
      <c r="OP54" s="302"/>
      <c r="OQ54" s="302"/>
      <c r="OR54" s="302"/>
      <c r="OS54" s="302"/>
      <c r="OT54" s="302"/>
      <c r="OU54" s="302"/>
      <c r="OV54" s="302"/>
      <c r="OW54" s="302"/>
      <c r="OX54" s="302"/>
      <c r="OY54" s="302"/>
      <c r="OZ54" s="302"/>
      <c r="PA54" s="302"/>
      <c r="PB54" s="302"/>
      <c r="PC54" s="302"/>
      <c r="PD54" s="302"/>
      <c r="PE54" s="302"/>
      <c r="PF54" s="302"/>
      <c r="PG54" s="302"/>
      <c r="PH54" s="302"/>
      <c r="PI54" s="302"/>
      <c r="PJ54" s="302"/>
      <c r="PK54" s="302"/>
      <c r="PL54" s="302"/>
      <c r="PM54" s="302"/>
      <c r="PN54" s="302"/>
      <c r="PO54" s="302"/>
      <c r="PP54" s="302"/>
      <c r="PQ54" s="302"/>
      <c r="PR54" s="302"/>
      <c r="PS54" s="302"/>
      <c r="PT54" s="302"/>
      <c r="PU54" s="302"/>
      <c r="PV54" s="302"/>
      <c r="PW54" s="303"/>
      <c r="PX54" s="303"/>
      <c r="PY54" s="303"/>
      <c r="QC54" s="78" t="s">
        <v>23</v>
      </c>
      <c r="QD54" s="78">
        <f>((-QC3/2)-0.1)/QC3</f>
        <v>-0.5714285714285714</v>
      </c>
      <c r="QE54" s="354">
        <f>QE36</f>
        <v>-0.5</v>
      </c>
      <c r="QG54" s="354">
        <f>QG36</f>
        <v>0.5</v>
      </c>
      <c r="QH54" s="78">
        <f>QG54+(0.1/QC3)</f>
        <v>0.5714285714285714</v>
      </c>
      <c r="QJ54" s="78" t="s">
        <v>23</v>
      </c>
      <c r="QK54" s="78">
        <f>QD42</f>
        <v>-0.6428571428571429</v>
      </c>
      <c r="QL54" s="78">
        <f>QK54</f>
        <v>-0.6428571428571429</v>
      </c>
      <c r="QN54" s="78">
        <f>QK54</f>
        <v>-0.6428571428571429</v>
      </c>
      <c r="QO54" s="78">
        <f>QN54</f>
        <v>-0.6428571428571429</v>
      </c>
      <c r="QY54" s="346"/>
      <c r="QZ54" s="346"/>
      <c r="RA54" s="346"/>
      <c r="RB54" s="346"/>
      <c r="RC54" s="346"/>
      <c r="RD54" s="346"/>
      <c r="RE54" s="346"/>
      <c r="RF54" s="346"/>
      <c r="RG54" s="346"/>
      <c r="RH54" s="346"/>
      <c r="RI54" s="346"/>
      <c r="RJ54" s="346"/>
      <c r="RK54" s="346"/>
      <c r="RL54" s="346"/>
      <c r="RM54" s="346"/>
      <c r="RN54" s="346"/>
      <c r="RO54" s="346"/>
      <c r="RP54" s="346"/>
      <c r="RQ54" s="346"/>
      <c r="RR54" s="346"/>
      <c r="RS54" s="346"/>
      <c r="RT54" s="346"/>
      <c r="RU54" s="346"/>
      <c r="RV54" s="346"/>
      <c r="RW54" s="346"/>
      <c r="RX54" s="346"/>
      <c r="RY54" s="346"/>
      <c r="RZ54" s="346"/>
      <c r="SA54" s="346"/>
      <c r="SB54" s="346"/>
      <c r="SC54" s="346"/>
      <c r="SD54" s="346"/>
      <c r="SE54" s="346"/>
      <c r="SF54" s="346"/>
      <c r="SG54" s="346"/>
      <c r="SH54" s="346"/>
      <c r="SI54" s="346"/>
      <c r="SJ54" s="346"/>
      <c r="SK54" s="346"/>
      <c r="SL54" s="346"/>
      <c r="SM54" s="346"/>
      <c r="SN54" s="346"/>
      <c r="SO54" s="346"/>
      <c r="SP54" s="346"/>
      <c r="SQ54" s="346"/>
      <c r="SR54" s="346"/>
      <c r="SS54" s="346"/>
      <c r="ST54" s="346"/>
      <c r="SU54" s="346"/>
      <c r="SV54" s="346"/>
      <c r="SW54" s="346"/>
      <c r="SX54" s="346"/>
      <c r="SY54" s="346"/>
      <c r="SZ54" s="346"/>
      <c r="TA54" s="346"/>
    </row>
    <row r="55" spans="1:521" ht="14.1" customHeight="1" x14ac:dyDescent="0.2">
      <c r="A55" s="226"/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6"/>
      <c r="N55" s="226"/>
      <c r="O55" s="226"/>
      <c r="P55" s="226"/>
      <c r="Q55" s="226"/>
      <c r="R55" s="226"/>
      <c r="S55" s="226"/>
      <c r="T55" s="226"/>
      <c r="U55" s="226"/>
      <c r="V55" s="226"/>
      <c r="W55" s="226"/>
      <c r="X55" s="226"/>
      <c r="Y55" s="226"/>
      <c r="Z55" s="226"/>
      <c r="AA55" s="226"/>
      <c r="AB55" s="226"/>
      <c r="AC55" s="226"/>
      <c r="AD55" s="226"/>
      <c r="AE55" s="226"/>
      <c r="AF55" s="226"/>
      <c r="AG55" s="226"/>
      <c r="AH55" s="226"/>
      <c r="AI55" s="226"/>
      <c r="AJ55" s="226"/>
      <c r="AK55" s="226"/>
      <c r="AL55" s="226"/>
      <c r="AM55" s="226"/>
      <c r="AN55" s="226"/>
      <c r="AO55" s="226"/>
      <c r="AP55" s="226"/>
      <c r="AQ55" s="226"/>
      <c r="AR55" s="226"/>
      <c r="AS55" s="226"/>
      <c r="AT55" s="226"/>
      <c r="AU55" s="226"/>
      <c r="AV55" s="226"/>
      <c r="AW55" s="226"/>
      <c r="AX55" s="226"/>
      <c r="AY55" s="226"/>
      <c r="AZ55" s="226"/>
      <c r="BA55" s="226"/>
      <c r="BB55" s="226"/>
      <c r="BC55" s="226"/>
      <c r="BD55" s="226"/>
      <c r="BE55" s="226"/>
      <c r="BF55" s="226"/>
      <c r="BG55" s="226"/>
      <c r="BH55" s="226"/>
      <c r="BI55" s="226"/>
      <c r="BJ55" s="145"/>
      <c r="BK55" s="145"/>
      <c r="BL55" s="145"/>
      <c r="BM55" s="145"/>
      <c r="BN55" s="145"/>
      <c r="BO55" s="145"/>
      <c r="BP55" s="145"/>
      <c r="BQ55" s="145"/>
      <c r="BR55" s="145"/>
      <c r="BS55" s="145"/>
      <c r="BT55" s="145"/>
      <c r="BU55" s="145"/>
      <c r="BV55" s="145"/>
      <c r="BW55" s="145"/>
      <c r="BX55" s="145"/>
      <c r="BY55" s="145"/>
      <c r="BZ55" s="145"/>
      <c r="CA55" s="145"/>
      <c r="CB55" s="145"/>
      <c r="CC55" s="145"/>
      <c r="CD55" s="145"/>
      <c r="CE55" s="145"/>
      <c r="CF55" s="145"/>
      <c r="CG55" s="145"/>
      <c r="CH55" s="145"/>
      <c r="CI55" s="145"/>
      <c r="CJ55" s="145"/>
      <c r="CK55" s="145"/>
      <c r="CL55" s="145"/>
      <c r="CM55" s="145"/>
      <c r="CN55" s="145"/>
      <c r="CO55" s="145"/>
      <c r="CP55" s="145"/>
      <c r="CQ55" s="145"/>
      <c r="CR55" s="145"/>
      <c r="CS55" s="145"/>
      <c r="CT55" s="145"/>
      <c r="CU55" s="145"/>
      <c r="CV55" s="145"/>
      <c r="CW55" s="145"/>
      <c r="CX55" s="145"/>
      <c r="CY55" s="145"/>
      <c r="CZ55" s="145"/>
      <c r="DA55" s="145"/>
      <c r="DB55" s="145"/>
      <c r="DC55" s="145"/>
      <c r="DD55" s="145"/>
      <c r="DE55" s="145"/>
      <c r="DF55" s="145"/>
      <c r="DG55" s="145"/>
      <c r="DH55" s="145"/>
      <c r="DI55" s="145"/>
      <c r="DJ55" s="145"/>
      <c r="DK55" s="145"/>
      <c r="DL55" s="145"/>
      <c r="DM55" s="145"/>
      <c r="DN55" s="145"/>
      <c r="DO55" s="145"/>
      <c r="DP55" s="145"/>
      <c r="DQ55" s="145"/>
      <c r="DR55" s="145"/>
      <c r="DS55" s="145"/>
      <c r="DT55" s="145"/>
      <c r="DU55" s="145"/>
      <c r="DV55" s="145"/>
      <c r="DW55" s="145"/>
      <c r="DX55" s="145"/>
      <c r="DY55" s="145"/>
      <c r="DZ55" s="145"/>
      <c r="EA55" s="145"/>
      <c r="EB55" s="145"/>
      <c r="EC55" s="145"/>
      <c r="ED55" s="145"/>
      <c r="EE55" s="145"/>
      <c r="EF55" s="145"/>
      <c r="EG55" s="145"/>
      <c r="EH55" s="145"/>
      <c r="EI55" s="145"/>
      <c r="EJ55" s="145"/>
      <c r="EK55" s="145"/>
      <c r="EL55" s="145"/>
      <c r="EM55" s="145"/>
      <c r="EN55" s="145"/>
      <c r="EO55" s="145"/>
      <c r="EP55" s="145"/>
      <c r="EQ55" s="145"/>
      <c r="ER55" s="145"/>
      <c r="ES55" s="145"/>
      <c r="ET55" s="145"/>
      <c r="EU55" s="145"/>
      <c r="EV55" s="145"/>
      <c r="EW55" s="145"/>
      <c r="EX55" s="145"/>
      <c r="EY55" s="145"/>
      <c r="EZ55" s="145"/>
      <c r="FA55" s="145"/>
      <c r="FB55" s="145"/>
      <c r="FC55" s="145"/>
      <c r="FD55" s="145"/>
      <c r="FE55" s="145"/>
      <c r="FF55" s="145"/>
      <c r="FG55" s="145"/>
      <c r="FH55" s="145"/>
      <c r="FI55" s="145"/>
      <c r="FJ55" s="145"/>
      <c r="FK55" s="145"/>
      <c r="FL55" s="145"/>
      <c r="FM55" s="145"/>
      <c r="FN55" s="145"/>
      <c r="FO55" s="145"/>
      <c r="FP55" s="145"/>
      <c r="FQ55" s="145"/>
      <c r="FR55" s="145"/>
      <c r="FS55" s="145"/>
      <c r="FT55" s="145"/>
      <c r="FU55" s="145"/>
      <c r="FV55" s="145"/>
      <c r="FW55" s="145"/>
      <c r="FX55" s="145"/>
      <c r="FY55" s="145"/>
      <c r="FZ55" s="145"/>
      <c r="GA55" s="145"/>
      <c r="GB55" s="145"/>
      <c r="GC55" s="145"/>
      <c r="GD55" s="145"/>
      <c r="GE55" s="145"/>
      <c r="GF55" s="145"/>
      <c r="GG55" s="145"/>
      <c r="GH55" s="145"/>
      <c r="GI55" s="145"/>
      <c r="GJ55" s="145"/>
      <c r="GK55" s="145"/>
      <c r="GL55" s="145"/>
      <c r="GM55" s="145"/>
      <c r="GN55" s="145"/>
      <c r="GO55" s="145"/>
      <c r="GP55" s="145"/>
      <c r="GQ55" s="145"/>
      <c r="GR55" s="145"/>
      <c r="GS55" s="145"/>
      <c r="GT55" s="145"/>
      <c r="GU55" s="145"/>
      <c r="GV55" s="145"/>
      <c r="GW55" s="145"/>
      <c r="GX55" s="145"/>
      <c r="GY55" s="145"/>
      <c r="GZ55" s="145"/>
      <c r="HA55" s="145"/>
      <c r="HB55" s="145"/>
      <c r="HC55" s="145"/>
      <c r="HD55" s="145"/>
      <c r="HE55" s="302"/>
      <c r="HF55" s="302"/>
      <c r="HG55" s="302"/>
      <c r="HH55" s="302"/>
      <c r="HI55" s="302"/>
      <c r="HJ55" s="302"/>
      <c r="HK55" s="302"/>
      <c r="HL55" s="302"/>
      <c r="HM55" s="302"/>
      <c r="HN55" s="302"/>
      <c r="HO55" s="302"/>
      <c r="HP55" s="302"/>
      <c r="HQ55" s="302"/>
      <c r="HR55" s="302"/>
      <c r="HS55" s="302"/>
      <c r="HT55" s="302"/>
      <c r="HU55" s="302"/>
      <c r="HV55" s="302"/>
      <c r="HW55" s="302"/>
      <c r="HX55" s="302"/>
      <c r="HY55" s="302"/>
      <c r="HZ55" s="302"/>
      <c r="IA55" s="302"/>
      <c r="IB55" s="302"/>
      <c r="IC55" s="302"/>
      <c r="ID55" s="302"/>
      <c r="IE55" s="302"/>
      <c r="IF55" s="302"/>
      <c r="IG55" s="302"/>
      <c r="IH55" s="302"/>
      <c r="II55" s="302"/>
      <c r="IJ55" s="302"/>
      <c r="IK55" s="302"/>
      <c r="IL55" s="302"/>
      <c r="IM55" s="302"/>
      <c r="IN55" s="302"/>
      <c r="IO55" s="302"/>
      <c r="IP55" s="302"/>
      <c r="IQ55" s="302"/>
      <c r="IR55" s="302"/>
      <c r="IS55" s="302"/>
      <c r="IT55" s="302"/>
      <c r="IU55" s="302"/>
      <c r="IV55" s="302"/>
      <c r="IW55" s="302"/>
      <c r="IX55" s="302"/>
      <c r="IY55" s="302"/>
      <c r="IZ55" s="302"/>
      <c r="JA55" s="302"/>
      <c r="JB55" s="302"/>
      <c r="JC55" s="302"/>
      <c r="JD55" s="302"/>
      <c r="JE55" s="302"/>
      <c r="JF55" s="302"/>
      <c r="JG55" s="302"/>
      <c r="JH55" s="302"/>
      <c r="JI55" s="302"/>
      <c r="JJ55" s="302"/>
      <c r="JK55" s="302"/>
      <c r="JL55" s="302"/>
      <c r="JM55" s="302"/>
      <c r="JN55" s="302"/>
      <c r="JO55" s="302"/>
      <c r="JP55" s="302"/>
      <c r="JQ55" s="302"/>
      <c r="JR55" s="302"/>
      <c r="JS55" s="302"/>
      <c r="JT55" s="302"/>
      <c r="JU55" s="302"/>
      <c r="JV55" s="302"/>
      <c r="JW55" s="302"/>
      <c r="JX55" s="302"/>
      <c r="JY55" s="302"/>
      <c r="JZ55" s="302"/>
      <c r="KA55" s="302"/>
      <c r="KB55" s="302"/>
      <c r="KC55" s="302"/>
      <c r="KD55" s="302"/>
      <c r="KE55" s="302"/>
      <c r="KF55" s="302"/>
      <c r="KG55" s="302"/>
      <c r="KH55" s="302"/>
      <c r="KI55" s="302"/>
      <c r="KJ55" s="302"/>
      <c r="KK55" s="302"/>
      <c r="KL55" s="302"/>
      <c r="KM55" s="302"/>
      <c r="KN55" s="302"/>
      <c r="KO55" s="302"/>
      <c r="KP55" s="302"/>
      <c r="KQ55" s="302"/>
      <c r="KR55" s="302"/>
      <c r="KS55" s="302"/>
      <c r="KT55" s="302"/>
      <c r="KU55" s="302"/>
      <c r="KV55" s="302"/>
      <c r="KW55" s="302"/>
      <c r="KX55" s="302"/>
      <c r="KY55" s="302"/>
      <c r="KZ55" s="302"/>
      <c r="LA55" s="302"/>
      <c r="LB55" s="302"/>
      <c r="LC55" s="302"/>
      <c r="LD55" s="302"/>
      <c r="LE55" s="302"/>
      <c r="LF55" s="302"/>
      <c r="LG55" s="302"/>
      <c r="LH55" s="302"/>
      <c r="LI55" s="302"/>
      <c r="LJ55" s="302"/>
      <c r="LK55" s="302"/>
      <c r="LL55" s="302"/>
      <c r="LM55" s="302"/>
      <c r="LN55" s="302"/>
      <c r="LO55" s="302"/>
      <c r="LP55" s="302"/>
      <c r="LQ55" s="302"/>
      <c r="LR55" s="302"/>
      <c r="LS55" s="302"/>
      <c r="LT55" s="302"/>
      <c r="LU55" s="302"/>
      <c r="LV55" s="302"/>
      <c r="LW55" s="302"/>
      <c r="LX55" s="302"/>
      <c r="LY55" s="302"/>
      <c r="LZ55" s="302"/>
      <c r="MA55" s="302"/>
      <c r="MB55" s="302"/>
      <c r="MC55" s="302"/>
      <c r="MD55" s="302"/>
      <c r="ME55" s="302"/>
      <c r="MF55" s="302"/>
      <c r="MG55" s="302"/>
      <c r="MH55" s="302"/>
      <c r="MI55" s="302"/>
      <c r="MJ55" s="302"/>
      <c r="MK55" s="302"/>
      <c r="ML55" s="302"/>
      <c r="MM55" s="302"/>
      <c r="MN55" s="302"/>
      <c r="MO55" s="302"/>
      <c r="MP55" s="302"/>
      <c r="MQ55" s="302"/>
      <c r="MR55" s="302"/>
      <c r="MS55" s="302"/>
      <c r="MT55" s="302"/>
      <c r="MU55" s="302"/>
      <c r="MV55" s="302"/>
      <c r="MW55" s="302"/>
      <c r="MX55" s="302"/>
      <c r="MY55" s="302"/>
      <c r="MZ55" s="302"/>
      <c r="NA55" s="302"/>
      <c r="NB55" s="302"/>
      <c r="NC55" s="302"/>
      <c r="ND55" s="302"/>
      <c r="NE55" s="302"/>
      <c r="NF55" s="302"/>
      <c r="NG55" s="302"/>
      <c r="NH55" s="302"/>
      <c r="NI55" s="302"/>
      <c r="NJ55" s="302"/>
      <c r="NK55" s="302"/>
      <c r="NL55" s="302"/>
      <c r="NM55" s="302"/>
      <c r="NN55" s="302"/>
      <c r="NO55" s="302"/>
      <c r="NP55" s="302"/>
      <c r="NQ55" s="302"/>
      <c r="NR55" s="302"/>
      <c r="NS55" s="302"/>
      <c r="NT55" s="302"/>
      <c r="NU55" s="302"/>
      <c r="NV55" s="302"/>
      <c r="NW55" s="302"/>
      <c r="NX55" s="302"/>
      <c r="NY55" s="302"/>
      <c r="NZ55" s="302"/>
      <c r="OA55" s="302"/>
      <c r="OB55" s="302"/>
      <c r="OC55" s="302"/>
      <c r="OD55" s="302"/>
      <c r="OE55" s="302"/>
      <c r="OF55" s="302"/>
      <c r="OG55" s="302"/>
      <c r="OH55" s="302"/>
      <c r="OI55" s="302"/>
      <c r="OJ55" s="302"/>
      <c r="OK55" s="302"/>
      <c r="OL55" s="302"/>
      <c r="OM55" s="302"/>
      <c r="ON55" s="302"/>
      <c r="OO55" s="302"/>
      <c r="OP55" s="302"/>
      <c r="OQ55" s="302"/>
      <c r="OR55" s="302"/>
      <c r="OS55" s="302"/>
      <c r="OT55" s="302"/>
      <c r="OU55" s="302"/>
      <c r="OV55" s="302"/>
      <c r="OW55" s="302"/>
      <c r="OX55" s="302"/>
      <c r="OY55" s="302"/>
      <c r="OZ55" s="302"/>
      <c r="PA55" s="302"/>
      <c r="PB55" s="302"/>
      <c r="PC55" s="302"/>
      <c r="PD55" s="302"/>
      <c r="PE55" s="302"/>
      <c r="PF55" s="302"/>
      <c r="PG55" s="302"/>
      <c r="PH55" s="302"/>
      <c r="PI55" s="302"/>
      <c r="PJ55" s="302"/>
      <c r="PK55" s="302"/>
      <c r="PL55" s="302"/>
      <c r="PM55" s="302"/>
      <c r="PN55" s="302"/>
      <c r="PO55" s="302"/>
      <c r="PP55" s="302"/>
      <c r="PQ55" s="302"/>
      <c r="PR55" s="302"/>
      <c r="PS55" s="302"/>
      <c r="PT55" s="302"/>
      <c r="PU55" s="302"/>
      <c r="PV55" s="302"/>
      <c r="PW55" s="303"/>
      <c r="PX55" s="303"/>
      <c r="PY55" s="303"/>
      <c r="QC55" s="78" t="s">
        <v>24</v>
      </c>
      <c r="QD55" s="78">
        <v>0</v>
      </c>
      <c r="QE55" s="78">
        <f>QD55</f>
        <v>0</v>
      </c>
      <c r="QG55" s="78">
        <f>QD55</f>
        <v>0</v>
      </c>
      <c r="QH55" s="78">
        <f>QD55</f>
        <v>0</v>
      </c>
      <c r="QJ55" s="78" t="s">
        <v>24</v>
      </c>
      <c r="QK55" s="78">
        <f>QD55</f>
        <v>0</v>
      </c>
      <c r="QL55" s="78">
        <f>QD58</f>
        <v>-3.5714285714285719E-2</v>
      </c>
      <c r="QN55" s="78">
        <f>QD58</f>
        <v>-3.5714285714285719E-2</v>
      </c>
      <c r="QO55" s="78">
        <f>QD61</f>
        <v>-0.10714285714285715</v>
      </c>
      <c r="QY55" s="346"/>
      <c r="QZ55" s="346"/>
      <c r="RA55" s="346"/>
      <c r="RB55" s="346"/>
      <c r="RC55" s="346"/>
      <c r="RD55" s="346"/>
      <c r="RE55" s="346"/>
      <c r="RF55" s="346"/>
      <c r="RG55" s="346"/>
      <c r="RH55" s="346"/>
      <c r="RI55" s="346"/>
      <c r="RJ55" s="346"/>
      <c r="RK55" s="346"/>
      <c r="RL55" s="346"/>
      <c r="RM55" s="346"/>
      <c r="RN55" s="346"/>
      <c r="RO55" s="346"/>
      <c r="RP55" s="346"/>
      <c r="RQ55" s="346"/>
      <c r="RR55" s="346"/>
      <c r="RS55" s="346"/>
      <c r="RT55" s="346"/>
      <c r="RU55" s="346"/>
      <c r="RV55" s="346"/>
      <c r="RW55" s="346"/>
      <c r="RX55" s="346"/>
      <c r="RY55" s="346"/>
      <c r="RZ55" s="346"/>
      <c r="SA55" s="346"/>
      <c r="SB55" s="346"/>
      <c r="SC55" s="346"/>
      <c r="SD55" s="346"/>
      <c r="SE55" s="346"/>
      <c r="SF55" s="346"/>
      <c r="SG55" s="346"/>
      <c r="SH55" s="346"/>
      <c r="SI55" s="346"/>
      <c r="SJ55" s="346"/>
      <c r="SK55" s="346"/>
      <c r="SL55" s="346"/>
      <c r="SM55" s="346"/>
      <c r="SN55" s="346"/>
      <c r="SO55" s="346"/>
      <c r="SP55" s="346"/>
      <c r="SQ55" s="346"/>
      <c r="SR55" s="346"/>
      <c r="SS55" s="346"/>
      <c r="ST55" s="346"/>
      <c r="SU55" s="346"/>
      <c r="SV55" s="346"/>
      <c r="SW55" s="346"/>
      <c r="SX55" s="346"/>
      <c r="SY55" s="346"/>
      <c r="SZ55" s="346"/>
      <c r="TA55" s="346"/>
    </row>
    <row r="56" spans="1:521" ht="14.1" customHeight="1" x14ac:dyDescent="0.2">
      <c r="A56" s="226"/>
      <c r="B56" s="226"/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226"/>
      <c r="R56" s="226"/>
      <c r="S56" s="226"/>
      <c r="T56" s="226"/>
      <c r="U56" s="226"/>
      <c r="V56" s="226"/>
      <c r="W56" s="226"/>
      <c r="X56" s="226"/>
      <c r="Y56" s="226"/>
      <c r="Z56" s="226"/>
      <c r="AA56" s="226"/>
      <c r="AB56" s="226"/>
      <c r="AC56" s="226"/>
      <c r="AD56" s="226"/>
      <c r="AE56" s="226"/>
      <c r="AF56" s="226"/>
      <c r="AG56" s="226"/>
      <c r="AH56" s="226"/>
      <c r="AI56" s="226"/>
      <c r="AJ56" s="226"/>
      <c r="AK56" s="226"/>
      <c r="AL56" s="226"/>
      <c r="AM56" s="226"/>
      <c r="AN56" s="226"/>
      <c r="AO56" s="226"/>
      <c r="AP56" s="226"/>
      <c r="AQ56" s="226"/>
      <c r="AR56" s="226"/>
      <c r="AS56" s="226"/>
      <c r="AT56" s="226"/>
      <c r="AU56" s="226"/>
      <c r="AV56" s="226"/>
      <c r="AW56" s="226"/>
      <c r="AX56" s="226"/>
      <c r="AY56" s="226"/>
      <c r="AZ56" s="226"/>
      <c r="BA56" s="226"/>
      <c r="BB56" s="226"/>
      <c r="BC56" s="226"/>
      <c r="BD56" s="226"/>
      <c r="BE56" s="226"/>
      <c r="BF56" s="226"/>
      <c r="BG56" s="226"/>
      <c r="BH56" s="226"/>
      <c r="BI56" s="226"/>
      <c r="BJ56" s="145"/>
      <c r="BK56" s="145"/>
      <c r="BL56" s="145"/>
      <c r="BM56" s="145"/>
      <c r="BN56" s="145"/>
      <c r="BO56" s="145"/>
      <c r="BP56" s="145"/>
      <c r="BQ56" s="145"/>
      <c r="BR56" s="145"/>
      <c r="BS56" s="145"/>
      <c r="BT56" s="145"/>
      <c r="BU56" s="145"/>
      <c r="BV56" s="145"/>
      <c r="BW56" s="145"/>
      <c r="BX56" s="145"/>
      <c r="BY56" s="145"/>
      <c r="BZ56" s="145"/>
      <c r="CA56" s="145"/>
      <c r="CB56" s="145"/>
      <c r="CC56" s="145"/>
      <c r="CD56" s="145"/>
      <c r="CE56" s="145"/>
      <c r="CF56" s="145"/>
      <c r="CG56" s="145"/>
      <c r="CH56" s="145"/>
      <c r="CI56" s="145"/>
      <c r="CJ56" s="145"/>
      <c r="CK56" s="145"/>
      <c r="CL56" s="145"/>
      <c r="CM56" s="145"/>
      <c r="CN56" s="145"/>
      <c r="CO56" s="145"/>
      <c r="CP56" s="145"/>
      <c r="CQ56" s="145"/>
      <c r="CR56" s="145"/>
      <c r="CS56" s="145"/>
      <c r="CT56" s="145"/>
      <c r="CU56" s="145"/>
      <c r="CV56" s="145"/>
      <c r="CW56" s="145"/>
      <c r="CX56" s="145"/>
      <c r="CY56" s="145"/>
      <c r="CZ56" s="145"/>
      <c r="DA56" s="145"/>
      <c r="DB56" s="145"/>
      <c r="DC56" s="145"/>
      <c r="DD56" s="145"/>
      <c r="DE56" s="145"/>
      <c r="DF56" s="145"/>
      <c r="DG56" s="145"/>
      <c r="DH56" s="145"/>
      <c r="DI56" s="145"/>
      <c r="DJ56" s="145"/>
      <c r="DK56" s="145"/>
      <c r="DL56" s="145"/>
      <c r="DM56" s="145"/>
      <c r="DN56" s="145"/>
      <c r="DO56" s="145"/>
      <c r="DP56" s="145"/>
      <c r="DQ56" s="145"/>
      <c r="DR56" s="145"/>
      <c r="DS56" s="145"/>
      <c r="DT56" s="145"/>
      <c r="DU56" s="145"/>
      <c r="DV56" s="145"/>
      <c r="DW56" s="145"/>
      <c r="DX56" s="145"/>
      <c r="DY56" s="145"/>
      <c r="DZ56" s="145"/>
      <c r="EA56" s="145"/>
      <c r="EB56" s="145"/>
      <c r="EC56" s="145"/>
      <c r="ED56" s="145"/>
      <c r="EE56" s="145"/>
      <c r="EF56" s="145"/>
      <c r="EG56" s="145"/>
      <c r="EH56" s="145"/>
      <c r="EI56" s="145"/>
      <c r="EJ56" s="145"/>
      <c r="EK56" s="145"/>
      <c r="EL56" s="145"/>
      <c r="EM56" s="145"/>
      <c r="EN56" s="145"/>
      <c r="EO56" s="145"/>
      <c r="EP56" s="145"/>
      <c r="EQ56" s="145"/>
      <c r="ER56" s="145"/>
      <c r="ES56" s="145"/>
      <c r="ET56" s="145"/>
      <c r="EU56" s="145"/>
      <c r="EV56" s="145"/>
      <c r="EW56" s="145"/>
      <c r="EX56" s="145"/>
      <c r="EY56" s="145"/>
      <c r="EZ56" s="145"/>
      <c r="FA56" s="145"/>
      <c r="FB56" s="145"/>
      <c r="FC56" s="145"/>
      <c r="FD56" s="145"/>
      <c r="FE56" s="145"/>
      <c r="FF56" s="145"/>
      <c r="FG56" s="145"/>
      <c r="FH56" s="145"/>
      <c r="FI56" s="145"/>
      <c r="FJ56" s="145"/>
      <c r="FK56" s="145"/>
      <c r="FL56" s="145"/>
      <c r="FM56" s="145"/>
      <c r="FN56" s="145"/>
      <c r="FO56" s="145"/>
      <c r="FP56" s="145"/>
      <c r="FQ56" s="145"/>
      <c r="FR56" s="145"/>
      <c r="FS56" s="145"/>
      <c r="FT56" s="145"/>
      <c r="FU56" s="145"/>
      <c r="FV56" s="145"/>
      <c r="FW56" s="145"/>
      <c r="FX56" s="145"/>
      <c r="FY56" s="145"/>
      <c r="FZ56" s="145"/>
      <c r="GA56" s="145"/>
      <c r="GB56" s="145"/>
      <c r="GC56" s="145"/>
      <c r="GD56" s="145"/>
      <c r="GE56" s="145"/>
      <c r="GF56" s="145"/>
      <c r="GG56" s="145"/>
      <c r="GH56" s="145"/>
      <c r="GI56" s="145"/>
      <c r="GJ56" s="145"/>
      <c r="GK56" s="145"/>
      <c r="GL56" s="145"/>
      <c r="GM56" s="145"/>
      <c r="GN56" s="145"/>
      <c r="GO56" s="145"/>
      <c r="GP56" s="145"/>
      <c r="GQ56" s="145"/>
      <c r="GR56" s="145"/>
      <c r="GS56" s="145"/>
      <c r="GT56" s="145"/>
      <c r="GU56" s="145"/>
      <c r="GV56" s="145"/>
      <c r="GW56" s="145"/>
      <c r="GX56" s="145"/>
      <c r="GY56" s="145"/>
      <c r="GZ56" s="145"/>
      <c r="HA56" s="145"/>
      <c r="HB56" s="145"/>
      <c r="HC56" s="145"/>
      <c r="HD56" s="145"/>
      <c r="HE56" s="302"/>
      <c r="HF56" s="302"/>
      <c r="HG56" s="302"/>
      <c r="HH56" s="302"/>
      <c r="HI56" s="302"/>
      <c r="HJ56" s="302"/>
      <c r="HK56" s="302"/>
      <c r="HL56" s="302"/>
      <c r="HM56" s="302"/>
      <c r="HN56" s="302"/>
      <c r="HO56" s="302"/>
      <c r="HP56" s="302"/>
      <c r="HQ56" s="302"/>
      <c r="HR56" s="302"/>
      <c r="HS56" s="302"/>
      <c r="HT56" s="302"/>
      <c r="HU56" s="302"/>
      <c r="HV56" s="302"/>
      <c r="HW56" s="302"/>
      <c r="HX56" s="302"/>
      <c r="HY56" s="302"/>
      <c r="HZ56" s="302"/>
      <c r="IA56" s="302"/>
      <c r="IB56" s="302"/>
      <c r="IC56" s="302"/>
      <c r="ID56" s="302"/>
      <c r="IE56" s="302"/>
      <c r="IF56" s="302"/>
      <c r="IG56" s="302"/>
      <c r="IH56" s="302"/>
      <c r="II56" s="302"/>
      <c r="IJ56" s="302"/>
      <c r="IK56" s="302"/>
      <c r="IL56" s="302"/>
      <c r="IM56" s="302"/>
      <c r="IN56" s="302"/>
      <c r="IO56" s="302"/>
      <c r="IP56" s="302"/>
      <c r="IQ56" s="302"/>
      <c r="IR56" s="302"/>
      <c r="IS56" s="302"/>
      <c r="IT56" s="302"/>
      <c r="IU56" s="302"/>
      <c r="IV56" s="302"/>
      <c r="IW56" s="302"/>
      <c r="IX56" s="302"/>
      <c r="IY56" s="302"/>
      <c r="IZ56" s="302"/>
      <c r="JA56" s="302"/>
      <c r="JB56" s="302"/>
      <c r="JC56" s="302"/>
      <c r="JD56" s="302"/>
      <c r="JE56" s="302"/>
      <c r="JF56" s="302"/>
      <c r="JG56" s="302"/>
      <c r="JH56" s="302"/>
      <c r="JI56" s="302"/>
      <c r="JJ56" s="302"/>
      <c r="JK56" s="302"/>
      <c r="JL56" s="302"/>
      <c r="JM56" s="302"/>
      <c r="JN56" s="302"/>
      <c r="JO56" s="302"/>
      <c r="JP56" s="302"/>
      <c r="JQ56" s="302"/>
      <c r="JR56" s="302"/>
      <c r="JS56" s="302"/>
      <c r="JT56" s="302"/>
      <c r="JU56" s="302"/>
      <c r="JV56" s="302"/>
      <c r="JW56" s="302"/>
      <c r="JX56" s="302"/>
      <c r="JY56" s="302"/>
      <c r="JZ56" s="302"/>
      <c r="KA56" s="302"/>
      <c r="KB56" s="302"/>
      <c r="KC56" s="302"/>
      <c r="KD56" s="302"/>
      <c r="KE56" s="302"/>
      <c r="KF56" s="302"/>
      <c r="KG56" s="302"/>
      <c r="KH56" s="302"/>
      <c r="KI56" s="302"/>
      <c r="KJ56" s="302"/>
      <c r="KK56" s="302"/>
      <c r="KL56" s="302"/>
      <c r="KM56" s="302"/>
      <c r="KN56" s="302"/>
      <c r="KO56" s="302"/>
      <c r="KP56" s="302"/>
      <c r="KQ56" s="302"/>
      <c r="KR56" s="302"/>
      <c r="KS56" s="302"/>
      <c r="KT56" s="302"/>
      <c r="KU56" s="302"/>
      <c r="KV56" s="302"/>
      <c r="KW56" s="302"/>
      <c r="KX56" s="302"/>
      <c r="KY56" s="302"/>
      <c r="KZ56" s="302"/>
      <c r="LA56" s="302"/>
      <c r="LB56" s="302"/>
      <c r="LC56" s="302"/>
      <c r="LD56" s="302"/>
      <c r="LE56" s="302"/>
      <c r="LF56" s="302"/>
      <c r="LG56" s="302"/>
      <c r="LH56" s="302"/>
      <c r="LI56" s="302"/>
      <c r="LJ56" s="302"/>
      <c r="LK56" s="302"/>
      <c r="LL56" s="302"/>
      <c r="LM56" s="302"/>
      <c r="LN56" s="302"/>
      <c r="LO56" s="302"/>
      <c r="LP56" s="302"/>
      <c r="LQ56" s="302"/>
      <c r="LR56" s="302"/>
      <c r="LS56" s="302"/>
      <c r="LT56" s="302"/>
      <c r="LU56" s="302"/>
      <c r="LV56" s="302"/>
      <c r="LW56" s="302"/>
      <c r="LX56" s="302"/>
      <c r="LY56" s="302"/>
      <c r="LZ56" s="302"/>
      <c r="MA56" s="302"/>
      <c r="MB56" s="302"/>
      <c r="MC56" s="302"/>
      <c r="MD56" s="302"/>
      <c r="ME56" s="302"/>
      <c r="MF56" s="302"/>
      <c r="MG56" s="302"/>
      <c r="MH56" s="302"/>
      <c r="MI56" s="302"/>
      <c r="MJ56" s="302"/>
      <c r="MK56" s="302"/>
      <c r="ML56" s="302"/>
      <c r="MM56" s="302"/>
      <c r="MN56" s="302"/>
      <c r="MO56" s="302"/>
      <c r="MP56" s="302"/>
      <c r="MQ56" s="302"/>
      <c r="MR56" s="302"/>
      <c r="MS56" s="302"/>
      <c r="MT56" s="302"/>
      <c r="MU56" s="302"/>
      <c r="MV56" s="302"/>
      <c r="MW56" s="302"/>
      <c r="MX56" s="302"/>
      <c r="MY56" s="302"/>
      <c r="MZ56" s="302"/>
      <c r="NA56" s="302"/>
      <c r="NB56" s="302"/>
      <c r="NC56" s="302"/>
      <c r="ND56" s="302"/>
      <c r="NE56" s="302"/>
      <c r="NF56" s="302"/>
      <c r="NG56" s="302"/>
      <c r="NH56" s="302"/>
      <c r="NI56" s="302"/>
      <c r="NJ56" s="302"/>
      <c r="NK56" s="302"/>
      <c r="NL56" s="302"/>
      <c r="NM56" s="302"/>
      <c r="NN56" s="302"/>
      <c r="NO56" s="302"/>
      <c r="NP56" s="302"/>
      <c r="NQ56" s="302"/>
      <c r="NR56" s="302"/>
      <c r="NS56" s="302"/>
      <c r="NT56" s="302"/>
      <c r="NU56" s="302"/>
      <c r="NV56" s="302"/>
      <c r="NW56" s="302"/>
      <c r="NX56" s="302"/>
      <c r="NY56" s="302"/>
      <c r="NZ56" s="302"/>
      <c r="OA56" s="302"/>
      <c r="OB56" s="302"/>
      <c r="OC56" s="302"/>
      <c r="OD56" s="302"/>
      <c r="OE56" s="302"/>
      <c r="OF56" s="302"/>
      <c r="OG56" s="302"/>
      <c r="OH56" s="302"/>
      <c r="OI56" s="302"/>
      <c r="OJ56" s="302"/>
      <c r="OK56" s="302"/>
      <c r="OL56" s="302"/>
      <c r="OM56" s="302"/>
      <c r="ON56" s="302"/>
      <c r="OO56" s="302"/>
      <c r="OP56" s="302"/>
      <c r="OQ56" s="302"/>
      <c r="OR56" s="302"/>
      <c r="OS56" s="302"/>
      <c r="OT56" s="302"/>
      <c r="OU56" s="302"/>
      <c r="OV56" s="302"/>
      <c r="OW56" s="302"/>
      <c r="OX56" s="302"/>
      <c r="OY56" s="302"/>
      <c r="OZ56" s="302"/>
      <c r="PA56" s="302"/>
      <c r="PB56" s="302"/>
      <c r="PC56" s="302"/>
      <c r="PD56" s="302"/>
      <c r="PE56" s="302"/>
      <c r="PF56" s="302"/>
      <c r="PG56" s="302"/>
      <c r="PH56" s="302"/>
      <c r="PI56" s="302"/>
      <c r="PJ56" s="302"/>
      <c r="PK56" s="302"/>
      <c r="PL56" s="302"/>
      <c r="PM56" s="302"/>
      <c r="PN56" s="302"/>
      <c r="PO56" s="302"/>
      <c r="PP56" s="302"/>
      <c r="PQ56" s="302"/>
      <c r="PR56" s="302"/>
      <c r="PS56" s="302"/>
      <c r="PT56" s="302"/>
      <c r="PU56" s="302"/>
      <c r="PV56" s="302"/>
      <c r="PW56" s="303"/>
      <c r="PX56" s="303"/>
      <c r="PY56" s="303"/>
      <c r="QY56" s="346"/>
      <c r="QZ56" s="346"/>
      <c r="RA56" s="346"/>
      <c r="RB56" s="346"/>
      <c r="RC56" s="346"/>
      <c r="RD56" s="346"/>
      <c r="RE56" s="346"/>
      <c r="RF56" s="346"/>
      <c r="RG56" s="346"/>
      <c r="RH56" s="346"/>
      <c r="RI56" s="346"/>
      <c r="RJ56" s="346"/>
      <c r="RK56" s="346"/>
      <c r="RL56" s="346"/>
      <c r="RM56" s="346"/>
      <c r="RN56" s="346"/>
      <c r="RO56" s="346"/>
      <c r="RP56" s="346"/>
      <c r="RQ56" s="346"/>
      <c r="RR56" s="346"/>
      <c r="RS56" s="346"/>
      <c r="RT56" s="346"/>
      <c r="RU56" s="346"/>
      <c r="RV56" s="346"/>
      <c r="RW56" s="346"/>
      <c r="RX56" s="346"/>
      <c r="RY56" s="346"/>
      <c r="RZ56" s="346"/>
      <c r="SA56" s="346"/>
      <c r="SB56" s="346"/>
      <c r="SC56" s="346"/>
      <c r="SD56" s="346"/>
      <c r="SE56" s="346"/>
      <c r="SF56" s="346"/>
      <c r="SG56" s="346"/>
      <c r="SH56" s="346"/>
      <c r="SI56" s="346"/>
      <c r="SJ56" s="346"/>
      <c r="SK56" s="346"/>
      <c r="SL56" s="346"/>
      <c r="SM56" s="346"/>
      <c r="SN56" s="346"/>
      <c r="SO56" s="346"/>
      <c r="SP56" s="346"/>
      <c r="SQ56" s="346"/>
      <c r="SR56" s="346"/>
      <c r="SS56" s="346"/>
      <c r="ST56" s="346"/>
      <c r="SU56" s="346"/>
      <c r="SV56" s="346"/>
      <c r="SW56" s="346"/>
      <c r="SX56" s="346"/>
      <c r="SY56" s="346"/>
      <c r="SZ56" s="346"/>
      <c r="TA56" s="346"/>
    </row>
    <row r="57" spans="1:521" ht="14.1" customHeight="1" x14ac:dyDescent="0.2">
      <c r="A57" s="226"/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6"/>
      <c r="N57" s="226"/>
      <c r="O57" s="226"/>
      <c r="P57" s="226"/>
      <c r="Q57" s="226"/>
      <c r="R57" s="226"/>
      <c r="S57" s="226"/>
      <c r="T57" s="226"/>
      <c r="U57" s="226"/>
      <c r="V57" s="226"/>
      <c r="W57" s="226"/>
      <c r="X57" s="226"/>
      <c r="Y57" s="226"/>
      <c r="Z57" s="226"/>
      <c r="AA57" s="226"/>
      <c r="AB57" s="226"/>
      <c r="AC57" s="226"/>
      <c r="AD57" s="226"/>
      <c r="AE57" s="226"/>
      <c r="AF57" s="226"/>
      <c r="AG57" s="226"/>
      <c r="AH57" s="226"/>
      <c r="AI57" s="226"/>
      <c r="AJ57" s="226"/>
      <c r="AK57" s="226"/>
      <c r="AL57" s="226"/>
      <c r="AM57" s="226"/>
      <c r="AN57" s="226"/>
      <c r="AO57" s="226"/>
      <c r="AP57" s="226"/>
      <c r="AQ57" s="226"/>
      <c r="AR57" s="226"/>
      <c r="AS57" s="226"/>
      <c r="AT57" s="226"/>
      <c r="AU57" s="226"/>
      <c r="AV57" s="226"/>
      <c r="AW57" s="226"/>
      <c r="AX57" s="226"/>
      <c r="AY57" s="226"/>
      <c r="AZ57" s="226"/>
      <c r="BA57" s="226"/>
      <c r="BB57" s="226"/>
      <c r="BC57" s="226"/>
      <c r="BD57" s="226"/>
      <c r="BE57" s="226"/>
      <c r="BF57" s="226"/>
      <c r="BG57" s="226"/>
      <c r="BH57" s="226"/>
      <c r="BI57" s="226"/>
      <c r="BJ57" s="145"/>
      <c r="BK57" s="145"/>
      <c r="BL57" s="145"/>
      <c r="BM57" s="145"/>
      <c r="BN57" s="145"/>
      <c r="BO57" s="145"/>
      <c r="BP57" s="145"/>
      <c r="BQ57" s="145"/>
      <c r="BR57" s="145"/>
      <c r="BS57" s="145"/>
      <c r="BT57" s="145"/>
      <c r="BU57" s="145"/>
      <c r="BV57" s="145"/>
      <c r="BW57" s="145"/>
      <c r="BX57" s="145"/>
      <c r="BY57" s="145"/>
      <c r="BZ57" s="145"/>
      <c r="CA57" s="145"/>
      <c r="CB57" s="145"/>
      <c r="CC57" s="145"/>
      <c r="CD57" s="145"/>
      <c r="CE57" s="145"/>
      <c r="CF57" s="145"/>
      <c r="CG57" s="145"/>
      <c r="CH57" s="145"/>
      <c r="CI57" s="145"/>
      <c r="CJ57" s="145"/>
      <c r="CK57" s="145"/>
      <c r="CL57" s="145"/>
      <c r="CM57" s="145"/>
      <c r="CN57" s="145"/>
      <c r="CO57" s="145"/>
      <c r="CP57" s="145"/>
      <c r="CQ57" s="145"/>
      <c r="CR57" s="145"/>
      <c r="CS57" s="145"/>
      <c r="CT57" s="145"/>
      <c r="CU57" s="145"/>
      <c r="CV57" s="145"/>
      <c r="CW57" s="145"/>
      <c r="CX57" s="145"/>
      <c r="CY57" s="145"/>
      <c r="CZ57" s="145"/>
      <c r="DA57" s="145"/>
      <c r="DB57" s="145"/>
      <c r="DC57" s="145"/>
      <c r="DD57" s="145"/>
      <c r="DE57" s="145"/>
      <c r="DF57" s="145"/>
      <c r="DG57" s="145"/>
      <c r="DH57" s="145"/>
      <c r="DI57" s="145"/>
      <c r="DJ57" s="145"/>
      <c r="DK57" s="145"/>
      <c r="DL57" s="145"/>
      <c r="DM57" s="145"/>
      <c r="DN57" s="145"/>
      <c r="DO57" s="145"/>
      <c r="DP57" s="145"/>
      <c r="DQ57" s="145"/>
      <c r="DR57" s="145"/>
      <c r="DS57" s="145"/>
      <c r="DT57" s="145"/>
      <c r="DU57" s="145"/>
      <c r="DV57" s="145"/>
      <c r="DW57" s="145"/>
      <c r="DX57" s="145"/>
      <c r="DY57" s="145"/>
      <c r="DZ57" s="145"/>
      <c r="EA57" s="145"/>
      <c r="EB57" s="145"/>
      <c r="EC57" s="145"/>
      <c r="ED57" s="145"/>
      <c r="EE57" s="145"/>
      <c r="EF57" s="145"/>
      <c r="EG57" s="145"/>
      <c r="EH57" s="145"/>
      <c r="EI57" s="145"/>
      <c r="EJ57" s="145"/>
      <c r="EK57" s="145"/>
      <c r="EL57" s="145"/>
      <c r="EM57" s="145"/>
      <c r="EN57" s="145"/>
      <c r="EO57" s="145"/>
      <c r="EP57" s="145"/>
      <c r="EQ57" s="145"/>
      <c r="ER57" s="145"/>
      <c r="ES57" s="145"/>
      <c r="ET57" s="145"/>
      <c r="EU57" s="145"/>
      <c r="EV57" s="145"/>
      <c r="EW57" s="145"/>
      <c r="EX57" s="145"/>
      <c r="EY57" s="145"/>
      <c r="EZ57" s="145"/>
      <c r="FA57" s="145"/>
      <c r="FB57" s="145"/>
      <c r="FC57" s="145"/>
      <c r="FD57" s="145"/>
      <c r="FE57" s="145"/>
      <c r="FF57" s="145"/>
      <c r="FG57" s="145"/>
      <c r="FH57" s="145"/>
      <c r="FI57" s="145"/>
      <c r="FJ57" s="145"/>
      <c r="FK57" s="145"/>
      <c r="FL57" s="145"/>
      <c r="FM57" s="145"/>
      <c r="FN57" s="145"/>
      <c r="FO57" s="145"/>
      <c r="FP57" s="145"/>
      <c r="FQ57" s="145"/>
      <c r="FR57" s="145"/>
      <c r="FS57" s="145"/>
      <c r="FT57" s="145"/>
      <c r="FU57" s="145"/>
      <c r="FV57" s="145"/>
      <c r="FW57" s="145"/>
      <c r="FX57" s="145"/>
      <c r="FY57" s="145"/>
      <c r="FZ57" s="145"/>
      <c r="GA57" s="145"/>
      <c r="GB57" s="145"/>
      <c r="GC57" s="145"/>
      <c r="GD57" s="145"/>
      <c r="GE57" s="145"/>
      <c r="GF57" s="145"/>
      <c r="GG57" s="145"/>
      <c r="GH57" s="145"/>
      <c r="GI57" s="145"/>
      <c r="GJ57" s="145"/>
      <c r="GK57" s="145"/>
      <c r="GL57" s="145"/>
      <c r="GM57" s="145"/>
      <c r="GN57" s="145"/>
      <c r="GO57" s="145"/>
      <c r="GP57" s="145"/>
      <c r="GQ57" s="145"/>
      <c r="GR57" s="145"/>
      <c r="GS57" s="145"/>
      <c r="GT57" s="145"/>
      <c r="GU57" s="145"/>
      <c r="GV57" s="145"/>
      <c r="GW57" s="145"/>
      <c r="GX57" s="145"/>
      <c r="GY57" s="145"/>
      <c r="GZ57" s="145"/>
      <c r="HA57" s="145"/>
      <c r="HB57" s="145"/>
      <c r="HC57" s="145"/>
      <c r="HD57" s="145"/>
      <c r="HE57" s="302"/>
      <c r="HF57" s="302"/>
      <c r="HG57" s="302"/>
      <c r="HH57" s="302"/>
      <c r="HI57" s="302"/>
      <c r="HJ57" s="302"/>
      <c r="HK57" s="302"/>
      <c r="HL57" s="302"/>
      <c r="HM57" s="302"/>
      <c r="HN57" s="302"/>
      <c r="HO57" s="302"/>
      <c r="HP57" s="302"/>
      <c r="HQ57" s="302"/>
      <c r="HR57" s="302"/>
      <c r="HS57" s="302"/>
      <c r="HT57" s="302"/>
      <c r="HU57" s="302"/>
      <c r="HV57" s="302"/>
      <c r="HW57" s="302"/>
      <c r="HX57" s="302"/>
      <c r="HY57" s="302"/>
      <c r="HZ57" s="302"/>
      <c r="IA57" s="302"/>
      <c r="IB57" s="302"/>
      <c r="IC57" s="302"/>
      <c r="ID57" s="302"/>
      <c r="IE57" s="302"/>
      <c r="IF57" s="302"/>
      <c r="IG57" s="302"/>
      <c r="IH57" s="302"/>
      <c r="II57" s="302"/>
      <c r="IJ57" s="302"/>
      <c r="IK57" s="302"/>
      <c r="IL57" s="302"/>
      <c r="IM57" s="302"/>
      <c r="IN57" s="302"/>
      <c r="IO57" s="302"/>
      <c r="IP57" s="302"/>
      <c r="IQ57" s="302"/>
      <c r="IR57" s="302"/>
      <c r="IS57" s="302"/>
      <c r="IT57" s="302"/>
      <c r="IU57" s="302"/>
      <c r="IV57" s="302"/>
      <c r="IW57" s="302"/>
      <c r="IX57" s="302"/>
      <c r="IY57" s="302"/>
      <c r="IZ57" s="302"/>
      <c r="JA57" s="302"/>
      <c r="JB57" s="302"/>
      <c r="JC57" s="302"/>
      <c r="JD57" s="302"/>
      <c r="JE57" s="302"/>
      <c r="JF57" s="302"/>
      <c r="JG57" s="302"/>
      <c r="JH57" s="302"/>
      <c r="JI57" s="302"/>
      <c r="JJ57" s="302"/>
      <c r="JK57" s="302"/>
      <c r="JL57" s="302"/>
      <c r="JM57" s="302"/>
      <c r="JN57" s="302"/>
      <c r="JO57" s="302"/>
      <c r="JP57" s="302"/>
      <c r="JQ57" s="302"/>
      <c r="JR57" s="302"/>
      <c r="JS57" s="302"/>
      <c r="JT57" s="302"/>
      <c r="JU57" s="302"/>
      <c r="JV57" s="302"/>
      <c r="JW57" s="302"/>
      <c r="JX57" s="302"/>
      <c r="JY57" s="302"/>
      <c r="JZ57" s="302"/>
      <c r="KA57" s="302"/>
      <c r="KB57" s="302"/>
      <c r="KC57" s="302"/>
      <c r="KD57" s="302"/>
      <c r="KE57" s="302"/>
      <c r="KF57" s="302"/>
      <c r="KG57" s="302"/>
      <c r="KH57" s="302"/>
      <c r="KI57" s="302"/>
      <c r="KJ57" s="302"/>
      <c r="KK57" s="302"/>
      <c r="KL57" s="302"/>
      <c r="KM57" s="302"/>
      <c r="KN57" s="302"/>
      <c r="KO57" s="302"/>
      <c r="KP57" s="302"/>
      <c r="KQ57" s="302"/>
      <c r="KR57" s="302"/>
      <c r="KS57" s="302"/>
      <c r="KT57" s="302"/>
      <c r="KU57" s="302"/>
      <c r="KV57" s="302"/>
      <c r="KW57" s="302"/>
      <c r="KX57" s="302"/>
      <c r="KY57" s="302"/>
      <c r="KZ57" s="302"/>
      <c r="LA57" s="302"/>
      <c r="LB57" s="302"/>
      <c r="LC57" s="302"/>
      <c r="LD57" s="302"/>
      <c r="LE57" s="302"/>
      <c r="LF57" s="302"/>
      <c r="LG57" s="302"/>
      <c r="LH57" s="302"/>
      <c r="LI57" s="302"/>
      <c r="LJ57" s="302"/>
      <c r="LK57" s="302"/>
      <c r="LL57" s="302"/>
      <c r="LM57" s="302"/>
      <c r="LN57" s="302"/>
      <c r="LO57" s="302"/>
      <c r="LP57" s="302"/>
      <c r="LQ57" s="302"/>
      <c r="LR57" s="302"/>
      <c r="LS57" s="302"/>
      <c r="LT57" s="302"/>
      <c r="LU57" s="302"/>
      <c r="LV57" s="302"/>
      <c r="LW57" s="302"/>
      <c r="LX57" s="302"/>
      <c r="LY57" s="302"/>
      <c r="LZ57" s="302"/>
      <c r="MA57" s="302"/>
      <c r="MB57" s="302"/>
      <c r="MC57" s="302"/>
      <c r="MD57" s="302"/>
      <c r="ME57" s="302"/>
      <c r="MF57" s="302"/>
      <c r="MG57" s="302"/>
      <c r="MH57" s="302"/>
      <c r="MI57" s="302"/>
      <c r="MJ57" s="302"/>
      <c r="MK57" s="302"/>
      <c r="ML57" s="302"/>
      <c r="MM57" s="302"/>
      <c r="MN57" s="302"/>
      <c r="MO57" s="302"/>
      <c r="MP57" s="302"/>
      <c r="MQ57" s="302"/>
      <c r="MR57" s="302"/>
      <c r="MS57" s="302"/>
      <c r="MT57" s="302"/>
      <c r="MU57" s="302"/>
      <c r="MV57" s="302"/>
      <c r="MW57" s="302"/>
      <c r="MX57" s="302"/>
      <c r="MY57" s="302"/>
      <c r="MZ57" s="302"/>
      <c r="NA57" s="302"/>
      <c r="NB57" s="302"/>
      <c r="NC57" s="302"/>
      <c r="ND57" s="302"/>
      <c r="NE57" s="302"/>
      <c r="NF57" s="302"/>
      <c r="NG57" s="302"/>
      <c r="NH57" s="302"/>
      <c r="NI57" s="302"/>
      <c r="NJ57" s="302"/>
      <c r="NK57" s="302"/>
      <c r="NL57" s="302"/>
      <c r="NM57" s="302"/>
      <c r="NN57" s="302"/>
      <c r="NO57" s="302"/>
      <c r="NP57" s="302"/>
      <c r="NQ57" s="302"/>
      <c r="NR57" s="302"/>
      <c r="NS57" s="302"/>
      <c r="NT57" s="302"/>
      <c r="NU57" s="302"/>
      <c r="NV57" s="302"/>
      <c r="NW57" s="302"/>
      <c r="NX57" s="302"/>
      <c r="NY57" s="302"/>
      <c r="NZ57" s="302"/>
      <c r="OA57" s="302"/>
      <c r="OB57" s="302"/>
      <c r="OC57" s="302"/>
      <c r="OD57" s="302"/>
      <c r="OE57" s="302"/>
      <c r="OF57" s="302"/>
      <c r="OG57" s="302"/>
      <c r="OH57" s="302"/>
      <c r="OI57" s="302"/>
      <c r="OJ57" s="302"/>
      <c r="OK57" s="302"/>
      <c r="OL57" s="302"/>
      <c r="OM57" s="302"/>
      <c r="ON57" s="302"/>
      <c r="OO57" s="302"/>
      <c r="OP57" s="302"/>
      <c r="OQ57" s="302"/>
      <c r="OR57" s="302"/>
      <c r="OS57" s="302"/>
      <c r="OT57" s="302"/>
      <c r="OU57" s="302"/>
      <c r="OV57" s="302"/>
      <c r="OW57" s="302"/>
      <c r="OX57" s="302"/>
      <c r="OY57" s="302"/>
      <c r="OZ57" s="302"/>
      <c r="PA57" s="302"/>
      <c r="PB57" s="302"/>
      <c r="PC57" s="302"/>
      <c r="PD57" s="302"/>
      <c r="PE57" s="302"/>
      <c r="PF57" s="302"/>
      <c r="PG57" s="302"/>
      <c r="PH57" s="302"/>
      <c r="PI57" s="302"/>
      <c r="PJ57" s="302"/>
      <c r="PK57" s="302"/>
      <c r="PL57" s="302"/>
      <c r="PM57" s="302"/>
      <c r="PN57" s="302"/>
      <c r="PO57" s="302"/>
      <c r="PP57" s="302"/>
      <c r="PQ57" s="302"/>
      <c r="PR57" s="302"/>
      <c r="PS57" s="302"/>
      <c r="PT57" s="302"/>
      <c r="PU57" s="302"/>
      <c r="PV57" s="302"/>
      <c r="PW57" s="303"/>
      <c r="PX57" s="303"/>
      <c r="PY57" s="303"/>
      <c r="QC57" s="78" t="s">
        <v>23</v>
      </c>
      <c r="QD57" s="78">
        <f>QD54</f>
        <v>-0.5714285714285714</v>
      </c>
      <c r="QE57" s="78">
        <f>QH54</f>
        <v>0.5714285714285714</v>
      </c>
      <c r="QG57" s="371">
        <v>0.05</v>
      </c>
      <c r="QI57" s="78">
        <f>QK54</f>
        <v>-0.6428571428571429</v>
      </c>
      <c r="QK57" s="355" t="s">
        <v>148</v>
      </c>
      <c r="QP57" s="78">
        <f>QE57</f>
        <v>0.5714285714285714</v>
      </c>
      <c r="QY57" s="346"/>
      <c r="QZ57" s="346"/>
      <c r="RA57" s="346"/>
      <c r="RB57" s="346"/>
      <c r="RC57" s="346"/>
      <c r="RD57" s="346"/>
      <c r="RE57" s="346"/>
      <c r="RF57" s="346"/>
      <c r="RG57" s="346"/>
      <c r="RH57" s="346"/>
      <c r="RI57" s="346"/>
      <c r="RJ57" s="346"/>
      <c r="RK57" s="346"/>
      <c r="RL57" s="346"/>
      <c r="RM57" s="346"/>
      <c r="RN57" s="346"/>
      <c r="RO57" s="346"/>
      <c r="RP57" s="346"/>
      <c r="RQ57" s="346"/>
      <c r="RR57" s="346"/>
      <c r="RS57" s="346"/>
      <c r="RT57" s="346"/>
      <c r="RU57" s="346"/>
      <c r="RV57" s="346"/>
      <c r="RW57" s="346"/>
      <c r="RX57" s="346"/>
      <c r="RY57" s="346"/>
      <c r="RZ57" s="346"/>
      <c r="SA57" s="346"/>
      <c r="SB57" s="346"/>
      <c r="SC57" s="346"/>
      <c r="SD57" s="346"/>
      <c r="SE57" s="346"/>
      <c r="SF57" s="346"/>
      <c r="SG57" s="346"/>
      <c r="SH57" s="346"/>
      <c r="SI57" s="346"/>
      <c r="SJ57" s="346"/>
      <c r="SK57" s="346"/>
      <c r="SL57" s="346"/>
      <c r="SM57" s="346"/>
      <c r="SN57" s="346"/>
      <c r="SO57" s="346"/>
      <c r="SP57" s="346"/>
      <c r="SQ57" s="346"/>
      <c r="SR57" s="346"/>
      <c r="SS57" s="346"/>
      <c r="ST57" s="346"/>
      <c r="SU57" s="346"/>
      <c r="SV57" s="346"/>
      <c r="SW57" s="346"/>
      <c r="SX57" s="346"/>
      <c r="SY57" s="346"/>
      <c r="SZ57" s="346"/>
      <c r="TA57" s="346"/>
    </row>
    <row r="58" spans="1:521" ht="14.1" customHeight="1" x14ac:dyDescent="0.2">
      <c r="A58" s="226"/>
      <c r="B58" s="226"/>
      <c r="C58" s="226"/>
      <c r="D58" s="226"/>
      <c r="E58" s="226"/>
      <c r="F58" s="226"/>
      <c r="G58" s="226"/>
      <c r="H58" s="226"/>
      <c r="I58" s="226"/>
      <c r="J58" s="226"/>
      <c r="K58" s="226"/>
      <c r="L58" s="226"/>
      <c r="M58" s="226"/>
      <c r="N58" s="226"/>
      <c r="O58" s="226"/>
      <c r="P58" s="226"/>
      <c r="Q58" s="226"/>
      <c r="R58" s="226"/>
      <c r="S58" s="226"/>
      <c r="T58" s="226"/>
      <c r="U58" s="226"/>
      <c r="V58" s="226"/>
      <c r="W58" s="226"/>
      <c r="X58" s="226"/>
      <c r="Y58" s="226"/>
      <c r="Z58" s="226"/>
      <c r="AA58" s="226"/>
      <c r="AB58" s="226"/>
      <c r="AC58" s="226"/>
      <c r="AD58" s="226"/>
      <c r="AE58" s="226"/>
      <c r="AF58" s="226"/>
      <c r="AG58" s="226"/>
      <c r="AH58" s="226"/>
      <c r="AI58" s="226"/>
      <c r="AJ58" s="226"/>
      <c r="AK58" s="226"/>
      <c r="AL58" s="226"/>
      <c r="AM58" s="226"/>
      <c r="AN58" s="226"/>
      <c r="AO58" s="226"/>
      <c r="AP58" s="226"/>
      <c r="AQ58" s="226"/>
      <c r="AR58" s="226"/>
      <c r="AS58" s="226"/>
      <c r="AT58" s="226"/>
      <c r="AU58" s="226"/>
      <c r="AV58" s="226"/>
      <c r="AW58" s="226"/>
      <c r="AX58" s="226"/>
      <c r="AY58" s="226"/>
      <c r="AZ58" s="226"/>
      <c r="BA58" s="226"/>
      <c r="BB58" s="226"/>
      <c r="BC58" s="226"/>
      <c r="BD58" s="226"/>
      <c r="BE58" s="226"/>
      <c r="BF58" s="226"/>
      <c r="BG58" s="226"/>
      <c r="BH58" s="226"/>
      <c r="BI58" s="226"/>
      <c r="BJ58" s="145"/>
      <c r="BK58" s="145"/>
      <c r="BL58" s="145"/>
      <c r="BM58" s="145"/>
      <c r="BN58" s="145"/>
      <c r="BO58" s="145"/>
      <c r="BP58" s="145"/>
      <c r="BQ58" s="145"/>
      <c r="BR58" s="145"/>
      <c r="BS58" s="145"/>
      <c r="BT58" s="145"/>
      <c r="BU58" s="145"/>
      <c r="BV58" s="145"/>
      <c r="BW58" s="145"/>
      <c r="BX58" s="145"/>
      <c r="BY58" s="145"/>
      <c r="BZ58" s="145"/>
      <c r="CA58" s="145"/>
      <c r="CB58" s="145"/>
      <c r="CC58" s="145"/>
      <c r="CD58" s="145"/>
      <c r="CE58" s="145"/>
      <c r="CF58" s="145"/>
      <c r="CG58" s="145"/>
      <c r="CH58" s="145"/>
      <c r="CI58" s="145"/>
      <c r="CJ58" s="145"/>
      <c r="CK58" s="145"/>
      <c r="CL58" s="145"/>
      <c r="CM58" s="145"/>
      <c r="CN58" s="145"/>
      <c r="CO58" s="145"/>
      <c r="CP58" s="145"/>
      <c r="CQ58" s="145"/>
      <c r="CR58" s="145"/>
      <c r="CS58" s="145"/>
      <c r="CT58" s="145"/>
      <c r="CU58" s="145"/>
      <c r="CV58" s="145"/>
      <c r="CW58" s="145"/>
      <c r="CX58" s="145"/>
      <c r="CY58" s="145"/>
      <c r="CZ58" s="145"/>
      <c r="DA58" s="145"/>
      <c r="DB58" s="145"/>
      <c r="DC58" s="145"/>
      <c r="DD58" s="145"/>
      <c r="DE58" s="145"/>
      <c r="DF58" s="145"/>
      <c r="DG58" s="145"/>
      <c r="DH58" s="145"/>
      <c r="DI58" s="145"/>
      <c r="DJ58" s="145"/>
      <c r="DK58" s="145"/>
      <c r="DL58" s="145"/>
      <c r="DM58" s="145"/>
      <c r="DN58" s="145"/>
      <c r="DO58" s="145"/>
      <c r="DP58" s="145"/>
      <c r="DQ58" s="145"/>
      <c r="DR58" s="145"/>
      <c r="DS58" s="145"/>
      <c r="DT58" s="145"/>
      <c r="DU58" s="145"/>
      <c r="DV58" s="145"/>
      <c r="DW58" s="145"/>
      <c r="DX58" s="145"/>
      <c r="DY58" s="145"/>
      <c r="DZ58" s="145"/>
      <c r="EA58" s="145"/>
      <c r="EB58" s="145"/>
      <c r="EC58" s="145"/>
      <c r="ED58" s="145"/>
      <c r="EE58" s="145"/>
      <c r="EF58" s="145"/>
      <c r="EG58" s="145"/>
      <c r="EH58" s="145"/>
      <c r="EI58" s="145"/>
      <c r="EJ58" s="145"/>
      <c r="EK58" s="145"/>
      <c r="EL58" s="145"/>
      <c r="EM58" s="145"/>
      <c r="EN58" s="145"/>
      <c r="EO58" s="145"/>
      <c r="EP58" s="145"/>
      <c r="EQ58" s="145"/>
      <c r="ER58" s="145"/>
      <c r="ES58" s="145"/>
      <c r="ET58" s="145"/>
      <c r="EU58" s="145"/>
      <c r="EV58" s="145"/>
      <c r="EW58" s="145"/>
      <c r="EX58" s="145"/>
      <c r="EY58" s="145"/>
      <c r="EZ58" s="145"/>
      <c r="FA58" s="145"/>
      <c r="FB58" s="145"/>
      <c r="FC58" s="145"/>
      <c r="FD58" s="145"/>
      <c r="FE58" s="145"/>
      <c r="FF58" s="145"/>
      <c r="FG58" s="145"/>
      <c r="FH58" s="145"/>
      <c r="FI58" s="145"/>
      <c r="FJ58" s="145"/>
      <c r="FK58" s="145"/>
      <c r="FL58" s="145"/>
      <c r="FM58" s="145"/>
      <c r="FN58" s="145"/>
      <c r="FO58" s="145"/>
      <c r="FP58" s="145"/>
      <c r="FQ58" s="145"/>
      <c r="FR58" s="145"/>
      <c r="FS58" s="145"/>
      <c r="FT58" s="145"/>
      <c r="FU58" s="145"/>
      <c r="FV58" s="145"/>
      <c r="FW58" s="145"/>
      <c r="FX58" s="145"/>
      <c r="FY58" s="145"/>
      <c r="FZ58" s="145"/>
      <c r="GA58" s="145"/>
      <c r="GB58" s="145"/>
      <c r="GC58" s="145"/>
      <c r="GD58" s="145"/>
      <c r="GE58" s="145"/>
      <c r="GF58" s="145"/>
      <c r="GG58" s="145"/>
      <c r="GH58" s="145"/>
      <c r="GI58" s="145"/>
      <c r="GJ58" s="145"/>
      <c r="GK58" s="145"/>
      <c r="GL58" s="145"/>
      <c r="GM58" s="145"/>
      <c r="GN58" s="145"/>
      <c r="GO58" s="145"/>
      <c r="GP58" s="145"/>
      <c r="GQ58" s="145"/>
      <c r="GR58" s="145"/>
      <c r="GS58" s="145"/>
      <c r="GT58" s="145"/>
      <c r="GU58" s="145"/>
      <c r="GV58" s="145"/>
      <c r="GW58" s="145"/>
      <c r="GX58" s="145"/>
      <c r="GY58" s="145"/>
      <c r="GZ58" s="145"/>
      <c r="HA58" s="145"/>
      <c r="HB58" s="145"/>
      <c r="HC58" s="145"/>
      <c r="HD58" s="145"/>
      <c r="HE58" s="302"/>
      <c r="HF58" s="302"/>
      <c r="HG58" s="302"/>
      <c r="HH58" s="302"/>
      <c r="HI58" s="302"/>
      <c r="HJ58" s="302"/>
      <c r="HK58" s="302"/>
      <c r="HL58" s="302"/>
      <c r="HM58" s="302"/>
      <c r="HN58" s="302"/>
      <c r="HO58" s="302"/>
      <c r="HP58" s="302"/>
      <c r="HQ58" s="302"/>
      <c r="HR58" s="302"/>
      <c r="HS58" s="302"/>
      <c r="HT58" s="302"/>
      <c r="HU58" s="302"/>
      <c r="HV58" s="302"/>
      <c r="HW58" s="302"/>
      <c r="HX58" s="302"/>
      <c r="HY58" s="302"/>
      <c r="HZ58" s="302"/>
      <c r="IA58" s="302"/>
      <c r="IB58" s="302"/>
      <c r="IC58" s="302"/>
      <c r="ID58" s="302"/>
      <c r="IE58" s="302"/>
      <c r="IF58" s="302"/>
      <c r="IG58" s="302"/>
      <c r="IH58" s="302"/>
      <c r="II58" s="302"/>
      <c r="IJ58" s="302"/>
      <c r="IK58" s="302"/>
      <c r="IL58" s="302"/>
      <c r="IM58" s="302"/>
      <c r="IN58" s="302"/>
      <c r="IO58" s="302"/>
      <c r="IP58" s="302"/>
      <c r="IQ58" s="302"/>
      <c r="IR58" s="302"/>
      <c r="IS58" s="302"/>
      <c r="IT58" s="302"/>
      <c r="IU58" s="302"/>
      <c r="IV58" s="302"/>
      <c r="IW58" s="302"/>
      <c r="IX58" s="302"/>
      <c r="IY58" s="302"/>
      <c r="IZ58" s="302"/>
      <c r="JA58" s="302"/>
      <c r="JB58" s="302"/>
      <c r="JC58" s="302"/>
      <c r="JD58" s="302"/>
      <c r="JE58" s="302"/>
      <c r="JF58" s="302"/>
      <c r="JG58" s="302"/>
      <c r="JH58" s="302"/>
      <c r="JI58" s="302"/>
      <c r="JJ58" s="302"/>
      <c r="JK58" s="302"/>
      <c r="JL58" s="302"/>
      <c r="JM58" s="302"/>
      <c r="JN58" s="302"/>
      <c r="JO58" s="302"/>
      <c r="JP58" s="302"/>
      <c r="JQ58" s="302"/>
      <c r="JR58" s="302"/>
      <c r="JS58" s="302"/>
      <c r="JT58" s="302"/>
      <c r="JU58" s="302"/>
      <c r="JV58" s="302"/>
      <c r="JW58" s="302"/>
      <c r="JX58" s="302"/>
      <c r="JY58" s="302"/>
      <c r="JZ58" s="302"/>
      <c r="KA58" s="302"/>
      <c r="KB58" s="302"/>
      <c r="KC58" s="302"/>
      <c r="KD58" s="302"/>
      <c r="KE58" s="302"/>
      <c r="KF58" s="302"/>
      <c r="KG58" s="302"/>
      <c r="KH58" s="302"/>
      <c r="KI58" s="302"/>
      <c r="KJ58" s="302"/>
      <c r="KK58" s="302"/>
      <c r="KL58" s="302"/>
      <c r="KM58" s="302"/>
      <c r="KN58" s="302"/>
      <c r="KO58" s="302"/>
      <c r="KP58" s="302"/>
      <c r="KQ58" s="302"/>
      <c r="KR58" s="302"/>
      <c r="KS58" s="302"/>
      <c r="KT58" s="302"/>
      <c r="KU58" s="302"/>
      <c r="KV58" s="302"/>
      <c r="KW58" s="302"/>
      <c r="KX58" s="302"/>
      <c r="KY58" s="302"/>
      <c r="KZ58" s="302"/>
      <c r="LA58" s="302"/>
      <c r="LB58" s="302"/>
      <c r="LC58" s="302"/>
      <c r="LD58" s="302"/>
      <c r="LE58" s="302"/>
      <c r="LF58" s="302"/>
      <c r="LG58" s="302"/>
      <c r="LH58" s="302"/>
      <c r="LI58" s="302"/>
      <c r="LJ58" s="302"/>
      <c r="LK58" s="302"/>
      <c r="LL58" s="302"/>
      <c r="LM58" s="302"/>
      <c r="LN58" s="302"/>
      <c r="LO58" s="302"/>
      <c r="LP58" s="302"/>
      <c r="LQ58" s="302"/>
      <c r="LR58" s="302"/>
      <c r="LS58" s="302"/>
      <c r="LT58" s="302"/>
      <c r="LU58" s="302"/>
      <c r="LV58" s="302"/>
      <c r="LW58" s="302"/>
      <c r="LX58" s="302"/>
      <c r="LY58" s="302"/>
      <c r="LZ58" s="302"/>
      <c r="MA58" s="302"/>
      <c r="MB58" s="302"/>
      <c r="MC58" s="302"/>
      <c r="MD58" s="302"/>
      <c r="ME58" s="302"/>
      <c r="MF58" s="302"/>
      <c r="MG58" s="302"/>
      <c r="MH58" s="302"/>
      <c r="MI58" s="302"/>
      <c r="MJ58" s="302"/>
      <c r="MK58" s="302"/>
      <c r="ML58" s="302"/>
      <c r="MM58" s="302"/>
      <c r="MN58" s="302"/>
      <c r="MO58" s="302"/>
      <c r="MP58" s="302"/>
      <c r="MQ58" s="302"/>
      <c r="MR58" s="302"/>
      <c r="MS58" s="302"/>
      <c r="MT58" s="302"/>
      <c r="MU58" s="302"/>
      <c r="MV58" s="302"/>
      <c r="MW58" s="302"/>
      <c r="MX58" s="302"/>
      <c r="MY58" s="302"/>
      <c r="MZ58" s="302"/>
      <c r="NA58" s="302"/>
      <c r="NB58" s="302"/>
      <c r="NC58" s="302"/>
      <c r="ND58" s="302"/>
      <c r="NE58" s="302"/>
      <c r="NF58" s="302"/>
      <c r="NG58" s="302"/>
      <c r="NH58" s="302"/>
      <c r="NI58" s="302"/>
      <c r="NJ58" s="302"/>
      <c r="NK58" s="302"/>
      <c r="NL58" s="302"/>
      <c r="NM58" s="302"/>
      <c r="NN58" s="302"/>
      <c r="NO58" s="302"/>
      <c r="NP58" s="302"/>
      <c r="NQ58" s="302"/>
      <c r="NR58" s="302"/>
      <c r="NS58" s="302"/>
      <c r="NT58" s="302"/>
      <c r="NU58" s="302"/>
      <c r="NV58" s="302"/>
      <c r="NW58" s="302"/>
      <c r="NX58" s="302"/>
      <c r="NY58" s="302"/>
      <c r="NZ58" s="302"/>
      <c r="OA58" s="302"/>
      <c r="OB58" s="302"/>
      <c r="OC58" s="302"/>
      <c r="OD58" s="302"/>
      <c r="OE58" s="302"/>
      <c r="OF58" s="302"/>
      <c r="OG58" s="302"/>
      <c r="OH58" s="302"/>
      <c r="OI58" s="302"/>
      <c r="OJ58" s="302"/>
      <c r="OK58" s="302"/>
      <c r="OL58" s="302"/>
      <c r="OM58" s="302"/>
      <c r="ON58" s="302"/>
      <c r="OO58" s="302"/>
      <c r="OP58" s="302"/>
      <c r="OQ58" s="302"/>
      <c r="OR58" s="302"/>
      <c r="OS58" s="302"/>
      <c r="OT58" s="302"/>
      <c r="OU58" s="302"/>
      <c r="OV58" s="302"/>
      <c r="OW58" s="302"/>
      <c r="OX58" s="302"/>
      <c r="OY58" s="302"/>
      <c r="OZ58" s="302"/>
      <c r="PA58" s="302"/>
      <c r="PB58" s="302"/>
      <c r="PC58" s="302"/>
      <c r="PD58" s="302"/>
      <c r="PE58" s="302"/>
      <c r="PF58" s="302"/>
      <c r="PG58" s="302"/>
      <c r="PH58" s="302"/>
      <c r="PI58" s="302"/>
      <c r="PJ58" s="302"/>
      <c r="PK58" s="302"/>
      <c r="PL58" s="302"/>
      <c r="PM58" s="302"/>
      <c r="PN58" s="302"/>
      <c r="PO58" s="302"/>
      <c r="PP58" s="302"/>
      <c r="PQ58" s="302"/>
      <c r="PR58" s="302"/>
      <c r="PS58" s="302"/>
      <c r="PT58" s="302"/>
      <c r="PU58" s="302"/>
      <c r="PV58" s="302"/>
      <c r="PW58" s="303"/>
      <c r="PX58" s="303"/>
      <c r="PY58" s="303"/>
      <c r="QC58" s="78" t="s">
        <v>24</v>
      </c>
      <c r="QD58" s="78">
        <f>-0.05/QC3</f>
        <v>-3.5714285714285719E-2</v>
      </c>
      <c r="QE58" s="78">
        <f>QD58</f>
        <v>-3.5714285714285719E-2</v>
      </c>
      <c r="QI58" s="78">
        <f>((QK55-QL55)/2)+QL55</f>
        <v>-1.785714285714286E-2</v>
      </c>
      <c r="QP58" s="78">
        <f>QI58</f>
        <v>-1.785714285714286E-2</v>
      </c>
      <c r="QY58" s="346"/>
      <c r="QZ58" s="346"/>
      <c r="RA58" s="346"/>
      <c r="RB58" s="346"/>
      <c r="RC58" s="346"/>
      <c r="RD58" s="346"/>
      <c r="RE58" s="346"/>
      <c r="RF58" s="346"/>
      <c r="RG58" s="346"/>
      <c r="RH58" s="346"/>
      <c r="RI58" s="346"/>
      <c r="RJ58" s="346"/>
      <c r="RK58" s="346"/>
      <c r="RL58" s="346"/>
      <c r="RM58" s="346"/>
      <c r="RN58" s="346"/>
      <c r="RO58" s="346"/>
      <c r="RP58" s="346"/>
      <c r="RQ58" s="346"/>
      <c r="RR58" s="346"/>
      <c r="RS58" s="346"/>
      <c r="RT58" s="346"/>
      <c r="RU58" s="346"/>
      <c r="RV58" s="346"/>
      <c r="RW58" s="346"/>
      <c r="RX58" s="346"/>
      <c r="RY58" s="346"/>
      <c r="RZ58" s="346"/>
      <c r="SA58" s="346"/>
      <c r="SB58" s="346"/>
      <c r="SC58" s="346"/>
      <c r="SD58" s="346"/>
      <c r="SE58" s="346"/>
      <c r="SF58" s="346"/>
      <c r="SG58" s="346"/>
      <c r="SH58" s="346"/>
      <c r="SI58" s="346"/>
      <c r="SJ58" s="346"/>
      <c r="SK58" s="346"/>
      <c r="SL58" s="346"/>
      <c r="SM58" s="346"/>
      <c r="SN58" s="346"/>
      <c r="SO58" s="346"/>
      <c r="SP58" s="346"/>
      <c r="SQ58" s="346"/>
      <c r="SR58" s="346"/>
      <c r="SS58" s="346"/>
      <c r="ST58" s="346"/>
      <c r="SU58" s="346"/>
      <c r="SV58" s="346"/>
      <c r="SW58" s="346"/>
      <c r="SX58" s="346"/>
      <c r="SY58" s="346"/>
      <c r="SZ58" s="346"/>
      <c r="TA58" s="346"/>
    </row>
    <row r="59" spans="1:521" ht="14.1" customHeight="1" x14ac:dyDescent="0.2">
      <c r="A59" s="226"/>
      <c r="B59" s="226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6"/>
      <c r="N59" s="226"/>
      <c r="O59" s="226"/>
      <c r="P59" s="226"/>
      <c r="Q59" s="226"/>
      <c r="R59" s="226"/>
      <c r="S59" s="226"/>
      <c r="T59" s="226"/>
      <c r="U59" s="226"/>
      <c r="V59" s="226"/>
      <c r="W59" s="226"/>
      <c r="X59" s="226"/>
      <c r="Y59" s="226"/>
      <c r="Z59" s="226"/>
      <c r="AA59" s="226"/>
      <c r="AB59" s="226"/>
      <c r="AC59" s="226"/>
      <c r="AD59" s="226"/>
      <c r="AE59" s="226"/>
      <c r="AF59" s="226"/>
      <c r="AG59" s="226"/>
      <c r="AH59" s="226"/>
      <c r="AI59" s="226"/>
      <c r="AJ59" s="226"/>
      <c r="AK59" s="226"/>
      <c r="AL59" s="226"/>
      <c r="AM59" s="226"/>
      <c r="AN59" s="226"/>
      <c r="AO59" s="226"/>
      <c r="AP59" s="226"/>
      <c r="AQ59" s="226"/>
      <c r="AR59" s="226"/>
      <c r="AS59" s="226"/>
      <c r="AT59" s="226"/>
      <c r="AU59" s="226"/>
      <c r="AV59" s="226"/>
      <c r="AW59" s="226"/>
      <c r="AX59" s="226"/>
      <c r="AY59" s="226"/>
      <c r="AZ59" s="226"/>
      <c r="BA59" s="226"/>
      <c r="BB59" s="226"/>
      <c r="BC59" s="226"/>
      <c r="BD59" s="226"/>
      <c r="BE59" s="226"/>
      <c r="BF59" s="226"/>
      <c r="BG59" s="226"/>
      <c r="BH59" s="226"/>
      <c r="BI59" s="226"/>
      <c r="BJ59" s="145"/>
      <c r="BK59" s="145"/>
      <c r="BL59" s="145"/>
      <c r="BM59" s="145"/>
      <c r="BN59" s="145"/>
      <c r="BO59" s="145"/>
      <c r="BP59" s="145"/>
      <c r="BQ59" s="145"/>
      <c r="BR59" s="145"/>
      <c r="BS59" s="145"/>
      <c r="BT59" s="145"/>
      <c r="BU59" s="145"/>
      <c r="BV59" s="145"/>
      <c r="BW59" s="145"/>
      <c r="BX59" s="145"/>
      <c r="BY59" s="145"/>
      <c r="BZ59" s="145"/>
      <c r="CA59" s="145"/>
      <c r="CB59" s="145"/>
      <c r="CC59" s="145"/>
      <c r="CD59" s="145"/>
      <c r="CE59" s="145"/>
      <c r="CF59" s="145"/>
      <c r="CG59" s="145"/>
      <c r="CH59" s="145"/>
      <c r="CI59" s="145"/>
      <c r="CJ59" s="145"/>
      <c r="CK59" s="145"/>
      <c r="CL59" s="145"/>
      <c r="CM59" s="145"/>
      <c r="CN59" s="145"/>
      <c r="CO59" s="145"/>
      <c r="CP59" s="145"/>
      <c r="CQ59" s="145"/>
      <c r="CR59" s="145"/>
      <c r="CS59" s="145"/>
      <c r="CT59" s="145"/>
      <c r="CU59" s="145"/>
      <c r="CV59" s="145"/>
      <c r="CW59" s="145"/>
      <c r="CX59" s="145"/>
      <c r="CY59" s="145"/>
      <c r="CZ59" s="145"/>
      <c r="DA59" s="145"/>
      <c r="DB59" s="145"/>
      <c r="DC59" s="145"/>
      <c r="DD59" s="145"/>
      <c r="DE59" s="145"/>
      <c r="DF59" s="145"/>
      <c r="DG59" s="145"/>
      <c r="DH59" s="145"/>
      <c r="DI59" s="145"/>
      <c r="DJ59" s="145"/>
      <c r="DK59" s="145"/>
      <c r="DL59" s="145"/>
      <c r="DM59" s="145"/>
      <c r="DN59" s="145"/>
      <c r="DO59" s="145"/>
      <c r="DP59" s="145"/>
      <c r="DQ59" s="145"/>
      <c r="DR59" s="145"/>
      <c r="DS59" s="145"/>
      <c r="DT59" s="145"/>
      <c r="DU59" s="145"/>
      <c r="DV59" s="145"/>
      <c r="DW59" s="145"/>
      <c r="DX59" s="145"/>
      <c r="DY59" s="145"/>
      <c r="DZ59" s="145"/>
      <c r="EA59" s="145"/>
      <c r="EB59" s="145"/>
      <c r="EC59" s="145"/>
      <c r="ED59" s="145"/>
      <c r="EE59" s="145"/>
      <c r="EF59" s="145"/>
      <c r="EG59" s="145"/>
      <c r="EH59" s="145"/>
      <c r="EI59" s="145"/>
      <c r="EJ59" s="145"/>
      <c r="EK59" s="145"/>
      <c r="EL59" s="145"/>
      <c r="EM59" s="145"/>
      <c r="EN59" s="145"/>
      <c r="EO59" s="145"/>
      <c r="EP59" s="145"/>
      <c r="EQ59" s="145"/>
      <c r="ER59" s="145"/>
      <c r="ES59" s="145"/>
      <c r="ET59" s="145"/>
      <c r="EU59" s="145"/>
      <c r="EV59" s="145"/>
      <c r="EW59" s="145"/>
      <c r="EX59" s="145"/>
      <c r="EY59" s="145"/>
      <c r="EZ59" s="145"/>
      <c r="FA59" s="145"/>
      <c r="FB59" s="145"/>
      <c r="FC59" s="145"/>
      <c r="FD59" s="145"/>
      <c r="FE59" s="145"/>
      <c r="FF59" s="145"/>
      <c r="FG59" s="145"/>
      <c r="FH59" s="145"/>
      <c r="FI59" s="145"/>
      <c r="FJ59" s="145"/>
      <c r="FK59" s="145"/>
      <c r="FL59" s="145"/>
      <c r="FM59" s="145"/>
      <c r="FN59" s="145"/>
      <c r="FO59" s="145"/>
      <c r="FP59" s="145"/>
      <c r="FQ59" s="145"/>
      <c r="FR59" s="145"/>
      <c r="FS59" s="145"/>
      <c r="FT59" s="145"/>
      <c r="FU59" s="145"/>
      <c r="FV59" s="145"/>
      <c r="FW59" s="145"/>
      <c r="FX59" s="145"/>
      <c r="FY59" s="145"/>
      <c r="FZ59" s="145"/>
      <c r="GA59" s="145"/>
      <c r="GB59" s="145"/>
      <c r="GC59" s="145"/>
      <c r="GD59" s="145"/>
      <c r="GE59" s="145"/>
      <c r="GF59" s="145"/>
      <c r="GG59" s="145"/>
      <c r="GH59" s="145"/>
      <c r="GI59" s="145"/>
      <c r="GJ59" s="145"/>
      <c r="GK59" s="145"/>
      <c r="GL59" s="145"/>
      <c r="GM59" s="145"/>
      <c r="GN59" s="145"/>
      <c r="GO59" s="145"/>
      <c r="GP59" s="145"/>
      <c r="GQ59" s="145"/>
      <c r="GR59" s="145"/>
      <c r="GS59" s="145"/>
      <c r="GT59" s="145"/>
      <c r="GU59" s="145"/>
      <c r="GV59" s="145"/>
      <c r="GW59" s="145"/>
      <c r="GX59" s="145"/>
      <c r="GY59" s="145"/>
      <c r="GZ59" s="145"/>
      <c r="HA59" s="145"/>
      <c r="HB59" s="145"/>
      <c r="HC59" s="145"/>
      <c r="HD59" s="145"/>
      <c r="HE59" s="302"/>
      <c r="HF59" s="302"/>
      <c r="HG59" s="302"/>
      <c r="HH59" s="302"/>
      <c r="HI59" s="302"/>
      <c r="HJ59" s="302"/>
      <c r="HK59" s="302"/>
      <c r="HL59" s="302"/>
      <c r="HM59" s="302"/>
      <c r="HN59" s="302"/>
      <c r="HO59" s="302"/>
      <c r="HP59" s="302"/>
      <c r="HQ59" s="302"/>
      <c r="HR59" s="302"/>
      <c r="HS59" s="302"/>
      <c r="HT59" s="302"/>
      <c r="HU59" s="302"/>
      <c r="HV59" s="302"/>
      <c r="HW59" s="302"/>
      <c r="HX59" s="302"/>
      <c r="HY59" s="302"/>
      <c r="HZ59" s="302"/>
      <c r="IA59" s="302"/>
      <c r="IB59" s="302"/>
      <c r="IC59" s="302"/>
      <c r="ID59" s="302"/>
      <c r="IE59" s="302"/>
      <c r="IF59" s="302"/>
      <c r="IG59" s="302"/>
      <c r="IH59" s="302"/>
      <c r="II59" s="302"/>
      <c r="IJ59" s="302"/>
      <c r="IK59" s="302"/>
      <c r="IL59" s="302"/>
      <c r="IM59" s="302"/>
      <c r="IN59" s="302"/>
      <c r="IO59" s="302"/>
      <c r="IP59" s="302"/>
      <c r="IQ59" s="302"/>
      <c r="IR59" s="302"/>
      <c r="IS59" s="302"/>
      <c r="IT59" s="302"/>
      <c r="IU59" s="302"/>
      <c r="IV59" s="302"/>
      <c r="IW59" s="302"/>
      <c r="IX59" s="302"/>
      <c r="IY59" s="302"/>
      <c r="IZ59" s="302"/>
      <c r="JA59" s="302"/>
      <c r="JB59" s="302"/>
      <c r="JC59" s="302"/>
      <c r="JD59" s="302"/>
      <c r="JE59" s="302"/>
      <c r="JF59" s="302"/>
      <c r="JG59" s="302"/>
      <c r="JH59" s="302"/>
      <c r="JI59" s="302"/>
      <c r="JJ59" s="302"/>
      <c r="JK59" s="302"/>
      <c r="JL59" s="302"/>
      <c r="JM59" s="302"/>
      <c r="JN59" s="302"/>
      <c r="JO59" s="302"/>
      <c r="JP59" s="302"/>
      <c r="JQ59" s="302"/>
      <c r="JR59" s="302"/>
      <c r="JS59" s="302"/>
      <c r="JT59" s="302"/>
      <c r="JU59" s="302"/>
      <c r="JV59" s="302"/>
      <c r="JW59" s="302"/>
      <c r="JX59" s="302"/>
      <c r="JY59" s="302"/>
      <c r="JZ59" s="302"/>
      <c r="KA59" s="302"/>
      <c r="KB59" s="302"/>
      <c r="KC59" s="302"/>
      <c r="KD59" s="302"/>
      <c r="KE59" s="302"/>
      <c r="KF59" s="302"/>
      <c r="KG59" s="302"/>
      <c r="KH59" s="302"/>
      <c r="KI59" s="302"/>
      <c r="KJ59" s="302"/>
      <c r="KK59" s="302"/>
      <c r="KL59" s="302"/>
      <c r="KM59" s="302"/>
      <c r="KN59" s="302"/>
      <c r="KO59" s="302"/>
      <c r="KP59" s="302"/>
      <c r="KQ59" s="302"/>
      <c r="KR59" s="302"/>
      <c r="KS59" s="302"/>
      <c r="KT59" s="302"/>
      <c r="KU59" s="302"/>
      <c r="KV59" s="302"/>
      <c r="KW59" s="302"/>
      <c r="KX59" s="302"/>
      <c r="KY59" s="302"/>
      <c r="KZ59" s="302"/>
      <c r="LA59" s="302"/>
      <c r="LB59" s="302"/>
      <c r="LC59" s="302"/>
      <c r="LD59" s="302"/>
      <c r="LE59" s="302"/>
      <c r="LF59" s="302"/>
      <c r="LG59" s="302"/>
      <c r="LH59" s="302"/>
      <c r="LI59" s="302"/>
      <c r="LJ59" s="302"/>
      <c r="LK59" s="302"/>
      <c r="LL59" s="302"/>
      <c r="LM59" s="302"/>
      <c r="LN59" s="302"/>
      <c r="LO59" s="302"/>
      <c r="LP59" s="302"/>
      <c r="LQ59" s="302"/>
      <c r="LR59" s="302"/>
      <c r="LS59" s="302"/>
      <c r="LT59" s="302"/>
      <c r="LU59" s="302"/>
      <c r="LV59" s="302"/>
      <c r="LW59" s="302"/>
      <c r="LX59" s="302"/>
      <c r="LY59" s="302"/>
      <c r="LZ59" s="302"/>
      <c r="MA59" s="302"/>
      <c r="MB59" s="302"/>
      <c r="MC59" s="302"/>
      <c r="MD59" s="302"/>
      <c r="ME59" s="302"/>
      <c r="MF59" s="302"/>
      <c r="MG59" s="302"/>
      <c r="MH59" s="302"/>
      <c r="MI59" s="302"/>
      <c r="MJ59" s="302"/>
      <c r="MK59" s="302"/>
      <c r="ML59" s="302"/>
      <c r="MM59" s="302"/>
      <c r="MN59" s="302"/>
      <c r="MO59" s="302"/>
      <c r="MP59" s="302"/>
      <c r="MQ59" s="302"/>
      <c r="MR59" s="302"/>
      <c r="MS59" s="302"/>
      <c r="MT59" s="302"/>
      <c r="MU59" s="302"/>
      <c r="MV59" s="302"/>
      <c r="MW59" s="302"/>
      <c r="MX59" s="302"/>
      <c r="MY59" s="302"/>
      <c r="MZ59" s="302"/>
      <c r="NA59" s="302"/>
      <c r="NB59" s="302"/>
      <c r="NC59" s="302"/>
      <c r="ND59" s="302"/>
      <c r="NE59" s="302"/>
      <c r="NF59" s="302"/>
      <c r="NG59" s="302"/>
      <c r="NH59" s="302"/>
      <c r="NI59" s="302"/>
      <c r="NJ59" s="302"/>
      <c r="NK59" s="302"/>
      <c r="NL59" s="302"/>
      <c r="NM59" s="302"/>
      <c r="NN59" s="302"/>
      <c r="NO59" s="302"/>
      <c r="NP59" s="302"/>
      <c r="NQ59" s="302"/>
      <c r="NR59" s="302"/>
      <c r="NS59" s="302"/>
      <c r="NT59" s="302"/>
      <c r="NU59" s="302"/>
      <c r="NV59" s="302"/>
      <c r="NW59" s="302"/>
      <c r="NX59" s="302"/>
      <c r="NY59" s="302"/>
      <c r="NZ59" s="302"/>
      <c r="OA59" s="302"/>
      <c r="OB59" s="302"/>
      <c r="OC59" s="302"/>
      <c r="OD59" s="302"/>
      <c r="OE59" s="302"/>
      <c r="OF59" s="302"/>
      <c r="OG59" s="302"/>
      <c r="OH59" s="302"/>
      <c r="OI59" s="302"/>
      <c r="OJ59" s="302"/>
      <c r="OK59" s="302"/>
      <c r="OL59" s="302"/>
      <c r="OM59" s="302"/>
      <c r="ON59" s="302"/>
      <c r="OO59" s="302"/>
      <c r="OP59" s="302"/>
      <c r="OQ59" s="302"/>
      <c r="OR59" s="302"/>
      <c r="OS59" s="302"/>
      <c r="OT59" s="302"/>
      <c r="OU59" s="302"/>
      <c r="OV59" s="302"/>
      <c r="OW59" s="302"/>
      <c r="OX59" s="302"/>
      <c r="OY59" s="302"/>
      <c r="OZ59" s="302"/>
      <c r="PA59" s="302"/>
      <c r="PB59" s="302"/>
      <c r="PC59" s="302"/>
      <c r="PD59" s="302"/>
      <c r="PE59" s="302"/>
      <c r="PF59" s="302"/>
      <c r="PG59" s="302"/>
      <c r="PH59" s="302"/>
      <c r="PI59" s="302"/>
      <c r="PJ59" s="302"/>
      <c r="PK59" s="302"/>
      <c r="PL59" s="302"/>
      <c r="PM59" s="302"/>
      <c r="PN59" s="302"/>
      <c r="PO59" s="302"/>
      <c r="PP59" s="302"/>
      <c r="PQ59" s="302"/>
      <c r="PR59" s="302"/>
      <c r="PS59" s="302"/>
      <c r="PT59" s="302"/>
      <c r="PU59" s="302"/>
      <c r="PV59" s="302"/>
      <c r="PW59" s="303"/>
      <c r="PX59" s="303"/>
      <c r="PY59" s="303"/>
      <c r="QC59" s="78" t="s">
        <v>144</v>
      </c>
      <c r="QY59" s="346"/>
      <c r="QZ59" s="346"/>
      <c r="RA59" s="346"/>
      <c r="RB59" s="346"/>
      <c r="RC59" s="346"/>
      <c r="RD59" s="346"/>
      <c r="RE59" s="346"/>
      <c r="RF59" s="346"/>
      <c r="RG59" s="346"/>
      <c r="RH59" s="346"/>
      <c r="RI59" s="346"/>
      <c r="RJ59" s="346"/>
      <c r="RK59" s="346"/>
      <c r="RL59" s="346"/>
      <c r="RM59" s="346"/>
      <c r="RN59" s="346"/>
      <c r="RO59" s="346"/>
      <c r="RP59" s="346"/>
      <c r="RQ59" s="346"/>
      <c r="RR59" s="346"/>
      <c r="RS59" s="346"/>
      <c r="RT59" s="346"/>
      <c r="RU59" s="346"/>
      <c r="RV59" s="346"/>
      <c r="RW59" s="346"/>
      <c r="RX59" s="346"/>
      <c r="RY59" s="346"/>
      <c r="RZ59" s="346"/>
      <c r="SA59" s="346"/>
      <c r="SB59" s="346"/>
      <c r="SC59" s="346"/>
      <c r="SD59" s="346"/>
      <c r="SE59" s="346"/>
      <c r="SF59" s="346"/>
      <c r="SG59" s="346"/>
      <c r="SH59" s="346"/>
      <c r="SI59" s="346"/>
      <c r="SJ59" s="346"/>
      <c r="SK59" s="346"/>
      <c r="SL59" s="346"/>
      <c r="SM59" s="346"/>
      <c r="SN59" s="346"/>
      <c r="SO59" s="346"/>
      <c r="SP59" s="346"/>
      <c r="SQ59" s="346"/>
      <c r="SR59" s="346"/>
      <c r="SS59" s="346"/>
      <c r="ST59" s="346"/>
      <c r="SU59" s="346"/>
      <c r="SV59" s="346"/>
      <c r="SW59" s="346"/>
      <c r="SX59" s="346"/>
      <c r="SY59" s="346"/>
      <c r="SZ59" s="346"/>
      <c r="TA59" s="346"/>
    </row>
    <row r="60" spans="1:521" ht="14.1" customHeight="1" x14ac:dyDescent="0.2">
      <c r="A60" s="226"/>
      <c r="B60" s="226"/>
      <c r="C60" s="226"/>
      <c r="D60" s="226"/>
      <c r="E60" s="226"/>
      <c r="F60" s="226"/>
      <c r="G60" s="226"/>
      <c r="H60" s="226"/>
      <c r="I60" s="226"/>
      <c r="J60" s="226"/>
      <c r="K60" s="226"/>
      <c r="L60" s="226"/>
      <c r="M60" s="226"/>
      <c r="N60" s="226"/>
      <c r="O60" s="226"/>
      <c r="P60" s="226"/>
      <c r="Q60" s="226"/>
      <c r="R60" s="226"/>
      <c r="S60" s="226"/>
      <c r="T60" s="226"/>
      <c r="U60" s="226"/>
      <c r="V60" s="226"/>
      <c r="W60" s="226"/>
      <c r="X60" s="226"/>
      <c r="Y60" s="226"/>
      <c r="Z60" s="226"/>
      <c r="AA60" s="226"/>
      <c r="AB60" s="226"/>
      <c r="AC60" s="226"/>
      <c r="AD60" s="226"/>
      <c r="AE60" s="226"/>
      <c r="AF60" s="226"/>
      <c r="AG60" s="226"/>
      <c r="AH60" s="226"/>
      <c r="AI60" s="226"/>
      <c r="AJ60" s="226"/>
      <c r="AK60" s="226"/>
      <c r="AL60" s="226"/>
      <c r="AM60" s="226"/>
      <c r="AN60" s="226"/>
      <c r="AO60" s="226"/>
      <c r="AP60" s="226"/>
      <c r="AQ60" s="226"/>
      <c r="AR60" s="226"/>
      <c r="AS60" s="226"/>
      <c r="AT60" s="226"/>
      <c r="AU60" s="226"/>
      <c r="AV60" s="226"/>
      <c r="AW60" s="226"/>
      <c r="AX60" s="226"/>
      <c r="AY60" s="226"/>
      <c r="AZ60" s="226"/>
      <c r="BA60" s="226"/>
      <c r="BB60" s="226"/>
      <c r="BC60" s="226"/>
      <c r="BD60" s="226"/>
      <c r="BE60" s="226"/>
      <c r="BF60" s="226"/>
      <c r="BG60" s="226"/>
      <c r="BH60" s="226"/>
      <c r="BI60" s="226"/>
      <c r="BJ60" s="145"/>
      <c r="BK60" s="145"/>
      <c r="BL60" s="145"/>
      <c r="BM60" s="145"/>
      <c r="BN60" s="145"/>
      <c r="BO60" s="145"/>
      <c r="BP60" s="145"/>
      <c r="BQ60" s="145"/>
      <c r="BR60" s="145"/>
      <c r="BS60" s="145"/>
      <c r="BT60" s="145"/>
      <c r="BU60" s="145"/>
      <c r="BV60" s="145"/>
      <c r="BW60" s="145"/>
      <c r="BX60" s="145"/>
      <c r="BY60" s="145"/>
      <c r="BZ60" s="145"/>
      <c r="CA60" s="145"/>
      <c r="CB60" s="145"/>
      <c r="CC60" s="145"/>
      <c r="CD60" s="145"/>
      <c r="CE60" s="145"/>
      <c r="CF60" s="145"/>
      <c r="CG60" s="145"/>
      <c r="CH60" s="145"/>
      <c r="CI60" s="145"/>
      <c r="CJ60" s="145"/>
      <c r="CK60" s="145"/>
      <c r="CL60" s="145"/>
      <c r="CM60" s="145"/>
      <c r="CN60" s="145"/>
      <c r="CO60" s="145"/>
      <c r="CP60" s="145"/>
      <c r="CQ60" s="145"/>
      <c r="CR60" s="145"/>
      <c r="CS60" s="145"/>
      <c r="CT60" s="145"/>
      <c r="CU60" s="145"/>
      <c r="CV60" s="145"/>
      <c r="CW60" s="145"/>
      <c r="CX60" s="145"/>
      <c r="CY60" s="145"/>
      <c r="CZ60" s="145"/>
      <c r="DA60" s="145"/>
      <c r="DB60" s="145"/>
      <c r="DC60" s="145"/>
      <c r="DD60" s="145"/>
      <c r="DE60" s="145"/>
      <c r="DF60" s="145"/>
      <c r="DG60" s="145"/>
      <c r="DH60" s="145"/>
      <c r="DI60" s="145"/>
      <c r="DJ60" s="145"/>
      <c r="DK60" s="145"/>
      <c r="DL60" s="145"/>
      <c r="DM60" s="145"/>
      <c r="DN60" s="145"/>
      <c r="DO60" s="145"/>
      <c r="DP60" s="145"/>
      <c r="DQ60" s="145"/>
      <c r="DR60" s="145"/>
      <c r="DS60" s="145"/>
      <c r="DT60" s="145"/>
      <c r="DU60" s="145"/>
      <c r="DV60" s="145"/>
      <c r="DW60" s="145"/>
      <c r="DX60" s="145"/>
      <c r="DY60" s="145"/>
      <c r="DZ60" s="145"/>
      <c r="EA60" s="145"/>
      <c r="EB60" s="145"/>
      <c r="EC60" s="145"/>
      <c r="ED60" s="145"/>
      <c r="EE60" s="145"/>
      <c r="EF60" s="145"/>
      <c r="EG60" s="145"/>
      <c r="EH60" s="145"/>
      <c r="EI60" s="145"/>
      <c r="EJ60" s="145"/>
      <c r="EK60" s="145"/>
      <c r="EL60" s="145"/>
      <c r="EM60" s="145"/>
      <c r="EN60" s="145"/>
      <c r="EO60" s="145"/>
      <c r="EP60" s="145"/>
      <c r="EQ60" s="145"/>
      <c r="ER60" s="145"/>
      <c r="ES60" s="145"/>
      <c r="ET60" s="145"/>
      <c r="EU60" s="145"/>
      <c r="EV60" s="145"/>
      <c r="EW60" s="145"/>
      <c r="EX60" s="145"/>
      <c r="EY60" s="145"/>
      <c r="EZ60" s="145"/>
      <c r="FA60" s="145"/>
      <c r="FB60" s="145"/>
      <c r="FC60" s="145"/>
      <c r="FD60" s="145"/>
      <c r="FE60" s="145"/>
      <c r="FF60" s="145"/>
      <c r="FG60" s="145"/>
      <c r="FH60" s="145"/>
      <c r="FI60" s="145"/>
      <c r="FJ60" s="145"/>
      <c r="FK60" s="145"/>
      <c r="FL60" s="145"/>
      <c r="FM60" s="145"/>
      <c r="FN60" s="145"/>
      <c r="FO60" s="145"/>
      <c r="FP60" s="145"/>
      <c r="FQ60" s="145"/>
      <c r="FR60" s="145"/>
      <c r="FS60" s="145"/>
      <c r="FT60" s="145"/>
      <c r="FU60" s="145"/>
      <c r="FV60" s="145"/>
      <c r="FW60" s="145"/>
      <c r="FX60" s="145"/>
      <c r="FY60" s="145"/>
      <c r="FZ60" s="145"/>
      <c r="GA60" s="145"/>
      <c r="GB60" s="145"/>
      <c r="GC60" s="145"/>
      <c r="GD60" s="145"/>
      <c r="GE60" s="145"/>
      <c r="GF60" s="145"/>
      <c r="GG60" s="145"/>
      <c r="GH60" s="145"/>
      <c r="GI60" s="145"/>
      <c r="GJ60" s="145"/>
      <c r="GK60" s="145"/>
      <c r="GL60" s="145"/>
      <c r="GM60" s="145"/>
      <c r="GN60" s="145"/>
      <c r="GO60" s="145"/>
      <c r="GP60" s="145"/>
      <c r="GQ60" s="145"/>
      <c r="GR60" s="145"/>
      <c r="GS60" s="145"/>
      <c r="GT60" s="145"/>
      <c r="GU60" s="145"/>
      <c r="GV60" s="145"/>
      <c r="GW60" s="145"/>
      <c r="GX60" s="145"/>
      <c r="GY60" s="145"/>
      <c r="GZ60" s="145"/>
      <c r="HA60" s="145"/>
      <c r="HB60" s="145"/>
      <c r="HC60" s="145"/>
      <c r="HD60" s="145"/>
      <c r="HE60" s="302"/>
      <c r="HF60" s="302"/>
      <c r="HG60" s="302"/>
      <c r="HH60" s="302"/>
      <c r="HI60" s="302"/>
      <c r="HJ60" s="302"/>
      <c r="HK60" s="302"/>
      <c r="HL60" s="302"/>
      <c r="HM60" s="302"/>
      <c r="HN60" s="302"/>
      <c r="HO60" s="302"/>
      <c r="HP60" s="302"/>
      <c r="HQ60" s="302"/>
      <c r="HR60" s="302"/>
      <c r="HS60" s="302"/>
      <c r="HT60" s="302"/>
      <c r="HU60" s="302"/>
      <c r="HV60" s="302"/>
      <c r="HW60" s="302"/>
      <c r="HX60" s="302"/>
      <c r="HY60" s="302"/>
      <c r="HZ60" s="302"/>
      <c r="IA60" s="302"/>
      <c r="IB60" s="302"/>
      <c r="IC60" s="302"/>
      <c r="ID60" s="302"/>
      <c r="IE60" s="302"/>
      <c r="IF60" s="302"/>
      <c r="IG60" s="302"/>
      <c r="IH60" s="302"/>
      <c r="II60" s="302"/>
      <c r="IJ60" s="302"/>
      <c r="IK60" s="302"/>
      <c r="IL60" s="302"/>
      <c r="IM60" s="302"/>
      <c r="IN60" s="302"/>
      <c r="IO60" s="302"/>
      <c r="IP60" s="302"/>
      <c r="IQ60" s="302"/>
      <c r="IR60" s="302"/>
      <c r="IS60" s="302"/>
      <c r="IT60" s="302"/>
      <c r="IU60" s="302"/>
      <c r="IV60" s="302"/>
      <c r="IW60" s="302"/>
      <c r="IX60" s="302"/>
      <c r="IY60" s="302"/>
      <c r="IZ60" s="302"/>
      <c r="JA60" s="302"/>
      <c r="JB60" s="302"/>
      <c r="JC60" s="302"/>
      <c r="JD60" s="302"/>
      <c r="JE60" s="302"/>
      <c r="JF60" s="302"/>
      <c r="JG60" s="302"/>
      <c r="JH60" s="302"/>
      <c r="JI60" s="302"/>
      <c r="JJ60" s="302"/>
      <c r="JK60" s="302"/>
      <c r="JL60" s="302"/>
      <c r="JM60" s="302"/>
      <c r="JN60" s="302"/>
      <c r="JO60" s="302"/>
      <c r="JP60" s="302"/>
      <c r="JQ60" s="302"/>
      <c r="JR60" s="302"/>
      <c r="JS60" s="302"/>
      <c r="JT60" s="302"/>
      <c r="JU60" s="302"/>
      <c r="JV60" s="302"/>
      <c r="JW60" s="302"/>
      <c r="JX60" s="302"/>
      <c r="JY60" s="302"/>
      <c r="JZ60" s="302"/>
      <c r="KA60" s="302"/>
      <c r="KB60" s="302"/>
      <c r="KC60" s="302"/>
      <c r="KD60" s="302"/>
      <c r="KE60" s="302"/>
      <c r="KF60" s="302"/>
      <c r="KG60" s="302"/>
      <c r="KH60" s="302"/>
      <c r="KI60" s="302"/>
      <c r="KJ60" s="302"/>
      <c r="KK60" s="302"/>
      <c r="KL60" s="302"/>
      <c r="KM60" s="302"/>
      <c r="KN60" s="302"/>
      <c r="KO60" s="302"/>
      <c r="KP60" s="302"/>
      <c r="KQ60" s="302"/>
      <c r="KR60" s="302"/>
      <c r="KS60" s="302"/>
      <c r="KT60" s="302"/>
      <c r="KU60" s="302"/>
      <c r="KV60" s="302"/>
      <c r="KW60" s="302"/>
      <c r="KX60" s="302"/>
      <c r="KY60" s="302"/>
      <c r="KZ60" s="302"/>
      <c r="LA60" s="302"/>
      <c r="LB60" s="302"/>
      <c r="LC60" s="302"/>
      <c r="LD60" s="302"/>
      <c r="LE60" s="302"/>
      <c r="LF60" s="302"/>
      <c r="LG60" s="302"/>
      <c r="LH60" s="302"/>
      <c r="LI60" s="302"/>
      <c r="LJ60" s="302"/>
      <c r="LK60" s="302"/>
      <c r="LL60" s="302"/>
      <c r="LM60" s="302"/>
      <c r="LN60" s="302"/>
      <c r="LO60" s="302"/>
      <c r="LP60" s="302"/>
      <c r="LQ60" s="302"/>
      <c r="LR60" s="302"/>
      <c r="LS60" s="302"/>
      <c r="LT60" s="302"/>
      <c r="LU60" s="302"/>
      <c r="LV60" s="302"/>
      <c r="LW60" s="302"/>
      <c r="LX60" s="302"/>
      <c r="LY60" s="302"/>
      <c r="LZ60" s="302"/>
      <c r="MA60" s="302"/>
      <c r="MB60" s="302"/>
      <c r="MC60" s="302"/>
      <c r="MD60" s="302"/>
      <c r="ME60" s="302"/>
      <c r="MF60" s="302"/>
      <c r="MG60" s="302"/>
      <c r="MH60" s="302"/>
      <c r="MI60" s="302"/>
      <c r="MJ60" s="302"/>
      <c r="MK60" s="302"/>
      <c r="ML60" s="302"/>
      <c r="MM60" s="302"/>
      <c r="MN60" s="302"/>
      <c r="MO60" s="302"/>
      <c r="MP60" s="302"/>
      <c r="MQ60" s="302"/>
      <c r="MR60" s="302"/>
      <c r="MS60" s="302"/>
      <c r="MT60" s="302"/>
      <c r="MU60" s="302"/>
      <c r="MV60" s="302"/>
      <c r="MW60" s="302"/>
      <c r="MX60" s="302"/>
      <c r="MY60" s="302"/>
      <c r="MZ60" s="302"/>
      <c r="NA60" s="302"/>
      <c r="NB60" s="302"/>
      <c r="NC60" s="302"/>
      <c r="ND60" s="302"/>
      <c r="NE60" s="302"/>
      <c r="NF60" s="302"/>
      <c r="NG60" s="302"/>
      <c r="NH60" s="302"/>
      <c r="NI60" s="302"/>
      <c r="NJ60" s="302"/>
      <c r="NK60" s="302"/>
      <c r="NL60" s="302"/>
      <c r="NM60" s="302"/>
      <c r="NN60" s="302"/>
      <c r="NO60" s="302"/>
      <c r="NP60" s="302"/>
      <c r="NQ60" s="302"/>
      <c r="NR60" s="302"/>
      <c r="NS60" s="302"/>
      <c r="NT60" s="302"/>
      <c r="NU60" s="302"/>
      <c r="NV60" s="302"/>
      <c r="NW60" s="302"/>
      <c r="NX60" s="302"/>
      <c r="NY60" s="302"/>
      <c r="NZ60" s="302"/>
      <c r="OA60" s="302"/>
      <c r="OB60" s="302"/>
      <c r="OC60" s="302"/>
      <c r="OD60" s="302"/>
      <c r="OE60" s="302"/>
      <c r="OF60" s="302"/>
      <c r="OG60" s="302"/>
      <c r="OH60" s="302"/>
      <c r="OI60" s="302"/>
      <c r="OJ60" s="302"/>
      <c r="OK60" s="302"/>
      <c r="OL60" s="302"/>
      <c r="OM60" s="302"/>
      <c r="ON60" s="302"/>
      <c r="OO60" s="302"/>
      <c r="OP60" s="302"/>
      <c r="OQ60" s="302"/>
      <c r="OR60" s="302"/>
      <c r="OS60" s="302"/>
      <c r="OT60" s="302"/>
      <c r="OU60" s="302"/>
      <c r="OV60" s="302"/>
      <c r="OW60" s="302"/>
      <c r="OX60" s="302"/>
      <c r="OY60" s="302"/>
      <c r="OZ60" s="302"/>
      <c r="PA60" s="302"/>
      <c r="PB60" s="302"/>
      <c r="PC60" s="302"/>
      <c r="PD60" s="302"/>
      <c r="PE60" s="302"/>
      <c r="PF60" s="302"/>
      <c r="PG60" s="302"/>
      <c r="PH60" s="302"/>
      <c r="PI60" s="302"/>
      <c r="PJ60" s="302"/>
      <c r="PK60" s="302"/>
      <c r="PL60" s="302"/>
      <c r="PM60" s="302"/>
      <c r="PN60" s="302"/>
      <c r="PO60" s="302"/>
      <c r="PP60" s="302"/>
      <c r="PQ60" s="302"/>
      <c r="PR60" s="302"/>
      <c r="PS60" s="302"/>
      <c r="PT60" s="302"/>
      <c r="PU60" s="302"/>
      <c r="PV60" s="302"/>
      <c r="PW60" s="303"/>
      <c r="PX60" s="303"/>
      <c r="PY60" s="303"/>
      <c r="QC60" s="78" t="s">
        <v>23</v>
      </c>
      <c r="QD60" s="78">
        <f>QD57</f>
        <v>-0.5714285714285714</v>
      </c>
      <c r="QE60" s="78">
        <f>QE57</f>
        <v>0.5714285714285714</v>
      </c>
      <c r="QG60" s="371">
        <v>0.1</v>
      </c>
      <c r="QI60" s="78">
        <f>QI57</f>
        <v>-0.6428571428571429</v>
      </c>
      <c r="QK60" s="355" t="s">
        <v>149</v>
      </c>
      <c r="QP60" s="78">
        <f>QP57</f>
        <v>0.5714285714285714</v>
      </c>
      <c r="QY60" s="346"/>
      <c r="QZ60" s="346"/>
      <c r="RA60" s="346"/>
      <c r="RB60" s="346"/>
      <c r="RC60" s="346"/>
      <c r="RD60" s="346"/>
      <c r="RE60" s="346"/>
      <c r="RF60" s="346"/>
      <c r="RG60" s="346"/>
      <c r="RH60" s="346"/>
      <c r="RI60" s="346"/>
      <c r="RJ60" s="346"/>
      <c r="RK60" s="346"/>
      <c r="RL60" s="346"/>
      <c r="RM60" s="346"/>
      <c r="RN60" s="346"/>
      <c r="RO60" s="346"/>
      <c r="RP60" s="346"/>
      <c r="RQ60" s="346"/>
      <c r="RR60" s="346"/>
      <c r="RS60" s="346"/>
      <c r="RT60" s="346"/>
      <c r="RU60" s="346"/>
      <c r="RV60" s="346"/>
      <c r="RW60" s="346"/>
      <c r="RX60" s="346"/>
      <c r="RY60" s="346"/>
      <c r="RZ60" s="346"/>
      <c r="SA60" s="346"/>
      <c r="SB60" s="346"/>
      <c r="SC60" s="346"/>
      <c r="SD60" s="346"/>
      <c r="SE60" s="346"/>
      <c r="SF60" s="346"/>
      <c r="SG60" s="346"/>
      <c r="SH60" s="346"/>
      <c r="SI60" s="346"/>
      <c r="SJ60" s="346"/>
      <c r="SK60" s="346"/>
      <c r="SL60" s="346"/>
      <c r="SM60" s="346"/>
      <c r="SN60" s="346"/>
      <c r="SO60" s="346"/>
      <c r="SP60" s="346"/>
      <c r="SQ60" s="346"/>
      <c r="SR60" s="346"/>
      <c r="SS60" s="346"/>
      <c r="ST60" s="346"/>
      <c r="SU60" s="346"/>
      <c r="SV60" s="346"/>
      <c r="SW60" s="346"/>
      <c r="SX60" s="346"/>
      <c r="SY60" s="346"/>
      <c r="SZ60" s="346"/>
      <c r="TA60" s="346"/>
    </row>
    <row r="61" spans="1:521" ht="14.1" customHeight="1" x14ac:dyDescent="0.2">
      <c r="A61" s="226"/>
      <c r="B61" s="226"/>
      <c r="C61" s="226"/>
      <c r="D61" s="226"/>
      <c r="E61" s="226"/>
      <c r="F61" s="226"/>
      <c r="G61" s="226"/>
      <c r="H61" s="226"/>
      <c r="I61" s="226"/>
      <c r="J61" s="226"/>
      <c r="K61" s="226"/>
      <c r="L61" s="226"/>
      <c r="M61" s="226"/>
      <c r="N61" s="226"/>
      <c r="O61" s="226"/>
      <c r="P61" s="226"/>
      <c r="Q61" s="226"/>
      <c r="R61" s="226"/>
      <c r="S61" s="226"/>
      <c r="T61" s="226"/>
      <c r="U61" s="226"/>
      <c r="V61" s="226"/>
      <c r="W61" s="226"/>
      <c r="X61" s="226"/>
      <c r="Y61" s="226"/>
      <c r="Z61" s="226"/>
      <c r="AA61" s="226"/>
      <c r="AB61" s="226"/>
      <c r="AC61" s="226"/>
      <c r="AD61" s="226"/>
      <c r="AE61" s="226"/>
      <c r="AF61" s="226"/>
      <c r="AG61" s="226"/>
      <c r="AH61" s="226"/>
      <c r="AI61" s="226"/>
      <c r="AJ61" s="226"/>
      <c r="AK61" s="226"/>
      <c r="AL61" s="226"/>
      <c r="AM61" s="226"/>
      <c r="AN61" s="226"/>
      <c r="AO61" s="226"/>
      <c r="AP61" s="226"/>
      <c r="AQ61" s="226"/>
      <c r="AR61" s="226"/>
      <c r="AS61" s="226"/>
      <c r="AT61" s="226"/>
      <c r="AU61" s="226"/>
      <c r="AV61" s="226"/>
      <c r="AW61" s="226"/>
      <c r="AX61" s="226"/>
      <c r="AY61" s="226"/>
      <c r="AZ61" s="226"/>
      <c r="BA61" s="226"/>
      <c r="BB61" s="226"/>
      <c r="BC61" s="226"/>
      <c r="BD61" s="226"/>
      <c r="BE61" s="226"/>
      <c r="BF61" s="226"/>
      <c r="BG61" s="226"/>
      <c r="BH61" s="226"/>
      <c r="BI61" s="226"/>
      <c r="BJ61" s="372"/>
      <c r="BK61" s="372"/>
      <c r="BL61" s="372"/>
      <c r="BM61" s="372"/>
      <c r="BN61" s="372"/>
      <c r="BO61" s="372"/>
      <c r="BP61" s="372"/>
      <c r="BQ61" s="372"/>
      <c r="BR61" s="372"/>
      <c r="BS61" s="372"/>
      <c r="BT61" s="372"/>
      <c r="BU61" s="372"/>
      <c r="BV61" s="372"/>
      <c r="BW61" s="372"/>
      <c r="BX61" s="372"/>
      <c r="BY61" s="372"/>
      <c r="BZ61" s="372"/>
      <c r="CA61" s="372"/>
      <c r="CB61" s="372"/>
      <c r="CC61" s="372"/>
      <c r="CD61" s="372"/>
      <c r="CE61" s="372"/>
      <c r="CF61" s="372"/>
      <c r="CG61" s="372"/>
      <c r="CH61" s="372"/>
      <c r="CI61" s="372"/>
      <c r="CJ61" s="372"/>
      <c r="CK61" s="372"/>
      <c r="CL61" s="372"/>
      <c r="CM61" s="372"/>
      <c r="CN61" s="372"/>
      <c r="CO61" s="372"/>
      <c r="CP61" s="372"/>
      <c r="CQ61" s="372"/>
      <c r="CR61" s="372"/>
      <c r="CS61" s="372"/>
      <c r="CT61" s="372"/>
      <c r="CU61" s="372"/>
      <c r="CV61" s="372"/>
      <c r="CW61" s="372"/>
      <c r="CX61" s="372"/>
      <c r="CY61" s="372"/>
      <c r="CZ61" s="372"/>
      <c r="DA61" s="372"/>
      <c r="DB61" s="372"/>
      <c r="DC61" s="372"/>
      <c r="DD61" s="372"/>
      <c r="DE61" s="372"/>
      <c r="DF61" s="372"/>
      <c r="DG61" s="372"/>
      <c r="DH61" s="372"/>
      <c r="DI61" s="372"/>
      <c r="DJ61" s="372"/>
      <c r="DK61" s="372"/>
      <c r="DL61" s="372"/>
      <c r="DM61" s="372"/>
      <c r="DN61" s="372"/>
      <c r="DO61" s="372"/>
      <c r="DP61" s="372"/>
      <c r="DQ61" s="372"/>
      <c r="DR61" s="372"/>
      <c r="DS61" s="372"/>
      <c r="DT61" s="372"/>
      <c r="DU61" s="372"/>
      <c r="DV61" s="372"/>
      <c r="DW61" s="372"/>
      <c r="DX61" s="372"/>
      <c r="DY61" s="372"/>
      <c r="DZ61" s="372"/>
      <c r="EA61" s="372"/>
      <c r="EB61" s="372"/>
      <c r="EC61" s="372"/>
      <c r="ED61" s="372"/>
      <c r="EE61" s="372"/>
      <c r="EF61" s="372"/>
      <c r="EG61" s="372"/>
      <c r="EH61" s="372"/>
      <c r="EI61" s="372"/>
      <c r="EJ61" s="372"/>
      <c r="EK61" s="372"/>
      <c r="EL61" s="372"/>
      <c r="EM61" s="372"/>
      <c r="EN61" s="372"/>
      <c r="EO61" s="372"/>
      <c r="EP61" s="372"/>
      <c r="EQ61" s="372"/>
      <c r="ER61" s="372"/>
      <c r="ES61" s="372"/>
      <c r="ET61" s="372"/>
      <c r="EU61" s="372"/>
      <c r="EV61" s="372"/>
      <c r="EW61" s="372"/>
      <c r="EX61" s="372"/>
      <c r="EY61" s="372"/>
      <c r="EZ61" s="372"/>
      <c r="FA61" s="372"/>
      <c r="FB61" s="372"/>
      <c r="FC61" s="372"/>
      <c r="FD61" s="372"/>
      <c r="FE61" s="372"/>
      <c r="FF61" s="372"/>
      <c r="FG61" s="372"/>
      <c r="FH61" s="372"/>
      <c r="FI61" s="372"/>
      <c r="FJ61" s="372"/>
      <c r="FK61" s="372"/>
      <c r="FL61" s="372"/>
      <c r="FM61" s="372"/>
      <c r="FN61" s="372"/>
      <c r="FO61" s="372"/>
      <c r="FP61" s="372"/>
      <c r="FQ61" s="372"/>
      <c r="FR61" s="372"/>
      <c r="FS61" s="372"/>
      <c r="FT61" s="372"/>
      <c r="FU61" s="372"/>
      <c r="FV61" s="372"/>
      <c r="FW61" s="372"/>
      <c r="FX61" s="372"/>
      <c r="FY61" s="372"/>
      <c r="FZ61" s="372"/>
      <c r="GA61" s="372"/>
      <c r="GB61" s="372"/>
      <c r="GC61" s="372"/>
      <c r="GD61" s="372"/>
      <c r="GE61" s="372"/>
      <c r="GF61" s="372"/>
      <c r="GG61" s="372"/>
      <c r="GH61" s="372"/>
      <c r="GI61" s="372"/>
      <c r="GJ61" s="372"/>
      <c r="GK61" s="372"/>
      <c r="GL61" s="372"/>
      <c r="GM61" s="372"/>
      <c r="GN61" s="372"/>
      <c r="GO61" s="372"/>
      <c r="GP61" s="372"/>
      <c r="GQ61" s="372"/>
      <c r="GR61" s="372"/>
      <c r="GS61" s="372"/>
      <c r="GT61" s="372"/>
      <c r="GU61" s="372"/>
      <c r="GV61" s="372"/>
      <c r="GW61" s="372"/>
      <c r="GX61" s="372"/>
      <c r="GY61" s="372"/>
      <c r="GZ61" s="372"/>
      <c r="HA61" s="372"/>
      <c r="HB61" s="372"/>
      <c r="HC61" s="372"/>
      <c r="HD61" s="372"/>
      <c r="HE61" s="323"/>
      <c r="HF61" s="323"/>
      <c r="HG61" s="323"/>
      <c r="HH61" s="323"/>
      <c r="HI61" s="323"/>
      <c r="HJ61" s="323"/>
      <c r="HK61" s="323"/>
      <c r="HL61" s="323"/>
      <c r="HM61" s="323"/>
      <c r="HN61" s="323"/>
      <c r="HO61" s="323"/>
      <c r="HP61" s="323"/>
      <c r="HQ61" s="323"/>
      <c r="HR61" s="323"/>
      <c r="HS61" s="323"/>
      <c r="HT61" s="323"/>
      <c r="HU61" s="323"/>
      <c r="HV61" s="323"/>
      <c r="HW61" s="323"/>
      <c r="HX61" s="323"/>
      <c r="HY61" s="323"/>
      <c r="HZ61" s="323"/>
      <c r="IA61" s="323"/>
      <c r="IB61" s="323"/>
      <c r="IC61" s="323"/>
      <c r="ID61" s="323"/>
      <c r="IE61" s="323"/>
      <c r="IF61" s="323"/>
      <c r="IG61" s="323"/>
      <c r="IH61" s="323"/>
      <c r="II61" s="323"/>
      <c r="IJ61" s="323"/>
      <c r="IK61" s="323"/>
      <c r="IL61" s="323"/>
      <c r="IM61" s="323"/>
      <c r="IN61" s="323"/>
      <c r="IO61" s="323"/>
      <c r="IP61" s="323"/>
      <c r="IQ61" s="323"/>
      <c r="IR61" s="323"/>
      <c r="IS61" s="323"/>
      <c r="IT61" s="323"/>
      <c r="IU61" s="323"/>
      <c r="IV61" s="323"/>
      <c r="IW61" s="323"/>
      <c r="IX61" s="323"/>
      <c r="IY61" s="323"/>
      <c r="IZ61" s="323"/>
      <c r="JA61" s="323"/>
      <c r="JB61" s="323"/>
      <c r="JC61" s="323"/>
      <c r="JD61" s="323"/>
      <c r="JE61" s="323"/>
      <c r="JF61" s="323"/>
      <c r="JG61" s="323"/>
      <c r="JH61" s="323"/>
      <c r="JI61" s="323"/>
      <c r="JJ61" s="323"/>
      <c r="JK61" s="323"/>
      <c r="JL61" s="323"/>
      <c r="JM61" s="323"/>
      <c r="JN61" s="323"/>
      <c r="JO61" s="323"/>
      <c r="JP61" s="323"/>
      <c r="JQ61" s="323"/>
      <c r="JR61" s="323"/>
      <c r="JS61" s="323"/>
      <c r="JT61" s="323"/>
      <c r="JU61" s="323"/>
      <c r="JV61" s="323"/>
      <c r="JW61" s="323"/>
      <c r="JX61" s="323"/>
      <c r="JY61" s="323"/>
      <c r="JZ61" s="323"/>
      <c r="KA61" s="323"/>
      <c r="KB61" s="323"/>
      <c r="KC61" s="323"/>
      <c r="KD61" s="323"/>
      <c r="KE61" s="323"/>
      <c r="KF61" s="323"/>
      <c r="KG61" s="323"/>
      <c r="KH61" s="323"/>
      <c r="KI61" s="323"/>
      <c r="KJ61" s="323"/>
      <c r="KK61" s="323"/>
      <c r="KL61" s="323"/>
      <c r="KM61" s="323"/>
      <c r="KN61" s="323"/>
      <c r="KO61" s="323"/>
      <c r="KP61" s="323"/>
      <c r="KQ61" s="323"/>
      <c r="KR61" s="323"/>
      <c r="KS61" s="323"/>
      <c r="KT61" s="323"/>
      <c r="KU61" s="323"/>
      <c r="KV61" s="323"/>
      <c r="KW61" s="323"/>
      <c r="KX61" s="323"/>
      <c r="KY61" s="323"/>
      <c r="KZ61" s="323"/>
      <c r="LA61" s="323"/>
      <c r="LB61" s="323"/>
      <c r="LC61" s="323"/>
      <c r="LD61" s="323"/>
      <c r="LE61" s="323"/>
      <c r="LF61" s="323"/>
      <c r="LG61" s="323"/>
      <c r="LH61" s="323"/>
      <c r="LI61" s="323"/>
      <c r="LJ61" s="323"/>
      <c r="LK61" s="323"/>
      <c r="LL61" s="323"/>
      <c r="LM61" s="323"/>
      <c r="LN61" s="323"/>
      <c r="LO61" s="323"/>
      <c r="LP61" s="323"/>
      <c r="LQ61" s="323"/>
      <c r="LR61" s="323"/>
      <c r="LS61" s="323"/>
      <c r="LT61" s="323"/>
      <c r="LU61" s="323"/>
      <c r="LV61" s="323"/>
      <c r="LW61" s="323"/>
      <c r="LX61" s="323"/>
      <c r="LY61" s="323"/>
      <c r="LZ61" s="323"/>
      <c r="MA61" s="323"/>
      <c r="MB61" s="323"/>
      <c r="MC61" s="323"/>
      <c r="MD61" s="323"/>
      <c r="ME61" s="323"/>
      <c r="MF61" s="323"/>
      <c r="MG61" s="323"/>
      <c r="MH61" s="323"/>
      <c r="MI61" s="323"/>
      <c r="MJ61" s="323"/>
      <c r="MK61" s="323"/>
      <c r="ML61" s="323"/>
      <c r="MM61" s="323"/>
      <c r="MN61" s="323"/>
      <c r="MO61" s="323"/>
      <c r="MP61" s="323"/>
      <c r="MQ61" s="323"/>
      <c r="MR61" s="323"/>
      <c r="MS61" s="323"/>
      <c r="MT61" s="323"/>
      <c r="MU61" s="323"/>
      <c r="MV61" s="323"/>
      <c r="MW61" s="323"/>
      <c r="MX61" s="323"/>
      <c r="MY61" s="323"/>
      <c r="MZ61" s="323"/>
      <c r="NA61" s="323"/>
      <c r="NB61" s="323"/>
      <c r="NC61" s="323"/>
      <c r="ND61" s="323"/>
      <c r="NE61" s="323"/>
      <c r="NF61" s="323"/>
      <c r="NG61" s="323"/>
      <c r="NH61" s="323"/>
      <c r="NI61" s="323"/>
      <c r="NJ61" s="323"/>
      <c r="NK61" s="323"/>
      <c r="NL61" s="323"/>
      <c r="NM61" s="323"/>
      <c r="NN61" s="323"/>
      <c r="NO61" s="323"/>
      <c r="NP61" s="323"/>
      <c r="NQ61" s="323"/>
      <c r="NR61" s="323"/>
      <c r="NS61" s="323"/>
      <c r="NT61" s="323"/>
      <c r="NU61" s="323"/>
      <c r="NV61" s="323"/>
      <c r="NW61" s="323"/>
      <c r="NX61" s="323"/>
      <c r="NY61" s="323"/>
      <c r="NZ61" s="323"/>
      <c r="OA61" s="323"/>
      <c r="OB61" s="323"/>
      <c r="OC61" s="323"/>
      <c r="OD61" s="323"/>
      <c r="OE61" s="323"/>
      <c r="OF61" s="323"/>
      <c r="OG61" s="323"/>
      <c r="OH61" s="323"/>
      <c r="OI61" s="323"/>
      <c r="OJ61" s="323"/>
      <c r="OK61" s="323"/>
      <c r="OL61" s="323"/>
      <c r="OM61" s="323"/>
      <c r="ON61" s="323"/>
      <c r="OO61" s="323"/>
      <c r="OP61" s="323"/>
      <c r="OQ61" s="323"/>
      <c r="OR61" s="323"/>
      <c r="OS61" s="323"/>
      <c r="OT61" s="323"/>
      <c r="OU61" s="323"/>
      <c r="OV61" s="323"/>
      <c r="OW61" s="323"/>
      <c r="OX61" s="323"/>
      <c r="OY61" s="323"/>
      <c r="OZ61" s="323"/>
      <c r="PA61" s="323"/>
      <c r="PB61" s="323"/>
      <c r="PC61" s="323"/>
      <c r="PD61" s="323"/>
      <c r="PE61" s="323"/>
      <c r="PF61" s="323"/>
      <c r="PG61" s="323"/>
      <c r="PH61" s="323"/>
      <c r="PI61" s="323"/>
      <c r="PJ61" s="323"/>
      <c r="PK61" s="323"/>
      <c r="PL61" s="323"/>
      <c r="PM61" s="323"/>
      <c r="PN61" s="323"/>
      <c r="PO61" s="323"/>
      <c r="PP61" s="323"/>
      <c r="PQ61" s="323"/>
      <c r="PR61" s="323"/>
      <c r="PS61" s="323"/>
      <c r="PT61" s="323"/>
      <c r="PU61" s="323"/>
      <c r="PV61" s="323"/>
      <c r="PW61" s="303"/>
      <c r="PX61" s="303"/>
      <c r="PY61" s="303"/>
      <c r="QC61" s="78" t="s">
        <v>24</v>
      </c>
      <c r="QD61" s="78">
        <f>QD58-(0.1/QC3)</f>
        <v>-0.10714285714285715</v>
      </c>
      <c r="QE61" s="78">
        <f>QD61</f>
        <v>-0.10714285714285715</v>
      </c>
      <c r="QI61" s="78">
        <f>(((QD58-QD61)/2)+QD61)</f>
        <v>-7.1428571428571438E-2</v>
      </c>
      <c r="QP61" s="78">
        <f>QI61</f>
        <v>-7.1428571428571438E-2</v>
      </c>
      <c r="QY61" s="346"/>
      <c r="QZ61" s="346"/>
      <c r="RA61" s="346"/>
      <c r="RB61" s="346"/>
      <c r="RC61" s="346"/>
      <c r="RD61" s="346"/>
      <c r="RE61" s="346"/>
      <c r="RF61" s="346"/>
      <c r="RG61" s="346"/>
      <c r="RH61" s="346"/>
      <c r="RI61" s="346"/>
      <c r="RJ61" s="346"/>
      <c r="RK61" s="346"/>
      <c r="RL61" s="346"/>
      <c r="RM61" s="346"/>
      <c r="RN61" s="346"/>
      <c r="RO61" s="346"/>
      <c r="RP61" s="346"/>
      <c r="RQ61" s="346"/>
      <c r="RR61" s="346"/>
      <c r="RS61" s="346"/>
      <c r="RT61" s="346"/>
      <c r="RU61" s="346"/>
      <c r="RV61" s="346"/>
      <c r="RW61" s="346"/>
      <c r="RX61" s="346"/>
      <c r="RY61" s="346"/>
      <c r="RZ61" s="346"/>
      <c r="SA61" s="346"/>
      <c r="SB61" s="346"/>
      <c r="SC61" s="346"/>
      <c r="SD61" s="346"/>
      <c r="SE61" s="346"/>
      <c r="SF61" s="346"/>
      <c r="SG61" s="346"/>
      <c r="SH61" s="346"/>
      <c r="SI61" s="346"/>
      <c r="SJ61" s="346"/>
      <c r="SK61" s="346"/>
      <c r="SL61" s="346"/>
      <c r="SM61" s="346"/>
      <c r="SN61" s="346"/>
      <c r="SO61" s="346"/>
      <c r="SP61" s="346"/>
      <c r="SQ61" s="346"/>
      <c r="SR61" s="346"/>
      <c r="SS61" s="346"/>
      <c r="ST61" s="346"/>
      <c r="SU61" s="346"/>
      <c r="SV61" s="346"/>
      <c r="SW61" s="346"/>
      <c r="SX61" s="346"/>
      <c r="SY61" s="346"/>
      <c r="SZ61" s="346"/>
      <c r="TA61" s="346"/>
    </row>
    <row r="62" spans="1:521" ht="14.1" customHeight="1" x14ac:dyDescent="0.2">
      <c r="A62" s="226"/>
      <c r="B62" s="226"/>
      <c r="C62" s="226"/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6"/>
      <c r="T62" s="226"/>
      <c r="U62" s="226"/>
      <c r="V62" s="226"/>
      <c r="W62" s="226"/>
      <c r="X62" s="226"/>
      <c r="Y62" s="226"/>
      <c r="Z62" s="226"/>
      <c r="AA62" s="226"/>
      <c r="AB62" s="226"/>
      <c r="AC62" s="226"/>
      <c r="AD62" s="226"/>
      <c r="AE62" s="226"/>
      <c r="AF62" s="226"/>
      <c r="AG62" s="226"/>
      <c r="AH62" s="226"/>
      <c r="AI62" s="226"/>
      <c r="AJ62" s="226"/>
      <c r="AK62" s="226"/>
      <c r="AL62" s="226"/>
      <c r="AM62" s="226"/>
      <c r="AN62" s="226"/>
      <c r="AO62" s="226"/>
      <c r="AP62" s="226"/>
      <c r="AQ62" s="226"/>
      <c r="AR62" s="226"/>
      <c r="AS62" s="226"/>
      <c r="AT62" s="226"/>
      <c r="AU62" s="226"/>
      <c r="AV62" s="226"/>
      <c r="AW62" s="226"/>
      <c r="AX62" s="226"/>
      <c r="AY62" s="226"/>
      <c r="AZ62" s="226"/>
      <c r="BA62" s="226"/>
      <c r="BB62" s="226"/>
      <c r="BC62" s="226"/>
      <c r="BD62" s="226"/>
      <c r="BE62" s="226"/>
      <c r="BF62" s="226"/>
      <c r="BG62" s="226"/>
      <c r="BH62" s="226"/>
      <c r="BI62" s="226"/>
      <c r="BJ62" s="145"/>
      <c r="BK62" s="145"/>
      <c r="BL62" s="145"/>
      <c r="BM62" s="145"/>
      <c r="BN62" s="145"/>
      <c r="BO62" s="145"/>
      <c r="BP62" s="145"/>
      <c r="BQ62" s="145"/>
      <c r="BR62" s="145"/>
      <c r="BS62" s="145"/>
      <c r="BT62" s="145"/>
      <c r="BU62" s="145"/>
      <c r="BV62" s="145"/>
      <c r="BW62" s="145"/>
      <c r="BX62" s="145"/>
      <c r="BY62" s="145"/>
      <c r="BZ62" s="145"/>
      <c r="CA62" s="145"/>
      <c r="CB62" s="145"/>
      <c r="CC62" s="145"/>
      <c r="CD62" s="145"/>
      <c r="CE62" s="145"/>
      <c r="CF62" s="145"/>
      <c r="CG62" s="145"/>
      <c r="CH62" s="145"/>
      <c r="CI62" s="145"/>
      <c r="CJ62" s="145"/>
      <c r="CK62" s="145"/>
      <c r="CL62" s="145"/>
      <c r="CM62" s="145"/>
      <c r="CN62" s="145"/>
      <c r="CO62" s="145"/>
      <c r="CP62" s="145"/>
      <c r="CQ62" s="145"/>
      <c r="CR62" s="145"/>
      <c r="CS62" s="145"/>
      <c r="CT62" s="145"/>
      <c r="CU62" s="145"/>
      <c r="CV62" s="145"/>
      <c r="CW62" s="145"/>
      <c r="CX62" s="145"/>
      <c r="CY62" s="145"/>
      <c r="CZ62" s="145"/>
      <c r="DA62" s="145"/>
      <c r="DB62" s="145"/>
      <c r="DC62" s="145"/>
      <c r="DD62" s="145"/>
      <c r="DE62" s="145"/>
      <c r="DF62" s="145"/>
      <c r="DG62" s="145"/>
      <c r="DH62" s="145"/>
      <c r="DI62" s="145"/>
      <c r="DJ62" s="145"/>
      <c r="DK62" s="145"/>
      <c r="DL62" s="145"/>
      <c r="DM62" s="145"/>
      <c r="DN62" s="145"/>
      <c r="DO62" s="145"/>
      <c r="DP62" s="145"/>
      <c r="DQ62" s="145"/>
      <c r="DR62" s="145"/>
      <c r="DS62" s="145"/>
      <c r="DT62" s="145"/>
      <c r="DU62" s="145"/>
      <c r="DV62" s="145"/>
      <c r="DW62" s="145"/>
      <c r="DX62" s="145"/>
      <c r="DY62" s="145"/>
      <c r="DZ62" s="145"/>
      <c r="EA62" s="145"/>
      <c r="EB62" s="145"/>
      <c r="EC62" s="145"/>
      <c r="ED62" s="145"/>
      <c r="EE62" s="145"/>
      <c r="EF62" s="145"/>
      <c r="EG62" s="145"/>
      <c r="EH62" s="145"/>
      <c r="EI62" s="145"/>
      <c r="EJ62" s="145"/>
      <c r="EK62" s="145"/>
      <c r="EL62" s="145"/>
      <c r="EM62" s="145"/>
      <c r="EN62" s="145"/>
      <c r="EO62" s="145"/>
      <c r="EP62" s="145"/>
      <c r="EQ62" s="145"/>
      <c r="ER62" s="145"/>
      <c r="ES62" s="145"/>
      <c r="ET62" s="145"/>
      <c r="EU62" s="145"/>
      <c r="EV62" s="145"/>
      <c r="EW62" s="145"/>
      <c r="EX62" s="145"/>
      <c r="EY62" s="145"/>
      <c r="EZ62" s="145"/>
      <c r="FA62" s="145"/>
      <c r="FB62" s="145"/>
      <c r="FC62" s="145"/>
      <c r="FD62" s="145"/>
      <c r="FE62" s="145"/>
      <c r="FF62" s="145"/>
      <c r="FG62" s="145"/>
      <c r="FH62" s="145"/>
      <c r="FI62" s="145"/>
      <c r="FJ62" s="145"/>
      <c r="FK62" s="145"/>
      <c r="FL62" s="145"/>
      <c r="FM62" s="145"/>
      <c r="FN62" s="145"/>
      <c r="FO62" s="145"/>
      <c r="FP62" s="145"/>
      <c r="FQ62" s="145"/>
      <c r="FR62" s="145"/>
      <c r="FS62" s="145"/>
      <c r="FT62" s="145"/>
      <c r="FU62" s="145"/>
      <c r="FV62" s="145"/>
      <c r="FW62" s="145"/>
      <c r="FX62" s="145"/>
      <c r="FY62" s="145"/>
      <c r="FZ62" s="145"/>
      <c r="GA62" s="145"/>
      <c r="GB62" s="145"/>
      <c r="GC62" s="145"/>
      <c r="GD62" s="145"/>
      <c r="GE62" s="145"/>
      <c r="GF62" s="145"/>
      <c r="GG62" s="145"/>
      <c r="GH62" s="145"/>
      <c r="GI62" s="145"/>
      <c r="GJ62" s="145"/>
      <c r="GK62" s="145"/>
      <c r="GL62" s="145"/>
      <c r="GM62" s="145"/>
      <c r="GN62" s="145"/>
      <c r="GO62" s="145"/>
      <c r="GP62" s="145"/>
      <c r="GQ62" s="145"/>
      <c r="GR62" s="145"/>
      <c r="GS62" s="145"/>
      <c r="GT62" s="145"/>
      <c r="GU62" s="145"/>
      <c r="GV62" s="145"/>
      <c r="GW62" s="145"/>
      <c r="GX62" s="145"/>
      <c r="GY62" s="145"/>
      <c r="GZ62" s="145"/>
      <c r="HA62" s="145"/>
      <c r="HB62" s="145"/>
      <c r="HC62" s="145"/>
      <c r="HD62" s="145"/>
      <c r="HE62" s="302"/>
      <c r="HF62" s="302"/>
      <c r="HG62" s="302"/>
      <c r="HH62" s="302"/>
      <c r="HI62" s="302"/>
      <c r="HJ62" s="302"/>
      <c r="HK62" s="302"/>
      <c r="HL62" s="302"/>
      <c r="HM62" s="302"/>
      <c r="HN62" s="302"/>
      <c r="HO62" s="302"/>
      <c r="HP62" s="302"/>
      <c r="HQ62" s="302"/>
      <c r="HR62" s="302"/>
      <c r="HS62" s="302"/>
      <c r="HT62" s="302"/>
      <c r="HU62" s="302"/>
      <c r="HV62" s="302"/>
      <c r="HW62" s="302"/>
      <c r="HX62" s="302"/>
      <c r="HY62" s="302"/>
      <c r="HZ62" s="302"/>
      <c r="IA62" s="302"/>
      <c r="IB62" s="302"/>
      <c r="IC62" s="302"/>
      <c r="ID62" s="302"/>
      <c r="IE62" s="302"/>
      <c r="IF62" s="302"/>
      <c r="IG62" s="302"/>
      <c r="IH62" s="302"/>
      <c r="II62" s="302"/>
      <c r="IJ62" s="302"/>
      <c r="IK62" s="302"/>
      <c r="IL62" s="302"/>
      <c r="IM62" s="302"/>
      <c r="IN62" s="302"/>
      <c r="IO62" s="302"/>
      <c r="IP62" s="302"/>
      <c r="IQ62" s="302"/>
      <c r="IR62" s="302"/>
      <c r="IS62" s="302"/>
      <c r="IT62" s="302"/>
      <c r="IU62" s="302"/>
      <c r="IV62" s="302"/>
      <c r="IW62" s="302"/>
      <c r="IX62" s="302"/>
      <c r="IY62" s="302"/>
      <c r="IZ62" s="302"/>
      <c r="JA62" s="302"/>
      <c r="JB62" s="302"/>
      <c r="JC62" s="302"/>
      <c r="JD62" s="302"/>
      <c r="JE62" s="302"/>
      <c r="JF62" s="302"/>
      <c r="JG62" s="302"/>
      <c r="JH62" s="302"/>
      <c r="JI62" s="302"/>
      <c r="JJ62" s="302"/>
      <c r="JK62" s="302"/>
      <c r="JL62" s="302"/>
      <c r="JM62" s="302"/>
      <c r="JN62" s="302"/>
      <c r="JO62" s="302"/>
      <c r="JP62" s="302"/>
      <c r="JQ62" s="302"/>
      <c r="JR62" s="302"/>
      <c r="JS62" s="302"/>
      <c r="JT62" s="302"/>
      <c r="JU62" s="302"/>
      <c r="JV62" s="302"/>
      <c r="JW62" s="302"/>
      <c r="JX62" s="302"/>
      <c r="JY62" s="302"/>
      <c r="JZ62" s="302"/>
      <c r="KA62" s="302"/>
      <c r="KB62" s="302"/>
      <c r="KC62" s="302"/>
      <c r="KD62" s="302"/>
      <c r="KE62" s="302"/>
      <c r="KF62" s="302"/>
      <c r="KG62" s="302"/>
      <c r="KH62" s="302"/>
      <c r="KI62" s="302"/>
      <c r="KJ62" s="302"/>
      <c r="KK62" s="302"/>
      <c r="KL62" s="302"/>
      <c r="KM62" s="302"/>
      <c r="KN62" s="302"/>
      <c r="KO62" s="302"/>
      <c r="KP62" s="302"/>
      <c r="KQ62" s="302"/>
      <c r="KR62" s="302"/>
      <c r="KS62" s="302"/>
      <c r="KT62" s="302"/>
      <c r="KU62" s="302"/>
      <c r="KV62" s="302"/>
      <c r="KW62" s="302"/>
      <c r="KX62" s="302"/>
      <c r="KY62" s="302"/>
      <c r="KZ62" s="302"/>
      <c r="LA62" s="302"/>
      <c r="LB62" s="302"/>
      <c r="LC62" s="302"/>
      <c r="LD62" s="302"/>
      <c r="LE62" s="302"/>
      <c r="LF62" s="302"/>
      <c r="LG62" s="302"/>
      <c r="LH62" s="302"/>
      <c r="LI62" s="302"/>
      <c r="LJ62" s="302"/>
      <c r="LK62" s="302"/>
      <c r="LL62" s="302"/>
      <c r="LM62" s="302"/>
      <c r="LN62" s="302"/>
      <c r="LO62" s="302"/>
      <c r="LP62" s="302"/>
      <c r="LQ62" s="302"/>
      <c r="LR62" s="302"/>
      <c r="LS62" s="302"/>
      <c r="LT62" s="302"/>
      <c r="LU62" s="302"/>
      <c r="LV62" s="302"/>
      <c r="LW62" s="302"/>
      <c r="LX62" s="302"/>
      <c r="LY62" s="302"/>
      <c r="LZ62" s="302"/>
      <c r="MA62" s="302"/>
      <c r="MB62" s="302"/>
      <c r="MC62" s="302"/>
      <c r="MD62" s="302"/>
      <c r="ME62" s="302"/>
      <c r="MF62" s="302"/>
      <c r="MG62" s="302"/>
      <c r="MH62" s="302"/>
      <c r="MI62" s="302"/>
      <c r="MJ62" s="302"/>
      <c r="MK62" s="302"/>
      <c r="ML62" s="302"/>
      <c r="MM62" s="302"/>
      <c r="MN62" s="302"/>
      <c r="MO62" s="302"/>
      <c r="MP62" s="302"/>
      <c r="MQ62" s="302"/>
      <c r="MR62" s="302"/>
      <c r="MS62" s="302"/>
      <c r="MT62" s="302"/>
      <c r="MU62" s="302"/>
      <c r="MV62" s="302"/>
      <c r="MW62" s="302"/>
      <c r="MX62" s="302"/>
      <c r="MY62" s="302"/>
      <c r="MZ62" s="302"/>
      <c r="NA62" s="302"/>
      <c r="NB62" s="302"/>
      <c r="NC62" s="302"/>
      <c r="ND62" s="302"/>
      <c r="NE62" s="302"/>
      <c r="NF62" s="302"/>
      <c r="NG62" s="302"/>
      <c r="NH62" s="302"/>
      <c r="NI62" s="302"/>
      <c r="NJ62" s="302"/>
      <c r="NK62" s="302"/>
      <c r="NL62" s="302"/>
      <c r="NM62" s="302"/>
      <c r="NN62" s="302"/>
      <c r="NO62" s="302"/>
      <c r="NP62" s="302"/>
      <c r="NQ62" s="302"/>
      <c r="NR62" s="302"/>
      <c r="NS62" s="302"/>
      <c r="NT62" s="302"/>
      <c r="NU62" s="302"/>
      <c r="NV62" s="302"/>
      <c r="NW62" s="302"/>
      <c r="NX62" s="302"/>
      <c r="NY62" s="302"/>
      <c r="NZ62" s="302"/>
      <c r="OA62" s="302"/>
      <c r="OB62" s="302"/>
      <c r="OC62" s="302"/>
      <c r="OD62" s="302"/>
      <c r="OE62" s="302"/>
      <c r="OF62" s="302"/>
      <c r="OG62" s="302"/>
      <c r="OH62" s="302"/>
      <c r="OI62" s="302"/>
      <c r="OJ62" s="302"/>
      <c r="OK62" s="302"/>
      <c r="OL62" s="302"/>
      <c r="OM62" s="302"/>
      <c r="ON62" s="302"/>
      <c r="OO62" s="302"/>
      <c r="OP62" s="302"/>
      <c r="OQ62" s="302"/>
      <c r="OR62" s="302"/>
      <c r="OS62" s="302"/>
      <c r="OT62" s="302"/>
      <c r="OU62" s="302"/>
      <c r="OV62" s="302"/>
      <c r="OW62" s="302"/>
      <c r="OX62" s="302"/>
      <c r="OY62" s="302"/>
      <c r="OZ62" s="302"/>
      <c r="PA62" s="302"/>
      <c r="PB62" s="302"/>
      <c r="PC62" s="302"/>
      <c r="PD62" s="302"/>
      <c r="PE62" s="302"/>
      <c r="PF62" s="302"/>
      <c r="PG62" s="302"/>
      <c r="PH62" s="302"/>
      <c r="PI62" s="302"/>
      <c r="PJ62" s="302"/>
      <c r="PK62" s="302"/>
      <c r="PL62" s="302"/>
      <c r="PM62" s="302"/>
      <c r="PN62" s="302"/>
      <c r="PO62" s="302"/>
      <c r="PP62" s="302"/>
      <c r="PQ62" s="302"/>
      <c r="PR62" s="302"/>
      <c r="PS62" s="302"/>
      <c r="PT62" s="302"/>
      <c r="PU62" s="302"/>
      <c r="PV62" s="302"/>
      <c r="PW62" s="303"/>
      <c r="PX62" s="303"/>
      <c r="PY62" s="303"/>
      <c r="QC62" s="78" t="s">
        <v>146</v>
      </c>
      <c r="QY62" s="346"/>
      <c r="QZ62" s="346"/>
      <c r="RA62" s="346"/>
      <c r="RB62" s="346"/>
      <c r="RC62" s="346"/>
      <c r="RD62" s="346"/>
      <c r="RE62" s="346"/>
      <c r="RF62" s="346"/>
      <c r="RG62" s="346"/>
      <c r="RH62" s="346"/>
      <c r="RI62" s="346"/>
      <c r="RJ62" s="346"/>
      <c r="RK62" s="346"/>
      <c r="RL62" s="346"/>
      <c r="RM62" s="346"/>
      <c r="RN62" s="346"/>
      <c r="RO62" s="346"/>
      <c r="RP62" s="346"/>
      <c r="RQ62" s="346"/>
      <c r="RR62" s="346"/>
      <c r="RS62" s="346"/>
      <c r="RT62" s="346"/>
      <c r="RU62" s="346"/>
      <c r="RV62" s="346"/>
      <c r="RW62" s="346"/>
      <c r="RX62" s="346"/>
      <c r="RY62" s="346"/>
      <c r="RZ62" s="346"/>
      <c r="SA62" s="346"/>
      <c r="SB62" s="346"/>
      <c r="SC62" s="346"/>
      <c r="SD62" s="346"/>
      <c r="SE62" s="346"/>
      <c r="SF62" s="346"/>
      <c r="SG62" s="346"/>
      <c r="SH62" s="346"/>
      <c r="SI62" s="346"/>
      <c r="SJ62" s="346"/>
      <c r="SK62" s="346"/>
      <c r="SL62" s="346"/>
      <c r="SM62" s="346"/>
      <c r="SN62" s="346"/>
      <c r="SO62" s="346"/>
      <c r="SP62" s="346"/>
      <c r="SQ62" s="346"/>
      <c r="SR62" s="346"/>
      <c r="SS62" s="346"/>
      <c r="ST62" s="346"/>
      <c r="SU62" s="346"/>
      <c r="SV62" s="346"/>
      <c r="SW62" s="346"/>
      <c r="SX62" s="346"/>
      <c r="SY62" s="346"/>
      <c r="SZ62" s="346"/>
      <c r="TA62" s="346"/>
    </row>
    <row r="63" spans="1:521" ht="14.1" customHeight="1" x14ac:dyDescent="0.2">
      <c r="A63" s="226"/>
      <c r="B63" s="226"/>
      <c r="C63" s="226"/>
      <c r="D63" s="226"/>
      <c r="E63" s="226"/>
      <c r="F63" s="226"/>
      <c r="G63" s="226"/>
      <c r="H63" s="226"/>
      <c r="I63" s="226"/>
      <c r="J63" s="226"/>
      <c r="K63" s="226"/>
      <c r="L63" s="226"/>
      <c r="M63" s="226"/>
      <c r="N63" s="226"/>
      <c r="O63" s="226"/>
      <c r="P63" s="226"/>
      <c r="Q63" s="226"/>
      <c r="R63" s="226"/>
      <c r="S63" s="226"/>
      <c r="T63" s="226"/>
      <c r="U63" s="226"/>
      <c r="V63" s="226"/>
      <c r="W63" s="226"/>
      <c r="X63" s="226"/>
      <c r="Y63" s="226"/>
      <c r="Z63" s="226"/>
      <c r="AA63" s="226"/>
      <c r="AB63" s="226"/>
      <c r="AC63" s="226"/>
      <c r="AD63" s="226"/>
      <c r="AE63" s="226"/>
      <c r="AF63" s="226"/>
      <c r="AG63" s="226"/>
      <c r="AH63" s="226"/>
      <c r="AI63" s="226"/>
      <c r="AJ63" s="226"/>
      <c r="AK63" s="226"/>
      <c r="AL63" s="226"/>
      <c r="AM63" s="226"/>
      <c r="AN63" s="226"/>
      <c r="AO63" s="226"/>
      <c r="AP63" s="226"/>
      <c r="AQ63" s="226"/>
      <c r="AR63" s="226"/>
      <c r="AS63" s="226"/>
      <c r="AT63" s="226"/>
      <c r="AU63" s="226"/>
      <c r="AV63" s="226"/>
      <c r="AW63" s="226"/>
      <c r="AX63" s="226"/>
      <c r="AY63" s="226"/>
      <c r="AZ63" s="226"/>
      <c r="BA63" s="226"/>
      <c r="BB63" s="226"/>
      <c r="BC63" s="226"/>
      <c r="BD63" s="226"/>
      <c r="BE63" s="226"/>
      <c r="BF63" s="226"/>
      <c r="BG63" s="226"/>
      <c r="BH63" s="226"/>
      <c r="BI63" s="226"/>
      <c r="BJ63" s="373"/>
      <c r="BK63" s="373"/>
      <c r="BL63" s="373"/>
      <c r="BM63" s="373"/>
      <c r="BN63" s="373"/>
      <c r="BO63" s="373"/>
      <c r="BP63" s="373"/>
      <c r="BQ63" s="373"/>
      <c r="BR63" s="373"/>
      <c r="BS63" s="373"/>
      <c r="BT63" s="373"/>
      <c r="BU63" s="373"/>
      <c r="BV63" s="373"/>
      <c r="BW63" s="373"/>
      <c r="BX63" s="373"/>
      <c r="BY63" s="373"/>
      <c r="BZ63" s="373"/>
      <c r="CA63" s="373"/>
      <c r="CB63" s="373"/>
      <c r="CC63" s="373"/>
      <c r="CD63" s="373"/>
      <c r="CE63" s="373"/>
      <c r="CF63" s="373"/>
      <c r="CG63" s="373"/>
      <c r="CH63" s="373"/>
      <c r="CI63" s="373"/>
      <c r="CJ63" s="373"/>
      <c r="CK63" s="373"/>
      <c r="CL63" s="373"/>
      <c r="CM63" s="373"/>
      <c r="CN63" s="373"/>
      <c r="CO63" s="373"/>
      <c r="CP63" s="373"/>
      <c r="CQ63" s="373"/>
      <c r="CR63" s="373"/>
      <c r="CS63" s="373"/>
      <c r="CT63" s="373"/>
      <c r="CU63" s="373"/>
      <c r="CV63" s="373"/>
      <c r="CW63" s="373"/>
      <c r="CX63" s="373"/>
      <c r="CY63" s="373"/>
      <c r="CZ63" s="373"/>
      <c r="DA63" s="373"/>
      <c r="DB63" s="373"/>
      <c r="DC63" s="373"/>
      <c r="DD63" s="373"/>
      <c r="DE63" s="373"/>
      <c r="DF63" s="373"/>
      <c r="DG63" s="373"/>
      <c r="DH63" s="373"/>
      <c r="DI63" s="373"/>
      <c r="DJ63" s="373"/>
      <c r="DK63" s="373"/>
      <c r="DL63" s="373"/>
      <c r="DM63" s="373"/>
      <c r="DN63" s="373"/>
      <c r="DO63" s="373"/>
      <c r="DP63" s="373"/>
      <c r="DQ63" s="373"/>
      <c r="DR63" s="373"/>
      <c r="DS63" s="373"/>
      <c r="DT63" s="373"/>
      <c r="DU63" s="373"/>
      <c r="DV63" s="373"/>
      <c r="DW63" s="373"/>
      <c r="DX63" s="373"/>
      <c r="DY63" s="373"/>
      <c r="DZ63" s="373"/>
      <c r="EA63" s="373"/>
      <c r="EB63" s="373"/>
      <c r="EC63" s="373"/>
      <c r="ED63" s="373"/>
      <c r="EE63" s="373"/>
      <c r="EF63" s="373"/>
      <c r="EG63" s="373"/>
      <c r="EH63" s="373"/>
      <c r="EI63" s="373"/>
      <c r="EJ63" s="373"/>
      <c r="EK63" s="373"/>
      <c r="EL63" s="373"/>
      <c r="EM63" s="373"/>
      <c r="EN63" s="373"/>
      <c r="EO63" s="373"/>
      <c r="EP63" s="373"/>
      <c r="EQ63" s="373"/>
      <c r="ER63" s="373"/>
      <c r="ES63" s="373"/>
      <c r="ET63" s="373"/>
      <c r="EU63" s="373"/>
      <c r="EV63" s="373"/>
      <c r="EW63" s="373"/>
      <c r="EX63" s="373"/>
      <c r="EY63" s="373"/>
      <c r="EZ63" s="373"/>
      <c r="FA63" s="373"/>
      <c r="FB63" s="373"/>
      <c r="FC63" s="373"/>
      <c r="FD63" s="373"/>
      <c r="FE63" s="373"/>
      <c r="FF63" s="373"/>
      <c r="FG63" s="373"/>
      <c r="FH63" s="373"/>
      <c r="FI63" s="373"/>
      <c r="FJ63" s="373"/>
      <c r="FK63" s="373"/>
      <c r="FL63" s="373"/>
      <c r="FM63" s="373"/>
      <c r="FN63" s="373"/>
      <c r="FO63" s="373"/>
      <c r="FP63" s="373"/>
      <c r="FQ63" s="373"/>
      <c r="FR63" s="373"/>
      <c r="FS63" s="373"/>
      <c r="FT63" s="373"/>
      <c r="FU63" s="373"/>
      <c r="FV63" s="373"/>
      <c r="FW63" s="373"/>
      <c r="FX63" s="373"/>
      <c r="FY63" s="373"/>
      <c r="FZ63" s="373"/>
      <c r="GA63" s="373"/>
      <c r="GB63" s="373"/>
      <c r="GC63" s="373"/>
      <c r="GD63" s="373"/>
      <c r="GE63" s="373"/>
      <c r="GF63" s="373"/>
      <c r="GG63" s="373"/>
      <c r="GH63" s="373"/>
      <c r="GI63" s="373"/>
      <c r="GJ63" s="373"/>
      <c r="GK63" s="373"/>
      <c r="GL63" s="373"/>
      <c r="GM63" s="373"/>
      <c r="GN63" s="373"/>
      <c r="GO63" s="373"/>
      <c r="GP63" s="373"/>
      <c r="GQ63" s="373"/>
      <c r="GR63" s="373"/>
      <c r="GS63" s="373"/>
      <c r="GT63" s="373"/>
      <c r="GU63" s="373"/>
      <c r="GV63" s="373"/>
      <c r="GW63" s="373"/>
      <c r="GX63" s="373"/>
      <c r="GY63" s="373"/>
      <c r="GZ63" s="373"/>
      <c r="HA63" s="373"/>
      <c r="HB63" s="373"/>
      <c r="HC63" s="373"/>
      <c r="HD63" s="373"/>
      <c r="HE63" s="340"/>
      <c r="HF63" s="340"/>
      <c r="HG63" s="340"/>
      <c r="HH63" s="340"/>
      <c r="HI63" s="340"/>
      <c r="HJ63" s="340"/>
      <c r="HK63" s="340"/>
      <c r="HL63" s="340"/>
      <c r="HM63" s="340"/>
      <c r="HN63" s="340"/>
      <c r="HO63" s="340"/>
      <c r="HP63" s="340"/>
      <c r="HQ63" s="340"/>
      <c r="HR63" s="340"/>
      <c r="HS63" s="340"/>
      <c r="HT63" s="340"/>
      <c r="HU63" s="340"/>
      <c r="HV63" s="340"/>
      <c r="HW63" s="340"/>
      <c r="HX63" s="340"/>
      <c r="HY63" s="340"/>
      <c r="HZ63" s="340"/>
      <c r="IA63" s="340"/>
      <c r="IB63" s="340"/>
      <c r="IC63" s="340"/>
      <c r="ID63" s="340"/>
      <c r="IE63" s="340"/>
      <c r="IF63" s="340"/>
      <c r="IG63" s="340"/>
      <c r="IH63" s="340"/>
      <c r="II63" s="340"/>
      <c r="IJ63" s="340"/>
      <c r="IK63" s="340"/>
      <c r="IL63" s="340"/>
      <c r="IM63" s="340"/>
      <c r="IN63" s="340"/>
      <c r="IO63" s="340"/>
      <c r="IP63" s="340"/>
      <c r="IQ63" s="340"/>
      <c r="IR63" s="340"/>
      <c r="IS63" s="340"/>
      <c r="IT63" s="340"/>
      <c r="IU63" s="340"/>
      <c r="IV63" s="340"/>
      <c r="IW63" s="340"/>
      <c r="IX63" s="340"/>
      <c r="IY63" s="340"/>
      <c r="IZ63" s="340"/>
      <c r="JA63" s="340"/>
      <c r="JB63" s="340"/>
      <c r="JC63" s="340"/>
      <c r="JD63" s="340"/>
      <c r="JE63" s="340"/>
      <c r="JF63" s="340"/>
      <c r="JG63" s="340"/>
      <c r="JH63" s="340"/>
      <c r="JI63" s="340"/>
      <c r="JJ63" s="340"/>
      <c r="JK63" s="340"/>
      <c r="JL63" s="340"/>
      <c r="JM63" s="340"/>
      <c r="JN63" s="340"/>
      <c r="JO63" s="340"/>
      <c r="JP63" s="340"/>
      <c r="JQ63" s="340"/>
      <c r="JR63" s="340"/>
      <c r="JS63" s="340"/>
      <c r="JT63" s="340"/>
      <c r="JU63" s="340"/>
      <c r="JV63" s="340"/>
      <c r="JW63" s="340"/>
      <c r="JX63" s="340"/>
      <c r="JY63" s="340"/>
      <c r="JZ63" s="340"/>
      <c r="KA63" s="340"/>
      <c r="KB63" s="340"/>
      <c r="KC63" s="340"/>
      <c r="KD63" s="340"/>
      <c r="KE63" s="340"/>
      <c r="KF63" s="340"/>
      <c r="KG63" s="340"/>
      <c r="KH63" s="340"/>
      <c r="KI63" s="340"/>
      <c r="KJ63" s="340"/>
      <c r="KK63" s="340"/>
      <c r="KL63" s="340"/>
      <c r="KM63" s="340"/>
      <c r="KN63" s="340"/>
      <c r="KO63" s="340"/>
      <c r="KP63" s="340"/>
      <c r="KQ63" s="340"/>
      <c r="KR63" s="340"/>
      <c r="KS63" s="340"/>
      <c r="KT63" s="340"/>
      <c r="KU63" s="340"/>
      <c r="KV63" s="340"/>
      <c r="KW63" s="340"/>
      <c r="KX63" s="340"/>
      <c r="KY63" s="340"/>
      <c r="KZ63" s="340"/>
      <c r="LA63" s="340"/>
      <c r="LB63" s="340"/>
      <c r="LC63" s="340"/>
      <c r="LD63" s="340"/>
      <c r="LE63" s="340"/>
      <c r="LF63" s="340"/>
      <c r="LG63" s="340"/>
      <c r="LH63" s="340"/>
      <c r="LI63" s="340"/>
      <c r="LJ63" s="340"/>
      <c r="LK63" s="340"/>
      <c r="LL63" s="340"/>
      <c r="LM63" s="340"/>
      <c r="LN63" s="340"/>
      <c r="LO63" s="340"/>
      <c r="LP63" s="340"/>
      <c r="LQ63" s="340"/>
      <c r="LR63" s="340"/>
      <c r="LS63" s="340"/>
      <c r="LT63" s="340"/>
      <c r="LU63" s="340"/>
      <c r="LV63" s="340"/>
      <c r="LW63" s="340"/>
      <c r="LX63" s="340"/>
      <c r="LY63" s="340"/>
      <c r="LZ63" s="340"/>
      <c r="MA63" s="340"/>
      <c r="MB63" s="340"/>
      <c r="MC63" s="340"/>
      <c r="MD63" s="340"/>
      <c r="ME63" s="340"/>
      <c r="MF63" s="340"/>
      <c r="MG63" s="340"/>
      <c r="MH63" s="340"/>
      <c r="MI63" s="340"/>
      <c r="MJ63" s="340"/>
      <c r="MK63" s="340"/>
      <c r="ML63" s="340"/>
      <c r="MM63" s="340"/>
      <c r="MN63" s="340"/>
      <c r="MO63" s="340"/>
      <c r="MP63" s="340"/>
      <c r="MQ63" s="340"/>
      <c r="MR63" s="340"/>
      <c r="MS63" s="340"/>
      <c r="MT63" s="340"/>
      <c r="MU63" s="340"/>
      <c r="MV63" s="340"/>
      <c r="MW63" s="340"/>
      <c r="MX63" s="340"/>
      <c r="MY63" s="340"/>
      <c r="MZ63" s="340"/>
      <c r="NA63" s="340"/>
      <c r="NB63" s="340"/>
      <c r="NC63" s="340"/>
      <c r="ND63" s="340"/>
      <c r="NE63" s="340"/>
      <c r="NF63" s="340"/>
      <c r="NG63" s="340"/>
      <c r="NH63" s="340"/>
      <c r="NI63" s="340"/>
      <c r="NJ63" s="340"/>
      <c r="NK63" s="340"/>
      <c r="NL63" s="340"/>
      <c r="NM63" s="340"/>
      <c r="NN63" s="340"/>
      <c r="NO63" s="340"/>
      <c r="NP63" s="340"/>
      <c r="NQ63" s="340"/>
      <c r="NR63" s="340"/>
      <c r="NS63" s="340"/>
      <c r="NT63" s="340"/>
      <c r="NU63" s="340"/>
      <c r="NV63" s="340"/>
      <c r="NW63" s="340"/>
      <c r="NX63" s="340"/>
      <c r="NY63" s="340"/>
      <c r="NZ63" s="340"/>
      <c r="OA63" s="340"/>
      <c r="OB63" s="340"/>
      <c r="OC63" s="340"/>
      <c r="OD63" s="340"/>
      <c r="OE63" s="340"/>
      <c r="OF63" s="340"/>
      <c r="OG63" s="340"/>
      <c r="OH63" s="340"/>
      <c r="OI63" s="340"/>
      <c r="OJ63" s="340"/>
      <c r="OK63" s="340"/>
      <c r="OL63" s="340"/>
      <c r="OM63" s="340"/>
      <c r="ON63" s="340"/>
      <c r="OO63" s="340"/>
      <c r="OP63" s="340"/>
      <c r="OQ63" s="340"/>
      <c r="OR63" s="340"/>
      <c r="OS63" s="340"/>
      <c r="OT63" s="340"/>
      <c r="OU63" s="340"/>
      <c r="OV63" s="340"/>
      <c r="OW63" s="340"/>
      <c r="OX63" s="340"/>
      <c r="OY63" s="340"/>
      <c r="OZ63" s="340"/>
      <c r="PA63" s="340"/>
      <c r="PB63" s="340"/>
      <c r="PC63" s="340"/>
      <c r="PD63" s="340"/>
      <c r="PE63" s="340"/>
      <c r="PF63" s="340"/>
      <c r="PG63" s="340"/>
      <c r="PH63" s="340"/>
      <c r="PI63" s="340"/>
      <c r="PJ63" s="340"/>
      <c r="PK63" s="340"/>
      <c r="PL63" s="340"/>
      <c r="PM63" s="340"/>
      <c r="PN63" s="340"/>
      <c r="PO63" s="340"/>
      <c r="PP63" s="340"/>
      <c r="PQ63" s="340"/>
      <c r="PR63" s="340"/>
      <c r="PS63" s="340"/>
      <c r="PT63" s="340"/>
      <c r="PU63" s="340"/>
      <c r="PV63" s="340"/>
      <c r="PW63" s="303"/>
      <c r="PX63" s="303"/>
      <c r="PY63" s="303"/>
      <c r="QC63" s="78" t="s">
        <v>23</v>
      </c>
      <c r="QD63" s="78">
        <f>QE36+(QI2/QC3)</f>
        <v>-0.4464285714285714</v>
      </c>
      <c r="QE63" s="78">
        <f>QD63+(0.05/QC3)</f>
        <v>-0.4107142857142857</v>
      </c>
      <c r="QG63" s="78">
        <f>QD63</f>
        <v>-0.4464285714285714</v>
      </c>
      <c r="QH63" s="78">
        <f>QG63</f>
        <v>-0.4464285714285714</v>
      </c>
      <c r="QI63" s="78">
        <f>QG63</f>
        <v>-0.4464285714285714</v>
      </c>
      <c r="QJ63" s="354">
        <f>QH36-(QI2/QC3)</f>
        <v>0.4464285714285714</v>
      </c>
      <c r="QK63" s="354">
        <f>QJ63</f>
        <v>0.4464285714285714</v>
      </c>
      <c r="QL63" s="354">
        <f>QK63</f>
        <v>0.4464285714285714</v>
      </c>
      <c r="QY63" s="346"/>
      <c r="QZ63" s="346"/>
      <c r="RA63" s="346"/>
      <c r="RB63" s="346"/>
      <c r="RC63" s="346"/>
      <c r="RD63" s="346"/>
      <c r="RE63" s="346"/>
      <c r="RF63" s="346"/>
      <c r="RG63" s="346"/>
      <c r="RH63" s="346"/>
      <c r="RI63" s="346"/>
      <c r="RJ63" s="346"/>
      <c r="RK63" s="346"/>
      <c r="RL63" s="346"/>
      <c r="RM63" s="346"/>
      <c r="RN63" s="346"/>
      <c r="RO63" s="346"/>
      <c r="RP63" s="346"/>
      <c r="RQ63" s="346"/>
      <c r="RR63" s="346"/>
      <c r="RS63" s="346"/>
      <c r="RT63" s="346"/>
      <c r="RU63" s="346"/>
      <c r="RV63" s="346"/>
      <c r="RW63" s="346"/>
      <c r="RX63" s="346"/>
      <c r="RY63" s="346"/>
      <c r="RZ63" s="346"/>
      <c r="SA63" s="346"/>
      <c r="SB63" s="346"/>
      <c r="SC63" s="346"/>
      <c r="SD63" s="346"/>
      <c r="SE63" s="346"/>
      <c r="SF63" s="346"/>
      <c r="SG63" s="346"/>
      <c r="SH63" s="346"/>
      <c r="SI63" s="346"/>
      <c r="SJ63" s="346"/>
      <c r="SK63" s="346"/>
      <c r="SL63" s="346"/>
      <c r="SM63" s="346"/>
      <c r="SN63" s="346"/>
      <c r="SO63" s="346"/>
      <c r="SP63" s="346"/>
      <c r="SQ63" s="346"/>
      <c r="SR63" s="346"/>
      <c r="SS63" s="346"/>
      <c r="ST63" s="346"/>
      <c r="SU63" s="346"/>
      <c r="SV63" s="346"/>
      <c r="SW63" s="346"/>
      <c r="SX63" s="346"/>
      <c r="SY63" s="346"/>
      <c r="SZ63" s="346"/>
      <c r="TA63" s="346"/>
    </row>
    <row r="64" spans="1:521" ht="14.1" customHeight="1" x14ac:dyDescent="0.2">
      <c r="A64" s="226"/>
      <c r="B64" s="226"/>
      <c r="C64" s="226"/>
      <c r="D64" s="226"/>
      <c r="E64" s="226"/>
      <c r="F64" s="226"/>
      <c r="G64" s="226"/>
      <c r="H64" s="226"/>
      <c r="I64" s="226"/>
      <c r="J64" s="226"/>
      <c r="K64" s="226"/>
      <c r="L64" s="226"/>
      <c r="M64" s="226"/>
      <c r="N64" s="226"/>
      <c r="O64" s="226"/>
      <c r="P64" s="226"/>
      <c r="Q64" s="226"/>
      <c r="R64" s="226"/>
      <c r="S64" s="226"/>
      <c r="T64" s="226"/>
      <c r="U64" s="226"/>
      <c r="V64" s="226"/>
      <c r="W64" s="226"/>
      <c r="X64" s="226"/>
      <c r="Y64" s="226"/>
      <c r="Z64" s="226"/>
      <c r="AA64" s="226"/>
      <c r="AB64" s="226"/>
      <c r="AC64" s="226"/>
      <c r="AD64" s="226"/>
      <c r="AE64" s="226"/>
      <c r="AF64" s="226"/>
      <c r="AG64" s="226"/>
      <c r="AH64" s="226"/>
      <c r="AI64" s="226"/>
      <c r="AJ64" s="226"/>
      <c r="AK64" s="226"/>
      <c r="AL64" s="226"/>
      <c r="AM64" s="226"/>
      <c r="AN64" s="226"/>
      <c r="AO64" s="226"/>
      <c r="AP64" s="226"/>
      <c r="AQ64" s="226"/>
      <c r="AR64" s="226"/>
      <c r="AS64" s="226"/>
      <c r="AT64" s="226"/>
      <c r="AU64" s="226"/>
      <c r="AV64" s="226"/>
      <c r="AW64" s="226"/>
      <c r="AX64" s="226"/>
      <c r="AY64" s="226"/>
      <c r="AZ64" s="226"/>
      <c r="BA64" s="226"/>
      <c r="BB64" s="226"/>
      <c r="BC64" s="226"/>
      <c r="BD64" s="226"/>
      <c r="BE64" s="226"/>
      <c r="BF64" s="226"/>
      <c r="BG64" s="226"/>
      <c r="BH64" s="226"/>
      <c r="BI64" s="226"/>
      <c r="BJ64" s="373"/>
      <c r="BK64" s="373"/>
      <c r="BL64" s="373"/>
      <c r="BM64" s="373"/>
      <c r="BN64" s="373"/>
      <c r="BO64" s="373"/>
      <c r="BP64" s="373"/>
      <c r="BQ64" s="373"/>
      <c r="BR64" s="373"/>
      <c r="BS64" s="373"/>
      <c r="BT64" s="373"/>
      <c r="BU64" s="373"/>
      <c r="BV64" s="373"/>
      <c r="BW64" s="373"/>
      <c r="BX64" s="373"/>
      <c r="BY64" s="373"/>
      <c r="BZ64" s="373"/>
      <c r="CA64" s="373"/>
      <c r="CB64" s="373"/>
      <c r="CC64" s="373"/>
      <c r="CD64" s="373"/>
      <c r="CE64" s="373"/>
      <c r="CF64" s="373"/>
      <c r="CG64" s="373"/>
      <c r="CH64" s="373"/>
      <c r="CI64" s="373"/>
      <c r="CJ64" s="373"/>
      <c r="CK64" s="373"/>
      <c r="CL64" s="373"/>
      <c r="CM64" s="373"/>
      <c r="CN64" s="373"/>
      <c r="CO64" s="373"/>
      <c r="CP64" s="373"/>
      <c r="CQ64" s="373"/>
      <c r="CR64" s="373"/>
      <c r="CS64" s="373"/>
      <c r="CT64" s="373"/>
      <c r="CU64" s="373"/>
      <c r="CV64" s="373"/>
      <c r="CW64" s="373"/>
      <c r="CX64" s="373"/>
      <c r="CY64" s="373"/>
      <c r="CZ64" s="373"/>
      <c r="DA64" s="373"/>
      <c r="DB64" s="373"/>
      <c r="DC64" s="373"/>
      <c r="DD64" s="373"/>
      <c r="DE64" s="373"/>
      <c r="DF64" s="373"/>
      <c r="DG64" s="373"/>
      <c r="DH64" s="373"/>
      <c r="DI64" s="373"/>
      <c r="DJ64" s="373"/>
      <c r="DK64" s="373"/>
      <c r="DL64" s="373"/>
      <c r="DM64" s="373"/>
      <c r="DN64" s="373"/>
      <c r="DO64" s="373"/>
      <c r="DP64" s="373"/>
      <c r="DQ64" s="373"/>
      <c r="DR64" s="373"/>
      <c r="DS64" s="373"/>
      <c r="DT64" s="373"/>
      <c r="DU64" s="373"/>
      <c r="DV64" s="373"/>
      <c r="DW64" s="373"/>
      <c r="DX64" s="373"/>
      <c r="DY64" s="373"/>
      <c r="DZ64" s="373"/>
      <c r="EA64" s="373"/>
      <c r="EB64" s="373"/>
      <c r="EC64" s="373"/>
      <c r="ED64" s="373"/>
      <c r="EE64" s="373"/>
      <c r="EF64" s="373"/>
      <c r="EG64" s="373"/>
      <c r="EH64" s="373"/>
      <c r="EI64" s="373"/>
      <c r="EJ64" s="373"/>
      <c r="EK64" s="373"/>
      <c r="EL64" s="373"/>
      <c r="EM64" s="373"/>
      <c r="EN64" s="373"/>
      <c r="EO64" s="373"/>
      <c r="EP64" s="373"/>
      <c r="EQ64" s="373"/>
      <c r="ER64" s="373"/>
      <c r="ES64" s="373"/>
      <c r="ET64" s="373"/>
      <c r="EU64" s="373"/>
      <c r="EV64" s="373"/>
      <c r="EW64" s="373"/>
      <c r="EX64" s="373"/>
      <c r="EY64" s="373"/>
      <c r="EZ64" s="373"/>
      <c r="FA64" s="373"/>
      <c r="FB64" s="373"/>
      <c r="FC64" s="373"/>
      <c r="FD64" s="373"/>
      <c r="FE64" s="373"/>
      <c r="FF64" s="373"/>
      <c r="FG64" s="373"/>
      <c r="FH64" s="373"/>
      <c r="FI64" s="373"/>
      <c r="FJ64" s="373"/>
      <c r="FK64" s="373"/>
      <c r="FL64" s="373"/>
      <c r="FM64" s="373"/>
      <c r="FN64" s="373"/>
      <c r="FO64" s="373"/>
      <c r="FP64" s="373"/>
      <c r="FQ64" s="373"/>
      <c r="FR64" s="373"/>
      <c r="FS64" s="373"/>
      <c r="FT64" s="373"/>
      <c r="FU64" s="373"/>
      <c r="FV64" s="373"/>
      <c r="FW64" s="373"/>
      <c r="FX64" s="373"/>
      <c r="FY64" s="373"/>
      <c r="FZ64" s="373"/>
      <c r="GA64" s="373"/>
      <c r="GB64" s="373"/>
      <c r="GC64" s="373"/>
      <c r="GD64" s="373"/>
      <c r="GE64" s="373"/>
      <c r="GF64" s="373"/>
      <c r="GG64" s="373"/>
      <c r="GH64" s="373"/>
      <c r="GI64" s="373"/>
      <c r="GJ64" s="373"/>
      <c r="GK64" s="373"/>
      <c r="GL64" s="373"/>
      <c r="GM64" s="373"/>
      <c r="GN64" s="373"/>
      <c r="GO64" s="373"/>
      <c r="GP64" s="373"/>
      <c r="GQ64" s="373"/>
      <c r="GR64" s="373"/>
      <c r="GS64" s="373"/>
      <c r="GT64" s="373"/>
      <c r="GU64" s="373"/>
      <c r="GV64" s="373"/>
      <c r="GW64" s="373"/>
      <c r="GX64" s="373"/>
      <c r="GY64" s="373"/>
      <c r="GZ64" s="373"/>
      <c r="HA64" s="373"/>
      <c r="HB64" s="373"/>
      <c r="HC64" s="373"/>
      <c r="HD64" s="373"/>
      <c r="HE64" s="340"/>
      <c r="HF64" s="340"/>
      <c r="HG64" s="340"/>
      <c r="HH64" s="340"/>
      <c r="HI64" s="340"/>
      <c r="HJ64" s="340"/>
      <c r="HK64" s="340"/>
      <c r="HL64" s="340"/>
      <c r="HM64" s="340"/>
      <c r="HN64" s="340"/>
      <c r="HO64" s="340"/>
      <c r="HP64" s="340"/>
      <c r="HQ64" s="340"/>
      <c r="HR64" s="340"/>
      <c r="HS64" s="340"/>
      <c r="HT64" s="340"/>
      <c r="HU64" s="340"/>
      <c r="HV64" s="340"/>
      <c r="HW64" s="340"/>
      <c r="HX64" s="340"/>
      <c r="HY64" s="340"/>
      <c r="HZ64" s="340"/>
      <c r="IA64" s="340"/>
      <c r="IB64" s="340"/>
      <c r="IC64" s="340"/>
      <c r="ID64" s="340"/>
      <c r="IE64" s="340"/>
      <c r="IF64" s="340"/>
      <c r="IG64" s="340"/>
      <c r="IH64" s="340"/>
      <c r="II64" s="340"/>
      <c r="IJ64" s="340"/>
      <c r="IK64" s="340"/>
      <c r="IL64" s="340"/>
      <c r="IM64" s="340"/>
      <c r="IN64" s="340"/>
      <c r="IO64" s="340"/>
      <c r="IP64" s="340"/>
      <c r="IQ64" s="340"/>
      <c r="IR64" s="340"/>
      <c r="IS64" s="340"/>
      <c r="IT64" s="340"/>
      <c r="IU64" s="340"/>
      <c r="IV64" s="340"/>
      <c r="IW64" s="340"/>
      <c r="IX64" s="340"/>
      <c r="IY64" s="340"/>
      <c r="IZ64" s="340"/>
      <c r="JA64" s="340"/>
      <c r="JB64" s="340"/>
      <c r="JC64" s="340"/>
      <c r="JD64" s="340"/>
      <c r="JE64" s="340"/>
      <c r="JF64" s="340"/>
      <c r="JG64" s="340"/>
      <c r="JH64" s="340"/>
      <c r="JI64" s="340"/>
      <c r="JJ64" s="340"/>
      <c r="JK64" s="340"/>
      <c r="JL64" s="340"/>
      <c r="JM64" s="340"/>
      <c r="JN64" s="340"/>
      <c r="JO64" s="340"/>
      <c r="JP64" s="340"/>
      <c r="JQ64" s="340"/>
      <c r="JR64" s="340"/>
      <c r="JS64" s="340"/>
      <c r="JT64" s="340"/>
      <c r="JU64" s="340"/>
      <c r="JV64" s="340"/>
      <c r="JW64" s="340"/>
      <c r="JX64" s="340"/>
      <c r="JY64" s="340"/>
      <c r="JZ64" s="340"/>
      <c r="KA64" s="340"/>
      <c r="KB64" s="340"/>
      <c r="KC64" s="340"/>
      <c r="KD64" s="340"/>
      <c r="KE64" s="340"/>
      <c r="KF64" s="340"/>
      <c r="KG64" s="340"/>
      <c r="KH64" s="340"/>
      <c r="KI64" s="340"/>
      <c r="KJ64" s="340"/>
      <c r="KK64" s="340"/>
      <c r="KL64" s="340"/>
      <c r="KM64" s="340"/>
      <c r="KN64" s="340"/>
      <c r="KO64" s="340"/>
      <c r="KP64" s="340"/>
      <c r="KQ64" s="340"/>
      <c r="KR64" s="340"/>
      <c r="KS64" s="340"/>
      <c r="KT64" s="340"/>
      <c r="KU64" s="340"/>
      <c r="KV64" s="340"/>
      <c r="KW64" s="340"/>
      <c r="KX64" s="340"/>
      <c r="KY64" s="340"/>
      <c r="KZ64" s="340"/>
      <c r="LA64" s="340"/>
      <c r="LB64" s="340"/>
      <c r="LC64" s="340"/>
      <c r="LD64" s="340"/>
      <c r="LE64" s="340"/>
      <c r="LF64" s="340"/>
      <c r="LG64" s="340"/>
      <c r="LH64" s="340"/>
      <c r="LI64" s="340"/>
      <c r="LJ64" s="340"/>
      <c r="LK64" s="340"/>
      <c r="LL64" s="340"/>
      <c r="LM64" s="340"/>
      <c r="LN64" s="340"/>
      <c r="LO64" s="340"/>
      <c r="LP64" s="340"/>
      <c r="LQ64" s="340"/>
      <c r="LR64" s="340"/>
      <c r="LS64" s="340"/>
      <c r="LT64" s="340"/>
      <c r="LU64" s="340"/>
      <c r="LV64" s="340"/>
      <c r="LW64" s="340"/>
      <c r="LX64" s="340"/>
      <c r="LY64" s="340"/>
      <c r="LZ64" s="340"/>
      <c r="MA64" s="340"/>
      <c r="MB64" s="340"/>
      <c r="MC64" s="340"/>
      <c r="MD64" s="340"/>
      <c r="ME64" s="340"/>
      <c r="MF64" s="340"/>
      <c r="MG64" s="340"/>
      <c r="MH64" s="340"/>
      <c r="MI64" s="340"/>
      <c r="MJ64" s="340"/>
      <c r="MK64" s="340"/>
      <c r="ML64" s="340"/>
      <c r="MM64" s="340"/>
      <c r="MN64" s="340"/>
      <c r="MO64" s="340"/>
      <c r="MP64" s="340"/>
      <c r="MQ64" s="340"/>
      <c r="MR64" s="340"/>
      <c r="MS64" s="340"/>
      <c r="MT64" s="340"/>
      <c r="MU64" s="340"/>
      <c r="MV64" s="340"/>
      <c r="MW64" s="340"/>
      <c r="MX64" s="340"/>
      <c r="MY64" s="340"/>
      <c r="MZ64" s="340"/>
      <c r="NA64" s="340"/>
      <c r="NB64" s="340"/>
      <c r="NC64" s="340"/>
      <c r="ND64" s="340"/>
      <c r="NE64" s="340"/>
      <c r="NF64" s="340"/>
      <c r="NG64" s="340"/>
      <c r="NH64" s="340"/>
      <c r="NI64" s="340"/>
      <c r="NJ64" s="340"/>
      <c r="NK64" s="340"/>
      <c r="NL64" s="340"/>
      <c r="NM64" s="340"/>
      <c r="NN64" s="340"/>
      <c r="NO64" s="340"/>
      <c r="NP64" s="340"/>
      <c r="NQ64" s="340"/>
      <c r="NR64" s="340"/>
      <c r="NS64" s="340"/>
      <c r="NT64" s="340"/>
      <c r="NU64" s="340"/>
      <c r="NV64" s="340"/>
      <c r="NW64" s="340"/>
      <c r="NX64" s="340"/>
      <c r="NY64" s="340"/>
      <c r="NZ64" s="340"/>
      <c r="OA64" s="340"/>
      <c r="OB64" s="340"/>
      <c r="OC64" s="340"/>
      <c r="OD64" s="340"/>
      <c r="OE64" s="340"/>
      <c r="OF64" s="340"/>
      <c r="OG64" s="340"/>
      <c r="OH64" s="340"/>
      <c r="OI64" s="340"/>
      <c r="OJ64" s="340"/>
      <c r="OK64" s="340"/>
      <c r="OL64" s="340"/>
      <c r="OM64" s="340"/>
      <c r="ON64" s="340"/>
      <c r="OO64" s="340"/>
      <c r="OP64" s="340"/>
      <c r="OQ64" s="340"/>
      <c r="OR64" s="340"/>
      <c r="OS64" s="340"/>
      <c r="OT64" s="340"/>
      <c r="OU64" s="340"/>
      <c r="OV64" s="340"/>
      <c r="OW64" s="340"/>
      <c r="OX64" s="340"/>
      <c r="OY64" s="340"/>
      <c r="OZ64" s="340"/>
      <c r="PA64" s="340"/>
      <c r="PB64" s="340"/>
      <c r="PC64" s="340"/>
      <c r="PD64" s="340"/>
      <c r="PE64" s="340"/>
      <c r="PF64" s="340"/>
      <c r="PG64" s="340"/>
      <c r="PH64" s="340"/>
      <c r="PI64" s="340"/>
      <c r="PJ64" s="340"/>
      <c r="PK64" s="340"/>
      <c r="PL64" s="340"/>
      <c r="PM64" s="340"/>
      <c r="PN64" s="340"/>
      <c r="PO64" s="340"/>
      <c r="PP64" s="340"/>
      <c r="PQ64" s="340"/>
      <c r="PR64" s="340"/>
      <c r="PS64" s="340"/>
      <c r="PT64" s="340"/>
      <c r="PU64" s="340"/>
      <c r="PV64" s="340"/>
      <c r="PW64" s="303"/>
      <c r="PX64" s="303"/>
      <c r="PY64" s="303"/>
      <c r="QC64" s="78" t="s">
        <v>24</v>
      </c>
      <c r="QD64" s="78">
        <f>QD37-(QI2/QC3)</f>
        <v>0.16071428571428573</v>
      </c>
      <c r="QE64" s="78">
        <f>QD64</f>
        <v>0.16071428571428573</v>
      </c>
      <c r="QG64" s="78">
        <f>QD64</f>
        <v>0.16071428571428573</v>
      </c>
      <c r="QH64" s="78">
        <f>(QI2/QC3)</f>
        <v>5.3571428571428575E-2</v>
      </c>
      <c r="QI64" s="78">
        <f>QH64</f>
        <v>5.3571428571428575E-2</v>
      </c>
      <c r="QJ64" s="78">
        <f>QI64</f>
        <v>5.3571428571428575E-2</v>
      </c>
      <c r="QK64" s="78">
        <f>QG64</f>
        <v>0.16071428571428573</v>
      </c>
      <c r="QL64" s="78">
        <f>QH64</f>
        <v>5.3571428571428575E-2</v>
      </c>
      <c r="QY64" s="346"/>
      <c r="QZ64" s="346"/>
      <c r="RA64" s="346"/>
      <c r="RB64" s="346"/>
      <c r="RC64" s="346"/>
      <c r="RD64" s="346"/>
      <c r="RE64" s="346"/>
      <c r="RF64" s="346"/>
      <c r="RG64" s="346"/>
      <c r="RH64" s="346"/>
      <c r="RI64" s="346"/>
      <c r="RJ64" s="346"/>
      <c r="RK64" s="346"/>
      <c r="RL64" s="346"/>
      <c r="RM64" s="346"/>
      <c r="RN64" s="346"/>
      <c r="RO64" s="346"/>
      <c r="RP64" s="346"/>
      <c r="RQ64" s="346"/>
      <c r="RR64" s="346"/>
      <c r="RS64" s="346"/>
      <c r="RT64" s="346"/>
      <c r="RU64" s="346"/>
      <c r="RV64" s="346"/>
      <c r="RW64" s="346"/>
      <c r="RX64" s="346"/>
      <c r="RY64" s="346"/>
      <c r="RZ64" s="346"/>
      <c r="SA64" s="346"/>
      <c r="SB64" s="346"/>
      <c r="SC64" s="346"/>
      <c r="SD64" s="346"/>
      <c r="SE64" s="346"/>
      <c r="SF64" s="346"/>
      <c r="SG64" s="346"/>
      <c r="SH64" s="346"/>
      <c r="SI64" s="346"/>
      <c r="SJ64" s="346"/>
      <c r="SK64" s="346"/>
      <c r="SL64" s="346"/>
      <c r="SM64" s="346"/>
      <c r="SN64" s="346"/>
      <c r="SO64" s="346"/>
      <c r="SP64" s="346"/>
      <c r="SQ64" s="346"/>
      <c r="SR64" s="346"/>
      <c r="SS64" s="346"/>
      <c r="ST64" s="346"/>
      <c r="SU64" s="346"/>
      <c r="SV64" s="346"/>
      <c r="SW64" s="346"/>
      <c r="SX64" s="346"/>
      <c r="SY64" s="346"/>
      <c r="SZ64" s="346"/>
      <c r="TA64" s="346"/>
    </row>
    <row r="65" spans="1:521" ht="14.1" customHeight="1" x14ac:dyDescent="0.2">
      <c r="A65" s="226"/>
      <c r="B65" s="226"/>
      <c r="C65" s="226"/>
      <c r="D65" s="226"/>
      <c r="E65" s="226"/>
      <c r="F65" s="226"/>
      <c r="G65" s="226"/>
      <c r="H65" s="226"/>
      <c r="I65" s="226"/>
      <c r="J65" s="226"/>
      <c r="K65" s="226"/>
      <c r="L65" s="226"/>
      <c r="M65" s="226"/>
      <c r="N65" s="226"/>
      <c r="O65" s="226"/>
      <c r="P65" s="226"/>
      <c r="Q65" s="226"/>
      <c r="R65" s="226"/>
      <c r="S65" s="226"/>
      <c r="T65" s="226"/>
      <c r="U65" s="226"/>
      <c r="V65" s="226"/>
      <c r="W65" s="226"/>
      <c r="X65" s="226"/>
      <c r="Y65" s="226"/>
      <c r="Z65" s="226"/>
      <c r="AA65" s="226"/>
      <c r="AB65" s="226"/>
      <c r="AC65" s="226"/>
      <c r="AD65" s="226"/>
      <c r="AE65" s="226"/>
      <c r="AF65" s="226"/>
      <c r="AG65" s="226"/>
      <c r="AH65" s="226"/>
      <c r="AI65" s="226"/>
      <c r="AJ65" s="226"/>
      <c r="AK65" s="226"/>
      <c r="AL65" s="226"/>
      <c r="AM65" s="226"/>
      <c r="AN65" s="226"/>
      <c r="AO65" s="226"/>
      <c r="AP65" s="226"/>
      <c r="AQ65" s="226"/>
      <c r="AR65" s="226"/>
      <c r="AS65" s="226"/>
      <c r="AT65" s="226"/>
      <c r="AU65" s="226"/>
      <c r="AV65" s="226"/>
      <c r="AW65" s="226"/>
      <c r="AX65" s="226"/>
      <c r="AY65" s="226"/>
      <c r="AZ65" s="226"/>
      <c r="BA65" s="226"/>
      <c r="BB65" s="226"/>
      <c r="BC65" s="226"/>
      <c r="BD65" s="226"/>
      <c r="BE65" s="226"/>
      <c r="BF65" s="226"/>
      <c r="BG65" s="226"/>
      <c r="BH65" s="226"/>
      <c r="BI65" s="226"/>
      <c r="BJ65" s="374"/>
      <c r="BK65" s="374"/>
      <c r="BL65" s="374"/>
      <c r="BM65" s="374"/>
      <c r="BN65" s="374"/>
      <c r="BO65" s="374"/>
      <c r="BP65" s="374"/>
      <c r="BQ65" s="374"/>
      <c r="BR65" s="374"/>
      <c r="BS65" s="374"/>
      <c r="BT65" s="374"/>
      <c r="BU65" s="374"/>
      <c r="BV65" s="374"/>
      <c r="BW65" s="374"/>
      <c r="BX65" s="374"/>
      <c r="BY65" s="374"/>
      <c r="BZ65" s="374"/>
      <c r="CA65" s="374"/>
      <c r="CB65" s="374"/>
      <c r="CC65" s="374"/>
      <c r="CD65" s="374"/>
      <c r="CE65" s="374"/>
      <c r="CF65" s="374"/>
      <c r="CG65" s="374"/>
      <c r="CH65" s="374"/>
      <c r="CI65" s="374"/>
      <c r="CJ65" s="374"/>
      <c r="CK65" s="374"/>
      <c r="CL65" s="374"/>
      <c r="CM65" s="374"/>
      <c r="CN65" s="374"/>
      <c r="CO65" s="374"/>
      <c r="CP65" s="374"/>
      <c r="CQ65" s="374"/>
      <c r="CR65" s="374"/>
      <c r="CS65" s="374"/>
      <c r="CT65" s="374"/>
      <c r="CU65" s="374"/>
      <c r="CV65" s="374"/>
      <c r="CW65" s="374"/>
      <c r="CX65" s="374"/>
      <c r="CY65" s="374"/>
      <c r="CZ65" s="374"/>
      <c r="DA65" s="374"/>
      <c r="DB65" s="374"/>
      <c r="DC65" s="374"/>
      <c r="DD65" s="374"/>
      <c r="DE65" s="374"/>
      <c r="DF65" s="374"/>
      <c r="DG65" s="374"/>
      <c r="DH65" s="374"/>
      <c r="DI65" s="374"/>
      <c r="DJ65" s="374"/>
      <c r="DK65" s="374"/>
      <c r="DL65" s="374"/>
      <c r="DM65" s="374"/>
      <c r="DN65" s="374"/>
      <c r="DO65" s="374"/>
      <c r="DP65" s="374"/>
      <c r="DQ65" s="374"/>
      <c r="DR65" s="374"/>
      <c r="DS65" s="374"/>
      <c r="DT65" s="374"/>
      <c r="DU65" s="374"/>
      <c r="DV65" s="374"/>
      <c r="DW65" s="374"/>
      <c r="DX65" s="374"/>
      <c r="DY65" s="374"/>
      <c r="DZ65" s="374"/>
      <c r="EA65" s="374"/>
      <c r="EB65" s="374"/>
      <c r="EC65" s="374"/>
      <c r="ED65" s="374"/>
      <c r="EE65" s="374"/>
      <c r="EF65" s="374"/>
      <c r="EG65" s="374"/>
      <c r="EH65" s="374"/>
      <c r="EI65" s="374"/>
      <c r="EJ65" s="374"/>
      <c r="EK65" s="374"/>
      <c r="EL65" s="374"/>
      <c r="EM65" s="374"/>
      <c r="EN65" s="374"/>
      <c r="EO65" s="374"/>
      <c r="EP65" s="374"/>
      <c r="EQ65" s="374"/>
      <c r="ER65" s="374"/>
      <c r="ES65" s="374"/>
      <c r="ET65" s="374"/>
      <c r="EU65" s="374"/>
      <c r="EV65" s="374"/>
      <c r="EW65" s="374"/>
      <c r="EX65" s="374"/>
      <c r="EY65" s="374"/>
      <c r="EZ65" s="374"/>
      <c r="FA65" s="374"/>
      <c r="FB65" s="374"/>
      <c r="FC65" s="374"/>
      <c r="FD65" s="374"/>
      <c r="FE65" s="374"/>
      <c r="FF65" s="374"/>
      <c r="FG65" s="374"/>
      <c r="FH65" s="374"/>
      <c r="FI65" s="374"/>
      <c r="FJ65" s="374"/>
      <c r="FK65" s="374"/>
      <c r="FL65" s="374"/>
      <c r="FM65" s="374"/>
      <c r="FN65" s="374"/>
      <c r="FO65" s="374"/>
      <c r="FP65" s="374"/>
      <c r="FQ65" s="374"/>
      <c r="FR65" s="374"/>
      <c r="FS65" s="374"/>
      <c r="FT65" s="374"/>
      <c r="FU65" s="374"/>
      <c r="FV65" s="374"/>
      <c r="FW65" s="374"/>
      <c r="FX65" s="374"/>
      <c r="FY65" s="374"/>
      <c r="FZ65" s="374"/>
      <c r="GA65" s="374"/>
      <c r="GB65" s="374"/>
      <c r="GC65" s="374"/>
      <c r="GD65" s="374"/>
      <c r="GE65" s="374"/>
      <c r="GF65" s="374"/>
      <c r="GG65" s="374"/>
      <c r="GH65" s="374"/>
      <c r="GI65" s="374"/>
      <c r="GJ65" s="374"/>
      <c r="GK65" s="374"/>
      <c r="GL65" s="374"/>
      <c r="GM65" s="374"/>
      <c r="GN65" s="374"/>
      <c r="GO65" s="374"/>
      <c r="GP65" s="374"/>
      <c r="GQ65" s="374"/>
      <c r="GR65" s="374"/>
      <c r="GS65" s="374"/>
      <c r="GT65" s="374"/>
      <c r="GU65" s="374"/>
      <c r="GV65" s="374"/>
      <c r="GW65" s="374"/>
      <c r="GX65" s="374"/>
      <c r="GY65" s="374"/>
      <c r="GZ65" s="374"/>
      <c r="HA65" s="374"/>
      <c r="HB65" s="374"/>
      <c r="HC65" s="374"/>
      <c r="HD65" s="374"/>
      <c r="HE65" s="339"/>
      <c r="HF65" s="339"/>
      <c r="HG65" s="339"/>
      <c r="HH65" s="339"/>
      <c r="HI65" s="339"/>
      <c r="HJ65" s="339"/>
      <c r="HK65" s="339"/>
      <c r="HL65" s="339"/>
      <c r="HM65" s="339"/>
      <c r="HN65" s="339"/>
      <c r="HO65" s="339"/>
      <c r="HP65" s="339"/>
      <c r="HQ65" s="339"/>
      <c r="HR65" s="339"/>
      <c r="HS65" s="339"/>
      <c r="HT65" s="339"/>
      <c r="HU65" s="339"/>
      <c r="HV65" s="339"/>
      <c r="HW65" s="339"/>
      <c r="HX65" s="339"/>
      <c r="HY65" s="339"/>
      <c r="HZ65" s="339"/>
      <c r="IA65" s="339"/>
      <c r="IB65" s="339"/>
      <c r="IC65" s="339"/>
      <c r="ID65" s="339"/>
      <c r="IE65" s="339"/>
      <c r="IF65" s="339"/>
      <c r="IG65" s="339"/>
      <c r="IH65" s="339"/>
      <c r="II65" s="339"/>
      <c r="IJ65" s="339"/>
      <c r="IK65" s="339"/>
      <c r="IL65" s="339"/>
      <c r="IM65" s="339"/>
      <c r="IN65" s="339"/>
      <c r="IO65" s="339"/>
      <c r="IP65" s="339"/>
      <c r="IQ65" s="339"/>
      <c r="IR65" s="339"/>
      <c r="IS65" s="339"/>
      <c r="IT65" s="339"/>
      <c r="IU65" s="339"/>
      <c r="IV65" s="339"/>
      <c r="IW65" s="339"/>
      <c r="IX65" s="339"/>
      <c r="IY65" s="339"/>
      <c r="IZ65" s="339"/>
      <c r="JA65" s="339"/>
      <c r="JB65" s="339"/>
      <c r="JC65" s="339"/>
      <c r="JD65" s="339"/>
      <c r="JE65" s="339"/>
      <c r="JF65" s="339"/>
      <c r="JG65" s="339"/>
      <c r="JH65" s="339"/>
      <c r="JI65" s="339"/>
      <c r="JJ65" s="339"/>
      <c r="JK65" s="339"/>
      <c r="JL65" s="339"/>
      <c r="JM65" s="339"/>
      <c r="JN65" s="339"/>
      <c r="JO65" s="339"/>
      <c r="JP65" s="339"/>
      <c r="JQ65" s="339"/>
      <c r="JR65" s="339"/>
      <c r="JS65" s="339"/>
      <c r="JT65" s="339"/>
      <c r="JU65" s="339"/>
      <c r="JV65" s="339"/>
      <c r="JW65" s="339"/>
      <c r="JX65" s="339"/>
      <c r="JY65" s="339"/>
      <c r="JZ65" s="339"/>
      <c r="KA65" s="339"/>
      <c r="KB65" s="339"/>
      <c r="KC65" s="339"/>
      <c r="KD65" s="339"/>
      <c r="KE65" s="339"/>
      <c r="KF65" s="339"/>
      <c r="KG65" s="339"/>
      <c r="KH65" s="339"/>
      <c r="KI65" s="339"/>
      <c r="KJ65" s="339"/>
      <c r="KK65" s="339"/>
      <c r="KL65" s="339"/>
      <c r="KM65" s="339"/>
      <c r="KN65" s="339"/>
      <c r="KO65" s="339"/>
      <c r="KP65" s="339"/>
      <c r="KQ65" s="339"/>
      <c r="KR65" s="339"/>
      <c r="KS65" s="339"/>
      <c r="KT65" s="339"/>
      <c r="KU65" s="339"/>
      <c r="KV65" s="339"/>
      <c r="KW65" s="339"/>
      <c r="KX65" s="339"/>
      <c r="KY65" s="339"/>
      <c r="KZ65" s="339"/>
      <c r="LA65" s="339"/>
      <c r="LB65" s="339"/>
      <c r="LC65" s="339"/>
      <c r="LD65" s="339"/>
      <c r="LE65" s="339"/>
      <c r="LF65" s="339"/>
      <c r="LG65" s="339"/>
      <c r="LH65" s="339"/>
      <c r="LI65" s="339"/>
      <c r="LJ65" s="339"/>
      <c r="LK65" s="339"/>
      <c r="LL65" s="339"/>
      <c r="LM65" s="339"/>
      <c r="LN65" s="339"/>
      <c r="LO65" s="339"/>
      <c r="LP65" s="339"/>
      <c r="LQ65" s="339"/>
      <c r="LR65" s="339"/>
      <c r="LS65" s="339"/>
      <c r="LT65" s="339"/>
      <c r="LU65" s="339"/>
      <c r="LV65" s="339"/>
      <c r="LW65" s="339"/>
      <c r="LX65" s="339"/>
      <c r="LY65" s="339"/>
      <c r="LZ65" s="339"/>
      <c r="MA65" s="339"/>
      <c r="MB65" s="339"/>
      <c r="MC65" s="339"/>
      <c r="MD65" s="339"/>
      <c r="ME65" s="339"/>
      <c r="MF65" s="339"/>
      <c r="MG65" s="339"/>
      <c r="MH65" s="339"/>
      <c r="MI65" s="339"/>
      <c r="MJ65" s="339"/>
      <c r="MK65" s="339"/>
      <c r="ML65" s="339"/>
      <c r="MM65" s="339"/>
      <c r="MN65" s="339"/>
      <c r="MO65" s="339"/>
      <c r="MP65" s="339"/>
      <c r="MQ65" s="339"/>
      <c r="MR65" s="339"/>
      <c r="MS65" s="339"/>
      <c r="MT65" s="339"/>
      <c r="MU65" s="339"/>
      <c r="MV65" s="339"/>
      <c r="MW65" s="339"/>
      <c r="MX65" s="339"/>
      <c r="MY65" s="339"/>
      <c r="MZ65" s="339"/>
      <c r="NA65" s="339"/>
      <c r="NB65" s="339"/>
      <c r="NC65" s="339"/>
      <c r="ND65" s="339"/>
      <c r="NE65" s="339"/>
      <c r="NF65" s="339"/>
      <c r="NG65" s="339"/>
      <c r="NH65" s="339"/>
      <c r="NI65" s="339"/>
      <c r="NJ65" s="339"/>
      <c r="NK65" s="339"/>
      <c r="NL65" s="339"/>
      <c r="NM65" s="339"/>
      <c r="NN65" s="339"/>
      <c r="NO65" s="339"/>
      <c r="NP65" s="339"/>
      <c r="NQ65" s="339"/>
      <c r="NR65" s="339"/>
      <c r="NS65" s="339"/>
      <c r="NT65" s="339"/>
      <c r="NU65" s="339"/>
      <c r="NV65" s="339"/>
      <c r="NW65" s="339"/>
      <c r="NX65" s="339"/>
      <c r="NY65" s="339"/>
      <c r="NZ65" s="339"/>
      <c r="OA65" s="339"/>
      <c r="OB65" s="339"/>
      <c r="OC65" s="339"/>
      <c r="OD65" s="339"/>
      <c r="OE65" s="339"/>
      <c r="OF65" s="339"/>
      <c r="OG65" s="339"/>
      <c r="OH65" s="339"/>
      <c r="OI65" s="339"/>
      <c r="OJ65" s="339"/>
      <c r="OK65" s="339"/>
      <c r="OL65" s="339"/>
      <c r="OM65" s="339"/>
      <c r="ON65" s="339"/>
      <c r="OO65" s="339"/>
      <c r="OP65" s="339"/>
      <c r="OQ65" s="339"/>
      <c r="OR65" s="339"/>
      <c r="OS65" s="339"/>
      <c r="OT65" s="339"/>
      <c r="OU65" s="339"/>
      <c r="OV65" s="339"/>
      <c r="OW65" s="339"/>
      <c r="OX65" s="339"/>
      <c r="OY65" s="339"/>
      <c r="OZ65" s="339"/>
      <c r="PA65" s="339"/>
      <c r="PB65" s="339"/>
      <c r="PC65" s="339"/>
      <c r="PD65" s="339"/>
      <c r="PE65" s="339"/>
      <c r="PF65" s="339"/>
      <c r="PG65" s="339"/>
      <c r="PH65" s="339"/>
      <c r="PI65" s="339"/>
      <c r="PJ65" s="339"/>
      <c r="PK65" s="339"/>
      <c r="PL65" s="339"/>
      <c r="PM65" s="339"/>
      <c r="PN65" s="339"/>
      <c r="PO65" s="339"/>
      <c r="PP65" s="339"/>
      <c r="PQ65" s="339"/>
      <c r="PR65" s="339"/>
      <c r="PS65" s="339"/>
      <c r="PT65" s="339"/>
      <c r="PU65" s="339"/>
      <c r="PV65" s="339"/>
      <c r="PW65" s="303"/>
      <c r="PX65" s="303"/>
      <c r="PY65" s="303"/>
      <c r="QY65" s="346"/>
      <c r="QZ65" s="346"/>
      <c r="RA65" s="346"/>
      <c r="RB65" s="346"/>
      <c r="RC65" s="346"/>
      <c r="RD65" s="346"/>
      <c r="RE65" s="346"/>
      <c r="RF65" s="346"/>
      <c r="RG65" s="346"/>
      <c r="RH65" s="346"/>
      <c r="RI65" s="346"/>
      <c r="RJ65" s="346"/>
      <c r="RK65" s="346"/>
      <c r="RL65" s="346"/>
      <c r="RM65" s="346"/>
      <c r="RN65" s="346"/>
      <c r="RO65" s="346"/>
      <c r="RP65" s="346"/>
      <c r="RQ65" s="346"/>
      <c r="RR65" s="346"/>
      <c r="RS65" s="346"/>
      <c r="RT65" s="346"/>
      <c r="RU65" s="346"/>
      <c r="RV65" s="346"/>
      <c r="RW65" s="346"/>
      <c r="RX65" s="346"/>
      <c r="RY65" s="346"/>
      <c r="RZ65" s="346"/>
      <c r="SA65" s="346"/>
      <c r="SB65" s="346"/>
      <c r="SC65" s="346"/>
      <c r="SD65" s="346"/>
      <c r="SE65" s="346"/>
      <c r="SF65" s="346"/>
      <c r="SG65" s="346"/>
      <c r="SH65" s="346"/>
      <c r="SI65" s="346"/>
      <c r="SJ65" s="346"/>
      <c r="SK65" s="346"/>
      <c r="SL65" s="346"/>
      <c r="SM65" s="346"/>
      <c r="SN65" s="346"/>
      <c r="SO65" s="346"/>
      <c r="SP65" s="346"/>
      <c r="SQ65" s="346"/>
      <c r="SR65" s="346"/>
      <c r="SS65" s="346"/>
      <c r="ST65" s="346"/>
      <c r="SU65" s="346"/>
      <c r="SV65" s="346"/>
      <c r="SW65" s="346"/>
      <c r="SX65" s="346"/>
      <c r="SY65" s="346"/>
      <c r="SZ65" s="346"/>
      <c r="TA65" s="346"/>
    </row>
    <row r="66" spans="1:521" ht="14.1" customHeight="1" x14ac:dyDescent="0.2">
      <c r="A66" s="226"/>
      <c r="B66" s="226"/>
      <c r="C66" s="226"/>
      <c r="D66" s="226"/>
      <c r="E66" s="226"/>
      <c r="F66" s="226"/>
      <c r="G66" s="226"/>
      <c r="H66" s="226"/>
      <c r="I66" s="226"/>
      <c r="J66" s="226"/>
      <c r="K66" s="226"/>
      <c r="L66" s="226"/>
      <c r="M66" s="226"/>
      <c r="N66" s="226"/>
      <c r="O66" s="226"/>
      <c r="P66" s="226"/>
      <c r="Q66" s="226"/>
      <c r="R66" s="226"/>
      <c r="S66" s="226"/>
      <c r="T66" s="226"/>
      <c r="U66" s="226"/>
      <c r="V66" s="226"/>
      <c r="W66" s="226"/>
      <c r="X66" s="226"/>
      <c r="Y66" s="226"/>
      <c r="Z66" s="226"/>
      <c r="AA66" s="226"/>
      <c r="AB66" s="226"/>
      <c r="AC66" s="226"/>
      <c r="AD66" s="226"/>
      <c r="AE66" s="226"/>
      <c r="AF66" s="226"/>
      <c r="AG66" s="226"/>
      <c r="AH66" s="226"/>
      <c r="AI66" s="226"/>
      <c r="AJ66" s="226"/>
      <c r="AK66" s="226"/>
      <c r="AL66" s="226"/>
      <c r="AM66" s="226"/>
      <c r="AN66" s="226"/>
      <c r="AO66" s="226"/>
      <c r="AP66" s="226"/>
      <c r="AQ66" s="226"/>
      <c r="AR66" s="226"/>
      <c r="AS66" s="226"/>
      <c r="AT66" s="226"/>
      <c r="AU66" s="226"/>
      <c r="AV66" s="226"/>
      <c r="AW66" s="226"/>
      <c r="AX66" s="226"/>
      <c r="AY66" s="226"/>
      <c r="AZ66" s="226"/>
      <c r="BA66" s="226"/>
      <c r="BB66" s="226"/>
      <c r="BC66" s="226"/>
      <c r="BD66" s="226"/>
      <c r="BE66" s="226"/>
      <c r="BF66" s="226"/>
      <c r="BG66" s="226"/>
      <c r="BH66" s="226"/>
      <c r="BI66" s="226"/>
      <c r="BJ66" s="374"/>
      <c r="BK66" s="374"/>
      <c r="BL66" s="374"/>
      <c r="BM66" s="374"/>
      <c r="BN66" s="374"/>
      <c r="BO66" s="374"/>
      <c r="BP66" s="374"/>
      <c r="BQ66" s="374"/>
      <c r="BR66" s="374"/>
      <c r="BS66" s="374"/>
      <c r="BT66" s="374"/>
      <c r="BU66" s="374"/>
      <c r="BV66" s="374"/>
      <c r="BW66" s="374"/>
      <c r="BX66" s="374"/>
      <c r="BY66" s="374"/>
      <c r="BZ66" s="374"/>
      <c r="CA66" s="374"/>
      <c r="CB66" s="374"/>
      <c r="CC66" s="374"/>
      <c r="CD66" s="374"/>
      <c r="CE66" s="374"/>
      <c r="CF66" s="374"/>
      <c r="CG66" s="374"/>
      <c r="CH66" s="374"/>
      <c r="CI66" s="374"/>
      <c r="CJ66" s="374"/>
      <c r="CK66" s="374"/>
      <c r="CL66" s="374"/>
      <c r="CM66" s="374"/>
      <c r="CN66" s="374"/>
      <c r="CO66" s="374"/>
      <c r="CP66" s="374"/>
      <c r="CQ66" s="374"/>
      <c r="CR66" s="374"/>
      <c r="CS66" s="374"/>
      <c r="CT66" s="374"/>
      <c r="CU66" s="374"/>
      <c r="CV66" s="374"/>
      <c r="CW66" s="374"/>
      <c r="CX66" s="374"/>
      <c r="CY66" s="374"/>
      <c r="CZ66" s="374"/>
      <c r="DA66" s="374"/>
      <c r="DB66" s="374"/>
      <c r="DC66" s="374"/>
      <c r="DD66" s="374"/>
      <c r="DE66" s="374"/>
      <c r="DF66" s="374"/>
      <c r="DG66" s="374"/>
      <c r="DH66" s="374"/>
      <c r="DI66" s="374"/>
      <c r="DJ66" s="374"/>
      <c r="DK66" s="374"/>
      <c r="DL66" s="374"/>
      <c r="DM66" s="374"/>
      <c r="DN66" s="374"/>
      <c r="DO66" s="374"/>
      <c r="DP66" s="374"/>
      <c r="DQ66" s="374"/>
      <c r="DR66" s="374"/>
      <c r="DS66" s="374"/>
      <c r="DT66" s="374"/>
      <c r="DU66" s="374"/>
      <c r="DV66" s="374"/>
      <c r="DW66" s="374"/>
      <c r="DX66" s="374"/>
      <c r="DY66" s="374"/>
      <c r="DZ66" s="374"/>
      <c r="EA66" s="374"/>
      <c r="EB66" s="374"/>
      <c r="EC66" s="374"/>
      <c r="ED66" s="374"/>
      <c r="EE66" s="374"/>
      <c r="EF66" s="374"/>
      <c r="EG66" s="374"/>
      <c r="EH66" s="374"/>
      <c r="EI66" s="374"/>
      <c r="EJ66" s="374"/>
      <c r="EK66" s="374"/>
      <c r="EL66" s="374"/>
      <c r="EM66" s="374"/>
      <c r="EN66" s="374"/>
      <c r="EO66" s="374"/>
      <c r="EP66" s="374"/>
      <c r="EQ66" s="374"/>
      <c r="ER66" s="374"/>
      <c r="ES66" s="374"/>
      <c r="ET66" s="374"/>
      <c r="EU66" s="374"/>
      <c r="EV66" s="374"/>
      <c r="EW66" s="374"/>
      <c r="EX66" s="374"/>
      <c r="EY66" s="374"/>
      <c r="EZ66" s="374"/>
      <c r="FA66" s="374"/>
      <c r="FB66" s="374"/>
      <c r="FC66" s="374"/>
      <c r="FD66" s="374"/>
      <c r="FE66" s="374"/>
      <c r="FF66" s="374"/>
      <c r="FG66" s="374"/>
      <c r="FH66" s="374"/>
      <c r="FI66" s="374"/>
      <c r="FJ66" s="374"/>
      <c r="FK66" s="374"/>
      <c r="FL66" s="374"/>
      <c r="FM66" s="374"/>
      <c r="FN66" s="374"/>
      <c r="FO66" s="374"/>
      <c r="FP66" s="374"/>
      <c r="FQ66" s="374"/>
      <c r="FR66" s="374"/>
      <c r="FS66" s="374"/>
      <c r="FT66" s="374"/>
      <c r="FU66" s="374"/>
      <c r="FV66" s="374"/>
      <c r="FW66" s="374"/>
      <c r="FX66" s="374"/>
      <c r="FY66" s="374"/>
      <c r="FZ66" s="374"/>
      <c r="GA66" s="374"/>
      <c r="GB66" s="374"/>
      <c r="GC66" s="374"/>
      <c r="GD66" s="374"/>
      <c r="GE66" s="374"/>
      <c r="GF66" s="374"/>
      <c r="GG66" s="374"/>
      <c r="GH66" s="374"/>
      <c r="GI66" s="374"/>
      <c r="GJ66" s="374"/>
      <c r="GK66" s="374"/>
      <c r="GL66" s="374"/>
      <c r="GM66" s="374"/>
      <c r="GN66" s="374"/>
      <c r="GO66" s="374"/>
      <c r="GP66" s="374"/>
      <c r="GQ66" s="374"/>
      <c r="GR66" s="374"/>
      <c r="GS66" s="374"/>
      <c r="GT66" s="374"/>
      <c r="GU66" s="374"/>
      <c r="GV66" s="374"/>
      <c r="GW66" s="374"/>
      <c r="GX66" s="374"/>
      <c r="GY66" s="374"/>
      <c r="GZ66" s="374"/>
      <c r="HA66" s="374"/>
      <c r="HB66" s="374"/>
      <c r="HC66" s="374"/>
      <c r="HD66" s="374"/>
      <c r="HE66" s="339"/>
      <c r="HF66" s="339"/>
      <c r="HG66" s="339"/>
      <c r="HH66" s="339"/>
      <c r="HI66" s="339"/>
      <c r="HJ66" s="339"/>
      <c r="HK66" s="339"/>
      <c r="HL66" s="339"/>
      <c r="HM66" s="339"/>
      <c r="HN66" s="339"/>
      <c r="HO66" s="339"/>
      <c r="HP66" s="339"/>
      <c r="HQ66" s="339"/>
      <c r="HR66" s="339"/>
      <c r="HS66" s="339"/>
      <c r="HT66" s="339"/>
      <c r="HU66" s="339"/>
      <c r="HV66" s="339"/>
      <c r="HW66" s="339"/>
      <c r="HX66" s="339"/>
      <c r="HY66" s="339"/>
      <c r="HZ66" s="339"/>
      <c r="IA66" s="339"/>
      <c r="IB66" s="339"/>
      <c r="IC66" s="339"/>
      <c r="ID66" s="339"/>
      <c r="IE66" s="339"/>
      <c r="IF66" s="339"/>
      <c r="IG66" s="339"/>
      <c r="IH66" s="339"/>
      <c r="II66" s="339"/>
      <c r="IJ66" s="339"/>
      <c r="IK66" s="339"/>
      <c r="IL66" s="339"/>
      <c r="IM66" s="339"/>
      <c r="IN66" s="339"/>
      <c r="IO66" s="339"/>
      <c r="IP66" s="339"/>
      <c r="IQ66" s="339"/>
      <c r="IR66" s="339"/>
      <c r="IS66" s="339"/>
      <c r="IT66" s="339"/>
      <c r="IU66" s="339"/>
      <c r="IV66" s="339"/>
      <c r="IW66" s="339"/>
      <c r="IX66" s="339"/>
      <c r="IY66" s="339"/>
      <c r="IZ66" s="339"/>
      <c r="JA66" s="339"/>
      <c r="JB66" s="339"/>
      <c r="JC66" s="339"/>
      <c r="JD66" s="339"/>
      <c r="JE66" s="339"/>
      <c r="JF66" s="339"/>
      <c r="JG66" s="339"/>
      <c r="JH66" s="339"/>
      <c r="JI66" s="339"/>
      <c r="JJ66" s="339"/>
      <c r="JK66" s="339"/>
      <c r="JL66" s="339"/>
      <c r="JM66" s="339"/>
      <c r="JN66" s="339"/>
      <c r="JO66" s="339"/>
      <c r="JP66" s="339"/>
      <c r="JQ66" s="339"/>
      <c r="JR66" s="339"/>
      <c r="JS66" s="339"/>
      <c r="JT66" s="339"/>
      <c r="JU66" s="339"/>
      <c r="JV66" s="339"/>
      <c r="JW66" s="339"/>
      <c r="JX66" s="339"/>
      <c r="JY66" s="339"/>
      <c r="JZ66" s="339"/>
      <c r="KA66" s="339"/>
      <c r="KB66" s="339"/>
      <c r="KC66" s="339"/>
      <c r="KD66" s="339"/>
      <c r="KE66" s="339"/>
      <c r="KF66" s="339"/>
      <c r="KG66" s="339"/>
      <c r="KH66" s="339"/>
      <c r="KI66" s="339"/>
      <c r="KJ66" s="339"/>
      <c r="KK66" s="339"/>
      <c r="KL66" s="339"/>
      <c r="KM66" s="339"/>
      <c r="KN66" s="339"/>
      <c r="KO66" s="339"/>
      <c r="KP66" s="339"/>
      <c r="KQ66" s="339"/>
      <c r="KR66" s="339"/>
      <c r="KS66" s="339"/>
      <c r="KT66" s="339"/>
      <c r="KU66" s="339"/>
      <c r="KV66" s="339"/>
      <c r="KW66" s="339"/>
      <c r="KX66" s="339"/>
      <c r="KY66" s="339"/>
      <c r="KZ66" s="339"/>
      <c r="LA66" s="339"/>
      <c r="LB66" s="339"/>
      <c r="LC66" s="339"/>
      <c r="LD66" s="339"/>
      <c r="LE66" s="339"/>
      <c r="LF66" s="339"/>
      <c r="LG66" s="339"/>
      <c r="LH66" s="339"/>
      <c r="LI66" s="339"/>
      <c r="LJ66" s="339"/>
      <c r="LK66" s="339"/>
      <c r="LL66" s="339"/>
      <c r="LM66" s="339"/>
      <c r="LN66" s="339"/>
      <c r="LO66" s="339"/>
      <c r="LP66" s="339"/>
      <c r="LQ66" s="339"/>
      <c r="LR66" s="339"/>
      <c r="LS66" s="339"/>
      <c r="LT66" s="339"/>
      <c r="LU66" s="339"/>
      <c r="LV66" s="339"/>
      <c r="LW66" s="339"/>
      <c r="LX66" s="339"/>
      <c r="LY66" s="339"/>
      <c r="LZ66" s="339"/>
      <c r="MA66" s="339"/>
      <c r="MB66" s="339"/>
      <c r="MC66" s="339"/>
      <c r="MD66" s="339"/>
      <c r="ME66" s="339"/>
      <c r="MF66" s="339"/>
      <c r="MG66" s="339"/>
      <c r="MH66" s="339"/>
      <c r="MI66" s="339"/>
      <c r="MJ66" s="339"/>
      <c r="MK66" s="339"/>
      <c r="ML66" s="339"/>
      <c r="MM66" s="339"/>
      <c r="MN66" s="339"/>
      <c r="MO66" s="339"/>
      <c r="MP66" s="339"/>
      <c r="MQ66" s="339"/>
      <c r="MR66" s="339"/>
      <c r="MS66" s="339"/>
      <c r="MT66" s="339"/>
      <c r="MU66" s="339"/>
      <c r="MV66" s="339"/>
      <c r="MW66" s="339"/>
      <c r="MX66" s="339"/>
      <c r="MY66" s="339"/>
      <c r="MZ66" s="339"/>
      <c r="NA66" s="339"/>
      <c r="NB66" s="339"/>
      <c r="NC66" s="339"/>
      <c r="ND66" s="339"/>
      <c r="NE66" s="339"/>
      <c r="NF66" s="339"/>
      <c r="NG66" s="339"/>
      <c r="NH66" s="339"/>
      <c r="NI66" s="339"/>
      <c r="NJ66" s="339"/>
      <c r="NK66" s="339"/>
      <c r="NL66" s="339"/>
      <c r="NM66" s="339"/>
      <c r="NN66" s="339"/>
      <c r="NO66" s="339"/>
      <c r="NP66" s="339"/>
      <c r="NQ66" s="339"/>
      <c r="NR66" s="339"/>
      <c r="NS66" s="339"/>
      <c r="NT66" s="339"/>
      <c r="NU66" s="339"/>
      <c r="NV66" s="339"/>
      <c r="NW66" s="339"/>
      <c r="NX66" s="339"/>
      <c r="NY66" s="339"/>
      <c r="NZ66" s="339"/>
      <c r="OA66" s="339"/>
      <c r="OB66" s="339"/>
      <c r="OC66" s="339"/>
      <c r="OD66" s="339"/>
      <c r="OE66" s="339"/>
      <c r="OF66" s="339"/>
      <c r="OG66" s="339"/>
      <c r="OH66" s="339"/>
      <c r="OI66" s="339"/>
      <c r="OJ66" s="339"/>
      <c r="OK66" s="339"/>
      <c r="OL66" s="339"/>
      <c r="OM66" s="339"/>
      <c r="ON66" s="339"/>
      <c r="OO66" s="339"/>
      <c r="OP66" s="339"/>
      <c r="OQ66" s="339"/>
      <c r="OR66" s="339"/>
      <c r="OS66" s="339"/>
      <c r="OT66" s="339"/>
      <c r="OU66" s="339"/>
      <c r="OV66" s="339"/>
      <c r="OW66" s="339"/>
      <c r="OX66" s="339"/>
      <c r="OY66" s="339"/>
      <c r="OZ66" s="339"/>
      <c r="PA66" s="339"/>
      <c r="PB66" s="339"/>
      <c r="PC66" s="339"/>
      <c r="PD66" s="339"/>
      <c r="PE66" s="339"/>
      <c r="PF66" s="339"/>
      <c r="PG66" s="339"/>
      <c r="PH66" s="339"/>
      <c r="PI66" s="339"/>
      <c r="PJ66" s="339"/>
      <c r="PK66" s="339"/>
      <c r="PL66" s="339"/>
      <c r="PM66" s="339"/>
      <c r="PN66" s="339"/>
      <c r="PO66" s="339"/>
      <c r="PP66" s="339"/>
      <c r="PQ66" s="339"/>
      <c r="PR66" s="339"/>
      <c r="PS66" s="339"/>
      <c r="PT66" s="339"/>
      <c r="PU66" s="339"/>
      <c r="PV66" s="339"/>
      <c r="PW66" s="302"/>
      <c r="PX66" s="303"/>
      <c r="PY66" s="303"/>
      <c r="QC66" s="78" t="s">
        <v>23</v>
      </c>
      <c r="QD66" s="78">
        <f>QD39+(0.03/QC3)</f>
        <v>-5.000000000000001E-2</v>
      </c>
      <c r="QE66" s="78">
        <f>QD66</f>
        <v>-5.000000000000001E-2</v>
      </c>
      <c r="QF66" s="78">
        <f>QE66-(0.25/QC3)</f>
        <v>-0.22857142857142859</v>
      </c>
      <c r="QH66" s="78">
        <f>QG39-(0.03/QC3)</f>
        <v>5.000000000000001E-2</v>
      </c>
      <c r="QI66" s="78">
        <f>QH66</f>
        <v>5.000000000000001E-2</v>
      </c>
      <c r="QJ66" s="78">
        <f>QI66+(0.25/QC3)</f>
        <v>0.22857142857142859</v>
      </c>
      <c r="QY66" s="346"/>
      <c r="QZ66" s="346"/>
      <c r="RA66" s="346"/>
      <c r="RB66" s="346"/>
      <c r="RC66" s="346"/>
      <c r="RD66" s="346"/>
      <c r="RE66" s="346"/>
      <c r="RF66" s="346"/>
      <c r="RG66" s="346"/>
      <c r="RH66" s="346"/>
      <c r="RI66" s="346"/>
      <c r="RJ66" s="346"/>
      <c r="RK66" s="346"/>
      <c r="RL66" s="346"/>
      <c r="RM66" s="346"/>
      <c r="RN66" s="346"/>
      <c r="RO66" s="346"/>
      <c r="RP66" s="346"/>
      <c r="RQ66" s="346"/>
      <c r="RR66" s="346"/>
      <c r="RS66" s="346"/>
      <c r="RT66" s="346"/>
      <c r="RU66" s="346"/>
      <c r="RV66" s="346"/>
      <c r="RW66" s="346"/>
      <c r="RX66" s="346"/>
      <c r="RY66" s="346"/>
      <c r="RZ66" s="346"/>
      <c r="SA66" s="346"/>
      <c r="SB66" s="346"/>
      <c r="SC66" s="346"/>
      <c r="SD66" s="346"/>
      <c r="SE66" s="346"/>
      <c r="SF66" s="346"/>
      <c r="SG66" s="346"/>
      <c r="SH66" s="346"/>
      <c r="SI66" s="346"/>
      <c r="SJ66" s="346"/>
      <c r="SK66" s="346"/>
      <c r="SL66" s="346"/>
      <c r="SM66" s="346"/>
      <c r="SN66" s="346"/>
      <c r="SO66" s="346"/>
      <c r="SP66" s="346"/>
      <c r="SQ66" s="346"/>
      <c r="SR66" s="346"/>
      <c r="SS66" s="346"/>
      <c r="ST66" s="346"/>
      <c r="SU66" s="346"/>
      <c r="SV66" s="346"/>
      <c r="SW66" s="346"/>
      <c r="SX66" s="346"/>
      <c r="SY66" s="346"/>
      <c r="SZ66" s="346"/>
      <c r="TA66" s="346"/>
    </row>
    <row r="67" spans="1:521" ht="14.1" customHeight="1" x14ac:dyDescent="0.2">
      <c r="A67" s="226"/>
      <c r="B67" s="226"/>
      <c r="C67" s="226"/>
      <c r="D67" s="226"/>
      <c r="E67" s="226"/>
      <c r="F67" s="226"/>
      <c r="G67" s="226"/>
      <c r="H67" s="226"/>
      <c r="I67" s="226"/>
      <c r="J67" s="226"/>
      <c r="K67" s="226"/>
      <c r="L67" s="226"/>
      <c r="M67" s="226"/>
      <c r="N67" s="226"/>
      <c r="O67" s="226"/>
      <c r="P67" s="226"/>
      <c r="Q67" s="226"/>
      <c r="R67" s="226"/>
      <c r="S67" s="226"/>
      <c r="T67" s="226"/>
      <c r="U67" s="226"/>
      <c r="V67" s="226"/>
      <c r="W67" s="226"/>
      <c r="X67" s="226"/>
      <c r="Y67" s="226"/>
      <c r="Z67" s="226"/>
      <c r="AA67" s="226"/>
      <c r="AB67" s="226"/>
      <c r="AC67" s="226"/>
      <c r="AD67" s="226"/>
      <c r="AE67" s="226"/>
      <c r="AF67" s="226"/>
      <c r="AG67" s="226"/>
      <c r="AH67" s="226"/>
      <c r="AI67" s="226"/>
      <c r="AJ67" s="226"/>
      <c r="AK67" s="226"/>
      <c r="AL67" s="226"/>
      <c r="AM67" s="226"/>
      <c r="AN67" s="226"/>
      <c r="AO67" s="226"/>
      <c r="AP67" s="226"/>
      <c r="AQ67" s="226"/>
      <c r="AR67" s="226"/>
      <c r="AS67" s="226"/>
      <c r="AT67" s="226"/>
      <c r="AU67" s="226"/>
      <c r="AV67" s="226"/>
      <c r="AW67" s="226"/>
      <c r="AX67" s="226"/>
      <c r="AY67" s="226"/>
      <c r="AZ67" s="226"/>
      <c r="BA67" s="226"/>
      <c r="BB67" s="226"/>
      <c r="BC67" s="226"/>
      <c r="BD67" s="226"/>
      <c r="BE67" s="226"/>
      <c r="BF67" s="226"/>
      <c r="BG67" s="226"/>
      <c r="BH67" s="226"/>
      <c r="BI67" s="226"/>
      <c r="BJ67" s="374"/>
      <c r="BK67" s="374"/>
      <c r="BL67" s="374"/>
      <c r="BM67" s="374"/>
      <c r="BN67" s="374"/>
      <c r="BO67" s="374"/>
      <c r="BP67" s="374"/>
      <c r="BQ67" s="374"/>
      <c r="BR67" s="374"/>
      <c r="BS67" s="374"/>
      <c r="BT67" s="374"/>
      <c r="BU67" s="374"/>
      <c r="BV67" s="374"/>
      <c r="BW67" s="374"/>
      <c r="BX67" s="374"/>
      <c r="BY67" s="374"/>
      <c r="BZ67" s="374"/>
      <c r="CA67" s="374"/>
      <c r="CB67" s="374"/>
      <c r="CC67" s="374"/>
      <c r="CD67" s="374"/>
      <c r="CE67" s="374"/>
      <c r="CF67" s="374"/>
      <c r="CG67" s="374"/>
      <c r="CH67" s="374"/>
      <c r="CI67" s="374"/>
      <c r="CJ67" s="374"/>
      <c r="CK67" s="374"/>
      <c r="CL67" s="374"/>
      <c r="CM67" s="374"/>
      <c r="CN67" s="374"/>
      <c r="CO67" s="374"/>
      <c r="CP67" s="374"/>
      <c r="CQ67" s="374"/>
      <c r="CR67" s="374"/>
      <c r="CS67" s="374"/>
      <c r="CT67" s="374"/>
      <c r="CU67" s="374"/>
      <c r="CV67" s="374"/>
      <c r="CW67" s="374"/>
      <c r="CX67" s="374"/>
      <c r="CY67" s="374"/>
      <c r="CZ67" s="374"/>
      <c r="DA67" s="374"/>
      <c r="DB67" s="374"/>
      <c r="DC67" s="374"/>
      <c r="DD67" s="374"/>
      <c r="DE67" s="374"/>
      <c r="DF67" s="374"/>
      <c r="DG67" s="374"/>
      <c r="DH67" s="374"/>
      <c r="DI67" s="374"/>
      <c r="DJ67" s="374"/>
      <c r="DK67" s="374"/>
      <c r="DL67" s="374"/>
      <c r="DM67" s="374"/>
      <c r="DN67" s="374"/>
      <c r="DO67" s="374"/>
      <c r="DP67" s="374"/>
      <c r="DQ67" s="374"/>
      <c r="DR67" s="374"/>
      <c r="DS67" s="374"/>
      <c r="DT67" s="374"/>
      <c r="DU67" s="374"/>
      <c r="DV67" s="374"/>
      <c r="DW67" s="374"/>
      <c r="DX67" s="374"/>
      <c r="DY67" s="374"/>
      <c r="DZ67" s="374"/>
      <c r="EA67" s="374"/>
      <c r="EB67" s="374"/>
      <c r="EC67" s="374"/>
      <c r="ED67" s="374"/>
      <c r="EE67" s="374"/>
      <c r="EF67" s="374"/>
      <c r="EG67" s="374"/>
      <c r="EH67" s="374"/>
      <c r="EI67" s="374"/>
      <c r="EJ67" s="374"/>
      <c r="EK67" s="374"/>
      <c r="EL67" s="374"/>
      <c r="EM67" s="374"/>
      <c r="EN67" s="374"/>
      <c r="EO67" s="374"/>
      <c r="EP67" s="374"/>
      <c r="EQ67" s="374"/>
      <c r="ER67" s="374"/>
      <c r="ES67" s="374"/>
      <c r="ET67" s="374"/>
      <c r="EU67" s="374"/>
      <c r="EV67" s="374"/>
      <c r="EW67" s="374"/>
      <c r="EX67" s="374"/>
      <c r="EY67" s="374"/>
      <c r="EZ67" s="374"/>
      <c r="FA67" s="374"/>
      <c r="FB67" s="374"/>
      <c r="FC67" s="374"/>
      <c r="FD67" s="374"/>
      <c r="FE67" s="374"/>
      <c r="FF67" s="374"/>
      <c r="FG67" s="374"/>
      <c r="FH67" s="374"/>
      <c r="FI67" s="374"/>
      <c r="FJ67" s="374"/>
      <c r="FK67" s="374"/>
      <c r="FL67" s="374"/>
      <c r="FM67" s="374"/>
      <c r="FN67" s="374"/>
      <c r="FO67" s="374"/>
      <c r="FP67" s="374"/>
      <c r="FQ67" s="374"/>
      <c r="FR67" s="374"/>
      <c r="FS67" s="374"/>
      <c r="FT67" s="374"/>
      <c r="FU67" s="374"/>
      <c r="FV67" s="374"/>
      <c r="FW67" s="374"/>
      <c r="FX67" s="374"/>
      <c r="FY67" s="374"/>
      <c r="FZ67" s="374"/>
      <c r="GA67" s="374"/>
      <c r="GB67" s="374"/>
      <c r="GC67" s="374"/>
      <c r="GD67" s="374"/>
      <c r="GE67" s="374"/>
      <c r="GF67" s="374"/>
      <c r="GG67" s="374"/>
      <c r="GH67" s="374"/>
      <c r="GI67" s="374"/>
      <c r="GJ67" s="374"/>
      <c r="GK67" s="374"/>
      <c r="GL67" s="374"/>
      <c r="GM67" s="374"/>
      <c r="GN67" s="374"/>
      <c r="GO67" s="374"/>
      <c r="GP67" s="374"/>
      <c r="GQ67" s="374"/>
      <c r="GR67" s="374"/>
      <c r="GS67" s="374"/>
      <c r="GT67" s="374"/>
      <c r="GU67" s="374"/>
      <c r="GV67" s="374"/>
      <c r="GW67" s="374"/>
      <c r="GX67" s="374"/>
      <c r="GY67" s="374"/>
      <c r="GZ67" s="374"/>
      <c r="HA67" s="374"/>
      <c r="HB67" s="374"/>
      <c r="HC67" s="374"/>
      <c r="HD67" s="374"/>
      <c r="HE67" s="339"/>
      <c r="HF67" s="339"/>
      <c r="HG67" s="339"/>
      <c r="HH67" s="339"/>
      <c r="HI67" s="339"/>
      <c r="HJ67" s="339"/>
      <c r="HK67" s="339"/>
      <c r="HL67" s="339"/>
      <c r="HM67" s="339"/>
      <c r="HN67" s="339"/>
      <c r="HO67" s="339"/>
      <c r="HP67" s="339"/>
      <c r="HQ67" s="339"/>
      <c r="HR67" s="339"/>
      <c r="HS67" s="339"/>
      <c r="HT67" s="339"/>
      <c r="HU67" s="339"/>
      <c r="HV67" s="339"/>
      <c r="HW67" s="339"/>
      <c r="HX67" s="339"/>
      <c r="HY67" s="339"/>
      <c r="HZ67" s="339"/>
      <c r="IA67" s="339"/>
      <c r="IB67" s="339"/>
      <c r="IC67" s="339"/>
      <c r="ID67" s="339"/>
      <c r="IE67" s="339"/>
      <c r="IF67" s="339"/>
      <c r="IG67" s="339"/>
      <c r="IH67" s="339"/>
      <c r="II67" s="339"/>
      <c r="IJ67" s="339"/>
      <c r="IK67" s="339"/>
      <c r="IL67" s="339"/>
      <c r="IM67" s="339"/>
      <c r="IN67" s="339"/>
      <c r="IO67" s="339"/>
      <c r="IP67" s="339"/>
      <c r="IQ67" s="339"/>
      <c r="IR67" s="339"/>
      <c r="IS67" s="339"/>
      <c r="IT67" s="339"/>
      <c r="IU67" s="339"/>
      <c r="IV67" s="339"/>
      <c r="IW67" s="339"/>
      <c r="IX67" s="339"/>
      <c r="IY67" s="339"/>
      <c r="IZ67" s="339"/>
      <c r="JA67" s="339"/>
      <c r="JB67" s="339"/>
      <c r="JC67" s="339"/>
      <c r="JD67" s="339"/>
      <c r="JE67" s="339"/>
      <c r="JF67" s="339"/>
      <c r="JG67" s="339"/>
      <c r="JH67" s="339"/>
      <c r="JI67" s="339"/>
      <c r="JJ67" s="339"/>
      <c r="JK67" s="339"/>
      <c r="JL67" s="339"/>
      <c r="JM67" s="339"/>
      <c r="JN67" s="339"/>
      <c r="JO67" s="339"/>
      <c r="JP67" s="339"/>
      <c r="JQ67" s="339"/>
      <c r="JR67" s="339"/>
      <c r="JS67" s="339"/>
      <c r="JT67" s="339"/>
      <c r="JU67" s="339"/>
      <c r="JV67" s="339"/>
      <c r="JW67" s="339"/>
      <c r="JX67" s="339"/>
      <c r="JY67" s="339"/>
      <c r="JZ67" s="339"/>
      <c r="KA67" s="339"/>
      <c r="KB67" s="339"/>
      <c r="KC67" s="339"/>
      <c r="KD67" s="339"/>
      <c r="KE67" s="339"/>
      <c r="KF67" s="339"/>
      <c r="KG67" s="339"/>
      <c r="KH67" s="339"/>
      <c r="KI67" s="339"/>
      <c r="KJ67" s="339"/>
      <c r="KK67" s="339"/>
      <c r="KL67" s="339"/>
      <c r="KM67" s="339"/>
      <c r="KN67" s="339"/>
      <c r="KO67" s="339"/>
      <c r="KP67" s="339"/>
      <c r="KQ67" s="339"/>
      <c r="KR67" s="339"/>
      <c r="KS67" s="339"/>
      <c r="KT67" s="339"/>
      <c r="KU67" s="339"/>
      <c r="KV67" s="339"/>
      <c r="KW67" s="339"/>
      <c r="KX67" s="339"/>
      <c r="KY67" s="339"/>
      <c r="KZ67" s="339"/>
      <c r="LA67" s="339"/>
      <c r="LB67" s="339"/>
      <c r="LC67" s="339"/>
      <c r="LD67" s="339"/>
      <c r="LE67" s="339"/>
      <c r="LF67" s="339"/>
      <c r="LG67" s="339"/>
      <c r="LH67" s="339"/>
      <c r="LI67" s="339"/>
      <c r="LJ67" s="339"/>
      <c r="LK67" s="339"/>
      <c r="LL67" s="339"/>
      <c r="LM67" s="339"/>
      <c r="LN67" s="339"/>
      <c r="LO67" s="339"/>
      <c r="LP67" s="339"/>
      <c r="LQ67" s="339"/>
      <c r="LR67" s="339"/>
      <c r="LS67" s="339"/>
      <c r="LT67" s="339"/>
      <c r="LU67" s="339"/>
      <c r="LV67" s="339"/>
      <c r="LW67" s="339"/>
      <c r="LX67" s="339"/>
      <c r="LY67" s="339"/>
      <c r="LZ67" s="339"/>
      <c r="MA67" s="339"/>
      <c r="MB67" s="339"/>
      <c r="MC67" s="339"/>
      <c r="MD67" s="339"/>
      <c r="ME67" s="339"/>
      <c r="MF67" s="339"/>
      <c r="MG67" s="339"/>
      <c r="MH67" s="339"/>
      <c r="MI67" s="339"/>
      <c r="MJ67" s="339"/>
      <c r="MK67" s="339"/>
      <c r="ML67" s="339"/>
      <c r="MM67" s="339"/>
      <c r="MN67" s="339"/>
      <c r="MO67" s="339"/>
      <c r="MP67" s="339"/>
      <c r="MQ67" s="339"/>
      <c r="MR67" s="339"/>
      <c r="MS67" s="339"/>
      <c r="MT67" s="339"/>
      <c r="MU67" s="339"/>
      <c r="MV67" s="339"/>
      <c r="MW67" s="339"/>
      <c r="MX67" s="339"/>
      <c r="MY67" s="339"/>
      <c r="MZ67" s="339"/>
      <c r="NA67" s="339"/>
      <c r="NB67" s="339"/>
      <c r="NC67" s="339"/>
      <c r="ND67" s="339"/>
      <c r="NE67" s="339"/>
      <c r="NF67" s="339"/>
      <c r="NG67" s="339"/>
      <c r="NH67" s="339"/>
      <c r="NI67" s="339"/>
      <c r="NJ67" s="339"/>
      <c r="NK67" s="339"/>
      <c r="NL67" s="339"/>
      <c r="NM67" s="339"/>
      <c r="NN67" s="339"/>
      <c r="NO67" s="339"/>
      <c r="NP67" s="339"/>
      <c r="NQ67" s="339"/>
      <c r="NR67" s="339"/>
      <c r="NS67" s="339"/>
      <c r="NT67" s="339"/>
      <c r="NU67" s="339"/>
      <c r="NV67" s="339"/>
      <c r="NW67" s="339"/>
      <c r="NX67" s="339"/>
      <c r="NY67" s="339"/>
      <c r="NZ67" s="339"/>
      <c r="OA67" s="339"/>
      <c r="OB67" s="339"/>
      <c r="OC67" s="339"/>
      <c r="OD67" s="339"/>
      <c r="OE67" s="339"/>
      <c r="OF67" s="339"/>
      <c r="OG67" s="339"/>
      <c r="OH67" s="339"/>
      <c r="OI67" s="339"/>
      <c r="OJ67" s="339"/>
      <c r="OK67" s="339"/>
      <c r="OL67" s="339"/>
      <c r="OM67" s="339"/>
      <c r="ON67" s="339"/>
      <c r="OO67" s="339"/>
      <c r="OP67" s="339"/>
      <c r="OQ67" s="339"/>
      <c r="OR67" s="339"/>
      <c r="OS67" s="339"/>
      <c r="OT67" s="339"/>
      <c r="OU67" s="339"/>
      <c r="OV67" s="339"/>
      <c r="OW67" s="339"/>
      <c r="OX67" s="339"/>
      <c r="OY67" s="339"/>
      <c r="OZ67" s="339"/>
      <c r="PA67" s="339"/>
      <c r="PB67" s="339"/>
      <c r="PC67" s="339"/>
      <c r="PD67" s="339"/>
      <c r="PE67" s="339"/>
      <c r="PF67" s="339"/>
      <c r="PG67" s="339"/>
      <c r="PH67" s="339"/>
      <c r="PI67" s="339"/>
      <c r="PJ67" s="339"/>
      <c r="PK67" s="339"/>
      <c r="PL67" s="339"/>
      <c r="PM67" s="339"/>
      <c r="PN67" s="339"/>
      <c r="PO67" s="339"/>
      <c r="PP67" s="339"/>
      <c r="PQ67" s="339"/>
      <c r="PR67" s="339"/>
      <c r="PS67" s="339"/>
      <c r="PT67" s="339"/>
      <c r="PU67" s="339"/>
      <c r="PV67" s="339"/>
      <c r="PW67" s="302"/>
      <c r="PX67" s="303"/>
      <c r="PY67" s="303"/>
      <c r="QC67" s="78" t="s">
        <v>24</v>
      </c>
      <c r="QD67" s="78">
        <f>QE40</f>
        <v>0.8</v>
      </c>
      <c r="QE67" s="78">
        <f>QH64+(0.05/QC3)</f>
        <v>8.9285714285714302E-2</v>
      </c>
      <c r="QF67" s="78">
        <f>QE67</f>
        <v>8.9285714285714302E-2</v>
      </c>
      <c r="QH67" s="78">
        <f>QD67</f>
        <v>0.8</v>
      </c>
      <c r="QI67" s="78">
        <f>QE67</f>
        <v>8.9285714285714302E-2</v>
      </c>
      <c r="QJ67" s="78">
        <f>QF67</f>
        <v>8.9285714285714302E-2</v>
      </c>
      <c r="QY67" s="346"/>
      <c r="QZ67" s="346"/>
      <c r="RA67" s="346"/>
      <c r="RB67" s="346"/>
      <c r="RC67" s="346"/>
      <c r="RD67" s="346"/>
      <c r="RE67" s="346"/>
      <c r="RF67" s="346"/>
      <c r="RG67" s="346"/>
      <c r="RH67" s="346"/>
      <c r="RI67" s="346"/>
      <c r="RJ67" s="346"/>
      <c r="RK67" s="346"/>
      <c r="RL67" s="346"/>
      <c r="RM67" s="346"/>
      <c r="RN67" s="346"/>
      <c r="RO67" s="346"/>
      <c r="RP67" s="346"/>
      <c r="RQ67" s="346"/>
      <c r="RR67" s="346"/>
      <c r="RS67" s="346"/>
      <c r="RT67" s="346"/>
      <c r="RU67" s="346"/>
      <c r="RV67" s="346"/>
      <c r="RW67" s="346"/>
      <c r="RX67" s="346"/>
      <c r="RY67" s="346"/>
      <c r="RZ67" s="346"/>
      <c r="SA67" s="346"/>
      <c r="SB67" s="346"/>
      <c r="SC67" s="346"/>
      <c r="SD67" s="346"/>
      <c r="SE67" s="346"/>
      <c r="SF67" s="346"/>
      <c r="SG67" s="346"/>
      <c r="SH67" s="346"/>
      <c r="SI67" s="346"/>
      <c r="SJ67" s="346"/>
      <c r="SK67" s="346"/>
      <c r="SL67" s="346"/>
      <c r="SM67" s="346"/>
      <c r="SN67" s="346"/>
      <c r="SO67" s="346"/>
      <c r="SP67" s="346"/>
      <c r="SQ67" s="346"/>
      <c r="SR67" s="346"/>
      <c r="SS67" s="346"/>
      <c r="ST67" s="346"/>
      <c r="SU67" s="346"/>
      <c r="SV67" s="346"/>
      <c r="SW67" s="346"/>
      <c r="SX67" s="346"/>
      <c r="SY67" s="346"/>
      <c r="SZ67" s="346"/>
      <c r="TA67" s="346"/>
    </row>
    <row r="68" spans="1:521" ht="14.1" customHeight="1" x14ac:dyDescent="0.2">
      <c r="A68" s="226"/>
      <c r="B68" s="226"/>
      <c r="C68" s="226"/>
      <c r="D68" s="226"/>
      <c r="E68" s="226"/>
      <c r="F68" s="226"/>
      <c r="G68" s="226"/>
      <c r="H68" s="226"/>
      <c r="I68" s="226"/>
      <c r="J68" s="226"/>
      <c r="K68" s="226"/>
      <c r="L68" s="226"/>
      <c r="M68" s="226"/>
      <c r="N68" s="226"/>
      <c r="O68" s="226"/>
      <c r="P68" s="226"/>
      <c r="Q68" s="226"/>
      <c r="R68" s="226"/>
      <c r="S68" s="226"/>
      <c r="T68" s="226"/>
      <c r="U68" s="226"/>
      <c r="V68" s="226"/>
      <c r="W68" s="226"/>
      <c r="X68" s="226"/>
      <c r="Y68" s="226"/>
      <c r="Z68" s="226"/>
      <c r="AA68" s="226"/>
      <c r="AB68" s="226"/>
      <c r="AC68" s="226"/>
      <c r="AD68" s="226"/>
      <c r="AE68" s="226"/>
      <c r="AF68" s="226"/>
      <c r="AG68" s="226"/>
      <c r="AH68" s="226"/>
      <c r="AI68" s="226"/>
      <c r="AJ68" s="226"/>
      <c r="AK68" s="226"/>
      <c r="AL68" s="226"/>
      <c r="AM68" s="226"/>
      <c r="AN68" s="226"/>
      <c r="AO68" s="226"/>
      <c r="AP68" s="226"/>
      <c r="AQ68" s="226"/>
      <c r="AR68" s="226"/>
      <c r="AS68" s="226"/>
      <c r="AT68" s="226"/>
      <c r="AU68" s="226"/>
      <c r="AV68" s="226"/>
      <c r="AW68" s="226"/>
      <c r="AX68" s="226"/>
      <c r="AY68" s="226"/>
      <c r="AZ68" s="226"/>
      <c r="BA68" s="226"/>
      <c r="BB68" s="226"/>
      <c r="BC68" s="226"/>
      <c r="BD68" s="226"/>
      <c r="BE68" s="226"/>
      <c r="BF68" s="226"/>
      <c r="BG68" s="226"/>
      <c r="BH68" s="226"/>
      <c r="BI68" s="226"/>
      <c r="BJ68" s="374"/>
      <c r="BK68" s="374"/>
      <c r="BL68" s="374"/>
      <c r="BM68" s="374"/>
      <c r="BN68" s="374"/>
      <c r="BO68" s="374"/>
      <c r="BP68" s="374"/>
      <c r="BQ68" s="374"/>
      <c r="BR68" s="374"/>
      <c r="BS68" s="374"/>
      <c r="BT68" s="374"/>
      <c r="BU68" s="374"/>
      <c r="BV68" s="374"/>
      <c r="BW68" s="374"/>
      <c r="BX68" s="374"/>
      <c r="BY68" s="374"/>
      <c r="BZ68" s="374"/>
      <c r="CA68" s="374"/>
      <c r="CB68" s="374"/>
      <c r="CC68" s="374"/>
      <c r="CD68" s="374"/>
      <c r="CE68" s="374"/>
      <c r="CF68" s="374"/>
      <c r="CG68" s="374"/>
      <c r="CH68" s="374"/>
      <c r="CI68" s="374"/>
      <c r="CJ68" s="374"/>
      <c r="CK68" s="374"/>
      <c r="CL68" s="374"/>
      <c r="CM68" s="374"/>
      <c r="CN68" s="374"/>
      <c r="CO68" s="374"/>
      <c r="CP68" s="374"/>
      <c r="CQ68" s="374"/>
      <c r="CR68" s="374"/>
      <c r="CS68" s="374"/>
      <c r="CT68" s="374"/>
      <c r="CU68" s="374"/>
      <c r="CV68" s="374"/>
      <c r="CW68" s="374"/>
      <c r="CX68" s="374"/>
      <c r="CY68" s="374"/>
      <c r="CZ68" s="374"/>
      <c r="DA68" s="374"/>
      <c r="DB68" s="374"/>
      <c r="DC68" s="374"/>
      <c r="DD68" s="374"/>
      <c r="DE68" s="374"/>
      <c r="DF68" s="374"/>
      <c r="DG68" s="374"/>
      <c r="DH68" s="374"/>
      <c r="DI68" s="374"/>
      <c r="DJ68" s="374"/>
      <c r="DK68" s="374"/>
      <c r="DL68" s="374"/>
      <c r="DM68" s="374"/>
      <c r="DN68" s="374"/>
      <c r="DO68" s="374"/>
      <c r="DP68" s="374"/>
      <c r="DQ68" s="374"/>
      <c r="DR68" s="374"/>
      <c r="DS68" s="374"/>
      <c r="DT68" s="374"/>
      <c r="DU68" s="374"/>
      <c r="DV68" s="374"/>
      <c r="DW68" s="374"/>
      <c r="DX68" s="374"/>
      <c r="DY68" s="374"/>
      <c r="DZ68" s="374"/>
      <c r="EA68" s="374"/>
      <c r="EB68" s="374"/>
      <c r="EC68" s="374"/>
      <c r="ED68" s="374"/>
      <c r="EE68" s="374"/>
      <c r="EF68" s="374"/>
      <c r="EG68" s="374"/>
      <c r="EH68" s="374"/>
      <c r="EI68" s="374"/>
      <c r="EJ68" s="374"/>
      <c r="EK68" s="374"/>
      <c r="EL68" s="374"/>
      <c r="EM68" s="374"/>
      <c r="EN68" s="374"/>
      <c r="EO68" s="374"/>
      <c r="EP68" s="374"/>
      <c r="EQ68" s="374"/>
      <c r="ER68" s="374"/>
      <c r="ES68" s="374"/>
      <c r="ET68" s="374"/>
      <c r="EU68" s="374"/>
      <c r="EV68" s="374"/>
      <c r="EW68" s="374"/>
      <c r="EX68" s="374"/>
      <c r="EY68" s="374"/>
      <c r="EZ68" s="374"/>
      <c r="FA68" s="374"/>
      <c r="FB68" s="374"/>
      <c r="FC68" s="374"/>
      <c r="FD68" s="374"/>
      <c r="FE68" s="374"/>
      <c r="FF68" s="374"/>
      <c r="FG68" s="374"/>
      <c r="FH68" s="374"/>
      <c r="FI68" s="374"/>
      <c r="FJ68" s="374"/>
      <c r="FK68" s="374"/>
      <c r="FL68" s="374"/>
      <c r="FM68" s="374"/>
      <c r="FN68" s="374"/>
      <c r="FO68" s="374"/>
      <c r="FP68" s="374"/>
      <c r="FQ68" s="374"/>
      <c r="FR68" s="374"/>
      <c r="FS68" s="374"/>
      <c r="FT68" s="374"/>
      <c r="FU68" s="374"/>
      <c r="FV68" s="374"/>
      <c r="FW68" s="374"/>
      <c r="FX68" s="374"/>
      <c r="FY68" s="374"/>
      <c r="FZ68" s="374"/>
      <c r="GA68" s="374"/>
      <c r="GB68" s="374"/>
      <c r="GC68" s="374"/>
      <c r="GD68" s="374"/>
      <c r="GE68" s="374"/>
      <c r="GF68" s="374"/>
      <c r="GG68" s="374"/>
      <c r="GH68" s="374"/>
      <c r="GI68" s="374"/>
      <c r="GJ68" s="374"/>
      <c r="GK68" s="374"/>
      <c r="GL68" s="374"/>
      <c r="GM68" s="374"/>
      <c r="GN68" s="374"/>
      <c r="GO68" s="374"/>
      <c r="GP68" s="374"/>
      <c r="GQ68" s="374"/>
      <c r="GR68" s="374"/>
      <c r="GS68" s="374"/>
      <c r="GT68" s="374"/>
      <c r="GU68" s="374"/>
      <c r="GV68" s="374"/>
      <c r="GW68" s="374"/>
      <c r="GX68" s="374"/>
      <c r="GY68" s="374"/>
      <c r="GZ68" s="374"/>
      <c r="HA68" s="374"/>
      <c r="HB68" s="374"/>
      <c r="HC68" s="374"/>
      <c r="HD68" s="374"/>
      <c r="HE68" s="339"/>
      <c r="HF68" s="339"/>
      <c r="HG68" s="339"/>
      <c r="HH68" s="339"/>
      <c r="HI68" s="339"/>
      <c r="HJ68" s="339"/>
      <c r="HK68" s="339"/>
      <c r="HL68" s="339"/>
      <c r="HM68" s="339"/>
      <c r="HN68" s="339"/>
      <c r="HO68" s="339"/>
      <c r="HP68" s="339"/>
      <c r="HQ68" s="339"/>
      <c r="HR68" s="339"/>
      <c r="HS68" s="339"/>
      <c r="HT68" s="339"/>
      <c r="HU68" s="339"/>
      <c r="HV68" s="339"/>
      <c r="HW68" s="339"/>
      <c r="HX68" s="339"/>
      <c r="HY68" s="339"/>
      <c r="HZ68" s="339"/>
      <c r="IA68" s="339"/>
      <c r="IB68" s="339"/>
      <c r="IC68" s="339"/>
      <c r="ID68" s="339"/>
      <c r="IE68" s="339"/>
      <c r="IF68" s="339"/>
      <c r="IG68" s="339"/>
      <c r="IH68" s="339"/>
      <c r="II68" s="339"/>
      <c r="IJ68" s="339"/>
      <c r="IK68" s="339"/>
      <c r="IL68" s="339"/>
      <c r="IM68" s="339"/>
      <c r="IN68" s="339"/>
      <c r="IO68" s="339"/>
      <c r="IP68" s="339"/>
      <c r="IQ68" s="339"/>
      <c r="IR68" s="339"/>
      <c r="IS68" s="339"/>
      <c r="IT68" s="339"/>
      <c r="IU68" s="339"/>
      <c r="IV68" s="339"/>
      <c r="IW68" s="339"/>
      <c r="IX68" s="339"/>
      <c r="IY68" s="339"/>
      <c r="IZ68" s="339"/>
      <c r="JA68" s="339"/>
      <c r="JB68" s="339"/>
      <c r="JC68" s="339"/>
      <c r="JD68" s="339"/>
      <c r="JE68" s="339"/>
      <c r="JF68" s="339"/>
      <c r="JG68" s="339"/>
      <c r="JH68" s="339"/>
      <c r="JI68" s="339"/>
      <c r="JJ68" s="339"/>
      <c r="JK68" s="339"/>
      <c r="JL68" s="339"/>
      <c r="JM68" s="339"/>
      <c r="JN68" s="339"/>
      <c r="JO68" s="339"/>
      <c r="JP68" s="339"/>
      <c r="JQ68" s="339"/>
      <c r="JR68" s="339"/>
      <c r="JS68" s="339"/>
      <c r="JT68" s="339"/>
      <c r="JU68" s="339"/>
      <c r="JV68" s="339"/>
      <c r="JW68" s="339"/>
      <c r="JX68" s="339"/>
      <c r="JY68" s="339"/>
      <c r="JZ68" s="339"/>
      <c r="KA68" s="339"/>
      <c r="KB68" s="339"/>
      <c r="KC68" s="339"/>
      <c r="KD68" s="339"/>
      <c r="KE68" s="339"/>
      <c r="KF68" s="339"/>
      <c r="KG68" s="339"/>
      <c r="KH68" s="339"/>
      <c r="KI68" s="339"/>
      <c r="KJ68" s="339"/>
      <c r="KK68" s="339"/>
      <c r="KL68" s="339"/>
      <c r="KM68" s="339"/>
      <c r="KN68" s="339"/>
      <c r="KO68" s="339"/>
      <c r="KP68" s="339"/>
      <c r="KQ68" s="339"/>
      <c r="KR68" s="339"/>
      <c r="KS68" s="339"/>
      <c r="KT68" s="339"/>
      <c r="KU68" s="339"/>
      <c r="KV68" s="339"/>
      <c r="KW68" s="339"/>
      <c r="KX68" s="339"/>
      <c r="KY68" s="339"/>
      <c r="KZ68" s="339"/>
      <c r="LA68" s="339"/>
      <c r="LB68" s="339"/>
      <c r="LC68" s="339"/>
      <c r="LD68" s="339"/>
      <c r="LE68" s="339"/>
      <c r="LF68" s="339"/>
      <c r="LG68" s="339"/>
      <c r="LH68" s="339"/>
      <c r="LI68" s="339"/>
      <c r="LJ68" s="339"/>
      <c r="LK68" s="339"/>
      <c r="LL68" s="339"/>
      <c r="LM68" s="339"/>
      <c r="LN68" s="339"/>
      <c r="LO68" s="339"/>
      <c r="LP68" s="339"/>
      <c r="LQ68" s="339"/>
      <c r="LR68" s="339"/>
      <c r="LS68" s="339"/>
      <c r="LT68" s="339"/>
      <c r="LU68" s="339"/>
      <c r="LV68" s="339"/>
      <c r="LW68" s="339"/>
      <c r="LX68" s="339"/>
      <c r="LY68" s="339"/>
      <c r="LZ68" s="339"/>
      <c r="MA68" s="339"/>
      <c r="MB68" s="339"/>
      <c r="MC68" s="339"/>
      <c r="MD68" s="339"/>
      <c r="ME68" s="339"/>
      <c r="MF68" s="339"/>
      <c r="MG68" s="339"/>
      <c r="MH68" s="339"/>
      <c r="MI68" s="339"/>
      <c r="MJ68" s="339"/>
      <c r="MK68" s="339"/>
      <c r="ML68" s="339"/>
      <c r="MM68" s="339"/>
      <c r="MN68" s="339"/>
      <c r="MO68" s="339"/>
      <c r="MP68" s="339"/>
      <c r="MQ68" s="339"/>
      <c r="MR68" s="339"/>
      <c r="MS68" s="339"/>
      <c r="MT68" s="339"/>
      <c r="MU68" s="339"/>
      <c r="MV68" s="339"/>
      <c r="MW68" s="339"/>
      <c r="MX68" s="339"/>
      <c r="MY68" s="339"/>
      <c r="MZ68" s="339"/>
      <c r="NA68" s="339"/>
      <c r="NB68" s="339"/>
      <c r="NC68" s="339"/>
      <c r="ND68" s="339"/>
      <c r="NE68" s="339"/>
      <c r="NF68" s="339"/>
      <c r="NG68" s="339"/>
      <c r="NH68" s="339"/>
      <c r="NI68" s="339"/>
      <c r="NJ68" s="339"/>
      <c r="NK68" s="339"/>
      <c r="NL68" s="339"/>
      <c r="NM68" s="339"/>
      <c r="NN68" s="339"/>
      <c r="NO68" s="339"/>
      <c r="NP68" s="339"/>
      <c r="NQ68" s="339"/>
      <c r="NR68" s="339"/>
      <c r="NS68" s="339"/>
      <c r="NT68" s="339"/>
      <c r="NU68" s="339"/>
      <c r="NV68" s="339"/>
      <c r="NW68" s="339"/>
      <c r="NX68" s="339"/>
      <c r="NY68" s="339"/>
      <c r="NZ68" s="339"/>
      <c r="OA68" s="339"/>
      <c r="OB68" s="339"/>
      <c r="OC68" s="339"/>
      <c r="OD68" s="339"/>
      <c r="OE68" s="339"/>
      <c r="OF68" s="339"/>
      <c r="OG68" s="339"/>
      <c r="OH68" s="339"/>
      <c r="OI68" s="339"/>
      <c r="OJ68" s="339"/>
      <c r="OK68" s="339"/>
      <c r="OL68" s="339"/>
      <c r="OM68" s="339"/>
      <c r="ON68" s="339"/>
      <c r="OO68" s="339"/>
      <c r="OP68" s="339"/>
      <c r="OQ68" s="339"/>
      <c r="OR68" s="339"/>
      <c r="OS68" s="339"/>
      <c r="OT68" s="339"/>
      <c r="OU68" s="339"/>
      <c r="OV68" s="339"/>
      <c r="OW68" s="339"/>
      <c r="OX68" s="339"/>
      <c r="OY68" s="339"/>
      <c r="OZ68" s="339"/>
      <c r="PA68" s="339"/>
      <c r="PB68" s="339"/>
      <c r="PC68" s="339"/>
      <c r="PD68" s="339"/>
      <c r="PE68" s="339"/>
      <c r="PF68" s="339"/>
      <c r="PG68" s="339"/>
      <c r="PH68" s="339"/>
      <c r="PI68" s="339"/>
      <c r="PJ68" s="339"/>
      <c r="PK68" s="339"/>
      <c r="PL68" s="339"/>
      <c r="PM68" s="339"/>
      <c r="PN68" s="339"/>
      <c r="PO68" s="339"/>
      <c r="PP68" s="339"/>
      <c r="PQ68" s="339"/>
      <c r="PR68" s="339"/>
      <c r="PS68" s="339"/>
      <c r="PT68" s="339"/>
      <c r="PU68" s="339"/>
      <c r="PV68" s="339"/>
      <c r="PW68" s="302"/>
      <c r="PX68" s="303"/>
      <c r="PY68" s="303"/>
      <c r="QC68" s="78" t="s">
        <v>128</v>
      </c>
      <c r="QE68" s="300">
        <f>(QL63-QG63)-(0.04/QC3)</f>
        <v>0.86428571428571421</v>
      </c>
      <c r="QF68" s="337">
        <f>QE68/(QI3-1)</f>
        <v>0.12346938775510204</v>
      </c>
      <c r="QY68" s="346"/>
      <c r="QZ68" s="346"/>
      <c r="RA68" s="346"/>
      <c r="RB68" s="346"/>
      <c r="RC68" s="346"/>
      <c r="RD68" s="346"/>
      <c r="RE68" s="346"/>
      <c r="RF68" s="346"/>
      <c r="RG68" s="346"/>
      <c r="RH68" s="346"/>
      <c r="RI68" s="346"/>
      <c r="RJ68" s="346"/>
      <c r="RK68" s="346"/>
      <c r="RL68" s="346"/>
      <c r="RM68" s="346"/>
      <c r="RN68" s="346"/>
      <c r="RO68" s="346"/>
      <c r="RP68" s="346"/>
      <c r="RQ68" s="346"/>
      <c r="RR68" s="346"/>
      <c r="RS68" s="346"/>
      <c r="RT68" s="346"/>
      <c r="RU68" s="346"/>
      <c r="RV68" s="346"/>
      <c r="RW68" s="346"/>
      <c r="RX68" s="346"/>
      <c r="RY68" s="346"/>
      <c r="RZ68" s="346"/>
      <c r="SA68" s="346"/>
      <c r="SB68" s="346"/>
      <c r="SC68" s="346"/>
      <c r="SD68" s="346"/>
      <c r="SE68" s="346"/>
      <c r="SF68" s="346"/>
      <c r="SG68" s="346"/>
      <c r="SH68" s="346"/>
      <c r="SI68" s="346"/>
      <c r="SJ68" s="346"/>
      <c r="SK68" s="346"/>
      <c r="SL68" s="346"/>
      <c r="SM68" s="346"/>
      <c r="SN68" s="346"/>
      <c r="SO68" s="346"/>
      <c r="SP68" s="346"/>
      <c r="SQ68" s="346"/>
      <c r="SR68" s="346"/>
      <c r="SS68" s="346"/>
      <c r="ST68" s="346"/>
      <c r="SU68" s="346"/>
      <c r="SV68" s="346"/>
      <c r="SW68" s="346"/>
      <c r="SX68" s="346"/>
      <c r="SY68" s="346"/>
      <c r="SZ68" s="346"/>
      <c r="TA68" s="346"/>
    </row>
    <row r="69" spans="1:521" ht="14.1" customHeight="1" x14ac:dyDescent="0.2">
      <c r="A69" s="226"/>
      <c r="B69" s="226"/>
      <c r="C69" s="226"/>
      <c r="D69" s="226"/>
      <c r="E69" s="226"/>
      <c r="F69" s="226"/>
      <c r="G69" s="226"/>
      <c r="H69" s="226"/>
      <c r="I69" s="226"/>
      <c r="J69" s="226"/>
      <c r="K69" s="226"/>
      <c r="L69" s="226"/>
      <c r="M69" s="226"/>
      <c r="N69" s="226"/>
      <c r="O69" s="226"/>
      <c r="P69" s="226"/>
      <c r="Q69" s="226"/>
      <c r="R69" s="226"/>
      <c r="S69" s="226"/>
      <c r="T69" s="226"/>
      <c r="U69" s="226"/>
      <c r="V69" s="226"/>
      <c r="W69" s="226"/>
      <c r="X69" s="226"/>
      <c r="Y69" s="226"/>
      <c r="Z69" s="226"/>
      <c r="AA69" s="226"/>
      <c r="AB69" s="226"/>
      <c r="AC69" s="226"/>
      <c r="AD69" s="226"/>
      <c r="AE69" s="226"/>
      <c r="AF69" s="226"/>
      <c r="AG69" s="226"/>
      <c r="AH69" s="226"/>
      <c r="AI69" s="226"/>
      <c r="AJ69" s="226"/>
      <c r="AK69" s="226"/>
      <c r="AL69" s="226"/>
      <c r="AM69" s="226"/>
      <c r="AN69" s="226"/>
      <c r="AO69" s="226"/>
      <c r="AP69" s="226"/>
      <c r="AQ69" s="226"/>
      <c r="AR69" s="226"/>
      <c r="AS69" s="226"/>
      <c r="AT69" s="226"/>
      <c r="AU69" s="226"/>
      <c r="AV69" s="226"/>
      <c r="AW69" s="226"/>
      <c r="AX69" s="226"/>
      <c r="AY69" s="226"/>
      <c r="AZ69" s="226"/>
      <c r="BA69" s="226"/>
      <c r="BB69" s="226"/>
      <c r="BC69" s="226"/>
      <c r="BD69" s="226"/>
      <c r="BE69" s="226"/>
      <c r="BF69" s="226"/>
      <c r="BG69" s="226"/>
      <c r="BH69" s="226"/>
      <c r="BI69" s="226"/>
      <c r="BJ69" s="145"/>
      <c r="BK69" s="145"/>
      <c r="BL69" s="145"/>
      <c r="BM69" s="145"/>
      <c r="BN69" s="145"/>
      <c r="BO69" s="145"/>
      <c r="BP69" s="145"/>
      <c r="BQ69" s="145"/>
      <c r="BR69" s="145"/>
      <c r="BS69" s="145"/>
      <c r="BT69" s="145"/>
      <c r="BU69" s="145"/>
      <c r="BV69" s="145"/>
      <c r="BW69" s="145"/>
      <c r="BX69" s="145"/>
      <c r="BY69" s="145"/>
      <c r="BZ69" s="145"/>
      <c r="CA69" s="145"/>
      <c r="CB69" s="145"/>
      <c r="CC69" s="145"/>
      <c r="CD69" s="145"/>
      <c r="CE69" s="145"/>
      <c r="CF69" s="145"/>
      <c r="CG69" s="145"/>
      <c r="CH69" s="145"/>
      <c r="CI69" s="145"/>
      <c r="CJ69" s="145"/>
      <c r="CK69" s="145"/>
      <c r="CL69" s="145"/>
      <c r="CM69" s="145"/>
      <c r="CN69" s="145"/>
      <c r="CO69" s="145"/>
      <c r="CP69" s="145"/>
      <c r="CQ69" s="145"/>
      <c r="CR69" s="145"/>
      <c r="CS69" s="145"/>
      <c r="CT69" s="145"/>
      <c r="CU69" s="145"/>
      <c r="CV69" s="145"/>
      <c r="CW69" s="145"/>
      <c r="CX69" s="145"/>
      <c r="CY69" s="145"/>
      <c r="CZ69" s="145"/>
      <c r="DA69" s="145"/>
      <c r="DB69" s="145"/>
      <c r="DC69" s="145"/>
      <c r="DD69" s="145"/>
      <c r="DE69" s="145"/>
      <c r="DF69" s="145"/>
      <c r="DG69" s="145"/>
      <c r="DH69" s="145"/>
      <c r="DI69" s="145"/>
      <c r="DJ69" s="145"/>
      <c r="DK69" s="145"/>
      <c r="DL69" s="145"/>
      <c r="DM69" s="145"/>
      <c r="DN69" s="145"/>
      <c r="DO69" s="145"/>
      <c r="DP69" s="145"/>
      <c r="DQ69" s="145"/>
      <c r="DR69" s="145"/>
      <c r="DS69" s="145"/>
      <c r="DT69" s="145"/>
      <c r="DU69" s="145"/>
      <c r="DV69" s="145"/>
      <c r="DW69" s="145"/>
      <c r="DX69" s="145"/>
      <c r="DY69" s="145"/>
      <c r="DZ69" s="145"/>
      <c r="EA69" s="145"/>
      <c r="EB69" s="145"/>
      <c r="EC69" s="145"/>
      <c r="ED69" s="145"/>
      <c r="EE69" s="145"/>
      <c r="EF69" s="145"/>
      <c r="EG69" s="145"/>
      <c r="EH69" s="145"/>
      <c r="EI69" s="145"/>
      <c r="EJ69" s="145"/>
      <c r="EK69" s="145"/>
      <c r="EL69" s="145"/>
      <c r="EM69" s="145"/>
      <c r="EN69" s="145"/>
      <c r="EO69" s="145"/>
      <c r="EP69" s="145"/>
      <c r="EQ69" s="145"/>
      <c r="ER69" s="145"/>
      <c r="ES69" s="145"/>
      <c r="ET69" s="145"/>
      <c r="EU69" s="145"/>
      <c r="EV69" s="145"/>
      <c r="EW69" s="145"/>
      <c r="EX69" s="145"/>
      <c r="EY69" s="145"/>
      <c r="EZ69" s="145"/>
      <c r="FA69" s="145"/>
      <c r="FB69" s="145"/>
      <c r="FC69" s="145"/>
      <c r="FD69" s="145"/>
      <c r="FE69" s="145"/>
      <c r="FF69" s="145"/>
      <c r="FG69" s="145"/>
      <c r="FH69" s="145"/>
      <c r="FI69" s="145"/>
      <c r="FJ69" s="145"/>
      <c r="FK69" s="145"/>
      <c r="FL69" s="145"/>
      <c r="FM69" s="145"/>
      <c r="FN69" s="145"/>
      <c r="FO69" s="145"/>
      <c r="FP69" s="145"/>
      <c r="FQ69" s="145"/>
      <c r="FR69" s="145"/>
      <c r="FS69" s="145"/>
      <c r="FT69" s="145"/>
      <c r="FU69" s="145"/>
      <c r="FV69" s="145"/>
      <c r="FW69" s="145"/>
      <c r="FX69" s="145"/>
      <c r="FY69" s="145"/>
      <c r="FZ69" s="145"/>
      <c r="GA69" s="145"/>
      <c r="GB69" s="145"/>
      <c r="GC69" s="145"/>
      <c r="GD69" s="145"/>
      <c r="GE69" s="145"/>
      <c r="GF69" s="145"/>
      <c r="GG69" s="145"/>
      <c r="GH69" s="145"/>
      <c r="GI69" s="145"/>
      <c r="GJ69" s="145"/>
      <c r="GK69" s="145"/>
      <c r="GL69" s="145"/>
      <c r="GM69" s="145"/>
      <c r="GN69" s="145"/>
      <c r="GO69" s="145"/>
      <c r="GP69" s="145"/>
      <c r="GQ69" s="145"/>
      <c r="GR69" s="145"/>
      <c r="GS69" s="145"/>
      <c r="GT69" s="145"/>
      <c r="GU69" s="145"/>
      <c r="GV69" s="145"/>
      <c r="GW69" s="145"/>
      <c r="GX69" s="145"/>
      <c r="GY69" s="145"/>
      <c r="GZ69" s="145"/>
      <c r="HA69" s="145"/>
      <c r="HB69" s="145"/>
      <c r="HC69" s="145"/>
      <c r="HD69" s="145"/>
      <c r="HE69" s="302"/>
      <c r="HF69" s="302"/>
      <c r="HG69" s="302"/>
      <c r="HH69" s="302"/>
      <c r="HI69" s="302"/>
      <c r="HJ69" s="302"/>
      <c r="HK69" s="302"/>
      <c r="HL69" s="302"/>
      <c r="HM69" s="302"/>
      <c r="HN69" s="302"/>
      <c r="HO69" s="302"/>
      <c r="HP69" s="302"/>
      <c r="HQ69" s="302"/>
      <c r="HR69" s="302"/>
      <c r="HS69" s="302"/>
      <c r="HT69" s="302"/>
      <c r="HU69" s="302"/>
      <c r="HV69" s="302"/>
      <c r="HW69" s="302"/>
      <c r="HX69" s="302"/>
      <c r="HY69" s="302"/>
      <c r="HZ69" s="302"/>
      <c r="IA69" s="302"/>
      <c r="IB69" s="302"/>
      <c r="IC69" s="302"/>
      <c r="ID69" s="302"/>
      <c r="IE69" s="302"/>
      <c r="IF69" s="302"/>
      <c r="IG69" s="302"/>
      <c r="IH69" s="302"/>
      <c r="II69" s="302"/>
      <c r="IJ69" s="302"/>
      <c r="IK69" s="302"/>
      <c r="IL69" s="302"/>
      <c r="IM69" s="302"/>
      <c r="IN69" s="302"/>
      <c r="IO69" s="302"/>
      <c r="IP69" s="302"/>
      <c r="IQ69" s="302"/>
      <c r="IR69" s="302"/>
      <c r="IS69" s="302"/>
      <c r="IT69" s="302"/>
      <c r="IU69" s="302"/>
      <c r="IV69" s="302"/>
      <c r="IW69" s="302"/>
      <c r="IX69" s="302"/>
      <c r="IY69" s="302"/>
      <c r="IZ69" s="302"/>
      <c r="JA69" s="302"/>
      <c r="JB69" s="302"/>
      <c r="JC69" s="302"/>
      <c r="JD69" s="302"/>
      <c r="JE69" s="302"/>
      <c r="JF69" s="302"/>
      <c r="JG69" s="302"/>
      <c r="JH69" s="302"/>
      <c r="JI69" s="302"/>
      <c r="JJ69" s="302"/>
      <c r="JK69" s="302"/>
      <c r="JL69" s="302"/>
      <c r="JM69" s="302"/>
      <c r="JN69" s="302"/>
      <c r="JO69" s="302"/>
      <c r="JP69" s="302"/>
      <c r="JQ69" s="302"/>
      <c r="JR69" s="302"/>
      <c r="JS69" s="302"/>
      <c r="JT69" s="302"/>
      <c r="JU69" s="302"/>
      <c r="JV69" s="302"/>
      <c r="JW69" s="302"/>
      <c r="JX69" s="302"/>
      <c r="JY69" s="302"/>
      <c r="JZ69" s="302"/>
      <c r="KA69" s="302"/>
      <c r="KB69" s="302"/>
      <c r="KC69" s="302"/>
      <c r="KD69" s="302"/>
      <c r="KE69" s="302"/>
      <c r="KF69" s="302"/>
      <c r="KG69" s="302"/>
      <c r="KH69" s="302"/>
      <c r="KI69" s="302"/>
      <c r="KJ69" s="302"/>
      <c r="KK69" s="302"/>
      <c r="KL69" s="302"/>
      <c r="KM69" s="302"/>
      <c r="KN69" s="302"/>
      <c r="KO69" s="302"/>
      <c r="KP69" s="302"/>
      <c r="KQ69" s="302"/>
      <c r="KR69" s="302"/>
      <c r="KS69" s="302"/>
      <c r="KT69" s="302"/>
      <c r="KU69" s="302"/>
      <c r="KV69" s="302"/>
      <c r="KW69" s="302"/>
      <c r="KX69" s="302"/>
      <c r="KY69" s="302"/>
      <c r="KZ69" s="302"/>
      <c r="LA69" s="302"/>
      <c r="LB69" s="302"/>
      <c r="LC69" s="302"/>
      <c r="LD69" s="302"/>
      <c r="LE69" s="302"/>
      <c r="LF69" s="302"/>
      <c r="LG69" s="302"/>
      <c r="LH69" s="302"/>
      <c r="LI69" s="302"/>
      <c r="LJ69" s="302"/>
      <c r="LK69" s="302"/>
      <c r="LL69" s="302"/>
      <c r="LM69" s="302"/>
      <c r="LN69" s="302"/>
      <c r="LO69" s="302"/>
      <c r="LP69" s="302"/>
      <c r="LQ69" s="302"/>
      <c r="LR69" s="302"/>
      <c r="LS69" s="302"/>
      <c r="LT69" s="302"/>
      <c r="LU69" s="302"/>
      <c r="LV69" s="302"/>
      <c r="LW69" s="302"/>
      <c r="LX69" s="302"/>
      <c r="LY69" s="302"/>
      <c r="LZ69" s="302"/>
      <c r="MA69" s="302"/>
      <c r="MB69" s="302"/>
      <c r="MC69" s="302"/>
      <c r="MD69" s="302"/>
      <c r="ME69" s="302"/>
      <c r="MF69" s="302"/>
      <c r="MG69" s="302"/>
      <c r="MH69" s="302"/>
      <c r="MI69" s="302"/>
      <c r="MJ69" s="302"/>
      <c r="MK69" s="302"/>
      <c r="ML69" s="302"/>
      <c r="MM69" s="302"/>
      <c r="MN69" s="302"/>
      <c r="MO69" s="302"/>
      <c r="MP69" s="302"/>
      <c r="MQ69" s="302"/>
      <c r="MR69" s="302"/>
      <c r="MS69" s="302"/>
      <c r="MT69" s="302"/>
      <c r="MU69" s="302"/>
      <c r="MV69" s="302"/>
      <c r="MW69" s="302"/>
      <c r="MX69" s="302"/>
      <c r="MY69" s="302"/>
      <c r="MZ69" s="302"/>
      <c r="NA69" s="302"/>
      <c r="NB69" s="302"/>
      <c r="NC69" s="302"/>
      <c r="ND69" s="302"/>
      <c r="NE69" s="302"/>
      <c r="NF69" s="302"/>
      <c r="NG69" s="302"/>
      <c r="NH69" s="302"/>
      <c r="NI69" s="302"/>
      <c r="NJ69" s="302"/>
      <c r="NK69" s="302"/>
      <c r="NL69" s="302"/>
      <c r="NM69" s="302"/>
      <c r="NN69" s="302"/>
      <c r="NO69" s="302"/>
      <c r="NP69" s="302"/>
      <c r="NQ69" s="302"/>
      <c r="NR69" s="302"/>
      <c r="NS69" s="302"/>
      <c r="NT69" s="302"/>
      <c r="NU69" s="302"/>
      <c r="NV69" s="302"/>
      <c r="NW69" s="302"/>
      <c r="NX69" s="302"/>
      <c r="NY69" s="302"/>
      <c r="NZ69" s="302"/>
      <c r="OA69" s="302"/>
      <c r="OB69" s="302"/>
      <c r="OC69" s="302"/>
      <c r="OD69" s="302"/>
      <c r="OE69" s="302"/>
      <c r="OF69" s="302"/>
      <c r="OG69" s="302"/>
      <c r="OH69" s="302"/>
      <c r="OI69" s="302"/>
      <c r="OJ69" s="302"/>
      <c r="OK69" s="302"/>
      <c r="OL69" s="302"/>
      <c r="OM69" s="302"/>
      <c r="ON69" s="302"/>
      <c r="OO69" s="302"/>
      <c r="OP69" s="302"/>
      <c r="OQ69" s="302"/>
      <c r="OR69" s="302"/>
      <c r="OS69" s="302"/>
      <c r="OT69" s="302"/>
      <c r="OU69" s="302"/>
      <c r="OV69" s="302"/>
      <c r="OW69" s="302"/>
      <c r="OX69" s="302"/>
      <c r="OY69" s="302"/>
      <c r="OZ69" s="302"/>
      <c r="PA69" s="302"/>
      <c r="PB69" s="302"/>
      <c r="PC69" s="302"/>
      <c r="PD69" s="302"/>
      <c r="PE69" s="302"/>
      <c r="PF69" s="302"/>
      <c r="PG69" s="302"/>
      <c r="PH69" s="302"/>
      <c r="PI69" s="302"/>
      <c r="PJ69" s="302"/>
      <c r="PK69" s="302"/>
      <c r="PL69" s="302"/>
      <c r="PM69" s="302"/>
      <c r="PN69" s="302"/>
      <c r="PO69" s="302"/>
      <c r="PP69" s="302"/>
      <c r="PQ69" s="302"/>
      <c r="PR69" s="302"/>
      <c r="PS69" s="302"/>
      <c r="PT69" s="302"/>
      <c r="PU69" s="302"/>
      <c r="PV69" s="302"/>
      <c r="PW69" s="302"/>
      <c r="PX69" s="303"/>
      <c r="PY69" s="303"/>
      <c r="QD69" s="78">
        <v>1</v>
      </c>
      <c r="QE69" s="78">
        <v>2</v>
      </c>
      <c r="QF69" s="78">
        <v>3</v>
      </c>
      <c r="QG69" s="78">
        <v>4</v>
      </c>
      <c r="QH69" s="78">
        <v>5</v>
      </c>
      <c r="QI69" s="78">
        <v>6</v>
      </c>
      <c r="QJ69" s="78">
        <v>7</v>
      </c>
      <c r="QK69" s="78">
        <v>8</v>
      </c>
      <c r="QL69" s="78">
        <v>9</v>
      </c>
      <c r="QM69" s="78">
        <v>10</v>
      </c>
      <c r="QN69" s="78">
        <v>11</v>
      </c>
      <c r="QO69" s="78">
        <v>12</v>
      </c>
      <c r="QP69" s="78">
        <v>13</v>
      </c>
      <c r="QQ69" s="78">
        <v>14</v>
      </c>
      <c r="QR69" s="78">
        <v>15</v>
      </c>
      <c r="QS69" s="78">
        <v>16</v>
      </c>
      <c r="QT69" s="78">
        <v>17</v>
      </c>
      <c r="QU69" s="78">
        <v>18</v>
      </c>
      <c r="QV69" s="78">
        <v>19</v>
      </c>
      <c r="QW69" s="78">
        <v>20</v>
      </c>
      <c r="QX69" s="78">
        <v>21</v>
      </c>
      <c r="QY69" s="346">
        <v>22</v>
      </c>
      <c r="QZ69" s="346">
        <v>23</v>
      </c>
      <c r="RA69" s="346">
        <v>24</v>
      </c>
      <c r="RB69" s="346">
        <v>25</v>
      </c>
      <c r="RC69" s="346">
        <v>26</v>
      </c>
      <c r="RD69" s="346">
        <v>24</v>
      </c>
      <c r="RE69" s="346">
        <v>28</v>
      </c>
      <c r="RF69" s="346">
        <v>29</v>
      </c>
      <c r="RG69" s="346">
        <v>30</v>
      </c>
      <c r="RH69" s="346"/>
      <c r="RI69" s="346"/>
      <c r="RJ69" s="346"/>
      <c r="RK69" s="346"/>
      <c r="RL69" s="346"/>
      <c r="RM69" s="346"/>
      <c r="RN69" s="346"/>
      <c r="RO69" s="346"/>
      <c r="RP69" s="346"/>
      <c r="RQ69" s="346"/>
      <c r="RR69" s="346"/>
      <c r="RS69" s="346"/>
      <c r="RT69" s="346"/>
      <c r="RU69" s="346"/>
      <c r="RV69" s="346"/>
      <c r="RW69" s="346"/>
      <c r="RX69" s="346"/>
      <c r="RY69" s="346"/>
      <c r="RZ69" s="346"/>
      <c r="SA69" s="346"/>
      <c r="SB69" s="346"/>
      <c r="SC69" s="346"/>
      <c r="SD69" s="346"/>
      <c r="SE69" s="346"/>
      <c r="SF69" s="346"/>
      <c r="SG69" s="346"/>
      <c r="SH69" s="346"/>
      <c r="SI69" s="346"/>
      <c r="SJ69" s="346"/>
      <c r="SK69" s="346"/>
      <c r="SL69" s="346"/>
      <c r="SM69" s="346"/>
      <c r="SN69" s="346"/>
      <c r="SO69" s="346"/>
      <c r="SP69" s="346"/>
      <c r="SQ69" s="346"/>
      <c r="SR69" s="346"/>
      <c r="SS69" s="346"/>
      <c r="ST69" s="346"/>
      <c r="SU69" s="346"/>
      <c r="SV69" s="346"/>
      <c r="SW69" s="346"/>
      <c r="SX69" s="346"/>
      <c r="SY69" s="346"/>
      <c r="SZ69" s="346"/>
      <c r="TA69" s="346"/>
    </row>
    <row r="70" spans="1:521" ht="14.1" customHeight="1" x14ac:dyDescent="0.2">
      <c r="A70" s="226"/>
      <c r="B70" s="226"/>
      <c r="C70" s="226"/>
      <c r="D70" s="226"/>
      <c r="E70" s="226"/>
      <c r="F70" s="226"/>
      <c r="G70" s="226"/>
      <c r="H70" s="226"/>
      <c r="I70" s="226"/>
      <c r="J70" s="226"/>
      <c r="K70" s="226"/>
      <c r="L70" s="226"/>
      <c r="M70" s="226"/>
      <c r="N70" s="226"/>
      <c r="O70" s="226"/>
      <c r="P70" s="226"/>
      <c r="Q70" s="226"/>
      <c r="R70" s="226"/>
      <c r="S70" s="226"/>
      <c r="T70" s="226"/>
      <c r="U70" s="226"/>
      <c r="V70" s="226"/>
      <c r="W70" s="226"/>
      <c r="X70" s="226"/>
      <c r="Y70" s="226"/>
      <c r="Z70" s="226"/>
      <c r="AA70" s="226"/>
      <c r="AB70" s="226"/>
      <c r="AC70" s="226"/>
      <c r="AD70" s="226"/>
      <c r="AE70" s="226"/>
      <c r="AF70" s="226"/>
      <c r="AG70" s="226"/>
      <c r="AH70" s="226"/>
      <c r="AI70" s="226"/>
      <c r="AJ70" s="226"/>
      <c r="AK70" s="226"/>
      <c r="AL70" s="226"/>
      <c r="AM70" s="226"/>
      <c r="AN70" s="226"/>
      <c r="AO70" s="226"/>
      <c r="AP70" s="226"/>
      <c r="AQ70" s="226"/>
      <c r="AR70" s="226"/>
      <c r="AS70" s="226"/>
      <c r="AT70" s="226"/>
      <c r="AU70" s="226"/>
      <c r="AV70" s="226"/>
      <c r="AW70" s="226"/>
      <c r="AX70" s="226"/>
      <c r="AY70" s="226"/>
      <c r="AZ70" s="226"/>
      <c r="BA70" s="226"/>
      <c r="BB70" s="226"/>
      <c r="BC70" s="226"/>
      <c r="BD70" s="226"/>
      <c r="BE70" s="226"/>
      <c r="BF70" s="226"/>
      <c r="BG70" s="226"/>
      <c r="BH70" s="226"/>
      <c r="BI70" s="226"/>
      <c r="BJ70" s="372"/>
      <c r="BK70" s="372"/>
      <c r="BL70" s="372"/>
      <c r="BM70" s="372"/>
      <c r="BN70" s="372"/>
      <c r="BO70" s="372"/>
      <c r="BP70" s="372"/>
      <c r="BQ70" s="372"/>
      <c r="BR70" s="372"/>
      <c r="BS70" s="372"/>
      <c r="BT70" s="372"/>
      <c r="BU70" s="372"/>
      <c r="BV70" s="372"/>
      <c r="BW70" s="372"/>
      <c r="BX70" s="372"/>
      <c r="BY70" s="372"/>
      <c r="BZ70" s="372"/>
      <c r="CA70" s="372"/>
      <c r="CB70" s="372"/>
      <c r="CC70" s="372"/>
      <c r="CD70" s="372"/>
      <c r="CE70" s="372"/>
      <c r="CF70" s="372"/>
      <c r="CG70" s="372"/>
      <c r="CH70" s="372"/>
      <c r="CI70" s="372"/>
      <c r="CJ70" s="372"/>
      <c r="CK70" s="372"/>
      <c r="CL70" s="372"/>
      <c r="CM70" s="372"/>
      <c r="CN70" s="372"/>
      <c r="CO70" s="372"/>
      <c r="CP70" s="372"/>
      <c r="CQ70" s="372"/>
      <c r="CR70" s="372"/>
      <c r="CS70" s="372"/>
      <c r="CT70" s="372"/>
      <c r="CU70" s="372"/>
      <c r="CV70" s="372"/>
      <c r="CW70" s="372"/>
      <c r="CX70" s="372"/>
      <c r="CY70" s="372"/>
      <c r="CZ70" s="372"/>
      <c r="DA70" s="372"/>
      <c r="DB70" s="372"/>
      <c r="DC70" s="372"/>
      <c r="DD70" s="372"/>
      <c r="DE70" s="372"/>
      <c r="DF70" s="372"/>
      <c r="DG70" s="372"/>
      <c r="DH70" s="372"/>
      <c r="DI70" s="372"/>
      <c r="DJ70" s="372"/>
      <c r="DK70" s="372"/>
      <c r="DL70" s="372"/>
      <c r="DM70" s="372"/>
      <c r="DN70" s="372"/>
      <c r="DO70" s="372"/>
      <c r="DP70" s="372"/>
      <c r="DQ70" s="372"/>
      <c r="DR70" s="372"/>
      <c r="DS70" s="372"/>
      <c r="DT70" s="372"/>
      <c r="DU70" s="372"/>
      <c r="DV70" s="372"/>
      <c r="DW70" s="372"/>
      <c r="DX70" s="372"/>
      <c r="DY70" s="372"/>
      <c r="DZ70" s="372"/>
      <c r="EA70" s="372"/>
      <c r="EB70" s="372"/>
      <c r="EC70" s="372"/>
      <c r="ED70" s="372"/>
      <c r="EE70" s="372"/>
      <c r="EF70" s="372"/>
      <c r="EG70" s="372"/>
      <c r="EH70" s="372"/>
      <c r="EI70" s="372"/>
      <c r="EJ70" s="372"/>
      <c r="EK70" s="372"/>
      <c r="EL70" s="372"/>
      <c r="EM70" s="372"/>
      <c r="EN70" s="372"/>
      <c r="EO70" s="372"/>
      <c r="EP70" s="372"/>
      <c r="EQ70" s="372"/>
      <c r="ER70" s="372"/>
      <c r="ES70" s="372"/>
      <c r="ET70" s="372"/>
      <c r="EU70" s="372"/>
      <c r="EV70" s="372"/>
      <c r="EW70" s="372"/>
      <c r="EX70" s="372"/>
      <c r="EY70" s="372"/>
      <c r="EZ70" s="372"/>
      <c r="FA70" s="372"/>
      <c r="FB70" s="372"/>
      <c r="FC70" s="372"/>
      <c r="FD70" s="372"/>
      <c r="FE70" s="372"/>
      <c r="FF70" s="372"/>
      <c r="FG70" s="372"/>
      <c r="FH70" s="372"/>
      <c r="FI70" s="372"/>
      <c r="FJ70" s="372"/>
      <c r="FK70" s="372"/>
      <c r="FL70" s="372"/>
      <c r="FM70" s="372"/>
      <c r="FN70" s="372"/>
      <c r="FO70" s="372"/>
      <c r="FP70" s="372"/>
      <c r="FQ70" s="372"/>
      <c r="FR70" s="372"/>
      <c r="FS70" s="372"/>
      <c r="FT70" s="372"/>
      <c r="FU70" s="372"/>
      <c r="FV70" s="372"/>
      <c r="FW70" s="372"/>
      <c r="FX70" s="372"/>
      <c r="FY70" s="372"/>
      <c r="FZ70" s="372"/>
      <c r="GA70" s="372"/>
      <c r="GB70" s="372"/>
      <c r="GC70" s="372"/>
      <c r="GD70" s="372"/>
      <c r="GE70" s="372"/>
      <c r="GF70" s="372"/>
      <c r="GG70" s="372"/>
      <c r="GH70" s="372"/>
      <c r="GI70" s="372"/>
      <c r="GJ70" s="372"/>
      <c r="GK70" s="372"/>
      <c r="GL70" s="372"/>
      <c r="GM70" s="372"/>
      <c r="GN70" s="372"/>
      <c r="GO70" s="372"/>
      <c r="GP70" s="372"/>
      <c r="GQ70" s="372"/>
      <c r="GR70" s="372"/>
      <c r="GS70" s="372"/>
      <c r="GT70" s="372"/>
      <c r="GU70" s="372"/>
      <c r="GV70" s="372"/>
      <c r="GW70" s="372"/>
      <c r="GX70" s="372"/>
      <c r="GY70" s="372"/>
      <c r="GZ70" s="372"/>
      <c r="HA70" s="372"/>
      <c r="HB70" s="372"/>
      <c r="HC70" s="372"/>
      <c r="HD70" s="372"/>
      <c r="HE70" s="323"/>
      <c r="HF70" s="323"/>
      <c r="HG70" s="323"/>
      <c r="HH70" s="323"/>
      <c r="HI70" s="323"/>
      <c r="HJ70" s="323"/>
      <c r="HK70" s="323"/>
      <c r="HL70" s="323"/>
      <c r="HM70" s="323"/>
      <c r="HN70" s="323"/>
      <c r="HO70" s="323"/>
      <c r="HP70" s="323"/>
      <c r="HQ70" s="323"/>
      <c r="HR70" s="323"/>
      <c r="HS70" s="323"/>
      <c r="HT70" s="323"/>
      <c r="HU70" s="323"/>
      <c r="HV70" s="323"/>
      <c r="HW70" s="323"/>
      <c r="HX70" s="323"/>
      <c r="HY70" s="323"/>
      <c r="HZ70" s="323"/>
      <c r="IA70" s="323"/>
      <c r="IB70" s="323"/>
      <c r="IC70" s="323"/>
      <c r="ID70" s="323"/>
      <c r="IE70" s="323"/>
      <c r="IF70" s="323"/>
      <c r="IG70" s="323"/>
      <c r="IH70" s="323"/>
      <c r="II70" s="323"/>
      <c r="IJ70" s="323"/>
      <c r="IK70" s="323"/>
      <c r="IL70" s="323"/>
      <c r="IM70" s="323"/>
      <c r="IN70" s="323"/>
      <c r="IO70" s="323"/>
      <c r="IP70" s="323"/>
      <c r="IQ70" s="323"/>
      <c r="IR70" s="323"/>
      <c r="IS70" s="323"/>
      <c r="IT70" s="323"/>
      <c r="IU70" s="323"/>
      <c r="IV70" s="323"/>
      <c r="IW70" s="323"/>
      <c r="IX70" s="323"/>
      <c r="IY70" s="323"/>
      <c r="IZ70" s="323"/>
      <c r="JA70" s="323"/>
      <c r="JB70" s="323"/>
      <c r="JC70" s="323"/>
      <c r="JD70" s="323"/>
      <c r="JE70" s="323"/>
      <c r="JF70" s="323"/>
      <c r="JG70" s="323"/>
      <c r="JH70" s="323"/>
      <c r="JI70" s="323"/>
      <c r="JJ70" s="323"/>
      <c r="JK70" s="323"/>
      <c r="JL70" s="323"/>
      <c r="JM70" s="323"/>
      <c r="JN70" s="323"/>
      <c r="JO70" s="323"/>
      <c r="JP70" s="323"/>
      <c r="JQ70" s="323"/>
      <c r="JR70" s="323"/>
      <c r="JS70" s="323"/>
      <c r="JT70" s="323"/>
      <c r="JU70" s="323"/>
      <c r="JV70" s="323"/>
      <c r="JW70" s="323"/>
      <c r="JX70" s="323"/>
      <c r="JY70" s="323"/>
      <c r="JZ70" s="323"/>
      <c r="KA70" s="323"/>
      <c r="KB70" s="323"/>
      <c r="KC70" s="323"/>
      <c r="KD70" s="323"/>
      <c r="KE70" s="323"/>
      <c r="KF70" s="323"/>
      <c r="KG70" s="323"/>
      <c r="KH70" s="323"/>
      <c r="KI70" s="323"/>
      <c r="KJ70" s="323"/>
      <c r="KK70" s="323"/>
      <c r="KL70" s="323"/>
      <c r="KM70" s="323"/>
      <c r="KN70" s="323"/>
      <c r="KO70" s="323"/>
      <c r="KP70" s="323"/>
      <c r="KQ70" s="323"/>
      <c r="KR70" s="323"/>
      <c r="KS70" s="323"/>
      <c r="KT70" s="323"/>
      <c r="KU70" s="323"/>
      <c r="KV70" s="323"/>
      <c r="KW70" s="323"/>
      <c r="KX70" s="323"/>
      <c r="KY70" s="323"/>
      <c r="KZ70" s="323"/>
      <c r="LA70" s="323"/>
      <c r="LB70" s="323"/>
      <c r="LC70" s="323"/>
      <c r="LD70" s="323"/>
      <c r="LE70" s="323"/>
      <c r="LF70" s="323"/>
      <c r="LG70" s="323"/>
      <c r="LH70" s="323"/>
      <c r="LI70" s="323"/>
      <c r="LJ70" s="323"/>
      <c r="LK70" s="323"/>
      <c r="LL70" s="323"/>
      <c r="LM70" s="323"/>
      <c r="LN70" s="323"/>
      <c r="LO70" s="323"/>
      <c r="LP70" s="323"/>
      <c r="LQ70" s="323"/>
      <c r="LR70" s="323"/>
      <c r="LS70" s="323"/>
      <c r="LT70" s="323"/>
      <c r="LU70" s="323"/>
      <c r="LV70" s="323"/>
      <c r="LW70" s="323"/>
      <c r="LX70" s="323"/>
      <c r="LY70" s="323"/>
      <c r="LZ70" s="323"/>
      <c r="MA70" s="323"/>
      <c r="MB70" s="323"/>
      <c r="MC70" s="323"/>
      <c r="MD70" s="323"/>
      <c r="ME70" s="323"/>
      <c r="MF70" s="323"/>
      <c r="MG70" s="323"/>
      <c r="MH70" s="323"/>
      <c r="MI70" s="323"/>
      <c r="MJ70" s="323"/>
      <c r="MK70" s="323"/>
      <c r="ML70" s="323"/>
      <c r="MM70" s="323"/>
      <c r="MN70" s="323"/>
      <c r="MO70" s="323"/>
      <c r="MP70" s="323"/>
      <c r="MQ70" s="323"/>
      <c r="MR70" s="323"/>
      <c r="MS70" s="323"/>
      <c r="MT70" s="323"/>
      <c r="MU70" s="323"/>
      <c r="MV70" s="323"/>
      <c r="MW70" s="323"/>
      <c r="MX70" s="323"/>
      <c r="MY70" s="323"/>
      <c r="MZ70" s="323"/>
      <c r="NA70" s="323"/>
      <c r="NB70" s="323"/>
      <c r="NC70" s="323"/>
      <c r="ND70" s="323"/>
      <c r="NE70" s="323"/>
      <c r="NF70" s="323"/>
      <c r="NG70" s="323"/>
      <c r="NH70" s="323"/>
      <c r="NI70" s="323"/>
      <c r="NJ70" s="323"/>
      <c r="NK70" s="323"/>
      <c r="NL70" s="323"/>
      <c r="NM70" s="323"/>
      <c r="NN70" s="323"/>
      <c r="NO70" s="323"/>
      <c r="NP70" s="323"/>
      <c r="NQ70" s="323"/>
      <c r="NR70" s="323"/>
      <c r="NS70" s="323"/>
      <c r="NT70" s="323"/>
      <c r="NU70" s="323"/>
      <c r="NV70" s="323"/>
      <c r="NW70" s="323"/>
      <c r="NX70" s="323"/>
      <c r="NY70" s="323"/>
      <c r="NZ70" s="323"/>
      <c r="OA70" s="323"/>
      <c r="OB70" s="323"/>
      <c r="OC70" s="323"/>
      <c r="OD70" s="323"/>
      <c r="OE70" s="323"/>
      <c r="OF70" s="323"/>
      <c r="OG70" s="323"/>
      <c r="OH70" s="323"/>
      <c r="OI70" s="323"/>
      <c r="OJ70" s="323"/>
      <c r="OK70" s="323"/>
      <c r="OL70" s="323"/>
      <c r="OM70" s="323"/>
      <c r="ON70" s="323"/>
      <c r="OO70" s="323"/>
      <c r="OP70" s="323"/>
      <c r="OQ70" s="323"/>
      <c r="OR70" s="323"/>
      <c r="OS70" s="323"/>
      <c r="OT70" s="323"/>
      <c r="OU70" s="323"/>
      <c r="OV70" s="323"/>
      <c r="OW70" s="323"/>
      <c r="OX70" s="323"/>
      <c r="OY70" s="323"/>
      <c r="OZ70" s="323"/>
      <c r="PA70" s="323"/>
      <c r="PB70" s="323"/>
      <c r="PC70" s="323"/>
      <c r="PD70" s="323"/>
      <c r="PE70" s="323"/>
      <c r="PF70" s="323"/>
      <c r="PG70" s="323"/>
      <c r="PH70" s="323"/>
      <c r="PI70" s="323"/>
      <c r="PJ70" s="323"/>
      <c r="PK70" s="323"/>
      <c r="PL70" s="323"/>
      <c r="PM70" s="323"/>
      <c r="PN70" s="323"/>
      <c r="PO70" s="323"/>
      <c r="PP70" s="323"/>
      <c r="PQ70" s="323"/>
      <c r="PR70" s="323"/>
      <c r="PS70" s="323"/>
      <c r="PT70" s="323"/>
      <c r="PU70" s="323"/>
      <c r="PV70" s="323"/>
      <c r="PW70" s="302"/>
      <c r="PX70" s="303"/>
      <c r="PY70" s="303"/>
      <c r="QC70" s="78" t="s">
        <v>23</v>
      </c>
      <c r="QD70" s="346">
        <f>QG63+(0.02/QC3)</f>
        <v>-0.43214285714285711</v>
      </c>
      <c r="QE70" s="78">
        <f>IF(QI3&gt;=2,QD70+QF68,QD70)</f>
        <v>-0.30867346938775508</v>
      </c>
      <c r="QF70" s="78">
        <f>IF(QI3&gt;=3,QE70+QF68,QD70)</f>
        <v>-0.18520408163265306</v>
      </c>
      <c r="QG70" s="78">
        <f>IF(QI3&gt;=4,QF70+QF68,QD70)</f>
        <v>-6.1734693877551025E-2</v>
      </c>
      <c r="QH70" s="78">
        <f>IF(QI3&gt;=5,QF68+QG70,QD70)</f>
        <v>6.1734693877551011E-2</v>
      </c>
      <c r="QI70" s="78">
        <f>IF(QI3&gt;=6,QH70+QF68,QD70)</f>
        <v>0.18520408163265306</v>
      </c>
      <c r="QJ70" s="78">
        <f>IF(QI3&gt;=7,QI70+QF68,QD70)</f>
        <v>0.30867346938775508</v>
      </c>
      <c r="QK70" s="78">
        <f>IF(QI3&gt;=8,QJ70+QF68,QD70)</f>
        <v>0.43214285714285711</v>
      </c>
      <c r="QL70" s="78">
        <f>IF(QI3&gt;=9,QK70+QF68,QD70)</f>
        <v>-0.43214285714285711</v>
      </c>
      <c r="QM70" s="78">
        <f>IF(QI3&gt;=10,QL70+QF68,QD70)</f>
        <v>-0.43214285714285711</v>
      </c>
      <c r="QN70" s="78">
        <f>IF(QI3&gt;=11,QM70+QF68,QD70)</f>
        <v>-0.43214285714285711</v>
      </c>
      <c r="QO70" s="78">
        <f>IF(QI3&gt;=12,QN70+QF68,QD70)</f>
        <v>-0.43214285714285711</v>
      </c>
      <c r="QP70" s="78">
        <f>IF(QI3&gt;=13,QO70+QF68,QD70)</f>
        <v>-0.43214285714285711</v>
      </c>
      <c r="QQ70" s="78">
        <f>IF(QI3&gt;=14,QP70+QF68,QD70)</f>
        <v>-0.43214285714285711</v>
      </c>
      <c r="QR70" s="78">
        <f>IF(QI3&gt;=15,QQ70+QF68,QD70)</f>
        <v>-0.43214285714285711</v>
      </c>
      <c r="QS70" s="78">
        <f>IF(QI3&gt;=16,QR70+QF68,QD70)</f>
        <v>-0.43214285714285711</v>
      </c>
      <c r="QT70" s="78">
        <f>IF(QI3&gt;=17,QS70+QF68,QD70)</f>
        <v>-0.43214285714285711</v>
      </c>
      <c r="QU70" s="78">
        <f>IF(QI3&gt;=18,QT70+QF68,QD70)</f>
        <v>-0.43214285714285711</v>
      </c>
      <c r="QV70" s="78">
        <f>IF(QI3&gt;=19,QU70+QF68,QD70)</f>
        <v>-0.43214285714285711</v>
      </c>
      <c r="QW70" s="78">
        <f>IF(QI3&gt;=20,QV70+QF68,QD70)</f>
        <v>-0.43214285714285711</v>
      </c>
      <c r="QX70" s="78">
        <f>IF(QI3&gt;=21,QW70+QF68,QD70)</f>
        <v>-0.43214285714285711</v>
      </c>
      <c r="QY70" s="346">
        <f>IF(QI3&gt;=22,QX70+QF68,QD70)</f>
        <v>-0.43214285714285711</v>
      </c>
      <c r="QZ70" s="346">
        <f>IF(QI3&gt;=23,QY70+QF68,QD70:QD70)</f>
        <v>-0.43214285714285711</v>
      </c>
      <c r="RA70" s="346">
        <f>IF(QI3&gt;=24,QZ70+QF68,QD70)</f>
        <v>-0.43214285714285711</v>
      </c>
      <c r="RB70" s="346">
        <f>IF(QI3&gt;=25,RA70+QF68,QD70)</f>
        <v>-0.43214285714285711</v>
      </c>
      <c r="RC70" s="346">
        <f>IF(QI3&gt;=26,RB70+QF68,QD70)</f>
        <v>-0.43214285714285711</v>
      </c>
      <c r="RD70" s="346">
        <f>IF(QI3&gt;=24,RC70+QF68,QD70)</f>
        <v>-0.43214285714285711</v>
      </c>
      <c r="RE70" s="346">
        <f>IF(QI3&gt;=28,RD70+QF68,QD70)</f>
        <v>-0.43214285714285711</v>
      </c>
      <c r="RF70" s="346">
        <f>IF(QI3&gt;=29,RE70+QF68,QD70)</f>
        <v>-0.43214285714285711</v>
      </c>
      <c r="RG70" s="346">
        <f>QL63-(0.02/QC3)</f>
        <v>0.43214285714285711</v>
      </c>
      <c r="RH70" s="346"/>
      <c r="RI70" s="346"/>
      <c r="RJ70" s="346"/>
      <c r="RK70" s="346"/>
      <c r="RL70" s="346"/>
      <c r="RM70" s="346"/>
      <c r="RN70" s="346"/>
      <c r="RO70" s="346"/>
      <c r="RP70" s="346"/>
      <c r="RQ70" s="346"/>
      <c r="RR70" s="346"/>
      <c r="RS70" s="346"/>
      <c r="RT70" s="346"/>
      <c r="RU70" s="346"/>
      <c r="RV70" s="346"/>
      <c r="RW70" s="346"/>
      <c r="RX70" s="346"/>
      <c r="RY70" s="346"/>
      <c r="RZ70" s="346"/>
      <c r="SA70" s="346"/>
      <c r="SB70" s="346"/>
      <c r="SC70" s="346"/>
      <c r="SD70" s="346"/>
      <c r="SE70" s="346"/>
      <c r="SF70" s="346"/>
      <c r="SG70" s="346"/>
      <c r="SH70" s="346"/>
      <c r="SI70" s="346"/>
      <c r="SJ70" s="346"/>
      <c r="SK70" s="346"/>
      <c r="SL70" s="346"/>
      <c r="SM70" s="346"/>
      <c r="SN70" s="346"/>
      <c r="SO70" s="346"/>
      <c r="SP70" s="346"/>
      <c r="SQ70" s="346"/>
      <c r="SR70" s="346"/>
      <c r="SS70" s="346"/>
      <c r="ST70" s="346"/>
      <c r="SU70" s="346"/>
      <c r="SV70" s="346"/>
      <c r="SW70" s="346"/>
      <c r="SX70" s="346"/>
      <c r="SY70" s="346"/>
      <c r="SZ70" s="346"/>
      <c r="TA70" s="346"/>
    </row>
    <row r="71" spans="1:521" ht="14.1" customHeight="1" x14ac:dyDescent="0.2">
      <c r="A71" s="226"/>
      <c r="B71" s="226"/>
      <c r="C71" s="226"/>
      <c r="D71" s="226"/>
      <c r="E71" s="226"/>
      <c r="F71" s="226"/>
      <c r="G71" s="226"/>
      <c r="H71" s="226"/>
      <c r="I71" s="226"/>
      <c r="J71" s="226"/>
      <c r="K71" s="226"/>
      <c r="L71" s="226"/>
      <c r="M71" s="226"/>
      <c r="N71" s="226"/>
      <c r="O71" s="226"/>
      <c r="P71" s="226"/>
      <c r="Q71" s="226"/>
      <c r="R71" s="226"/>
      <c r="S71" s="226"/>
      <c r="T71" s="226"/>
      <c r="U71" s="226"/>
      <c r="V71" s="226"/>
      <c r="W71" s="226"/>
      <c r="X71" s="226"/>
      <c r="Y71" s="226"/>
      <c r="Z71" s="226"/>
      <c r="AA71" s="226"/>
      <c r="AB71" s="226"/>
      <c r="AC71" s="226"/>
      <c r="AD71" s="226"/>
      <c r="AE71" s="226"/>
      <c r="AF71" s="226"/>
      <c r="AG71" s="226"/>
      <c r="AH71" s="226"/>
      <c r="AI71" s="226"/>
      <c r="AJ71" s="226"/>
      <c r="AK71" s="226"/>
      <c r="AL71" s="226"/>
      <c r="AM71" s="226"/>
      <c r="AN71" s="226"/>
      <c r="AO71" s="226"/>
      <c r="AP71" s="226"/>
      <c r="AQ71" s="226"/>
      <c r="AR71" s="226"/>
      <c r="AS71" s="226"/>
      <c r="AT71" s="226"/>
      <c r="AU71" s="226"/>
      <c r="AV71" s="226"/>
      <c r="AW71" s="226"/>
      <c r="AX71" s="226"/>
      <c r="AY71" s="226"/>
      <c r="AZ71" s="226"/>
      <c r="BA71" s="226"/>
      <c r="BB71" s="226"/>
      <c r="BC71" s="226"/>
      <c r="BD71" s="226"/>
      <c r="BE71" s="226"/>
      <c r="BF71" s="226"/>
      <c r="BG71" s="226"/>
      <c r="BH71" s="226"/>
      <c r="BI71" s="226"/>
      <c r="BJ71" s="375"/>
      <c r="BK71" s="375"/>
      <c r="BL71" s="375"/>
      <c r="BM71" s="375"/>
      <c r="BN71" s="375"/>
      <c r="BO71" s="375"/>
      <c r="BP71" s="375"/>
      <c r="BQ71" s="375"/>
      <c r="BR71" s="375"/>
      <c r="BS71" s="375"/>
      <c r="BT71" s="375"/>
      <c r="BU71" s="375"/>
      <c r="BV71" s="375"/>
      <c r="BW71" s="375"/>
      <c r="BX71" s="375"/>
      <c r="BY71" s="375"/>
      <c r="BZ71" s="375"/>
      <c r="CA71" s="375"/>
      <c r="CB71" s="375"/>
      <c r="CC71" s="375"/>
      <c r="CD71" s="375"/>
      <c r="CE71" s="375"/>
      <c r="CF71" s="375"/>
      <c r="CG71" s="375"/>
      <c r="CH71" s="375"/>
      <c r="CI71" s="375"/>
      <c r="CJ71" s="375"/>
      <c r="CK71" s="375"/>
      <c r="CL71" s="375"/>
      <c r="CM71" s="375"/>
      <c r="CN71" s="375"/>
      <c r="CO71" s="375"/>
      <c r="CP71" s="375"/>
      <c r="CQ71" s="375"/>
      <c r="CR71" s="375"/>
      <c r="CS71" s="375"/>
      <c r="CT71" s="375"/>
      <c r="CU71" s="375"/>
      <c r="CV71" s="375"/>
      <c r="CW71" s="375"/>
      <c r="CX71" s="375"/>
      <c r="CY71" s="375"/>
      <c r="CZ71" s="375"/>
      <c r="DA71" s="375"/>
      <c r="DB71" s="375"/>
      <c r="DC71" s="375"/>
      <c r="DD71" s="375"/>
      <c r="DE71" s="375"/>
      <c r="DF71" s="375"/>
      <c r="DG71" s="375"/>
      <c r="DH71" s="375"/>
      <c r="DI71" s="375"/>
      <c r="DJ71" s="375"/>
      <c r="DK71" s="375"/>
      <c r="DL71" s="375"/>
      <c r="DM71" s="375"/>
      <c r="DN71" s="375"/>
      <c r="DO71" s="375"/>
      <c r="DP71" s="375"/>
      <c r="DQ71" s="375"/>
      <c r="DR71" s="375"/>
      <c r="DS71" s="375"/>
      <c r="DT71" s="375"/>
      <c r="DU71" s="375"/>
      <c r="DV71" s="375"/>
      <c r="DW71" s="375"/>
      <c r="DX71" s="375"/>
      <c r="DY71" s="375"/>
      <c r="DZ71" s="375"/>
      <c r="EA71" s="375"/>
      <c r="EB71" s="375"/>
      <c r="EC71" s="375"/>
      <c r="ED71" s="375"/>
      <c r="EE71" s="375"/>
      <c r="EF71" s="375"/>
      <c r="EG71" s="375"/>
      <c r="EH71" s="375"/>
      <c r="EI71" s="375"/>
      <c r="EJ71" s="375"/>
      <c r="EK71" s="375"/>
      <c r="EL71" s="375"/>
      <c r="EM71" s="375"/>
      <c r="EN71" s="375"/>
      <c r="EO71" s="375"/>
      <c r="EP71" s="375"/>
      <c r="EQ71" s="375"/>
      <c r="ER71" s="375"/>
      <c r="ES71" s="375"/>
      <c r="ET71" s="375"/>
      <c r="EU71" s="375"/>
      <c r="EV71" s="375"/>
      <c r="EW71" s="375"/>
      <c r="EX71" s="375"/>
      <c r="EY71" s="375"/>
      <c r="EZ71" s="375"/>
      <c r="FA71" s="375"/>
      <c r="FB71" s="375"/>
      <c r="FC71" s="375"/>
      <c r="FD71" s="375"/>
      <c r="FE71" s="375"/>
      <c r="FF71" s="375"/>
      <c r="FG71" s="375"/>
      <c r="FH71" s="375"/>
      <c r="FI71" s="375"/>
      <c r="FJ71" s="375"/>
      <c r="FK71" s="375"/>
      <c r="FL71" s="375"/>
      <c r="FM71" s="375"/>
      <c r="FN71" s="375"/>
      <c r="FO71" s="375"/>
      <c r="FP71" s="375"/>
      <c r="FQ71" s="375"/>
      <c r="FR71" s="375"/>
      <c r="FS71" s="375"/>
      <c r="FT71" s="375"/>
      <c r="FU71" s="375"/>
      <c r="FV71" s="375"/>
      <c r="FW71" s="375"/>
      <c r="FX71" s="375"/>
      <c r="FY71" s="375"/>
      <c r="FZ71" s="375"/>
      <c r="GA71" s="375"/>
      <c r="GB71" s="375"/>
      <c r="GC71" s="375"/>
      <c r="GD71" s="375"/>
      <c r="GE71" s="375"/>
      <c r="GF71" s="375"/>
      <c r="GG71" s="375"/>
      <c r="GH71" s="375"/>
      <c r="GI71" s="375"/>
      <c r="GJ71" s="375"/>
      <c r="GK71" s="375"/>
      <c r="GL71" s="375"/>
      <c r="GM71" s="375"/>
      <c r="GN71" s="375"/>
      <c r="GO71" s="375"/>
      <c r="GP71" s="375"/>
      <c r="GQ71" s="375"/>
      <c r="GR71" s="375"/>
      <c r="GS71" s="375"/>
      <c r="GT71" s="375"/>
      <c r="GU71" s="375"/>
      <c r="GV71" s="375"/>
      <c r="GW71" s="375"/>
      <c r="GX71" s="375"/>
      <c r="GY71" s="375"/>
      <c r="GZ71" s="375"/>
      <c r="HA71" s="375"/>
      <c r="HB71" s="375"/>
      <c r="HC71" s="375"/>
      <c r="HD71" s="375"/>
      <c r="HE71" s="342"/>
      <c r="HF71" s="342"/>
      <c r="HG71" s="342"/>
      <c r="HH71" s="342"/>
      <c r="HI71" s="342"/>
      <c r="HJ71" s="342"/>
      <c r="HK71" s="342"/>
      <c r="HL71" s="342"/>
      <c r="HM71" s="342"/>
      <c r="HN71" s="342"/>
      <c r="HO71" s="342"/>
      <c r="HP71" s="342"/>
      <c r="HQ71" s="342"/>
      <c r="HR71" s="342"/>
      <c r="HS71" s="342"/>
      <c r="HT71" s="342"/>
      <c r="HU71" s="342"/>
      <c r="HV71" s="342"/>
      <c r="HW71" s="342"/>
      <c r="HX71" s="342"/>
      <c r="HY71" s="342"/>
      <c r="HZ71" s="342"/>
      <c r="IA71" s="342"/>
      <c r="IB71" s="342"/>
      <c r="IC71" s="342"/>
      <c r="ID71" s="342"/>
      <c r="IE71" s="342"/>
      <c r="IF71" s="342"/>
      <c r="IG71" s="342"/>
      <c r="IH71" s="342"/>
      <c r="II71" s="342"/>
      <c r="IJ71" s="342"/>
      <c r="IK71" s="342"/>
      <c r="IL71" s="342"/>
      <c r="IM71" s="342"/>
      <c r="IN71" s="342"/>
      <c r="IO71" s="342"/>
      <c r="IP71" s="342"/>
      <c r="IQ71" s="342"/>
      <c r="IR71" s="342"/>
      <c r="IS71" s="342"/>
      <c r="IT71" s="342"/>
      <c r="IU71" s="342"/>
      <c r="IV71" s="342"/>
      <c r="IW71" s="342"/>
      <c r="IX71" s="342"/>
      <c r="IY71" s="342"/>
      <c r="IZ71" s="342"/>
      <c r="JA71" s="342"/>
      <c r="JB71" s="342"/>
      <c r="JC71" s="342"/>
      <c r="JD71" s="342"/>
      <c r="JE71" s="342"/>
      <c r="JF71" s="342"/>
      <c r="JG71" s="342"/>
      <c r="JH71" s="342"/>
      <c r="JI71" s="342"/>
      <c r="JJ71" s="342"/>
      <c r="JK71" s="342"/>
      <c r="JL71" s="342"/>
      <c r="JM71" s="342"/>
      <c r="JN71" s="342"/>
      <c r="JO71" s="342"/>
      <c r="JP71" s="342"/>
      <c r="JQ71" s="342"/>
      <c r="JR71" s="342"/>
      <c r="JS71" s="342"/>
      <c r="JT71" s="342"/>
      <c r="JU71" s="342"/>
      <c r="JV71" s="342"/>
      <c r="JW71" s="342"/>
      <c r="JX71" s="342"/>
      <c r="JY71" s="342"/>
      <c r="JZ71" s="342"/>
      <c r="KA71" s="342"/>
      <c r="KB71" s="342"/>
      <c r="KC71" s="342"/>
      <c r="KD71" s="342"/>
      <c r="KE71" s="342"/>
      <c r="KF71" s="342"/>
      <c r="KG71" s="342"/>
      <c r="KH71" s="342"/>
      <c r="KI71" s="342"/>
      <c r="KJ71" s="342"/>
      <c r="KK71" s="342"/>
      <c r="KL71" s="342"/>
      <c r="KM71" s="342"/>
      <c r="KN71" s="342"/>
      <c r="KO71" s="342"/>
      <c r="KP71" s="342"/>
      <c r="KQ71" s="342"/>
      <c r="KR71" s="342"/>
      <c r="KS71" s="342"/>
      <c r="KT71" s="342"/>
      <c r="KU71" s="342"/>
      <c r="KV71" s="342"/>
      <c r="KW71" s="342"/>
      <c r="KX71" s="342"/>
      <c r="KY71" s="342"/>
      <c r="KZ71" s="342"/>
      <c r="LA71" s="342"/>
      <c r="LB71" s="342"/>
      <c r="LC71" s="342"/>
      <c r="LD71" s="342"/>
      <c r="LE71" s="342"/>
      <c r="LF71" s="342"/>
      <c r="LG71" s="342"/>
      <c r="LH71" s="342"/>
      <c r="LI71" s="342"/>
      <c r="LJ71" s="342"/>
      <c r="LK71" s="342"/>
      <c r="LL71" s="342"/>
      <c r="LM71" s="342"/>
      <c r="LN71" s="342"/>
      <c r="LO71" s="342"/>
      <c r="LP71" s="342"/>
      <c r="LQ71" s="342"/>
      <c r="LR71" s="342"/>
      <c r="LS71" s="342"/>
      <c r="LT71" s="342"/>
      <c r="LU71" s="342"/>
      <c r="LV71" s="342"/>
      <c r="LW71" s="342"/>
      <c r="LX71" s="342"/>
      <c r="LY71" s="342"/>
      <c r="LZ71" s="342"/>
      <c r="MA71" s="342"/>
      <c r="MB71" s="342"/>
      <c r="MC71" s="342"/>
      <c r="MD71" s="342"/>
      <c r="ME71" s="342"/>
      <c r="MF71" s="342"/>
      <c r="MG71" s="342"/>
      <c r="MH71" s="342"/>
      <c r="MI71" s="342"/>
      <c r="MJ71" s="342"/>
      <c r="MK71" s="342"/>
      <c r="ML71" s="342"/>
      <c r="MM71" s="342"/>
      <c r="MN71" s="342"/>
      <c r="MO71" s="342"/>
      <c r="MP71" s="342"/>
      <c r="MQ71" s="342"/>
      <c r="MR71" s="342"/>
      <c r="MS71" s="342"/>
      <c r="MT71" s="342"/>
      <c r="MU71" s="342"/>
      <c r="MV71" s="342"/>
      <c r="MW71" s="342"/>
      <c r="MX71" s="342"/>
      <c r="MY71" s="342"/>
      <c r="MZ71" s="342"/>
      <c r="NA71" s="342"/>
      <c r="NB71" s="342"/>
      <c r="NC71" s="342"/>
      <c r="ND71" s="342"/>
      <c r="NE71" s="342"/>
      <c r="NF71" s="342"/>
      <c r="NG71" s="342"/>
      <c r="NH71" s="342"/>
      <c r="NI71" s="342"/>
      <c r="NJ71" s="342"/>
      <c r="NK71" s="342"/>
      <c r="NL71" s="342"/>
      <c r="NM71" s="342"/>
      <c r="NN71" s="342"/>
      <c r="NO71" s="342"/>
      <c r="NP71" s="342"/>
      <c r="NQ71" s="342"/>
      <c r="NR71" s="342"/>
      <c r="NS71" s="342"/>
      <c r="NT71" s="342"/>
      <c r="NU71" s="342"/>
      <c r="NV71" s="342"/>
      <c r="NW71" s="342"/>
      <c r="NX71" s="342"/>
      <c r="NY71" s="342"/>
      <c r="NZ71" s="342"/>
      <c r="OA71" s="342"/>
      <c r="OB71" s="342"/>
      <c r="OC71" s="342"/>
      <c r="OD71" s="342"/>
      <c r="OE71" s="342"/>
      <c r="OF71" s="342"/>
      <c r="OG71" s="342"/>
      <c r="OH71" s="342"/>
      <c r="OI71" s="342"/>
      <c r="OJ71" s="342"/>
      <c r="OK71" s="342"/>
      <c r="OL71" s="342"/>
      <c r="OM71" s="342"/>
      <c r="ON71" s="342"/>
      <c r="OO71" s="342"/>
      <c r="OP71" s="342"/>
      <c r="OQ71" s="342"/>
      <c r="OR71" s="342"/>
      <c r="OS71" s="342"/>
      <c r="OT71" s="342"/>
      <c r="OU71" s="342"/>
      <c r="OV71" s="342"/>
      <c r="OW71" s="342"/>
      <c r="OX71" s="342"/>
      <c r="OY71" s="342"/>
      <c r="OZ71" s="342"/>
      <c r="PA71" s="342"/>
      <c r="PB71" s="342"/>
      <c r="PC71" s="342"/>
      <c r="PD71" s="342"/>
      <c r="PE71" s="342"/>
      <c r="PF71" s="342"/>
      <c r="PG71" s="342"/>
      <c r="PH71" s="342"/>
      <c r="PI71" s="342"/>
      <c r="PJ71" s="342"/>
      <c r="PK71" s="342"/>
      <c r="PL71" s="342"/>
      <c r="PM71" s="342"/>
      <c r="PN71" s="342"/>
      <c r="PO71" s="342"/>
      <c r="PP71" s="342"/>
      <c r="PQ71" s="342"/>
      <c r="PR71" s="342"/>
      <c r="PS71" s="342"/>
      <c r="PT71" s="342"/>
      <c r="PU71" s="342"/>
      <c r="PV71" s="342"/>
      <c r="PW71" s="302"/>
      <c r="PX71" s="303"/>
      <c r="PY71" s="303"/>
      <c r="QC71" s="78" t="s">
        <v>24</v>
      </c>
      <c r="QD71" s="78">
        <f>QH64+(0.02/QC3)</f>
        <v>6.7857142857142866E-2</v>
      </c>
      <c r="QE71" s="78">
        <f>QD71</f>
        <v>6.7857142857142866E-2</v>
      </c>
      <c r="QF71" s="78">
        <f>QD71</f>
        <v>6.7857142857142866E-2</v>
      </c>
      <c r="QG71" s="78">
        <f>QD71</f>
        <v>6.7857142857142866E-2</v>
      </c>
      <c r="QH71" s="78">
        <f>QD71</f>
        <v>6.7857142857142866E-2</v>
      </c>
      <c r="QI71" s="78">
        <f>QD71</f>
        <v>6.7857142857142866E-2</v>
      </c>
      <c r="QJ71" s="78">
        <f>QD71</f>
        <v>6.7857142857142866E-2</v>
      </c>
      <c r="QK71" s="78">
        <f>QD71</f>
        <v>6.7857142857142866E-2</v>
      </c>
      <c r="QL71" s="78">
        <f>QD71</f>
        <v>6.7857142857142866E-2</v>
      </c>
      <c r="QM71" s="78">
        <f>QD71</f>
        <v>6.7857142857142866E-2</v>
      </c>
      <c r="QN71" s="78">
        <f>QD71</f>
        <v>6.7857142857142866E-2</v>
      </c>
      <c r="QO71" s="78">
        <f>QD71</f>
        <v>6.7857142857142866E-2</v>
      </c>
      <c r="QP71" s="78">
        <f>QD71</f>
        <v>6.7857142857142866E-2</v>
      </c>
      <c r="QQ71" s="78">
        <f>QD71</f>
        <v>6.7857142857142866E-2</v>
      </c>
      <c r="QR71" s="78">
        <f>QD71</f>
        <v>6.7857142857142866E-2</v>
      </c>
      <c r="QS71" s="78">
        <f>QD71</f>
        <v>6.7857142857142866E-2</v>
      </c>
      <c r="QT71" s="78">
        <f>QD71</f>
        <v>6.7857142857142866E-2</v>
      </c>
      <c r="QU71" s="78">
        <f>QD71</f>
        <v>6.7857142857142866E-2</v>
      </c>
      <c r="QV71" s="78">
        <f>QD71</f>
        <v>6.7857142857142866E-2</v>
      </c>
      <c r="QW71" s="78">
        <f>QD71</f>
        <v>6.7857142857142866E-2</v>
      </c>
      <c r="QX71" s="78">
        <f>QD71</f>
        <v>6.7857142857142866E-2</v>
      </c>
      <c r="QY71" s="346">
        <f>QD71</f>
        <v>6.7857142857142866E-2</v>
      </c>
      <c r="QZ71" s="346">
        <f>QD71</f>
        <v>6.7857142857142866E-2</v>
      </c>
      <c r="RA71" s="346">
        <f>QD71</f>
        <v>6.7857142857142866E-2</v>
      </c>
      <c r="RB71" s="346">
        <f>QD71</f>
        <v>6.7857142857142866E-2</v>
      </c>
      <c r="RC71" s="346">
        <f>QD71</f>
        <v>6.7857142857142866E-2</v>
      </c>
      <c r="RD71" s="346">
        <f>QD71</f>
        <v>6.7857142857142866E-2</v>
      </c>
      <c r="RE71" s="346">
        <f>QD71</f>
        <v>6.7857142857142866E-2</v>
      </c>
      <c r="RF71" s="346">
        <f>QD71</f>
        <v>6.7857142857142866E-2</v>
      </c>
      <c r="RG71" s="346">
        <f>QD71</f>
        <v>6.7857142857142866E-2</v>
      </c>
      <c r="RH71" s="346"/>
      <c r="RI71" s="346"/>
      <c r="RJ71" s="346"/>
      <c r="RK71" s="346"/>
      <c r="RL71" s="346"/>
      <c r="RM71" s="346"/>
      <c r="RN71" s="346"/>
      <c r="RO71" s="346"/>
      <c r="RP71" s="346"/>
      <c r="RQ71" s="346"/>
      <c r="RR71" s="346"/>
      <c r="RS71" s="346"/>
      <c r="RT71" s="346"/>
      <c r="RU71" s="346"/>
      <c r="RV71" s="346"/>
      <c r="RW71" s="346"/>
      <c r="RX71" s="346"/>
      <c r="RY71" s="346"/>
      <c r="RZ71" s="346"/>
      <c r="SA71" s="346"/>
      <c r="SB71" s="346"/>
      <c r="SC71" s="346"/>
      <c r="SD71" s="346"/>
      <c r="SE71" s="346"/>
      <c r="SF71" s="346"/>
      <c r="SG71" s="346"/>
      <c r="SH71" s="346"/>
      <c r="SI71" s="346"/>
      <c r="SJ71" s="346"/>
      <c r="SK71" s="346"/>
      <c r="SL71" s="346"/>
      <c r="SM71" s="346"/>
      <c r="SN71" s="346"/>
      <c r="SO71" s="346"/>
      <c r="SP71" s="346"/>
      <c r="SQ71" s="346"/>
      <c r="SR71" s="346"/>
      <c r="SS71" s="346"/>
      <c r="ST71" s="346"/>
      <c r="SU71" s="346"/>
      <c r="SV71" s="346"/>
      <c r="SW71" s="346"/>
      <c r="SX71" s="346"/>
      <c r="SY71" s="346"/>
      <c r="SZ71" s="346"/>
      <c r="TA71" s="346"/>
    </row>
    <row r="72" spans="1:521" ht="14.1" customHeight="1" x14ac:dyDescent="0.2">
      <c r="A72" s="226"/>
      <c r="B72" s="226"/>
      <c r="C72" s="226"/>
      <c r="D72" s="226"/>
      <c r="E72" s="226"/>
      <c r="F72" s="226"/>
      <c r="G72" s="226"/>
      <c r="H72" s="226"/>
      <c r="I72" s="226"/>
      <c r="J72" s="226"/>
      <c r="K72" s="226"/>
      <c r="L72" s="226"/>
      <c r="M72" s="226"/>
      <c r="N72" s="226"/>
      <c r="O72" s="226"/>
      <c r="P72" s="226"/>
      <c r="Q72" s="226"/>
      <c r="R72" s="226"/>
      <c r="S72" s="226"/>
      <c r="T72" s="226"/>
      <c r="U72" s="226"/>
      <c r="V72" s="226"/>
      <c r="W72" s="226"/>
      <c r="X72" s="226"/>
      <c r="Y72" s="226"/>
      <c r="Z72" s="226"/>
      <c r="AA72" s="226"/>
      <c r="AB72" s="226"/>
      <c r="AC72" s="226"/>
      <c r="AD72" s="226"/>
      <c r="AE72" s="226"/>
      <c r="AF72" s="226"/>
      <c r="AG72" s="226"/>
      <c r="AH72" s="226"/>
      <c r="AI72" s="226"/>
      <c r="AJ72" s="226"/>
      <c r="AK72" s="226"/>
      <c r="AL72" s="226"/>
      <c r="AM72" s="226"/>
      <c r="AN72" s="226"/>
      <c r="AO72" s="226"/>
      <c r="AP72" s="226"/>
      <c r="AQ72" s="226"/>
      <c r="AR72" s="226"/>
      <c r="AS72" s="226"/>
      <c r="AT72" s="226"/>
      <c r="AU72" s="226"/>
      <c r="AV72" s="226"/>
      <c r="AW72" s="226"/>
      <c r="AX72" s="226"/>
      <c r="AY72" s="226"/>
      <c r="AZ72" s="226"/>
      <c r="BA72" s="226"/>
      <c r="BB72" s="226"/>
      <c r="BC72" s="226"/>
      <c r="BD72" s="226"/>
      <c r="BE72" s="226"/>
      <c r="BF72" s="226"/>
      <c r="BG72" s="226"/>
      <c r="BH72" s="226"/>
      <c r="BI72" s="226"/>
      <c r="BJ72" s="375"/>
      <c r="BK72" s="375"/>
      <c r="BL72" s="375"/>
      <c r="BM72" s="375"/>
      <c r="BN72" s="375"/>
      <c r="BO72" s="375"/>
      <c r="BP72" s="375"/>
      <c r="BQ72" s="375"/>
      <c r="BR72" s="375"/>
      <c r="BS72" s="375"/>
      <c r="BT72" s="375"/>
      <c r="BU72" s="375"/>
      <c r="BV72" s="375"/>
      <c r="BW72" s="375"/>
      <c r="BX72" s="375"/>
      <c r="BY72" s="375"/>
      <c r="BZ72" s="375"/>
      <c r="CA72" s="375"/>
      <c r="CB72" s="375"/>
      <c r="CC72" s="375"/>
      <c r="CD72" s="375"/>
      <c r="CE72" s="375"/>
      <c r="CF72" s="375"/>
      <c r="CG72" s="375"/>
      <c r="CH72" s="375"/>
      <c r="CI72" s="375"/>
      <c r="CJ72" s="375"/>
      <c r="CK72" s="375"/>
      <c r="CL72" s="375"/>
      <c r="CM72" s="375"/>
      <c r="CN72" s="375"/>
      <c r="CO72" s="375"/>
      <c r="CP72" s="375"/>
      <c r="CQ72" s="375"/>
      <c r="CR72" s="375"/>
      <c r="CS72" s="375"/>
      <c r="CT72" s="375"/>
      <c r="CU72" s="375"/>
      <c r="CV72" s="375"/>
      <c r="CW72" s="375"/>
      <c r="CX72" s="375"/>
      <c r="CY72" s="375"/>
      <c r="CZ72" s="375"/>
      <c r="DA72" s="375"/>
      <c r="DB72" s="375"/>
      <c r="DC72" s="375"/>
      <c r="DD72" s="375"/>
      <c r="DE72" s="375"/>
      <c r="DF72" s="375"/>
      <c r="DG72" s="375"/>
      <c r="DH72" s="375"/>
      <c r="DI72" s="375"/>
      <c r="DJ72" s="375"/>
      <c r="DK72" s="375"/>
      <c r="DL72" s="375"/>
      <c r="DM72" s="375"/>
      <c r="DN72" s="375"/>
      <c r="DO72" s="375"/>
      <c r="DP72" s="375"/>
      <c r="DQ72" s="375"/>
      <c r="DR72" s="375"/>
      <c r="DS72" s="375"/>
      <c r="DT72" s="375"/>
      <c r="DU72" s="375"/>
      <c r="DV72" s="375"/>
      <c r="DW72" s="375"/>
      <c r="DX72" s="375"/>
      <c r="DY72" s="375"/>
      <c r="DZ72" s="375"/>
      <c r="EA72" s="375"/>
      <c r="EB72" s="375"/>
      <c r="EC72" s="375"/>
      <c r="ED72" s="375"/>
      <c r="EE72" s="375"/>
      <c r="EF72" s="375"/>
      <c r="EG72" s="375"/>
      <c r="EH72" s="375"/>
      <c r="EI72" s="375"/>
      <c r="EJ72" s="375"/>
      <c r="EK72" s="375"/>
      <c r="EL72" s="375"/>
      <c r="EM72" s="375"/>
      <c r="EN72" s="375"/>
      <c r="EO72" s="375"/>
      <c r="EP72" s="375"/>
      <c r="EQ72" s="375"/>
      <c r="ER72" s="375"/>
      <c r="ES72" s="375"/>
      <c r="ET72" s="375"/>
      <c r="EU72" s="375"/>
      <c r="EV72" s="375"/>
      <c r="EW72" s="375"/>
      <c r="EX72" s="375"/>
      <c r="EY72" s="375"/>
      <c r="EZ72" s="375"/>
      <c r="FA72" s="375"/>
      <c r="FB72" s="375"/>
      <c r="FC72" s="375"/>
      <c r="FD72" s="375"/>
      <c r="FE72" s="375"/>
      <c r="FF72" s="375"/>
      <c r="FG72" s="375"/>
      <c r="FH72" s="375"/>
      <c r="FI72" s="375"/>
      <c r="FJ72" s="375"/>
      <c r="FK72" s="375"/>
      <c r="FL72" s="375"/>
      <c r="FM72" s="375"/>
      <c r="FN72" s="375"/>
      <c r="FO72" s="375"/>
      <c r="FP72" s="375"/>
      <c r="FQ72" s="375"/>
      <c r="FR72" s="375"/>
      <c r="FS72" s="375"/>
      <c r="FT72" s="375"/>
      <c r="FU72" s="375"/>
      <c r="FV72" s="375"/>
      <c r="FW72" s="375"/>
      <c r="FX72" s="375"/>
      <c r="FY72" s="375"/>
      <c r="FZ72" s="375"/>
      <c r="GA72" s="375"/>
      <c r="GB72" s="375"/>
      <c r="GC72" s="375"/>
      <c r="GD72" s="375"/>
      <c r="GE72" s="375"/>
      <c r="GF72" s="375"/>
      <c r="GG72" s="375"/>
      <c r="GH72" s="375"/>
      <c r="GI72" s="375"/>
      <c r="GJ72" s="375"/>
      <c r="GK72" s="375"/>
      <c r="GL72" s="375"/>
      <c r="GM72" s="375"/>
      <c r="GN72" s="375"/>
      <c r="GO72" s="375"/>
      <c r="GP72" s="375"/>
      <c r="GQ72" s="375"/>
      <c r="GR72" s="375"/>
      <c r="GS72" s="375"/>
      <c r="GT72" s="375"/>
      <c r="GU72" s="375"/>
      <c r="GV72" s="375"/>
      <c r="GW72" s="375"/>
      <c r="GX72" s="375"/>
      <c r="GY72" s="375"/>
      <c r="GZ72" s="375"/>
      <c r="HA72" s="375"/>
      <c r="HB72" s="375"/>
      <c r="HC72" s="375"/>
      <c r="HD72" s="375"/>
      <c r="HE72" s="342"/>
      <c r="HF72" s="342"/>
      <c r="HG72" s="342"/>
      <c r="HH72" s="342"/>
      <c r="HI72" s="342"/>
      <c r="HJ72" s="342"/>
      <c r="HK72" s="342"/>
      <c r="HL72" s="342"/>
      <c r="HM72" s="342"/>
      <c r="HN72" s="342"/>
      <c r="HO72" s="342"/>
      <c r="HP72" s="342"/>
      <c r="HQ72" s="342"/>
      <c r="HR72" s="342"/>
      <c r="HS72" s="342"/>
      <c r="HT72" s="342"/>
      <c r="HU72" s="342"/>
      <c r="HV72" s="342"/>
      <c r="HW72" s="342"/>
      <c r="HX72" s="342"/>
      <c r="HY72" s="342"/>
      <c r="HZ72" s="342"/>
      <c r="IA72" s="342"/>
      <c r="IB72" s="342"/>
      <c r="IC72" s="342"/>
      <c r="ID72" s="342"/>
      <c r="IE72" s="342"/>
      <c r="IF72" s="342"/>
      <c r="IG72" s="342"/>
      <c r="IH72" s="342"/>
      <c r="II72" s="342"/>
      <c r="IJ72" s="342"/>
      <c r="IK72" s="342"/>
      <c r="IL72" s="342"/>
      <c r="IM72" s="342"/>
      <c r="IN72" s="342"/>
      <c r="IO72" s="342"/>
      <c r="IP72" s="342"/>
      <c r="IQ72" s="342"/>
      <c r="IR72" s="342"/>
      <c r="IS72" s="342"/>
      <c r="IT72" s="342"/>
      <c r="IU72" s="342"/>
      <c r="IV72" s="342"/>
      <c r="IW72" s="342"/>
      <c r="IX72" s="342"/>
      <c r="IY72" s="342"/>
      <c r="IZ72" s="342"/>
      <c r="JA72" s="342"/>
      <c r="JB72" s="342"/>
      <c r="JC72" s="342"/>
      <c r="JD72" s="342"/>
      <c r="JE72" s="342"/>
      <c r="JF72" s="342"/>
      <c r="JG72" s="342"/>
      <c r="JH72" s="342"/>
      <c r="JI72" s="342"/>
      <c r="JJ72" s="342"/>
      <c r="JK72" s="342"/>
      <c r="JL72" s="342"/>
      <c r="JM72" s="342"/>
      <c r="JN72" s="342"/>
      <c r="JO72" s="342"/>
      <c r="JP72" s="342"/>
      <c r="JQ72" s="342"/>
      <c r="JR72" s="342"/>
      <c r="JS72" s="342"/>
      <c r="JT72" s="342"/>
      <c r="JU72" s="342"/>
      <c r="JV72" s="342"/>
      <c r="JW72" s="342"/>
      <c r="JX72" s="342"/>
      <c r="JY72" s="342"/>
      <c r="JZ72" s="342"/>
      <c r="KA72" s="342"/>
      <c r="KB72" s="342"/>
      <c r="KC72" s="342"/>
      <c r="KD72" s="342"/>
      <c r="KE72" s="342"/>
      <c r="KF72" s="342"/>
      <c r="KG72" s="342"/>
      <c r="KH72" s="342"/>
      <c r="KI72" s="342"/>
      <c r="KJ72" s="342"/>
      <c r="KK72" s="342"/>
      <c r="KL72" s="342"/>
      <c r="KM72" s="342"/>
      <c r="KN72" s="342"/>
      <c r="KO72" s="342"/>
      <c r="KP72" s="342"/>
      <c r="KQ72" s="342"/>
      <c r="KR72" s="342"/>
      <c r="KS72" s="342"/>
      <c r="KT72" s="342"/>
      <c r="KU72" s="342"/>
      <c r="KV72" s="342"/>
      <c r="KW72" s="342"/>
      <c r="KX72" s="342"/>
      <c r="KY72" s="342"/>
      <c r="KZ72" s="342"/>
      <c r="LA72" s="342"/>
      <c r="LB72" s="342"/>
      <c r="LC72" s="342"/>
      <c r="LD72" s="342"/>
      <c r="LE72" s="342"/>
      <c r="LF72" s="342"/>
      <c r="LG72" s="342"/>
      <c r="LH72" s="342"/>
      <c r="LI72" s="342"/>
      <c r="LJ72" s="342"/>
      <c r="LK72" s="342"/>
      <c r="LL72" s="342"/>
      <c r="LM72" s="342"/>
      <c r="LN72" s="342"/>
      <c r="LO72" s="342"/>
      <c r="LP72" s="342"/>
      <c r="LQ72" s="342"/>
      <c r="LR72" s="342"/>
      <c r="LS72" s="342"/>
      <c r="LT72" s="342"/>
      <c r="LU72" s="342"/>
      <c r="LV72" s="342"/>
      <c r="LW72" s="342"/>
      <c r="LX72" s="342"/>
      <c r="LY72" s="342"/>
      <c r="LZ72" s="342"/>
      <c r="MA72" s="342"/>
      <c r="MB72" s="342"/>
      <c r="MC72" s="342"/>
      <c r="MD72" s="342"/>
      <c r="ME72" s="342"/>
      <c r="MF72" s="342"/>
      <c r="MG72" s="342"/>
      <c r="MH72" s="342"/>
      <c r="MI72" s="342"/>
      <c r="MJ72" s="342"/>
      <c r="MK72" s="342"/>
      <c r="ML72" s="342"/>
      <c r="MM72" s="342"/>
      <c r="MN72" s="342"/>
      <c r="MO72" s="342"/>
      <c r="MP72" s="342"/>
      <c r="MQ72" s="342"/>
      <c r="MR72" s="342"/>
      <c r="MS72" s="342"/>
      <c r="MT72" s="342"/>
      <c r="MU72" s="342"/>
      <c r="MV72" s="342"/>
      <c r="MW72" s="342"/>
      <c r="MX72" s="342"/>
      <c r="MY72" s="342"/>
      <c r="MZ72" s="342"/>
      <c r="NA72" s="342"/>
      <c r="NB72" s="342"/>
      <c r="NC72" s="342"/>
      <c r="ND72" s="342"/>
      <c r="NE72" s="342"/>
      <c r="NF72" s="342"/>
      <c r="NG72" s="342"/>
      <c r="NH72" s="342"/>
      <c r="NI72" s="342"/>
      <c r="NJ72" s="342"/>
      <c r="NK72" s="342"/>
      <c r="NL72" s="342"/>
      <c r="NM72" s="342"/>
      <c r="NN72" s="342"/>
      <c r="NO72" s="342"/>
      <c r="NP72" s="342"/>
      <c r="NQ72" s="342"/>
      <c r="NR72" s="342"/>
      <c r="NS72" s="342"/>
      <c r="NT72" s="342"/>
      <c r="NU72" s="342"/>
      <c r="NV72" s="342"/>
      <c r="NW72" s="342"/>
      <c r="NX72" s="342"/>
      <c r="NY72" s="342"/>
      <c r="NZ72" s="342"/>
      <c r="OA72" s="342"/>
      <c r="OB72" s="342"/>
      <c r="OC72" s="342"/>
      <c r="OD72" s="342"/>
      <c r="OE72" s="342"/>
      <c r="OF72" s="342"/>
      <c r="OG72" s="342"/>
      <c r="OH72" s="342"/>
      <c r="OI72" s="342"/>
      <c r="OJ72" s="342"/>
      <c r="OK72" s="342"/>
      <c r="OL72" s="342"/>
      <c r="OM72" s="342"/>
      <c r="ON72" s="342"/>
      <c r="OO72" s="342"/>
      <c r="OP72" s="342"/>
      <c r="OQ72" s="342"/>
      <c r="OR72" s="342"/>
      <c r="OS72" s="342"/>
      <c r="OT72" s="342"/>
      <c r="OU72" s="342"/>
      <c r="OV72" s="342"/>
      <c r="OW72" s="342"/>
      <c r="OX72" s="342"/>
      <c r="OY72" s="342"/>
      <c r="OZ72" s="342"/>
      <c r="PA72" s="342"/>
      <c r="PB72" s="342"/>
      <c r="PC72" s="342"/>
      <c r="PD72" s="342"/>
      <c r="PE72" s="342"/>
      <c r="PF72" s="342"/>
      <c r="PG72" s="342"/>
      <c r="PH72" s="342"/>
      <c r="PI72" s="342"/>
      <c r="PJ72" s="342"/>
      <c r="PK72" s="342"/>
      <c r="PL72" s="342"/>
      <c r="PM72" s="342"/>
      <c r="PN72" s="342"/>
      <c r="PO72" s="342"/>
      <c r="PP72" s="342"/>
      <c r="PQ72" s="342"/>
      <c r="PR72" s="342"/>
      <c r="PS72" s="342"/>
      <c r="PT72" s="342"/>
      <c r="PU72" s="342"/>
      <c r="PV72" s="342"/>
      <c r="PW72" s="302"/>
      <c r="PX72" s="303"/>
      <c r="PY72" s="303"/>
      <c r="QC72" s="78" t="s">
        <v>129</v>
      </c>
      <c r="QD72" s="355" t="str">
        <f>CONCATENATE(Z38,V19,W19)</f>
        <v>8DB16</v>
      </c>
      <c r="QH72" s="355" t="str">
        <f>CONCATENATE(W38,V19,W19)</f>
        <v>8DB16</v>
      </c>
      <c r="QY72" s="346"/>
      <c r="QZ72" s="346"/>
      <c r="RA72" s="346"/>
      <c r="RB72" s="346"/>
      <c r="RC72" s="346"/>
      <c r="RD72" s="346"/>
      <c r="RE72" s="346"/>
      <c r="RF72" s="346"/>
      <c r="RG72" s="346"/>
      <c r="RH72" s="346"/>
      <c r="RI72" s="346"/>
      <c r="RJ72" s="346"/>
      <c r="RK72" s="346"/>
      <c r="RL72" s="346"/>
      <c r="RM72" s="346"/>
      <c r="RN72" s="346"/>
      <c r="RO72" s="346"/>
      <c r="RP72" s="346"/>
      <c r="RQ72" s="346"/>
      <c r="RR72" s="346"/>
      <c r="RS72" s="346"/>
      <c r="RT72" s="346"/>
      <c r="RU72" s="346"/>
      <c r="RV72" s="346"/>
      <c r="RW72" s="346"/>
      <c r="RX72" s="346"/>
      <c r="RY72" s="346"/>
      <c r="RZ72" s="346"/>
      <c r="SA72" s="346"/>
      <c r="SB72" s="346"/>
      <c r="SC72" s="346"/>
      <c r="SD72" s="346"/>
      <c r="SE72" s="346"/>
      <c r="SF72" s="346"/>
      <c r="SG72" s="346"/>
      <c r="SH72" s="346"/>
      <c r="SI72" s="346"/>
      <c r="SJ72" s="346"/>
      <c r="SK72" s="346"/>
      <c r="SL72" s="346"/>
      <c r="SM72" s="346"/>
      <c r="SN72" s="346"/>
      <c r="SO72" s="346"/>
      <c r="SP72" s="346"/>
      <c r="SQ72" s="346"/>
      <c r="SR72" s="346"/>
      <c r="SS72" s="346"/>
      <c r="ST72" s="346"/>
      <c r="SU72" s="346"/>
      <c r="SV72" s="346"/>
      <c r="SW72" s="346"/>
      <c r="SX72" s="346"/>
      <c r="SY72" s="346"/>
      <c r="SZ72" s="346"/>
      <c r="TA72" s="346"/>
    </row>
    <row r="73" spans="1:521" ht="14.1" customHeight="1" x14ac:dyDescent="0.2">
      <c r="A73" s="226"/>
      <c r="B73" s="226"/>
      <c r="C73" s="226"/>
      <c r="D73" s="226"/>
      <c r="E73" s="226"/>
      <c r="F73" s="226"/>
      <c r="G73" s="226"/>
      <c r="H73" s="226"/>
      <c r="I73" s="226"/>
      <c r="J73" s="226"/>
      <c r="K73" s="226"/>
      <c r="L73" s="226"/>
      <c r="M73" s="226"/>
      <c r="N73" s="226"/>
      <c r="O73" s="226"/>
      <c r="P73" s="226"/>
      <c r="Q73" s="226"/>
      <c r="R73" s="226"/>
      <c r="S73" s="226"/>
      <c r="T73" s="226"/>
      <c r="U73" s="226"/>
      <c r="V73" s="226"/>
      <c r="W73" s="226"/>
      <c r="X73" s="226"/>
      <c r="Y73" s="226"/>
      <c r="Z73" s="226"/>
      <c r="AA73" s="226"/>
      <c r="AB73" s="226"/>
      <c r="AC73" s="226"/>
      <c r="AD73" s="226"/>
      <c r="AE73" s="226"/>
      <c r="AF73" s="226"/>
      <c r="AG73" s="226"/>
      <c r="AH73" s="226"/>
      <c r="AI73" s="226"/>
      <c r="AJ73" s="226"/>
      <c r="AK73" s="226"/>
      <c r="AL73" s="226"/>
      <c r="AM73" s="226"/>
      <c r="AN73" s="226"/>
      <c r="AO73" s="226"/>
      <c r="AP73" s="226"/>
      <c r="AQ73" s="226"/>
      <c r="AR73" s="226"/>
      <c r="AS73" s="226"/>
      <c r="AT73" s="226"/>
      <c r="AU73" s="226"/>
      <c r="AV73" s="226"/>
      <c r="AW73" s="226"/>
      <c r="AX73" s="226"/>
      <c r="AY73" s="226"/>
      <c r="AZ73" s="226"/>
      <c r="BA73" s="226"/>
      <c r="BB73" s="226"/>
      <c r="BC73" s="226"/>
      <c r="BD73" s="226"/>
      <c r="BE73" s="226"/>
      <c r="BF73" s="226"/>
      <c r="BG73" s="226"/>
      <c r="BH73" s="226"/>
      <c r="BI73" s="226"/>
      <c r="BJ73" s="351"/>
      <c r="BK73" s="351"/>
      <c r="BL73" s="351"/>
      <c r="BM73" s="351"/>
      <c r="BN73" s="351"/>
      <c r="BO73" s="351"/>
      <c r="BP73" s="351"/>
      <c r="BQ73" s="351"/>
      <c r="BR73" s="351"/>
      <c r="BS73" s="351"/>
      <c r="BT73" s="351"/>
      <c r="BU73" s="351"/>
      <c r="BV73" s="351"/>
      <c r="BW73" s="351"/>
      <c r="BX73" s="351"/>
      <c r="BY73" s="351"/>
      <c r="BZ73" s="351"/>
      <c r="CA73" s="351"/>
      <c r="CB73" s="351"/>
      <c r="CC73" s="351"/>
      <c r="CD73" s="351"/>
      <c r="CE73" s="351"/>
      <c r="CF73" s="351"/>
      <c r="CG73" s="351"/>
      <c r="CH73" s="351"/>
      <c r="CI73" s="351"/>
      <c r="CJ73" s="351"/>
      <c r="CK73" s="351"/>
      <c r="CL73" s="351"/>
      <c r="CM73" s="351"/>
      <c r="CN73" s="351"/>
      <c r="CO73" s="351"/>
      <c r="CP73" s="351"/>
      <c r="CQ73" s="351"/>
      <c r="CR73" s="351"/>
      <c r="CS73" s="351"/>
      <c r="CT73" s="351"/>
      <c r="CU73" s="351"/>
      <c r="CV73" s="351"/>
      <c r="CW73" s="351"/>
      <c r="CX73" s="351"/>
      <c r="CY73" s="351"/>
      <c r="CZ73" s="351"/>
      <c r="DA73" s="351"/>
      <c r="DB73" s="351"/>
      <c r="DC73" s="351"/>
      <c r="DD73" s="351"/>
      <c r="DE73" s="351"/>
      <c r="DF73" s="351"/>
      <c r="DG73" s="351"/>
      <c r="DH73" s="351"/>
      <c r="DI73" s="351"/>
      <c r="DJ73" s="351"/>
      <c r="DK73" s="351"/>
      <c r="DL73" s="351"/>
      <c r="DM73" s="351"/>
      <c r="DN73" s="351"/>
      <c r="DO73" s="351"/>
      <c r="DP73" s="351"/>
      <c r="DQ73" s="351"/>
      <c r="DR73" s="351"/>
      <c r="DS73" s="351"/>
      <c r="DT73" s="351"/>
      <c r="DU73" s="351"/>
      <c r="DV73" s="351"/>
      <c r="DW73" s="351"/>
      <c r="DX73" s="351"/>
      <c r="DY73" s="351"/>
      <c r="DZ73" s="351"/>
      <c r="EA73" s="351"/>
      <c r="EB73" s="351"/>
      <c r="EC73" s="351"/>
      <c r="ED73" s="351"/>
      <c r="EE73" s="351"/>
      <c r="EF73" s="351"/>
      <c r="EG73" s="351"/>
      <c r="EH73" s="351"/>
      <c r="EI73" s="351"/>
      <c r="EJ73" s="351"/>
      <c r="EK73" s="351"/>
      <c r="EL73" s="351"/>
      <c r="EM73" s="351"/>
      <c r="EN73" s="351"/>
      <c r="EO73" s="351"/>
      <c r="EP73" s="351"/>
      <c r="EQ73" s="351"/>
      <c r="ER73" s="351"/>
      <c r="ES73" s="351"/>
      <c r="ET73" s="351"/>
      <c r="EU73" s="351"/>
      <c r="EV73" s="351"/>
      <c r="EW73" s="351"/>
      <c r="EX73" s="351"/>
      <c r="EY73" s="351"/>
      <c r="EZ73" s="351"/>
      <c r="FA73" s="351"/>
      <c r="FB73" s="351"/>
      <c r="FC73" s="351"/>
      <c r="FD73" s="351"/>
      <c r="FE73" s="351"/>
      <c r="FF73" s="351"/>
      <c r="FG73" s="351"/>
      <c r="FH73" s="351"/>
      <c r="FI73" s="351"/>
      <c r="FJ73" s="351"/>
      <c r="FK73" s="351"/>
      <c r="FL73" s="351"/>
      <c r="FM73" s="351"/>
      <c r="FN73" s="351"/>
      <c r="FO73" s="351"/>
      <c r="FP73" s="351"/>
      <c r="FQ73" s="351"/>
      <c r="FR73" s="351"/>
      <c r="FS73" s="351"/>
      <c r="FT73" s="351"/>
      <c r="FU73" s="351"/>
      <c r="FV73" s="351"/>
      <c r="FW73" s="351"/>
      <c r="FX73" s="351"/>
      <c r="FY73" s="351"/>
      <c r="FZ73" s="351"/>
      <c r="GA73" s="351"/>
      <c r="GB73" s="351"/>
      <c r="GC73" s="351"/>
      <c r="GD73" s="351"/>
      <c r="GE73" s="351"/>
      <c r="GF73" s="351"/>
      <c r="GG73" s="351"/>
      <c r="GH73" s="351"/>
      <c r="GI73" s="351"/>
      <c r="GJ73" s="351"/>
      <c r="GK73" s="351"/>
      <c r="GL73" s="351"/>
      <c r="GM73" s="351"/>
      <c r="GN73" s="351"/>
      <c r="GO73" s="351"/>
      <c r="GP73" s="351"/>
      <c r="GQ73" s="351"/>
      <c r="GR73" s="351"/>
      <c r="GS73" s="351"/>
      <c r="GT73" s="351"/>
      <c r="GU73" s="351"/>
      <c r="GV73" s="351"/>
      <c r="GW73" s="351"/>
      <c r="GX73" s="351"/>
      <c r="GY73" s="351"/>
      <c r="GZ73" s="351"/>
      <c r="HA73" s="351"/>
      <c r="HB73" s="351"/>
      <c r="HC73" s="351"/>
      <c r="HD73" s="351"/>
      <c r="HE73" s="295"/>
      <c r="HF73" s="295"/>
      <c r="HG73" s="295"/>
      <c r="HH73" s="295"/>
      <c r="HI73" s="295"/>
      <c r="HJ73" s="295"/>
      <c r="HK73" s="295"/>
      <c r="HL73" s="295"/>
      <c r="HM73" s="295"/>
      <c r="HN73" s="295"/>
      <c r="HO73" s="295"/>
      <c r="HP73" s="295"/>
      <c r="HQ73" s="295"/>
      <c r="HR73" s="295"/>
      <c r="HS73" s="295"/>
      <c r="HT73" s="295"/>
      <c r="HU73" s="295"/>
      <c r="HV73" s="295"/>
      <c r="HW73" s="295"/>
      <c r="HX73" s="295"/>
      <c r="HY73" s="295"/>
      <c r="HZ73" s="295"/>
      <c r="IA73" s="295"/>
      <c r="IB73" s="295"/>
      <c r="IC73" s="295"/>
      <c r="ID73" s="295"/>
      <c r="IE73" s="295"/>
      <c r="IF73" s="295"/>
      <c r="IG73" s="295"/>
      <c r="IH73" s="295"/>
      <c r="II73" s="295"/>
      <c r="IJ73" s="295"/>
      <c r="IK73" s="295"/>
      <c r="IL73" s="295"/>
      <c r="IM73" s="295"/>
      <c r="IN73" s="295"/>
      <c r="IO73" s="295"/>
      <c r="IP73" s="295"/>
      <c r="IQ73" s="295"/>
      <c r="IR73" s="295"/>
      <c r="IS73" s="295"/>
      <c r="IT73" s="295"/>
      <c r="IU73" s="295"/>
      <c r="IV73" s="295"/>
      <c r="IW73" s="295"/>
      <c r="IX73" s="295"/>
      <c r="IY73" s="295"/>
      <c r="IZ73" s="295"/>
      <c r="JA73" s="295"/>
      <c r="JB73" s="295"/>
      <c r="JC73" s="295"/>
      <c r="JD73" s="295"/>
      <c r="JE73" s="295"/>
      <c r="JF73" s="295"/>
      <c r="JG73" s="295"/>
      <c r="JH73" s="295"/>
      <c r="JI73" s="295"/>
      <c r="JJ73" s="295"/>
      <c r="JK73" s="295"/>
      <c r="JL73" s="295"/>
      <c r="JM73" s="295"/>
      <c r="JN73" s="295"/>
      <c r="JO73" s="295"/>
      <c r="JP73" s="295"/>
      <c r="JQ73" s="295"/>
      <c r="JR73" s="295"/>
      <c r="JS73" s="295"/>
      <c r="JT73" s="295"/>
      <c r="JU73" s="295"/>
      <c r="JV73" s="295"/>
      <c r="JW73" s="295"/>
      <c r="JX73" s="295"/>
      <c r="JY73" s="295"/>
      <c r="JZ73" s="295"/>
      <c r="KA73" s="295"/>
      <c r="KB73" s="295"/>
      <c r="KC73" s="295"/>
      <c r="KD73" s="295"/>
      <c r="KE73" s="295"/>
      <c r="KF73" s="295"/>
      <c r="KG73" s="295"/>
      <c r="KH73" s="295"/>
      <c r="KI73" s="295"/>
      <c r="KJ73" s="295"/>
      <c r="KK73" s="295"/>
      <c r="KL73" s="295"/>
      <c r="KM73" s="295"/>
      <c r="KN73" s="295"/>
      <c r="KO73" s="295"/>
      <c r="KP73" s="295"/>
      <c r="KQ73" s="295"/>
      <c r="KR73" s="295"/>
      <c r="KS73" s="295"/>
      <c r="KT73" s="295"/>
      <c r="KU73" s="295"/>
      <c r="KV73" s="295"/>
      <c r="KW73" s="295"/>
      <c r="KX73" s="295"/>
      <c r="KY73" s="295"/>
      <c r="KZ73" s="295"/>
      <c r="LA73" s="295"/>
      <c r="LB73" s="295"/>
      <c r="LC73" s="295"/>
      <c r="LD73" s="295"/>
      <c r="LE73" s="295"/>
      <c r="LF73" s="295"/>
      <c r="LG73" s="295"/>
      <c r="LH73" s="295"/>
      <c r="LI73" s="295"/>
      <c r="LJ73" s="295"/>
      <c r="LK73" s="295"/>
      <c r="LL73" s="295"/>
      <c r="LM73" s="295"/>
      <c r="LN73" s="295"/>
      <c r="LO73" s="295"/>
      <c r="LP73" s="295"/>
      <c r="LQ73" s="295"/>
      <c r="LR73" s="295"/>
      <c r="LS73" s="295"/>
      <c r="LT73" s="295"/>
      <c r="LU73" s="295"/>
      <c r="LV73" s="295"/>
      <c r="LW73" s="295"/>
      <c r="LX73" s="295"/>
      <c r="LY73" s="295"/>
      <c r="LZ73" s="295"/>
      <c r="MA73" s="295"/>
      <c r="MB73" s="295"/>
      <c r="MC73" s="295"/>
      <c r="MD73" s="295"/>
      <c r="ME73" s="295"/>
      <c r="MF73" s="295"/>
      <c r="MG73" s="295"/>
      <c r="MH73" s="295"/>
      <c r="MI73" s="295"/>
      <c r="MJ73" s="295"/>
      <c r="MK73" s="295"/>
      <c r="ML73" s="295"/>
      <c r="MM73" s="295"/>
      <c r="MN73" s="295"/>
      <c r="MO73" s="295"/>
      <c r="MP73" s="295"/>
      <c r="MQ73" s="295"/>
      <c r="MR73" s="295"/>
      <c r="MS73" s="295"/>
      <c r="MT73" s="295"/>
      <c r="MU73" s="295"/>
      <c r="MV73" s="295"/>
      <c r="MW73" s="295"/>
      <c r="MX73" s="295"/>
      <c r="MY73" s="295"/>
      <c r="MZ73" s="295"/>
      <c r="NA73" s="295"/>
      <c r="NB73" s="295"/>
      <c r="NC73" s="295"/>
      <c r="ND73" s="295"/>
      <c r="NE73" s="295"/>
      <c r="NF73" s="295"/>
      <c r="NG73" s="295"/>
      <c r="NH73" s="295"/>
      <c r="NI73" s="295"/>
      <c r="NJ73" s="295"/>
      <c r="NK73" s="295"/>
      <c r="NL73" s="295"/>
      <c r="NM73" s="295"/>
      <c r="NN73" s="295"/>
      <c r="NO73" s="295"/>
      <c r="NP73" s="295"/>
      <c r="NQ73" s="295"/>
      <c r="NR73" s="295"/>
      <c r="NS73" s="295"/>
      <c r="NT73" s="295"/>
      <c r="NU73" s="295"/>
      <c r="NV73" s="295"/>
      <c r="NW73" s="295"/>
      <c r="NX73" s="295"/>
      <c r="NY73" s="295"/>
      <c r="NZ73" s="295"/>
      <c r="OA73" s="295"/>
      <c r="OB73" s="295"/>
      <c r="OC73" s="295"/>
      <c r="OD73" s="295"/>
      <c r="OE73" s="295"/>
      <c r="OF73" s="295"/>
      <c r="OG73" s="295"/>
      <c r="OH73" s="295"/>
      <c r="OI73" s="295"/>
      <c r="OJ73" s="295"/>
      <c r="OK73" s="295"/>
      <c r="OL73" s="295"/>
      <c r="OM73" s="295"/>
      <c r="ON73" s="295"/>
      <c r="OO73" s="295"/>
      <c r="OP73" s="295"/>
      <c r="OQ73" s="295"/>
      <c r="OR73" s="295"/>
      <c r="OS73" s="295"/>
      <c r="OT73" s="295"/>
      <c r="OU73" s="295"/>
      <c r="OV73" s="295"/>
      <c r="OW73" s="295"/>
      <c r="OX73" s="295"/>
      <c r="OY73" s="295"/>
      <c r="OZ73" s="295"/>
      <c r="PA73" s="295"/>
      <c r="PB73" s="295"/>
      <c r="PC73" s="295"/>
      <c r="PD73" s="295"/>
      <c r="PE73" s="295"/>
      <c r="PF73" s="295"/>
      <c r="PG73" s="295"/>
      <c r="PH73" s="295"/>
      <c r="PI73" s="295"/>
      <c r="PJ73" s="295"/>
      <c r="PK73" s="295"/>
      <c r="PL73" s="295"/>
      <c r="PM73" s="295"/>
      <c r="PN73" s="295"/>
      <c r="PO73" s="295"/>
      <c r="PP73" s="295"/>
      <c r="PQ73" s="295"/>
      <c r="PR73" s="295"/>
      <c r="PS73" s="295"/>
      <c r="PT73" s="295"/>
      <c r="PU73" s="295"/>
      <c r="PV73" s="295"/>
      <c r="PW73" s="302"/>
      <c r="PX73" s="303"/>
      <c r="PY73" s="303"/>
      <c r="QC73" s="78" t="s">
        <v>23</v>
      </c>
      <c r="QD73" s="78">
        <f>RG70</f>
        <v>0.43214285714285711</v>
      </c>
      <c r="QE73" s="78">
        <f>QD73</f>
        <v>0.43214285714285711</v>
      </c>
      <c r="QF73" s="78">
        <f>QP57</f>
        <v>0.5714285714285714</v>
      </c>
      <c r="QH73" s="78">
        <f>QD73-(0.075/QC3)</f>
        <v>0.37857142857142856</v>
      </c>
      <c r="QI73" s="78">
        <f>QH73</f>
        <v>0.37857142857142856</v>
      </c>
      <c r="QJ73" s="78">
        <f>QF73</f>
        <v>0.5714285714285714</v>
      </c>
      <c r="QY73" s="346"/>
      <c r="QZ73" s="346"/>
      <c r="RA73" s="346"/>
      <c r="RB73" s="346"/>
      <c r="RC73" s="346"/>
      <c r="RD73" s="346"/>
      <c r="RE73" s="346"/>
      <c r="RF73" s="346"/>
      <c r="RG73" s="346"/>
      <c r="RH73" s="346"/>
      <c r="RI73" s="346"/>
      <c r="RJ73" s="346"/>
      <c r="RK73" s="346"/>
      <c r="RL73" s="346"/>
      <c r="RM73" s="346"/>
      <c r="RN73" s="346"/>
      <c r="RO73" s="346"/>
      <c r="RP73" s="346"/>
      <c r="RQ73" s="346"/>
      <c r="RR73" s="346"/>
      <c r="RS73" s="346"/>
      <c r="RT73" s="346"/>
      <c r="RU73" s="346"/>
      <c r="RV73" s="346"/>
      <c r="RW73" s="346"/>
      <c r="RX73" s="346"/>
      <c r="RY73" s="346"/>
      <c r="RZ73" s="346"/>
      <c r="SA73" s="346"/>
      <c r="SB73" s="346"/>
      <c r="SC73" s="346"/>
      <c r="SD73" s="346"/>
      <c r="SE73" s="346"/>
      <c r="SF73" s="346"/>
      <c r="SG73" s="346"/>
      <c r="SH73" s="346"/>
      <c r="SI73" s="346"/>
      <c r="SJ73" s="346"/>
      <c r="SK73" s="346"/>
      <c r="SL73" s="346"/>
      <c r="SM73" s="346"/>
      <c r="SN73" s="346"/>
      <c r="SO73" s="346"/>
      <c r="SP73" s="346"/>
      <c r="SQ73" s="346"/>
      <c r="SR73" s="346"/>
      <c r="SS73" s="346"/>
      <c r="ST73" s="346"/>
      <c r="SU73" s="346"/>
      <c r="SV73" s="346"/>
      <c r="SW73" s="346"/>
      <c r="SX73" s="346"/>
      <c r="SY73" s="346"/>
      <c r="SZ73" s="346"/>
      <c r="TA73" s="346"/>
    </row>
    <row r="74" spans="1:521" ht="14.1" customHeight="1" x14ac:dyDescent="0.2">
      <c r="A74" s="226"/>
      <c r="B74" s="226"/>
      <c r="C74" s="226"/>
      <c r="D74" s="226"/>
      <c r="E74" s="226"/>
      <c r="F74" s="226"/>
      <c r="G74" s="226"/>
      <c r="H74" s="226"/>
      <c r="I74" s="226"/>
      <c r="J74" s="226"/>
      <c r="K74" s="226"/>
      <c r="L74" s="226"/>
      <c r="M74" s="226"/>
      <c r="N74" s="226"/>
      <c r="O74" s="226"/>
      <c r="P74" s="226"/>
      <c r="Q74" s="226"/>
      <c r="R74" s="226"/>
      <c r="S74" s="226"/>
      <c r="T74" s="226"/>
      <c r="U74" s="226"/>
      <c r="V74" s="226"/>
      <c r="W74" s="226"/>
      <c r="X74" s="226"/>
      <c r="Y74" s="226"/>
      <c r="Z74" s="226"/>
      <c r="AA74" s="226"/>
      <c r="AB74" s="226"/>
      <c r="AC74" s="226"/>
      <c r="AD74" s="226"/>
      <c r="AE74" s="226"/>
      <c r="AF74" s="226"/>
      <c r="AG74" s="226"/>
      <c r="AH74" s="226"/>
      <c r="AI74" s="226"/>
      <c r="AJ74" s="226"/>
      <c r="AK74" s="226"/>
      <c r="AL74" s="226"/>
      <c r="AM74" s="226"/>
      <c r="AN74" s="226"/>
      <c r="AO74" s="226"/>
      <c r="AP74" s="226"/>
      <c r="AQ74" s="226"/>
      <c r="AR74" s="226"/>
      <c r="AS74" s="226"/>
      <c r="AT74" s="226"/>
      <c r="AU74" s="226"/>
      <c r="AV74" s="226"/>
      <c r="AW74" s="226"/>
      <c r="AX74" s="226"/>
      <c r="AY74" s="226"/>
      <c r="AZ74" s="226"/>
      <c r="BA74" s="226"/>
      <c r="BB74" s="226"/>
      <c r="BC74" s="226"/>
      <c r="BD74" s="226"/>
      <c r="BE74" s="226"/>
      <c r="BF74" s="226"/>
      <c r="BG74" s="226"/>
      <c r="BH74" s="226"/>
      <c r="BI74" s="226"/>
      <c r="BJ74" s="145"/>
      <c r="BK74" s="145"/>
      <c r="BL74" s="145"/>
      <c r="BM74" s="145"/>
      <c r="BN74" s="145"/>
      <c r="BO74" s="145"/>
      <c r="BP74" s="145"/>
      <c r="BQ74" s="145"/>
      <c r="BR74" s="145"/>
      <c r="BS74" s="145"/>
      <c r="BT74" s="145"/>
      <c r="BU74" s="145"/>
      <c r="BV74" s="145"/>
      <c r="BW74" s="145"/>
      <c r="BX74" s="145"/>
      <c r="BY74" s="145"/>
      <c r="BZ74" s="145"/>
      <c r="CA74" s="145"/>
      <c r="CB74" s="145"/>
      <c r="CC74" s="145"/>
      <c r="CD74" s="145"/>
      <c r="CE74" s="145"/>
      <c r="CF74" s="145"/>
      <c r="CG74" s="145"/>
      <c r="CH74" s="145"/>
      <c r="CI74" s="145"/>
      <c r="CJ74" s="145"/>
      <c r="CK74" s="145"/>
      <c r="CL74" s="145"/>
      <c r="CM74" s="145"/>
      <c r="CN74" s="145"/>
      <c r="CO74" s="145"/>
      <c r="CP74" s="145"/>
      <c r="CQ74" s="145"/>
      <c r="CR74" s="145"/>
      <c r="CS74" s="145"/>
      <c r="CT74" s="145"/>
      <c r="CU74" s="145"/>
      <c r="CV74" s="145"/>
      <c r="CW74" s="145"/>
      <c r="CX74" s="145"/>
      <c r="CY74" s="145"/>
      <c r="CZ74" s="145"/>
      <c r="DA74" s="145"/>
      <c r="DB74" s="145"/>
      <c r="DC74" s="145"/>
      <c r="DD74" s="145"/>
      <c r="DE74" s="145"/>
      <c r="DF74" s="145"/>
      <c r="DG74" s="145"/>
      <c r="DH74" s="145"/>
      <c r="DI74" s="145"/>
      <c r="DJ74" s="145"/>
      <c r="DK74" s="145"/>
      <c r="DL74" s="145"/>
      <c r="DM74" s="145"/>
      <c r="DN74" s="145"/>
      <c r="DO74" s="145"/>
      <c r="DP74" s="145"/>
      <c r="DQ74" s="145"/>
      <c r="DR74" s="145"/>
      <c r="DS74" s="145"/>
      <c r="DT74" s="145"/>
      <c r="DU74" s="145"/>
      <c r="DV74" s="145"/>
      <c r="DW74" s="145"/>
      <c r="DX74" s="145"/>
      <c r="DY74" s="145"/>
      <c r="DZ74" s="145"/>
      <c r="EA74" s="145"/>
      <c r="EB74" s="145"/>
      <c r="EC74" s="145"/>
      <c r="ED74" s="145"/>
      <c r="EE74" s="145"/>
      <c r="EF74" s="145"/>
      <c r="EG74" s="145"/>
      <c r="EH74" s="145"/>
      <c r="EI74" s="145"/>
      <c r="EJ74" s="145"/>
      <c r="EK74" s="145"/>
      <c r="EL74" s="145"/>
      <c r="EM74" s="145"/>
      <c r="EN74" s="145"/>
      <c r="EO74" s="145"/>
      <c r="EP74" s="145"/>
      <c r="EQ74" s="145"/>
      <c r="ER74" s="145"/>
      <c r="ES74" s="145"/>
      <c r="ET74" s="145"/>
      <c r="EU74" s="145"/>
      <c r="EV74" s="145"/>
      <c r="EW74" s="145"/>
      <c r="EX74" s="145"/>
      <c r="EY74" s="145"/>
      <c r="EZ74" s="145"/>
      <c r="FA74" s="145"/>
      <c r="FB74" s="145"/>
      <c r="FC74" s="145"/>
      <c r="FD74" s="145"/>
      <c r="FE74" s="145"/>
      <c r="FF74" s="145"/>
      <c r="FG74" s="145"/>
      <c r="FH74" s="145"/>
      <c r="FI74" s="145"/>
      <c r="FJ74" s="145"/>
      <c r="FK74" s="145"/>
      <c r="FL74" s="145"/>
      <c r="FM74" s="145"/>
      <c r="FN74" s="145"/>
      <c r="FO74" s="145"/>
      <c r="FP74" s="145"/>
      <c r="FQ74" s="145"/>
      <c r="FR74" s="145"/>
      <c r="FS74" s="145"/>
      <c r="FT74" s="145"/>
      <c r="FU74" s="145"/>
      <c r="FV74" s="145"/>
      <c r="FW74" s="145"/>
      <c r="FX74" s="145"/>
      <c r="FY74" s="145"/>
      <c r="FZ74" s="145"/>
      <c r="GA74" s="145"/>
      <c r="GB74" s="145"/>
      <c r="GC74" s="145"/>
      <c r="GD74" s="145"/>
      <c r="GE74" s="145"/>
      <c r="GF74" s="145"/>
      <c r="GG74" s="145"/>
      <c r="GH74" s="145"/>
      <c r="GI74" s="145"/>
      <c r="GJ74" s="145"/>
      <c r="GK74" s="145"/>
      <c r="GL74" s="145"/>
      <c r="GM74" s="145"/>
      <c r="GN74" s="145"/>
      <c r="GO74" s="145"/>
      <c r="GP74" s="145"/>
      <c r="GQ74" s="145"/>
      <c r="GR74" s="145"/>
      <c r="GS74" s="145"/>
      <c r="GT74" s="145"/>
      <c r="GU74" s="145"/>
      <c r="GV74" s="145"/>
      <c r="GW74" s="145"/>
      <c r="GX74" s="145"/>
      <c r="GY74" s="145"/>
      <c r="GZ74" s="145"/>
      <c r="HA74" s="145"/>
      <c r="HB74" s="145"/>
      <c r="HC74" s="145"/>
      <c r="HD74" s="145"/>
      <c r="HE74" s="302"/>
      <c r="HF74" s="302"/>
      <c r="HG74" s="302"/>
      <c r="HH74" s="302"/>
      <c r="HI74" s="302"/>
      <c r="HJ74" s="302"/>
      <c r="HK74" s="302"/>
      <c r="HL74" s="302"/>
      <c r="HM74" s="302"/>
      <c r="HN74" s="302"/>
      <c r="HO74" s="302"/>
      <c r="HP74" s="302"/>
      <c r="HQ74" s="302"/>
      <c r="HR74" s="302"/>
      <c r="HS74" s="302"/>
      <c r="HT74" s="302"/>
      <c r="HU74" s="302"/>
      <c r="HV74" s="302"/>
      <c r="HW74" s="302"/>
      <c r="HX74" s="302"/>
      <c r="HY74" s="302"/>
      <c r="HZ74" s="302"/>
      <c r="IA74" s="302"/>
      <c r="IB74" s="302"/>
      <c r="IC74" s="302"/>
      <c r="ID74" s="302"/>
      <c r="IE74" s="302"/>
      <c r="IF74" s="302"/>
      <c r="IG74" s="302"/>
      <c r="IH74" s="302"/>
      <c r="II74" s="302"/>
      <c r="IJ74" s="302"/>
      <c r="IK74" s="302"/>
      <c r="IL74" s="302"/>
      <c r="IM74" s="302"/>
      <c r="IN74" s="302"/>
      <c r="IO74" s="302"/>
      <c r="IP74" s="302"/>
      <c r="IQ74" s="302"/>
      <c r="IR74" s="302"/>
      <c r="IS74" s="302"/>
      <c r="IT74" s="302"/>
      <c r="IU74" s="302"/>
      <c r="IV74" s="302"/>
      <c r="IW74" s="302"/>
      <c r="IX74" s="302"/>
      <c r="IY74" s="302"/>
      <c r="IZ74" s="302"/>
      <c r="JA74" s="302"/>
      <c r="JB74" s="302"/>
      <c r="JC74" s="302"/>
      <c r="JD74" s="302"/>
      <c r="JE74" s="302"/>
      <c r="JF74" s="302"/>
      <c r="JG74" s="302"/>
      <c r="JH74" s="302"/>
      <c r="JI74" s="302"/>
      <c r="JJ74" s="302"/>
      <c r="JK74" s="302"/>
      <c r="JL74" s="302"/>
      <c r="JM74" s="302"/>
      <c r="JN74" s="302"/>
      <c r="JO74" s="302"/>
      <c r="JP74" s="302"/>
      <c r="JQ74" s="302"/>
      <c r="JR74" s="302"/>
      <c r="JS74" s="302"/>
      <c r="JT74" s="302"/>
      <c r="JU74" s="302"/>
      <c r="JV74" s="302"/>
      <c r="JW74" s="302"/>
      <c r="JX74" s="302"/>
      <c r="JY74" s="302"/>
      <c r="JZ74" s="302"/>
      <c r="KA74" s="302"/>
      <c r="KB74" s="302"/>
      <c r="KC74" s="302"/>
      <c r="KD74" s="302"/>
      <c r="KE74" s="302"/>
      <c r="KF74" s="302"/>
      <c r="KG74" s="302"/>
      <c r="KH74" s="302"/>
      <c r="KI74" s="302"/>
      <c r="KJ74" s="302"/>
      <c r="KK74" s="302"/>
      <c r="KL74" s="302"/>
      <c r="KM74" s="302"/>
      <c r="KN74" s="302"/>
      <c r="KO74" s="302"/>
      <c r="KP74" s="302"/>
      <c r="KQ74" s="302"/>
      <c r="KR74" s="302"/>
      <c r="KS74" s="302"/>
      <c r="KT74" s="302"/>
      <c r="KU74" s="302"/>
      <c r="KV74" s="302"/>
      <c r="KW74" s="302"/>
      <c r="KX74" s="302"/>
      <c r="KY74" s="302"/>
      <c r="KZ74" s="302"/>
      <c r="LA74" s="302"/>
      <c r="LB74" s="302"/>
      <c r="LC74" s="302"/>
      <c r="LD74" s="302"/>
      <c r="LE74" s="302"/>
      <c r="LF74" s="302"/>
      <c r="LG74" s="302"/>
      <c r="LH74" s="302"/>
      <c r="LI74" s="302"/>
      <c r="LJ74" s="302"/>
      <c r="LK74" s="302"/>
      <c r="LL74" s="302"/>
      <c r="LM74" s="302"/>
      <c r="LN74" s="302"/>
      <c r="LO74" s="302"/>
      <c r="LP74" s="302"/>
      <c r="LQ74" s="302"/>
      <c r="LR74" s="302"/>
      <c r="LS74" s="302"/>
      <c r="LT74" s="302"/>
      <c r="LU74" s="302"/>
      <c r="LV74" s="302"/>
      <c r="LW74" s="302"/>
      <c r="LX74" s="302"/>
      <c r="LY74" s="302"/>
      <c r="LZ74" s="302"/>
      <c r="MA74" s="302"/>
      <c r="MB74" s="302"/>
      <c r="MC74" s="302"/>
      <c r="MD74" s="302"/>
      <c r="ME74" s="302"/>
      <c r="MF74" s="302"/>
      <c r="MG74" s="302"/>
      <c r="MH74" s="302"/>
      <c r="MI74" s="302"/>
      <c r="MJ74" s="302"/>
      <c r="MK74" s="302"/>
      <c r="ML74" s="302"/>
      <c r="MM74" s="302"/>
      <c r="MN74" s="302"/>
      <c r="MO74" s="302"/>
      <c r="MP74" s="302"/>
      <c r="MQ74" s="302"/>
      <c r="MR74" s="302"/>
      <c r="MS74" s="302"/>
      <c r="MT74" s="302"/>
      <c r="MU74" s="302"/>
      <c r="MV74" s="302"/>
      <c r="MW74" s="302"/>
      <c r="MX74" s="302"/>
      <c r="MY74" s="302"/>
      <c r="MZ74" s="302"/>
      <c r="NA74" s="302"/>
      <c r="NB74" s="302"/>
      <c r="NC74" s="302"/>
      <c r="ND74" s="302"/>
      <c r="NE74" s="302"/>
      <c r="NF74" s="302"/>
      <c r="NG74" s="302"/>
      <c r="NH74" s="302"/>
      <c r="NI74" s="302"/>
      <c r="NJ74" s="302"/>
      <c r="NK74" s="302"/>
      <c r="NL74" s="302"/>
      <c r="NM74" s="302"/>
      <c r="NN74" s="302"/>
      <c r="NO74" s="302"/>
      <c r="NP74" s="302"/>
      <c r="NQ74" s="302"/>
      <c r="NR74" s="302"/>
      <c r="NS74" s="302"/>
      <c r="NT74" s="302"/>
      <c r="NU74" s="302"/>
      <c r="NV74" s="302"/>
      <c r="NW74" s="302"/>
      <c r="NX74" s="302"/>
      <c r="NY74" s="302"/>
      <c r="NZ74" s="302"/>
      <c r="OA74" s="302"/>
      <c r="OB74" s="302"/>
      <c r="OC74" s="302"/>
      <c r="OD74" s="302"/>
      <c r="OE74" s="302"/>
      <c r="OF74" s="302"/>
      <c r="OG74" s="302"/>
      <c r="OH74" s="302"/>
      <c r="OI74" s="302"/>
      <c r="OJ74" s="302"/>
      <c r="OK74" s="302"/>
      <c r="OL74" s="302"/>
      <c r="OM74" s="302"/>
      <c r="ON74" s="302"/>
      <c r="OO74" s="302"/>
      <c r="OP74" s="302"/>
      <c r="OQ74" s="302"/>
      <c r="OR74" s="302"/>
      <c r="OS74" s="302"/>
      <c r="OT74" s="302"/>
      <c r="OU74" s="302"/>
      <c r="OV74" s="302"/>
      <c r="OW74" s="302"/>
      <c r="OX74" s="302"/>
      <c r="OY74" s="302"/>
      <c r="OZ74" s="302"/>
      <c r="PA74" s="302"/>
      <c r="PB74" s="302"/>
      <c r="PC74" s="302"/>
      <c r="PD74" s="302"/>
      <c r="PE74" s="302"/>
      <c r="PF74" s="302"/>
      <c r="PG74" s="302"/>
      <c r="PH74" s="302"/>
      <c r="PI74" s="302"/>
      <c r="PJ74" s="302"/>
      <c r="PK74" s="302"/>
      <c r="PL74" s="302"/>
      <c r="PM74" s="302"/>
      <c r="PN74" s="302"/>
      <c r="PO74" s="302"/>
      <c r="PP74" s="302"/>
      <c r="PQ74" s="302"/>
      <c r="PR74" s="302"/>
      <c r="PS74" s="302"/>
      <c r="PT74" s="302"/>
      <c r="PU74" s="302"/>
      <c r="PV74" s="302"/>
      <c r="PW74" s="302"/>
      <c r="PX74" s="303"/>
      <c r="PY74" s="303"/>
      <c r="QC74" s="78" t="s">
        <v>24</v>
      </c>
      <c r="QD74" s="78">
        <f>RG71</f>
        <v>6.7857142857142866E-2</v>
      </c>
      <c r="QE74" s="78">
        <f>QI37+(0.15/QC3)</f>
        <v>0.32142857142857145</v>
      </c>
      <c r="QF74" s="78">
        <f>QE74</f>
        <v>0.32142857142857145</v>
      </c>
      <c r="QH74" s="78">
        <f>QD74-(0.02/QC3)</f>
        <v>5.3571428571428575E-2</v>
      </c>
      <c r="QI74" s="78">
        <f>QE74+(0.12/QC3)</f>
        <v>0.40714285714285714</v>
      </c>
      <c r="QJ74" s="78">
        <f>QI74</f>
        <v>0.40714285714285714</v>
      </c>
      <c r="QY74" s="346"/>
      <c r="QZ74" s="346"/>
      <c r="RA74" s="346"/>
      <c r="RB74" s="346"/>
      <c r="RC74" s="346"/>
      <c r="RD74" s="346"/>
      <c r="RE74" s="346"/>
      <c r="RF74" s="346"/>
      <c r="RG74" s="346"/>
      <c r="RH74" s="346"/>
      <c r="RI74" s="346"/>
      <c r="RJ74" s="346"/>
      <c r="RK74" s="346"/>
      <c r="RL74" s="346"/>
      <c r="RM74" s="346"/>
      <c r="RN74" s="346"/>
      <c r="RO74" s="346"/>
      <c r="RP74" s="346"/>
      <c r="RQ74" s="346"/>
      <c r="RR74" s="346"/>
      <c r="RS74" s="346"/>
      <c r="RT74" s="346"/>
      <c r="RU74" s="346"/>
      <c r="RV74" s="346"/>
      <c r="RW74" s="346"/>
      <c r="RX74" s="346"/>
      <c r="RY74" s="346"/>
      <c r="RZ74" s="346"/>
      <c r="SA74" s="346"/>
      <c r="SB74" s="346"/>
      <c r="SC74" s="346"/>
      <c r="SD74" s="346"/>
      <c r="SE74" s="346"/>
      <c r="SF74" s="346"/>
      <c r="SG74" s="346"/>
      <c r="SH74" s="346"/>
      <c r="SI74" s="346"/>
      <c r="SJ74" s="346"/>
      <c r="SK74" s="346"/>
      <c r="SL74" s="346"/>
      <c r="SM74" s="346"/>
      <c r="SN74" s="346"/>
      <c r="SO74" s="346"/>
      <c r="SP74" s="346"/>
      <c r="SQ74" s="346"/>
      <c r="SR74" s="346"/>
      <c r="SS74" s="346"/>
      <c r="ST74" s="346"/>
      <c r="SU74" s="346"/>
      <c r="SV74" s="346"/>
      <c r="SW74" s="346"/>
      <c r="SX74" s="346"/>
      <c r="SY74" s="346"/>
      <c r="SZ74" s="346"/>
      <c r="TA74" s="346"/>
    </row>
    <row r="75" spans="1:521" ht="14.1" customHeight="1" x14ac:dyDescent="0.2">
      <c r="A75" s="226"/>
      <c r="B75" s="226"/>
      <c r="C75" s="226"/>
      <c r="D75" s="226"/>
      <c r="E75" s="226"/>
      <c r="F75" s="226"/>
      <c r="G75" s="226"/>
      <c r="H75" s="226"/>
      <c r="I75" s="226"/>
      <c r="J75" s="226"/>
      <c r="K75" s="226"/>
      <c r="L75" s="226"/>
      <c r="M75" s="226"/>
      <c r="N75" s="226"/>
      <c r="O75" s="226"/>
      <c r="P75" s="226"/>
      <c r="Q75" s="226"/>
      <c r="R75" s="226"/>
      <c r="S75" s="226"/>
      <c r="T75" s="226"/>
      <c r="U75" s="226"/>
      <c r="V75" s="226"/>
      <c r="W75" s="226"/>
      <c r="X75" s="226"/>
      <c r="Y75" s="226"/>
      <c r="Z75" s="226"/>
      <c r="AA75" s="226"/>
      <c r="AB75" s="226"/>
      <c r="AC75" s="226"/>
      <c r="AD75" s="226"/>
      <c r="AE75" s="226"/>
      <c r="AF75" s="226"/>
      <c r="AG75" s="226"/>
      <c r="AH75" s="226"/>
      <c r="AI75" s="226"/>
      <c r="AJ75" s="226"/>
      <c r="AK75" s="226"/>
      <c r="AL75" s="226"/>
      <c r="AM75" s="226"/>
      <c r="AN75" s="226"/>
      <c r="AO75" s="226"/>
      <c r="AP75" s="226"/>
      <c r="AQ75" s="226"/>
      <c r="AR75" s="226"/>
      <c r="AS75" s="226"/>
      <c r="AT75" s="226"/>
      <c r="AU75" s="226"/>
      <c r="AV75" s="226"/>
      <c r="AW75" s="226"/>
      <c r="AX75" s="226"/>
      <c r="AY75" s="226"/>
      <c r="AZ75" s="226"/>
      <c r="BA75" s="226"/>
      <c r="BB75" s="226"/>
      <c r="BC75" s="226"/>
      <c r="BD75" s="226"/>
      <c r="BE75" s="226"/>
      <c r="BF75" s="226"/>
      <c r="BG75" s="226"/>
      <c r="BH75" s="226"/>
      <c r="BI75" s="226"/>
      <c r="BJ75" s="145"/>
      <c r="BK75" s="145"/>
      <c r="BL75" s="145"/>
      <c r="BM75" s="145"/>
      <c r="BN75" s="145"/>
      <c r="BO75" s="145"/>
      <c r="BP75" s="145"/>
      <c r="BQ75" s="145"/>
      <c r="BR75" s="145"/>
      <c r="BS75" s="145"/>
      <c r="BT75" s="145"/>
      <c r="BU75" s="145"/>
      <c r="BV75" s="145"/>
      <c r="BW75" s="145"/>
      <c r="BX75" s="145"/>
      <c r="BY75" s="145"/>
      <c r="BZ75" s="145"/>
      <c r="CA75" s="145"/>
      <c r="CB75" s="145"/>
      <c r="CC75" s="145"/>
      <c r="CD75" s="145"/>
      <c r="CE75" s="145"/>
      <c r="CF75" s="145"/>
      <c r="CG75" s="145"/>
      <c r="CH75" s="145"/>
      <c r="CI75" s="145"/>
      <c r="CJ75" s="145"/>
      <c r="CK75" s="145"/>
      <c r="CL75" s="145"/>
      <c r="CM75" s="145"/>
      <c r="CN75" s="145"/>
      <c r="CO75" s="145"/>
      <c r="CP75" s="145"/>
      <c r="CQ75" s="145"/>
      <c r="CR75" s="145"/>
      <c r="CS75" s="145"/>
      <c r="CT75" s="145"/>
      <c r="CU75" s="145"/>
      <c r="CV75" s="145"/>
      <c r="CW75" s="145"/>
      <c r="CX75" s="145"/>
      <c r="CY75" s="145"/>
      <c r="CZ75" s="145"/>
      <c r="DA75" s="145"/>
      <c r="DB75" s="145"/>
      <c r="DC75" s="145"/>
      <c r="DD75" s="145"/>
      <c r="DE75" s="145"/>
      <c r="DF75" s="145"/>
      <c r="DG75" s="145"/>
      <c r="DH75" s="145"/>
      <c r="DI75" s="145"/>
      <c r="DJ75" s="145"/>
      <c r="DK75" s="145"/>
      <c r="DL75" s="145"/>
      <c r="DM75" s="145"/>
      <c r="DN75" s="145"/>
      <c r="DO75" s="145"/>
      <c r="DP75" s="145"/>
      <c r="DQ75" s="145"/>
      <c r="DR75" s="145"/>
      <c r="DS75" s="145"/>
      <c r="DT75" s="145"/>
      <c r="DU75" s="145"/>
      <c r="DV75" s="145"/>
      <c r="DW75" s="145"/>
      <c r="DX75" s="145"/>
      <c r="DY75" s="145"/>
      <c r="DZ75" s="145"/>
      <c r="EA75" s="145"/>
      <c r="EB75" s="145"/>
      <c r="EC75" s="145"/>
      <c r="ED75" s="145"/>
      <c r="EE75" s="145"/>
      <c r="EF75" s="145"/>
      <c r="EG75" s="145"/>
      <c r="EH75" s="145"/>
      <c r="EI75" s="145"/>
      <c r="EJ75" s="145"/>
      <c r="EK75" s="145"/>
      <c r="EL75" s="145"/>
      <c r="EM75" s="145"/>
      <c r="EN75" s="145"/>
      <c r="EO75" s="145"/>
      <c r="EP75" s="145"/>
      <c r="EQ75" s="145"/>
      <c r="ER75" s="145"/>
      <c r="ES75" s="145"/>
      <c r="ET75" s="145"/>
      <c r="EU75" s="145"/>
      <c r="EV75" s="145"/>
      <c r="EW75" s="145"/>
      <c r="EX75" s="145"/>
      <c r="EY75" s="145"/>
      <c r="EZ75" s="145"/>
      <c r="FA75" s="145"/>
      <c r="FB75" s="145"/>
      <c r="FC75" s="145"/>
      <c r="FD75" s="145"/>
      <c r="FE75" s="145"/>
      <c r="FF75" s="145"/>
      <c r="FG75" s="145"/>
      <c r="FH75" s="145"/>
      <c r="FI75" s="145"/>
      <c r="FJ75" s="145"/>
      <c r="FK75" s="145"/>
      <c r="FL75" s="145"/>
      <c r="FM75" s="145"/>
      <c r="FN75" s="145"/>
      <c r="FO75" s="145"/>
      <c r="FP75" s="145"/>
      <c r="FQ75" s="145"/>
      <c r="FR75" s="145"/>
      <c r="FS75" s="145"/>
      <c r="FT75" s="145"/>
      <c r="FU75" s="145"/>
      <c r="FV75" s="145"/>
      <c r="FW75" s="145"/>
      <c r="FX75" s="145"/>
      <c r="FY75" s="145"/>
      <c r="FZ75" s="145"/>
      <c r="GA75" s="145"/>
      <c r="GB75" s="145"/>
      <c r="GC75" s="145"/>
      <c r="GD75" s="145"/>
      <c r="GE75" s="145"/>
      <c r="GF75" s="145"/>
      <c r="GG75" s="145"/>
      <c r="GH75" s="145"/>
      <c r="GI75" s="145"/>
      <c r="GJ75" s="145"/>
      <c r="GK75" s="145"/>
      <c r="GL75" s="145"/>
      <c r="GM75" s="145"/>
      <c r="GN75" s="145"/>
      <c r="GO75" s="145"/>
      <c r="GP75" s="145"/>
      <c r="GQ75" s="145"/>
      <c r="GR75" s="145"/>
      <c r="GS75" s="145"/>
      <c r="GT75" s="145"/>
      <c r="GU75" s="145"/>
      <c r="GV75" s="145"/>
      <c r="GW75" s="145"/>
      <c r="GX75" s="145"/>
      <c r="GY75" s="145"/>
      <c r="GZ75" s="145"/>
      <c r="HA75" s="145"/>
      <c r="HB75" s="145"/>
      <c r="HC75" s="145"/>
      <c r="HD75" s="145"/>
      <c r="HE75" s="302"/>
      <c r="HF75" s="302"/>
      <c r="HG75" s="302"/>
      <c r="HH75" s="302"/>
      <c r="HI75" s="302"/>
      <c r="HJ75" s="302"/>
      <c r="HK75" s="302"/>
      <c r="HL75" s="302"/>
      <c r="HM75" s="302"/>
      <c r="HN75" s="302"/>
      <c r="HO75" s="302"/>
      <c r="HP75" s="302"/>
      <c r="HQ75" s="302"/>
      <c r="HR75" s="302"/>
      <c r="HS75" s="302"/>
      <c r="HT75" s="302"/>
      <c r="HU75" s="302"/>
      <c r="HV75" s="302"/>
      <c r="HW75" s="302"/>
      <c r="HX75" s="302"/>
      <c r="HY75" s="302"/>
      <c r="HZ75" s="302"/>
      <c r="IA75" s="302"/>
      <c r="IB75" s="302"/>
      <c r="IC75" s="302"/>
      <c r="ID75" s="302"/>
      <c r="IE75" s="302"/>
      <c r="IF75" s="302"/>
      <c r="IG75" s="302"/>
      <c r="IH75" s="302"/>
      <c r="II75" s="302"/>
      <c r="IJ75" s="302"/>
      <c r="IK75" s="302"/>
      <c r="IL75" s="302"/>
      <c r="IM75" s="302"/>
      <c r="IN75" s="302"/>
      <c r="IO75" s="302"/>
      <c r="IP75" s="302"/>
      <c r="IQ75" s="302"/>
      <c r="IR75" s="302"/>
      <c r="IS75" s="302"/>
      <c r="IT75" s="302"/>
      <c r="IU75" s="302"/>
      <c r="IV75" s="302"/>
      <c r="IW75" s="302"/>
      <c r="IX75" s="302"/>
      <c r="IY75" s="302"/>
      <c r="IZ75" s="302"/>
      <c r="JA75" s="302"/>
      <c r="JB75" s="302"/>
      <c r="JC75" s="302"/>
      <c r="JD75" s="302"/>
      <c r="JE75" s="302"/>
      <c r="JF75" s="302"/>
      <c r="JG75" s="302"/>
      <c r="JH75" s="302"/>
      <c r="JI75" s="302"/>
      <c r="JJ75" s="302"/>
      <c r="JK75" s="302"/>
      <c r="JL75" s="302"/>
      <c r="JM75" s="302"/>
      <c r="JN75" s="302"/>
      <c r="JO75" s="302"/>
      <c r="JP75" s="302"/>
      <c r="JQ75" s="302"/>
      <c r="JR75" s="302"/>
      <c r="JS75" s="302"/>
      <c r="JT75" s="302"/>
      <c r="JU75" s="302"/>
      <c r="JV75" s="302"/>
      <c r="JW75" s="302"/>
      <c r="JX75" s="302"/>
      <c r="JY75" s="302"/>
      <c r="JZ75" s="302"/>
      <c r="KA75" s="302"/>
      <c r="KB75" s="302"/>
      <c r="KC75" s="302"/>
      <c r="KD75" s="302"/>
      <c r="KE75" s="302"/>
      <c r="KF75" s="302"/>
      <c r="KG75" s="302"/>
      <c r="KH75" s="302"/>
      <c r="KI75" s="302"/>
      <c r="KJ75" s="302"/>
      <c r="KK75" s="302"/>
      <c r="KL75" s="302"/>
      <c r="KM75" s="302"/>
      <c r="KN75" s="302"/>
      <c r="KO75" s="302"/>
      <c r="KP75" s="302"/>
      <c r="KQ75" s="302"/>
      <c r="KR75" s="302"/>
      <c r="KS75" s="302"/>
      <c r="KT75" s="302"/>
      <c r="KU75" s="302"/>
      <c r="KV75" s="302"/>
      <c r="KW75" s="302"/>
      <c r="KX75" s="302"/>
      <c r="KY75" s="302"/>
      <c r="KZ75" s="302"/>
      <c r="LA75" s="302"/>
      <c r="LB75" s="302"/>
      <c r="LC75" s="302"/>
      <c r="LD75" s="302"/>
      <c r="LE75" s="302"/>
      <c r="LF75" s="302"/>
      <c r="LG75" s="302"/>
      <c r="LH75" s="302"/>
      <c r="LI75" s="302"/>
      <c r="LJ75" s="302"/>
      <c r="LK75" s="302"/>
      <c r="LL75" s="302"/>
      <c r="LM75" s="302"/>
      <c r="LN75" s="302"/>
      <c r="LO75" s="302"/>
      <c r="LP75" s="302"/>
      <c r="LQ75" s="302"/>
      <c r="LR75" s="302"/>
      <c r="LS75" s="302"/>
      <c r="LT75" s="302"/>
      <c r="LU75" s="302"/>
      <c r="LV75" s="302"/>
      <c r="LW75" s="302"/>
      <c r="LX75" s="302"/>
      <c r="LY75" s="302"/>
      <c r="LZ75" s="302"/>
      <c r="MA75" s="302"/>
      <c r="MB75" s="302"/>
      <c r="MC75" s="302"/>
      <c r="MD75" s="302"/>
      <c r="ME75" s="302"/>
      <c r="MF75" s="302"/>
      <c r="MG75" s="302"/>
      <c r="MH75" s="302"/>
      <c r="MI75" s="302"/>
      <c r="MJ75" s="302"/>
      <c r="MK75" s="302"/>
      <c r="ML75" s="302"/>
      <c r="MM75" s="302"/>
      <c r="MN75" s="302"/>
      <c r="MO75" s="302"/>
      <c r="MP75" s="302"/>
      <c r="MQ75" s="302"/>
      <c r="MR75" s="302"/>
      <c r="MS75" s="302"/>
      <c r="MT75" s="302"/>
      <c r="MU75" s="302"/>
      <c r="MV75" s="302"/>
      <c r="MW75" s="302"/>
      <c r="MX75" s="302"/>
      <c r="MY75" s="302"/>
      <c r="MZ75" s="302"/>
      <c r="NA75" s="302"/>
      <c r="NB75" s="302"/>
      <c r="NC75" s="302"/>
      <c r="ND75" s="302"/>
      <c r="NE75" s="302"/>
      <c r="NF75" s="302"/>
      <c r="NG75" s="302"/>
      <c r="NH75" s="302"/>
      <c r="NI75" s="302"/>
      <c r="NJ75" s="302"/>
      <c r="NK75" s="302"/>
      <c r="NL75" s="302"/>
      <c r="NM75" s="302"/>
      <c r="NN75" s="302"/>
      <c r="NO75" s="302"/>
      <c r="NP75" s="302"/>
      <c r="NQ75" s="302"/>
      <c r="NR75" s="302"/>
      <c r="NS75" s="302"/>
      <c r="NT75" s="302"/>
      <c r="NU75" s="302"/>
      <c r="NV75" s="302"/>
      <c r="NW75" s="302"/>
      <c r="NX75" s="302"/>
      <c r="NY75" s="302"/>
      <c r="NZ75" s="302"/>
      <c r="OA75" s="302"/>
      <c r="OB75" s="302"/>
      <c r="OC75" s="302"/>
      <c r="OD75" s="302"/>
      <c r="OE75" s="302"/>
      <c r="OF75" s="302"/>
      <c r="OG75" s="302"/>
      <c r="OH75" s="302"/>
      <c r="OI75" s="302"/>
      <c r="OJ75" s="302"/>
      <c r="OK75" s="302"/>
      <c r="OL75" s="302"/>
      <c r="OM75" s="302"/>
      <c r="ON75" s="302"/>
      <c r="OO75" s="302"/>
      <c r="OP75" s="302"/>
      <c r="OQ75" s="302"/>
      <c r="OR75" s="302"/>
      <c r="OS75" s="302"/>
      <c r="OT75" s="302"/>
      <c r="OU75" s="302"/>
      <c r="OV75" s="302"/>
      <c r="OW75" s="302"/>
      <c r="OX75" s="302"/>
      <c r="OY75" s="302"/>
      <c r="OZ75" s="302"/>
      <c r="PA75" s="302"/>
      <c r="PB75" s="302"/>
      <c r="PC75" s="302"/>
      <c r="PD75" s="302"/>
      <c r="PE75" s="302"/>
      <c r="PF75" s="302"/>
      <c r="PG75" s="302"/>
      <c r="PH75" s="302"/>
      <c r="PI75" s="302"/>
      <c r="PJ75" s="302"/>
      <c r="PK75" s="302"/>
      <c r="PL75" s="302"/>
      <c r="PM75" s="302"/>
      <c r="PN75" s="302"/>
      <c r="PO75" s="302"/>
      <c r="PP75" s="302"/>
      <c r="PQ75" s="302"/>
      <c r="PR75" s="302"/>
      <c r="PS75" s="302"/>
      <c r="PT75" s="302"/>
      <c r="PU75" s="302"/>
      <c r="PV75" s="302"/>
      <c r="PW75" s="302"/>
      <c r="PX75" s="131"/>
      <c r="PY75" s="131"/>
      <c r="QY75" s="346"/>
      <c r="QZ75" s="346"/>
      <c r="RA75" s="346"/>
      <c r="RB75" s="346"/>
      <c r="RC75" s="346"/>
      <c r="RD75" s="346"/>
      <c r="RE75" s="346"/>
      <c r="RF75" s="346"/>
      <c r="RG75" s="346"/>
      <c r="RH75" s="346"/>
      <c r="RI75" s="346"/>
      <c r="RJ75" s="346"/>
      <c r="RK75" s="346"/>
      <c r="RL75" s="346"/>
      <c r="RM75" s="346"/>
      <c r="RN75" s="346"/>
      <c r="RO75" s="346"/>
      <c r="RP75" s="346"/>
      <c r="RQ75" s="346"/>
      <c r="RR75" s="346"/>
      <c r="RS75" s="346"/>
      <c r="RT75" s="346"/>
      <c r="RU75" s="346"/>
      <c r="RV75" s="346"/>
      <c r="RW75" s="346"/>
      <c r="RX75" s="346"/>
      <c r="RY75" s="346"/>
      <c r="RZ75" s="346"/>
      <c r="SA75" s="346"/>
      <c r="SB75" s="346"/>
      <c r="SC75" s="346"/>
      <c r="SD75" s="346"/>
      <c r="SE75" s="346"/>
      <c r="SF75" s="346"/>
      <c r="SG75" s="346"/>
      <c r="SH75" s="346"/>
      <c r="SI75" s="346"/>
      <c r="SJ75" s="346"/>
      <c r="SK75" s="346"/>
      <c r="SL75" s="346"/>
      <c r="SM75" s="346"/>
      <c r="SN75" s="346"/>
      <c r="SO75" s="346"/>
      <c r="SP75" s="346"/>
      <c r="SQ75" s="346"/>
      <c r="SR75" s="346"/>
      <c r="SS75" s="346"/>
      <c r="ST75" s="346"/>
      <c r="SU75" s="346"/>
      <c r="SV75" s="346"/>
      <c r="SW75" s="346"/>
      <c r="SX75" s="346"/>
      <c r="SY75" s="346"/>
      <c r="SZ75" s="346"/>
      <c r="TA75" s="346"/>
    </row>
    <row r="76" spans="1:521" ht="14.1" customHeight="1" x14ac:dyDescent="0.2">
      <c r="A76" s="226"/>
      <c r="B76" s="226"/>
      <c r="C76" s="226"/>
      <c r="D76" s="226"/>
      <c r="E76" s="226"/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226"/>
      <c r="S76" s="226"/>
      <c r="T76" s="226"/>
      <c r="U76" s="226"/>
      <c r="V76" s="226"/>
      <c r="W76" s="226"/>
      <c r="X76" s="226"/>
      <c r="Y76" s="226"/>
      <c r="Z76" s="226"/>
      <c r="AA76" s="226"/>
      <c r="AB76" s="226"/>
      <c r="AC76" s="226"/>
      <c r="AD76" s="226"/>
      <c r="AE76" s="226"/>
      <c r="AF76" s="226"/>
      <c r="AG76" s="226"/>
      <c r="AH76" s="226"/>
      <c r="AI76" s="226"/>
      <c r="AJ76" s="226"/>
      <c r="AK76" s="226"/>
      <c r="AL76" s="226"/>
      <c r="AM76" s="226"/>
      <c r="AN76" s="226"/>
      <c r="AO76" s="226"/>
      <c r="AP76" s="226"/>
      <c r="AQ76" s="226"/>
      <c r="AR76" s="226"/>
      <c r="AS76" s="226"/>
      <c r="AT76" s="226"/>
      <c r="AU76" s="226"/>
      <c r="AV76" s="226"/>
      <c r="AW76" s="226"/>
      <c r="AX76" s="226"/>
      <c r="AY76" s="226"/>
      <c r="AZ76" s="226"/>
      <c r="BA76" s="226"/>
      <c r="BB76" s="226"/>
      <c r="BC76" s="226"/>
      <c r="BD76" s="226"/>
      <c r="BE76" s="226"/>
      <c r="BF76" s="226"/>
      <c r="BG76" s="226"/>
      <c r="BH76" s="226"/>
      <c r="BI76" s="226"/>
      <c r="BJ76" s="145"/>
      <c r="BK76" s="145"/>
      <c r="BL76" s="145"/>
      <c r="BM76" s="145"/>
      <c r="BN76" s="145"/>
      <c r="BO76" s="145"/>
      <c r="BP76" s="145"/>
      <c r="BQ76" s="145"/>
      <c r="BR76" s="145"/>
      <c r="BS76" s="145"/>
      <c r="BT76" s="145"/>
      <c r="BU76" s="145"/>
      <c r="BV76" s="145"/>
      <c r="BW76" s="145"/>
      <c r="BX76" s="145"/>
      <c r="BY76" s="145"/>
      <c r="BZ76" s="145"/>
      <c r="CA76" s="145"/>
      <c r="CB76" s="145"/>
      <c r="CC76" s="145"/>
      <c r="CD76" s="145"/>
      <c r="CE76" s="145"/>
      <c r="CF76" s="145"/>
      <c r="CG76" s="145"/>
      <c r="CH76" s="145"/>
      <c r="CI76" s="145"/>
      <c r="CJ76" s="145"/>
      <c r="CK76" s="145"/>
      <c r="CL76" s="145"/>
      <c r="CM76" s="145"/>
      <c r="CN76" s="145"/>
      <c r="CO76" s="145"/>
      <c r="CP76" s="145"/>
      <c r="CQ76" s="145"/>
      <c r="CR76" s="145"/>
      <c r="CS76" s="145"/>
      <c r="CT76" s="145"/>
      <c r="CU76" s="145"/>
      <c r="CV76" s="145"/>
      <c r="CW76" s="145"/>
      <c r="CX76" s="145"/>
      <c r="CY76" s="145"/>
      <c r="CZ76" s="145"/>
      <c r="DA76" s="145"/>
      <c r="DB76" s="145"/>
      <c r="DC76" s="145"/>
      <c r="DD76" s="145"/>
      <c r="DE76" s="145"/>
      <c r="DF76" s="145"/>
      <c r="DG76" s="145"/>
      <c r="DH76" s="145"/>
      <c r="DI76" s="145"/>
      <c r="DJ76" s="145"/>
      <c r="DK76" s="145"/>
      <c r="DL76" s="145"/>
      <c r="DM76" s="145"/>
      <c r="DN76" s="145"/>
      <c r="DO76" s="145"/>
      <c r="DP76" s="145"/>
      <c r="DQ76" s="145"/>
      <c r="DR76" s="145"/>
      <c r="DS76" s="145"/>
      <c r="DT76" s="145"/>
      <c r="DU76" s="145"/>
      <c r="DV76" s="145"/>
      <c r="DW76" s="145"/>
      <c r="DX76" s="145"/>
      <c r="DY76" s="145"/>
      <c r="DZ76" s="145"/>
      <c r="EA76" s="145"/>
      <c r="EB76" s="145"/>
      <c r="EC76" s="145"/>
      <c r="ED76" s="145"/>
      <c r="EE76" s="145"/>
      <c r="EF76" s="145"/>
      <c r="EG76" s="145"/>
      <c r="EH76" s="145"/>
      <c r="EI76" s="145"/>
      <c r="EJ76" s="145"/>
      <c r="EK76" s="145"/>
      <c r="EL76" s="145"/>
      <c r="EM76" s="145"/>
      <c r="EN76" s="145"/>
      <c r="EO76" s="145"/>
      <c r="EP76" s="145"/>
      <c r="EQ76" s="145"/>
      <c r="ER76" s="145"/>
      <c r="ES76" s="145"/>
      <c r="ET76" s="145"/>
      <c r="EU76" s="145"/>
      <c r="EV76" s="145"/>
      <c r="EW76" s="145"/>
      <c r="EX76" s="145"/>
      <c r="EY76" s="145"/>
      <c r="EZ76" s="145"/>
      <c r="FA76" s="145"/>
      <c r="FB76" s="145"/>
      <c r="FC76" s="145"/>
      <c r="FD76" s="145"/>
      <c r="FE76" s="145"/>
      <c r="FF76" s="145"/>
      <c r="FG76" s="145"/>
      <c r="FH76" s="145"/>
      <c r="FI76" s="145"/>
      <c r="FJ76" s="145"/>
      <c r="FK76" s="145"/>
      <c r="FL76" s="145"/>
      <c r="FM76" s="145"/>
      <c r="FN76" s="145"/>
      <c r="FO76" s="145"/>
      <c r="FP76" s="145"/>
      <c r="FQ76" s="145"/>
      <c r="FR76" s="145"/>
      <c r="FS76" s="145"/>
      <c r="FT76" s="145"/>
      <c r="FU76" s="145"/>
      <c r="FV76" s="145"/>
      <c r="FW76" s="145"/>
      <c r="FX76" s="145"/>
      <c r="FY76" s="145"/>
      <c r="FZ76" s="145"/>
      <c r="GA76" s="145"/>
      <c r="GB76" s="145"/>
      <c r="GC76" s="145"/>
      <c r="GD76" s="145"/>
      <c r="GE76" s="145"/>
      <c r="GF76" s="145"/>
      <c r="GG76" s="145"/>
      <c r="GH76" s="145"/>
      <c r="GI76" s="145"/>
      <c r="GJ76" s="145"/>
      <c r="GK76" s="145"/>
      <c r="GL76" s="145"/>
      <c r="GM76" s="145"/>
      <c r="GN76" s="145"/>
      <c r="GO76" s="145"/>
      <c r="GP76" s="145"/>
      <c r="GQ76" s="145"/>
      <c r="GR76" s="145"/>
      <c r="GS76" s="145"/>
      <c r="GT76" s="145"/>
      <c r="GU76" s="145"/>
      <c r="GV76" s="145"/>
      <c r="GW76" s="145"/>
      <c r="GX76" s="145"/>
      <c r="GY76" s="145"/>
      <c r="GZ76" s="145"/>
      <c r="HA76" s="145"/>
      <c r="HB76" s="145"/>
      <c r="HC76" s="145"/>
      <c r="HD76" s="145"/>
      <c r="HE76" s="302"/>
      <c r="HF76" s="302"/>
      <c r="HG76" s="302"/>
      <c r="HH76" s="302"/>
      <c r="HI76" s="302"/>
      <c r="HJ76" s="302"/>
      <c r="HK76" s="302"/>
      <c r="HL76" s="302"/>
      <c r="HM76" s="302"/>
      <c r="HN76" s="302"/>
      <c r="HO76" s="302"/>
      <c r="HP76" s="302"/>
      <c r="HQ76" s="302"/>
      <c r="HR76" s="302"/>
      <c r="HS76" s="302"/>
      <c r="HT76" s="302"/>
      <c r="HU76" s="302"/>
      <c r="HV76" s="302"/>
      <c r="HW76" s="302"/>
      <c r="HX76" s="302"/>
      <c r="HY76" s="302"/>
      <c r="HZ76" s="302"/>
      <c r="IA76" s="302"/>
      <c r="IB76" s="302"/>
      <c r="IC76" s="302"/>
      <c r="ID76" s="302"/>
      <c r="IE76" s="302"/>
      <c r="IF76" s="302"/>
      <c r="IG76" s="302"/>
      <c r="IH76" s="302"/>
      <c r="II76" s="302"/>
      <c r="IJ76" s="302"/>
      <c r="IK76" s="302"/>
      <c r="IL76" s="302"/>
      <c r="IM76" s="302"/>
      <c r="IN76" s="302"/>
      <c r="IO76" s="302"/>
      <c r="IP76" s="302"/>
      <c r="IQ76" s="302"/>
      <c r="IR76" s="302"/>
      <c r="IS76" s="302"/>
      <c r="IT76" s="302"/>
      <c r="IU76" s="302"/>
      <c r="IV76" s="302"/>
      <c r="IW76" s="302"/>
      <c r="IX76" s="302"/>
      <c r="IY76" s="302"/>
      <c r="IZ76" s="302"/>
      <c r="JA76" s="302"/>
      <c r="JB76" s="302"/>
      <c r="JC76" s="302"/>
      <c r="JD76" s="302"/>
      <c r="JE76" s="302"/>
      <c r="JF76" s="302"/>
      <c r="JG76" s="302"/>
      <c r="JH76" s="302"/>
      <c r="JI76" s="302"/>
      <c r="JJ76" s="302"/>
      <c r="JK76" s="302"/>
      <c r="JL76" s="302"/>
      <c r="JM76" s="302"/>
      <c r="JN76" s="302"/>
      <c r="JO76" s="302"/>
      <c r="JP76" s="302"/>
      <c r="JQ76" s="302"/>
      <c r="JR76" s="302"/>
      <c r="JS76" s="302"/>
      <c r="JT76" s="302"/>
      <c r="JU76" s="302"/>
      <c r="JV76" s="302"/>
      <c r="JW76" s="302"/>
      <c r="JX76" s="302"/>
      <c r="JY76" s="302"/>
      <c r="JZ76" s="302"/>
      <c r="KA76" s="302"/>
      <c r="KB76" s="302"/>
      <c r="KC76" s="302"/>
      <c r="KD76" s="302"/>
      <c r="KE76" s="302"/>
      <c r="KF76" s="302"/>
      <c r="KG76" s="302"/>
      <c r="KH76" s="302"/>
      <c r="KI76" s="302"/>
      <c r="KJ76" s="302"/>
      <c r="KK76" s="302"/>
      <c r="KL76" s="302"/>
      <c r="KM76" s="302"/>
      <c r="KN76" s="302"/>
      <c r="KO76" s="302"/>
      <c r="KP76" s="302"/>
      <c r="KQ76" s="302"/>
      <c r="KR76" s="302"/>
      <c r="KS76" s="302"/>
      <c r="KT76" s="302"/>
      <c r="KU76" s="302"/>
      <c r="KV76" s="302"/>
      <c r="KW76" s="302"/>
      <c r="KX76" s="302"/>
      <c r="KY76" s="302"/>
      <c r="KZ76" s="302"/>
      <c r="LA76" s="302"/>
      <c r="LB76" s="302"/>
      <c r="LC76" s="302"/>
      <c r="LD76" s="302"/>
      <c r="LE76" s="302"/>
      <c r="LF76" s="302"/>
      <c r="LG76" s="302"/>
      <c r="LH76" s="302"/>
      <c r="LI76" s="302"/>
      <c r="LJ76" s="302"/>
      <c r="LK76" s="302"/>
      <c r="LL76" s="302"/>
      <c r="LM76" s="302"/>
      <c r="LN76" s="302"/>
      <c r="LO76" s="302"/>
      <c r="LP76" s="302"/>
      <c r="LQ76" s="302"/>
      <c r="LR76" s="302"/>
      <c r="LS76" s="302"/>
      <c r="LT76" s="302"/>
      <c r="LU76" s="302"/>
      <c r="LV76" s="302"/>
      <c r="LW76" s="302"/>
      <c r="LX76" s="302"/>
      <c r="LY76" s="302"/>
      <c r="LZ76" s="302"/>
      <c r="MA76" s="302"/>
      <c r="MB76" s="302"/>
      <c r="MC76" s="302"/>
      <c r="MD76" s="302"/>
      <c r="ME76" s="302"/>
      <c r="MF76" s="302"/>
      <c r="MG76" s="302"/>
      <c r="MH76" s="302"/>
      <c r="MI76" s="302"/>
      <c r="MJ76" s="302"/>
      <c r="MK76" s="302"/>
      <c r="ML76" s="302"/>
      <c r="MM76" s="302"/>
      <c r="MN76" s="302"/>
      <c r="MO76" s="302"/>
      <c r="MP76" s="302"/>
      <c r="MQ76" s="302"/>
      <c r="MR76" s="302"/>
      <c r="MS76" s="302"/>
      <c r="MT76" s="302"/>
      <c r="MU76" s="302"/>
      <c r="MV76" s="302"/>
      <c r="MW76" s="302"/>
      <c r="MX76" s="302"/>
      <c r="MY76" s="302"/>
      <c r="MZ76" s="302"/>
      <c r="NA76" s="302"/>
      <c r="NB76" s="302"/>
      <c r="NC76" s="302"/>
      <c r="ND76" s="302"/>
      <c r="NE76" s="302"/>
      <c r="NF76" s="302"/>
      <c r="NG76" s="302"/>
      <c r="NH76" s="302"/>
      <c r="NI76" s="302"/>
      <c r="NJ76" s="302"/>
      <c r="NK76" s="302"/>
      <c r="NL76" s="302"/>
      <c r="NM76" s="302"/>
      <c r="NN76" s="302"/>
      <c r="NO76" s="302"/>
      <c r="NP76" s="302"/>
      <c r="NQ76" s="302"/>
      <c r="NR76" s="302"/>
      <c r="NS76" s="302"/>
      <c r="NT76" s="302"/>
      <c r="NU76" s="302"/>
      <c r="NV76" s="302"/>
      <c r="NW76" s="302"/>
      <c r="NX76" s="302"/>
      <c r="NY76" s="302"/>
      <c r="NZ76" s="302"/>
      <c r="OA76" s="302"/>
      <c r="OB76" s="302"/>
      <c r="OC76" s="302"/>
      <c r="OD76" s="302"/>
      <c r="OE76" s="302"/>
      <c r="OF76" s="302"/>
      <c r="OG76" s="302"/>
      <c r="OH76" s="302"/>
      <c r="OI76" s="302"/>
      <c r="OJ76" s="302"/>
      <c r="OK76" s="302"/>
      <c r="OL76" s="302"/>
      <c r="OM76" s="302"/>
      <c r="ON76" s="302"/>
      <c r="OO76" s="302"/>
      <c r="OP76" s="302"/>
      <c r="OQ76" s="302"/>
      <c r="OR76" s="302"/>
      <c r="OS76" s="302"/>
      <c r="OT76" s="302"/>
      <c r="OU76" s="302"/>
      <c r="OV76" s="302"/>
      <c r="OW76" s="302"/>
      <c r="OX76" s="302"/>
      <c r="OY76" s="302"/>
      <c r="OZ76" s="302"/>
      <c r="PA76" s="302"/>
      <c r="PB76" s="302"/>
      <c r="PC76" s="302"/>
      <c r="PD76" s="302"/>
      <c r="PE76" s="302"/>
      <c r="PF76" s="302"/>
      <c r="PG76" s="302"/>
      <c r="PH76" s="302"/>
      <c r="PI76" s="302"/>
      <c r="PJ76" s="302"/>
      <c r="PK76" s="302"/>
      <c r="PL76" s="302"/>
      <c r="PM76" s="302"/>
      <c r="PN76" s="302"/>
      <c r="PO76" s="302"/>
      <c r="PP76" s="302"/>
      <c r="PQ76" s="302"/>
      <c r="PR76" s="302"/>
      <c r="PS76" s="302"/>
      <c r="PT76" s="302"/>
      <c r="PU76" s="302"/>
      <c r="PV76" s="302"/>
      <c r="PW76" s="302"/>
      <c r="PX76" s="131"/>
      <c r="PY76" s="131"/>
      <c r="QC76" s="78" t="s">
        <v>123</v>
      </c>
      <c r="QY76" s="346"/>
      <c r="QZ76" s="346"/>
      <c r="RA76" s="346"/>
      <c r="RB76" s="346"/>
      <c r="RC76" s="346"/>
      <c r="RD76" s="346"/>
      <c r="RE76" s="346"/>
      <c r="RF76" s="346"/>
      <c r="RG76" s="346"/>
      <c r="RH76" s="346"/>
      <c r="RI76" s="346"/>
      <c r="RJ76" s="346"/>
      <c r="RK76" s="346"/>
      <c r="RL76" s="346"/>
      <c r="RM76" s="346"/>
      <c r="RN76" s="346"/>
      <c r="RO76" s="346"/>
      <c r="RP76" s="346"/>
      <c r="RQ76" s="346"/>
      <c r="RR76" s="346"/>
      <c r="RS76" s="346"/>
      <c r="RT76" s="346"/>
      <c r="RU76" s="346"/>
      <c r="RV76" s="346"/>
      <c r="RW76" s="346"/>
      <c r="RX76" s="346"/>
      <c r="RY76" s="346"/>
      <c r="RZ76" s="346"/>
      <c r="SA76" s="346"/>
      <c r="SB76" s="346"/>
      <c r="SC76" s="346"/>
      <c r="SD76" s="346"/>
      <c r="SE76" s="346"/>
      <c r="SF76" s="346"/>
      <c r="SG76" s="346"/>
      <c r="SH76" s="346"/>
      <c r="SI76" s="346"/>
      <c r="SJ76" s="346"/>
      <c r="SK76" s="346"/>
      <c r="SL76" s="346"/>
      <c r="SM76" s="346"/>
      <c r="SN76" s="346"/>
      <c r="SO76" s="346"/>
      <c r="SP76" s="346"/>
      <c r="SQ76" s="346"/>
      <c r="SR76" s="346"/>
      <c r="SS76" s="346"/>
      <c r="ST76" s="346"/>
      <c r="SU76" s="346"/>
      <c r="SV76" s="346"/>
      <c r="SW76" s="346"/>
      <c r="SX76" s="346"/>
      <c r="SY76" s="346"/>
      <c r="SZ76" s="346"/>
      <c r="TA76" s="346"/>
    </row>
    <row r="77" spans="1:521" ht="14.1" customHeight="1" x14ac:dyDescent="0.2">
      <c r="A77" s="226"/>
      <c r="B77" s="226"/>
      <c r="C77" s="226"/>
      <c r="D77" s="226"/>
      <c r="E77" s="226"/>
      <c r="F77" s="226"/>
      <c r="G77" s="226"/>
      <c r="H77" s="226"/>
      <c r="I77" s="226"/>
      <c r="J77" s="226"/>
      <c r="K77" s="226"/>
      <c r="L77" s="226"/>
      <c r="M77" s="226"/>
      <c r="N77" s="226"/>
      <c r="O77" s="226"/>
      <c r="P77" s="226"/>
      <c r="Q77" s="226"/>
      <c r="R77" s="226"/>
      <c r="S77" s="226"/>
      <c r="T77" s="226"/>
      <c r="U77" s="226"/>
      <c r="V77" s="226"/>
      <c r="W77" s="226"/>
      <c r="X77" s="226"/>
      <c r="Y77" s="226"/>
      <c r="Z77" s="226"/>
      <c r="AA77" s="226"/>
      <c r="AB77" s="226"/>
      <c r="AC77" s="226"/>
      <c r="AD77" s="226"/>
      <c r="AE77" s="226"/>
      <c r="AF77" s="226"/>
      <c r="AG77" s="226"/>
      <c r="AH77" s="226"/>
      <c r="AI77" s="226"/>
      <c r="AJ77" s="226"/>
      <c r="AK77" s="226"/>
      <c r="AL77" s="226"/>
      <c r="AM77" s="226"/>
      <c r="AN77" s="226"/>
      <c r="AO77" s="226"/>
      <c r="AP77" s="226"/>
      <c r="AQ77" s="226"/>
      <c r="AR77" s="226"/>
      <c r="AS77" s="226"/>
      <c r="AT77" s="226"/>
      <c r="AU77" s="226"/>
      <c r="AV77" s="226"/>
      <c r="AW77" s="226"/>
      <c r="AX77" s="226"/>
      <c r="AY77" s="226"/>
      <c r="AZ77" s="226"/>
      <c r="BA77" s="226"/>
      <c r="BB77" s="226"/>
      <c r="BC77" s="226"/>
      <c r="BD77" s="226"/>
      <c r="BE77" s="226"/>
      <c r="BF77" s="226"/>
      <c r="BG77" s="226"/>
      <c r="BH77" s="226"/>
      <c r="BI77" s="226"/>
      <c r="BJ77" s="145"/>
      <c r="BK77" s="145"/>
      <c r="BL77" s="145"/>
      <c r="BM77" s="145"/>
      <c r="BN77" s="145"/>
      <c r="BO77" s="145"/>
      <c r="BP77" s="145"/>
      <c r="BQ77" s="145"/>
      <c r="BR77" s="145"/>
      <c r="BS77" s="145"/>
      <c r="BT77" s="145"/>
      <c r="BU77" s="145"/>
      <c r="BV77" s="145"/>
      <c r="BW77" s="145"/>
      <c r="BX77" s="145"/>
      <c r="BY77" s="145"/>
      <c r="BZ77" s="145"/>
      <c r="CA77" s="145"/>
      <c r="CB77" s="145"/>
      <c r="CC77" s="145"/>
      <c r="CD77" s="145"/>
      <c r="CE77" s="145"/>
      <c r="CF77" s="145"/>
      <c r="CG77" s="145"/>
      <c r="CH77" s="145"/>
      <c r="CI77" s="145"/>
      <c r="CJ77" s="145"/>
      <c r="CK77" s="145"/>
      <c r="CL77" s="145"/>
      <c r="CM77" s="145"/>
      <c r="CN77" s="145"/>
      <c r="CO77" s="145"/>
      <c r="CP77" s="145"/>
      <c r="CQ77" s="145"/>
      <c r="CR77" s="145"/>
      <c r="CS77" s="145"/>
      <c r="CT77" s="145"/>
      <c r="CU77" s="145"/>
      <c r="CV77" s="145"/>
      <c r="CW77" s="145"/>
      <c r="CX77" s="145"/>
      <c r="CY77" s="145"/>
      <c r="CZ77" s="145"/>
      <c r="DA77" s="145"/>
      <c r="DB77" s="145"/>
      <c r="DC77" s="145"/>
      <c r="DD77" s="145"/>
      <c r="DE77" s="145"/>
      <c r="DF77" s="145"/>
      <c r="DG77" s="145"/>
      <c r="DH77" s="145"/>
      <c r="DI77" s="145"/>
      <c r="DJ77" s="145"/>
      <c r="DK77" s="145"/>
      <c r="DL77" s="145"/>
      <c r="DM77" s="145"/>
      <c r="DN77" s="145"/>
      <c r="DO77" s="145"/>
      <c r="DP77" s="145"/>
      <c r="DQ77" s="145"/>
      <c r="DR77" s="145"/>
      <c r="DS77" s="145"/>
      <c r="DT77" s="145"/>
      <c r="DU77" s="145"/>
      <c r="DV77" s="145"/>
      <c r="DW77" s="145"/>
      <c r="DX77" s="145"/>
      <c r="DY77" s="145"/>
      <c r="DZ77" s="145"/>
      <c r="EA77" s="145"/>
      <c r="EB77" s="145"/>
      <c r="EC77" s="145"/>
      <c r="ED77" s="145"/>
      <c r="EE77" s="145"/>
      <c r="EF77" s="145"/>
      <c r="EG77" s="145"/>
      <c r="EH77" s="145"/>
      <c r="EI77" s="145"/>
      <c r="EJ77" s="145"/>
      <c r="EK77" s="145"/>
      <c r="EL77" s="145"/>
      <c r="EM77" s="145"/>
      <c r="EN77" s="145"/>
      <c r="EO77" s="145"/>
      <c r="EP77" s="145"/>
      <c r="EQ77" s="145"/>
      <c r="ER77" s="145"/>
      <c r="ES77" s="145"/>
      <c r="ET77" s="145"/>
      <c r="EU77" s="145"/>
      <c r="EV77" s="145"/>
      <c r="EW77" s="145"/>
      <c r="EX77" s="145"/>
      <c r="EY77" s="145"/>
      <c r="EZ77" s="145"/>
      <c r="FA77" s="145"/>
      <c r="FB77" s="145"/>
      <c r="FC77" s="145"/>
      <c r="FD77" s="145"/>
      <c r="FE77" s="145"/>
      <c r="FF77" s="145"/>
      <c r="FG77" s="145"/>
      <c r="FH77" s="145"/>
      <c r="FI77" s="145"/>
      <c r="FJ77" s="145"/>
      <c r="FK77" s="145"/>
      <c r="FL77" s="145"/>
      <c r="FM77" s="145"/>
      <c r="FN77" s="145"/>
      <c r="FO77" s="145"/>
      <c r="FP77" s="145"/>
      <c r="FQ77" s="145"/>
      <c r="FR77" s="145"/>
      <c r="FS77" s="145"/>
      <c r="FT77" s="145"/>
      <c r="FU77" s="145"/>
      <c r="FV77" s="145"/>
      <c r="FW77" s="145"/>
      <c r="FX77" s="145"/>
      <c r="FY77" s="145"/>
      <c r="FZ77" s="145"/>
      <c r="GA77" s="145"/>
      <c r="GB77" s="145"/>
      <c r="GC77" s="145"/>
      <c r="GD77" s="145"/>
      <c r="GE77" s="145"/>
      <c r="GF77" s="145"/>
      <c r="GG77" s="145"/>
      <c r="GH77" s="145"/>
      <c r="GI77" s="145"/>
      <c r="GJ77" s="145"/>
      <c r="GK77" s="145"/>
      <c r="GL77" s="145"/>
      <c r="GM77" s="145"/>
      <c r="GN77" s="145"/>
      <c r="GO77" s="145"/>
      <c r="GP77" s="145"/>
      <c r="GQ77" s="145"/>
      <c r="GR77" s="145"/>
      <c r="GS77" s="145"/>
      <c r="GT77" s="145"/>
      <c r="GU77" s="145"/>
      <c r="GV77" s="145"/>
      <c r="GW77" s="145"/>
      <c r="GX77" s="145"/>
      <c r="GY77" s="145"/>
      <c r="GZ77" s="145"/>
      <c r="HA77" s="145"/>
      <c r="HB77" s="145"/>
      <c r="HC77" s="145"/>
      <c r="HD77" s="145"/>
      <c r="HE77" s="302"/>
      <c r="HF77" s="302"/>
      <c r="HG77" s="302"/>
      <c r="HH77" s="302"/>
      <c r="HI77" s="302"/>
      <c r="HJ77" s="302"/>
      <c r="HK77" s="302"/>
      <c r="HL77" s="302"/>
      <c r="HM77" s="302"/>
      <c r="HN77" s="302"/>
      <c r="HO77" s="302"/>
      <c r="HP77" s="302"/>
      <c r="HQ77" s="302"/>
      <c r="HR77" s="302"/>
      <c r="HS77" s="302"/>
      <c r="HT77" s="302"/>
      <c r="HU77" s="302"/>
      <c r="HV77" s="302"/>
      <c r="HW77" s="302"/>
      <c r="HX77" s="302"/>
      <c r="HY77" s="302"/>
      <c r="HZ77" s="302"/>
      <c r="IA77" s="302"/>
      <c r="IB77" s="302"/>
      <c r="IC77" s="302"/>
      <c r="ID77" s="302"/>
      <c r="IE77" s="302"/>
      <c r="IF77" s="302"/>
      <c r="IG77" s="302"/>
      <c r="IH77" s="302"/>
      <c r="II77" s="302"/>
      <c r="IJ77" s="302"/>
      <c r="IK77" s="302"/>
      <c r="IL77" s="302"/>
      <c r="IM77" s="302"/>
      <c r="IN77" s="302"/>
      <c r="IO77" s="302"/>
      <c r="IP77" s="302"/>
      <c r="IQ77" s="302"/>
      <c r="IR77" s="302"/>
      <c r="IS77" s="302"/>
      <c r="IT77" s="302"/>
      <c r="IU77" s="302"/>
      <c r="IV77" s="302"/>
      <c r="IW77" s="302"/>
      <c r="IX77" s="302"/>
      <c r="IY77" s="302"/>
      <c r="IZ77" s="302"/>
      <c r="JA77" s="302"/>
      <c r="JB77" s="302"/>
      <c r="JC77" s="302"/>
      <c r="JD77" s="302"/>
      <c r="JE77" s="302"/>
      <c r="JF77" s="302"/>
      <c r="JG77" s="302"/>
      <c r="JH77" s="302"/>
      <c r="JI77" s="302"/>
      <c r="JJ77" s="302"/>
      <c r="JK77" s="302"/>
      <c r="JL77" s="302"/>
      <c r="JM77" s="302"/>
      <c r="JN77" s="302"/>
      <c r="JO77" s="302"/>
      <c r="JP77" s="302"/>
      <c r="JQ77" s="302"/>
      <c r="JR77" s="302"/>
      <c r="JS77" s="302"/>
      <c r="JT77" s="302"/>
      <c r="JU77" s="302"/>
      <c r="JV77" s="302"/>
      <c r="JW77" s="302"/>
      <c r="JX77" s="302"/>
      <c r="JY77" s="302"/>
      <c r="JZ77" s="302"/>
      <c r="KA77" s="302"/>
      <c r="KB77" s="302"/>
      <c r="KC77" s="302"/>
      <c r="KD77" s="302"/>
      <c r="KE77" s="302"/>
      <c r="KF77" s="302"/>
      <c r="KG77" s="302"/>
      <c r="KH77" s="302"/>
      <c r="KI77" s="302"/>
      <c r="KJ77" s="302"/>
      <c r="KK77" s="302"/>
      <c r="KL77" s="302"/>
      <c r="KM77" s="302"/>
      <c r="KN77" s="302"/>
      <c r="KO77" s="302"/>
      <c r="KP77" s="302"/>
      <c r="KQ77" s="302"/>
      <c r="KR77" s="302"/>
      <c r="KS77" s="302"/>
      <c r="KT77" s="302"/>
      <c r="KU77" s="302"/>
      <c r="KV77" s="302"/>
      <c r="KW77" s="302"/>
      <c r="KX77" s="302"/>
      <c r="KY77" s="302"/>
      <c r="KZ77" s="302"/>
      <c r="LA77" s="302"/>
      <c r="LB77" s="302"/>
      <c r="LC77" s="302"/>
      <c r="LD77" s="302"/>
      <c r="LE77" s="302"/>
      <c r="LF77" s="302"/>
      <c r="LG77" s="302"/>
      <c r="LH77" s="302"/>
      <c r="LI77" s="302"/>
      <c r="LJ77" s="302"/>
      <c r="LK77" s="302"/>
      <c r="LL77" s="302"/>
      <c r="LM77" s="302"/>
      <c r="LN77" s="302"/>
      <c r="LO77" s="302"/>
      <c r="LP77" s="302"/>
      <c r="LQ77" s="302"/>
      <c r="LR77" s="302"/>
      <c r="LS77" s="302"/>
      <c r="LT77" s="302"/>
      <c r="LU77" s="302"/>
      <c r="LV77" s="302"/>
      <c r="LW77" s="302"/>
      <c r="LX77" s="302"/>
      <c r="LY77" s="302"/>
      <c r="LZ77" s="302"/>
      <c r="MA77" s="302"/>
      <c r="MB77" s="302"/>
      <c r="MC77" s="302"/>
      <c r="MD77" s="302"/>
      <c r="ME77" s="302"/>
      <c r="MF77" s="302"/>
      <c r="MG77" s="302"/>
      <c r="MH77" s="302"/>
      <c r="MI77" s="302"/>
      <c r="MJ77" s="302"/>
      <c r="MK77" s="302"/>
      <c r="ML77" s="302"/>
      <c r="MM77" s="302"/>
      <c r="MN77" s="302"/>
      <c r="MO77" s="302"/>
      <c r="MP77" s="302"/>
      <c r="MQ77" s="302"/>
      <c r="MR77" s="302"/>
      <c r="MS77" s="302"/>
      <c r="MT77" s="302"/>
      <c r="MU77" s="302"/>
      <c r="MV77" s="302"/>
      <c r="MW77" s="302"/>
      <c r="MX77" s="302"/>
      <c r="MY77" s="302"/>
      <c r="MZ77" s="302"/>
      <c r="NA77" s="302"/>
      <c r="NB77" s="302"/>
      <c r="NC77" s="302"/>
      <c r="ND77" s="302"/>
      <c r="NE77" s="302"/>
      <c r="NF77" s="302"/>
      <c r="NG77" s="302"/>
      <c r="NH77" s="302"/>
      <c r="NI77" s="302"/>
      <c r="NJ77" s="302"/>
      <c r="NK77" s="302"/>
      <c r="NL77" s="302"/>
      <c r="NM77" s="302"/>
      <c r="NN77" s="302"/>
      <c r="NO77" s="302"/>
      <c r="NP77" s="302"/>
      <c r="NQ77" s="302"/>
      <c r="NR77" s="302"/>
      <c r="NS77" s="302"/>
      <c r="NT77" s="302"/>
      <c r="NU77" s="302"/>
      <c r="NV77" s="302"/>
      <c r="NW77" s="302"/>
      <c r="NX77" s="302"/>
      <c r="NY77" s="302"/>
      <c r="NZ77" s="302"/>
      <c r="OA77" s="302"/>
      <c r="OB77" s="302"/>
      <c r="OC77" s="302"/>
      <c r="OD77" s="302"/>
      <c r="OE77" s="302"/>
      <c r="OF77" s="302"/>
      <c r="OG77" s="302"/>
      <c r="OH77" s="302"/>
      <c r="OI77" s="302"/>
      <c r="OJ77" s="302"/>
      <c r="OK77" s="302"/>
      <c r="OL77" s="302"/>
      <c r="OM77" s="302"/>
      <c r="ON77" s="302"/>
      <c r="OO77" s="302"/>
      <c r="OP77" s="302"/>
      <c r="OQ77" s="302"/>
      <c r="OR77" s="302"/>
      <c r="OS77" s="302"/>
      <c r="OT77" s="302"/>
      <c r="OU77" s="302"/>
      <c r="OV77" s="302"/>
      <c r="OW77" s="302"/>
      <c r="OX77" s="302"/>
      <c r="OY77" s="302"/>
      <c r="OZ77" s="302"/>
      <c r="PA77" s="302"/>
      <c r="PB77" s="302"/>
      <c r="PC77" s="302"/>
      <c r="PD77" s="302"/>
      <c r="PE77" s="302"/>
      <c r="PF77" s="302"/>
      <c r="PG77" s="302"/>
      <c r="PH77" s="302"/>
      <c r="PI77" s="302"/>
      <c r="PJ77" s="302"/>
      <c r="PK77" s="302"/>
      <c r="PL77" s="302"/>
      <c r="PM77" s="302"/>
      <c r="PN77" s="302"/>
      <c r="PO77" s="302"/>
      <c r="PP77" s="302"/>
      <c r="PQ77" s="302"/>
      <c r="PR77" s="302"/>
      <c r="PS77" s="302"/>
      <c r="PT77" s="302"/>
      <c r="PU77" s="302"/>
      <c r="PV77" s="302"/>
      <c r="PW77" s="302"/>
      <c r="PX77" s="131"/>
      <c r="PY77" s="131"/>
      <c r="QC77" s="78" t="s">
        <v>23</v>
      </c>
      <c r="QD77" s="354">
        <f>QE36</f>
        <v>-0.5</v>
      </c>
      <c r="QE77" s="78">
        <f>QD77-(0.07/QC3)</f>
        <v>-0.55000000000000004</v>
      </c>
      <c r="QG77" s="78">
        <f>QG63</f>
        <v>-0.4464285714285714</v>
      </c>
      <c r="QH77" s="78">
        <f>QG77+(0.07/QC3)</f>
        <v>-0.39642857142857141</v>
      </c>
      <c r="QJ77" s="354">
        <f>QD77</f>
        <v>-0.5</v>
      </c>
      <c r="QK77" s="354">
        <f>QJ77</f>
        <v>-0.5</v>
      </c>
      <c r="QM77" s="78">
        <f>QG77</f>
        <v>-0.4464285714285714</v>
      </c>
      <c r="QN77" s="78">
        <f>QM77</f>
        <v>-0.4464285714285714</v>
      </c>
      <c r="QY77" s="346"/>
      <c r="QZ77" s="346"/>
      <c r="RA77" s="346"/>
      <c r="RB77" s="346"/>
      <c r="RC77" s="346"/>
      <c r="RD77" s="346"/>
      <c r="RE77" s="346"/>
      <c r="RF77" s="346"/>
      <c r="RG77" s="346"/>
      <c r="RH77" s="346"/>
      <c r="RI77" s="346"/>
      <c r="RJ77" s="346"/>
      <c r="RK77" s="346"/>
      <c r="RL77" s="346"/>
      <c r="RM77" s="346"/>
      <c r="RN77" s="346"/>
      <c r="RO77" s="346"/>
      <c r="RP77" s="346"/>
      <c r="RQ77" s="346"/>
      <c r="RR77" s="346"/>
      <c r="RS77" s="346"/>
      <c r="RT77" s="346"/>
      <c r="RU77" s="346"/>
      <c r="RV77" s="346"/>
      <c r="RW77" s="346"/>
      <c r="RX77" s="346"/>
      <c r="RY77" s="346"/>
      <c r="RZ77" s="346"/>
      <c r="SA77" s="346"/>
      <c r="SB77" s="346"/>
      <c r="SC77" s="346"/>
      <c r="SD77" s="346"/>
      <c r="SE77" s="346"/>
      <c r="SF77" s="346"/>
      <c r="SG77" s="346"/>
      <c r="SH77" s="346"/>
      <c r="SI77" s="346"/>
      <c r="SJ77" s="346"/>
      <c r="SK77" s="346"/>
      <c r="SL77" s="346"/>
      <c r="SM77" s="346"/>
      <c r="SN77" s="346"/>
      <c r="SO77" s="346"/>
      <c r="SP77" s="346"/>
      <c r="SQ77" s="346"/>
      <c r="SR77" s="346"/>
      <c r="SS77" s="346"/>
      <c r="ST77" s="346"/>
      <c r="SU77" s="346"/>
      <c r="SV77" s="346"/>
      <c r="SW77" s="346"/>
      <c r="SX77" s="346"/>
      <c r="SY77" s="346"/>
      <c r="SZ77" s="346"/>
      <c r="TA77" s="346"/>
    </row>
    <row r="78" spans="1:521" ht="14.1" customHeight="1" x14ac:dyDescent="0.2">
      <c r="A78" s="226"/>
      <c r="B78" s="226"/>
      <c r="C78" s="226"/>
      <c r="D78" s="226"/>
      <c r="E78" s="226"/>
      <c r="F78" s="226"/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226"/>
      <c r="T78" s="226"/>
      <c r="U78" s="226"/>
      <c r="V78" s="226"/>
      <c r="W78" s="226"/>
      <c r="X78" s="226"/>
      <c r="Y78" s="226"/>
      <c r="Z78" s="226"/>
      <c r="AA78" s="226"/>
      <c r="AB78" s="226"/>
      <c r="AC78" s="226"/>
      <c r="AD78" s="226"/>
      <c r="AE78" s="226"/>
      <c r="AF78" s="226"/>
      <c r="AG78" s="226"/>
      <c r="AH78" s="226"/>
      <c r="AI78" s="226"/>
      <c r="AJ78" s="226"/>
      <c r="AK78" s="226"/>
      <c r="AL78" s="226"/>
      <c r="AM78" s="226"/>
      <c r="AN78" s="226"/>
      <c r="AO78" s="226"/>
      <c r="AP78" s="226"/>
      <c r="AQ78" s="226"/>
      <c r="AR78" s="226"/>
      <c r="AS78" s="226"/>
      <c r="AT78" s="226"/>
      <c r="AU78" s="226"/>
      <c r="AV78" s="226"/>
      <c r="AW78" s="226"/>
      <c r="AX78" s="226"/>
      <c r="AY78" s="226"/>
      <c r="AZ78" s="226"/>
      <c r="BA78" s="226"/>
      <c r="BB78" s="226"/>
      <c r="BC78" s="226"/>
      <c r="BD78" s="226"/>
      <c r="BE78" s="226"/>
      <c r="BF78" s="226"/>
      <c r="BG78" s="226"/>
      <c r="BH78" s="226"/>
      <c r="BI78" s="226"/>
      <c r="BJ78" s="145"/>
      <c r="BK78" s="145"/>
      <c r="BL78" s="145"/>
      <c r="BM78" s="145"/>
      <c r="BN78" s="145"/>
      <c r="BO78" s="145"/>
      <c r="BP78" s="145"/>
      <c r="BQ78" s="145"/>
      <c r="BR78" s="145"/>
      <c r="BS78" s="145"/>
      <c r="BT78" s="145"/>
      <c r="BU78" s="145"/>
      <c r="BV78" s="145"/>
      <c r="BW78" s="145"/>
      <c r="BX78" s="145"/>
      <c r="BY78" s="145"/>
      <c r="BZ78" s="145"/>
      <c r="CA78" s="145"/>
      <c r="CB78" s="145"/>
      <c r="CC78" s="145"/>
      <c r="CD78" s="145"/>
      <c r="CE78" s="145"/>
      <c r="CF78" s="145"/>
      <c r="CG78" s="145"/>
      <c r="CH78" s="145"/>
      <c r="CI78" s="145"/>
      <c r="CJ78" s="145"/>
      <c r="CK78" s="145"/>
      <c r="CL78" s="145"/>
      <c r="CM78" s="145"/>
      <c r="CN78" s="145"/>
      <c r="CO78" s="145"/>
      <c r="CP78" s="145"/>
      <c r="CQ78" s="145"/>
      <c r="CR78" s="145"/>
      <c r="CS78" s="145"/>
      <c r="CT78" s="145"/>
      <c r="CU78" s="145"/>
      <c r="CV78" s="145"/>
      <c r="CW78" s="145"/>
      <c r="CX78" s="145"/>
      <c r="CY78" s="145"/>
      <c r="CZ78" s="145"/>
      <c r="DA78" s="145"/>
      <c r="DB78" s="145"/>
      <c r="DC78" s="145"/>
      <c r="DD78" s="145"/>
      <c r="DE78" s="145"/>
      <c r="DF78" s="145"/>
      <c r="DG78" s="145"/>
      <c r="DH78" s="145"/>
      <c r="DI78" s="145"/>
      <c r="DJ78" s="145"/>
      <c r="DK78" s="145"/>
      <c r="DL78" s="145"/>
      <c r="DM78" s="145"/>
      <c r="DN78" s="145"/>
      <c r="DO78" s="145"/>
      <c r="DP78" s="145"/>
      <c r="DQ78" s="145"/>
      <c r="DR78" s="145"/>
      <c r="DS78" s="145"/>
      <c r="DT78" s="145"/>
      <c r="DU78" s="145"/>
      <c r="DV78" s="145"/>
      <c r="DW78" s="145"/>
      <c r="DX78" s="145"/>
      <c r="DY78" s="145"/>
      <c r="DZ78" s="145"/>
      <c r="EA78" s="145"/>
      <c r="EB78" s="145"/>
      <c r="EC78" s="145"/>
      <c r="ED78" s="145"/>
      <c r="EE78" s="145"/>
      <c r="EF78" s="145"/>
      <c r="EG78" s="145"/>
      <c r="EH78" s="145"/>
      <c r="EI78" s="145"/>
      <c r="EJ78" s="145"/>
      <c r="EK78" s="145"/>
      <c r="EL78" s="145"/>
      <c r="EM78" s="145"/>
      <c r="EN78" s="145"/>
      <c r="EO78" s="145"/>
      <c r="EP78" s="145"/>
      <c r="EQ78" s="145"/>
      <c r="ER78" s="145"/>
      <c r="ES78" s="145"/>
      <c r="ET78" s="145"/>
      <c r="EU78" s="145"/>
      <c r="EV78" s="145"/>
      <c r="EW78" s="145"/>
      <c r="EX78" s="145"/>
      <c r="EY78" s="145"/>
      <c r="EZ78" s="145"/>
      <c r="FA78" s="145"/>
      <c r="FB78" s="145"/>
      <c r="FC78" s="145"/>
      <c r="FD78" s="145"/>
      <c r="FE78" s="145"/>
      <c r="FF78" s="145"/>
      <c r="FG78" s="145"/>
      <c r="FH78" s="145"/>
      <c r="FI78" s="145"/>
      <c r="FJ78" s="145"/>
      <c r="FK78" s="145"/>
      <c r="FL78" s="145"/>
      <c r="FM78" s="145"/>
      <c r="FN78" s="145"/>
      <c r="FO78" s="145"/>
      <c r="FP78" s="145"/>
      <c r="FQ78" s="145"/>
      <c r="FR78" s="145"/>
      <c r="FS78" s="145"/>
      <c r="FT78" s="145"/>
      <c r="FU78" s="145"/>
      <c r="FV78" s="145"/>
      <c r="FW78" s="145"/>
      <c r="FX78" s="145"/>
      <c r="FY78" s="145"/>
      <c r="FZ78" s="145"/>
      <c r="GA78" s="145"/>
      <c r="GB78" s="145"/>
      <c r="GC78" s="145"/>
      <c r="GD78" s="145"/>
      <c r="GE78" s="145"/>
      <c r="GF78" s="145"/>
      <c r="GG78" s="145"/>
      <c r="GH78" s="145"/>
      <c r="GI78" s="145"/>
      <c r="GJ78" s="145"/>
      <c r="GK78" s="145"/>
      <c r="GL78" s="145"/>
      <c r="GM78" s="145"/>
      <c r="GN78" s="145"/>
      <c r="GO78" s="145"/>
      <c r="GP78" s="145"/>
      <c r="GQ78" s="145"/>
      <c r="GR78" s="145"/>
      <c r="GS78" s="145"/>
      <c r="GT78" s="145"/>
      <c r="GU78" s="145"/>
      <c r="GV78" s="145"/>
      <c r="GW78" s="145"/>
      <c r="GX78" s="145"/>
      <c r="GY78" s="145"/>
      <c r="GZ78" s="145"/>
      <c r="HA78" s="145"/>
      <c r="HB78" s="145"/>
      <c r="HC78" s="145"/>
      <c r="HD78" s="145"/>
      <c r="HE78" s="302"/>
      <c r="HF78" s="302"/>
      <c r="HG78" s="302"/>
      <c r="HH78" s="302"/>
      <c r="HI78" s="302"/>
      <c r="HJ78" s="302"/>
      <c r="HK78" s="302"/>
      <c r="HL78" s="302"/>
      <c r="HM78" s="302"/>
      <c r="HN78" s="302"/>
      <c r="HO78" s="302"/>
      <c r="HP78" s="302"/>
      <c r="HQ78" s="302"/>
      <c r="HR78" s="302"/>
      <c r="HS78" s="302"/>
      <c r="HT78" s="302"/>
      <c r="HU78" s="302"/>
      <c r="HV78" s="302"/>
      <c r="HW78" s="302"/>
      <c r="HX78" s="302"/>
      <c r="HY78" s="302"/>
      <c r="HZ78" s="302"/>
      <c r="IA78" s="302"/>
      <c r="IB78" s="302"/>
      <c r="IC78" s="302"/>
      <c r="ID78" s="302"/>
      <c r="IE78" s="302"/>
      <c r="IF78" s="302"/>
      <c r="IG78" s="302"/>
      <c r="IH78" s="302"/>
      <c r="II78" s="302"/>
      <c r="IJ78" s="302"/>
      <c r="IK78" s="302"/>
      <c r="IL78" s="302"/>
      <c r="IM78" s="302"/>
      <c r="IN78" s="302"/>
      <c r="IO78" s="302"/>
      <c r="IP78" s="302"/>
      <c r="IQ78" s="302"/>
      <c r="IR78" s="302"/>
      <c r="IS78" s="302"/>
      <c r="IT78" s="302"/>
      <c r="IU78" s="302"/>
      <c r="IV78" s="302"/>
      <c r="IW78" s="302"/>
      <c r="IX78" s="302"/>
      <c r="IY78" s="302"/>
      <c r="IZ78" s="302"/>
      <c r="JA78" s="302"/>
      <c r="JB78" s="302"/>
      <c r="JC78" s="302"/>
      <c r="JD78" s="302"/>
      <c r="JE78" s="302"/>
      <c r="JF78" s="302"/>
      <c r="JG78" s="302"/>
      <c r="JH78" s="302"/>
      <c r="JI78" s="302"/>
      <c r="JJ78" s="302"/>
      <c r="JK78" s="302"/>
      <c r="JL78" s="302"/>
      <c r="JM78" s="302"/>
      <c r="JN78" s="302"/>
      <c r="JO78" s="302"/>
      <c r="JP78" s="302"/>
      <c r="JQ78" s="302"/>
      <c r="JR78" s="302"/>
      <c r="JS78" s="302"/>
      <c r="JT78" s="302"/>
      <c r="JU78" s="302"/>
      <c r="JV78" s="302"/>
      <c r="JW78" s="302"/>
      <c r="JX78" s="302"/>
      <c r="JY78" s="302"/>
      <c r="JZ78" s="302"/>
      <c r="KA78" s="302"/>
      <c r="KB78" s="302"/>
      <c r="KC78" s="302"/>
      <c r="KD78" s="302"/>
      <c r="KE78" s="302"/>
      <c r="KF78" s="302"/>
      <c r="KG78" s="302"/>
      <c r="KH78" s="302"/>
      <c r="KI78" s="302"/>
      <c r="KJ78" s="302"/>
      <c r="KK78" s="302"/>
      <c r="KL78" s="302"/>
      <c r="KM78" s="302"/>
      <c r="KN78" s="302"/>
      <c r="KO78" s="302"/>
      <c r="KP78" s="302"/>
      <c r="KQ78" s="302"/>
      <c r="KR78" s="302"/>
      <c r="KS78" s="302"/>
      <c r="KT78" s="302"/>
      <c r="KU78" s="302"/>
      <c r="KV78" s="302"/>
      <c r="KW78" s="302"/>
      <c r="KX78" s="302"/>
      <c r="KY78" s="302"/>
      <c r="KZ78" s="302"/>
      <c r="LA78" s="302"/>
      <c r="LB78" s="302"/>
      <c r="LC78" s="302"/>
      <c r="LD78" s="302"/>
      <c r="LE78" s="302"/>
      <c r="LF78" s="302"/>
      <c r="LG78" s="302"/>
      <c r="LH78" s="302"/>
      <c r="LI78" s="302"/>
      <c r="LJ78" s="302"/>
      <c r="LK78" s="302"/>
      <c r="LL78" s="302"/>
      <c r="LM78" s="302"/>
      <c r="LN78" s="302"/>
      <c r="LO78" s="302"/>
      <c r="LP78" s="302"/>
      <c r="LQ78" s="302"/>
      <c r="LR78" s="302"/>
      <c r="LS78" s="302"/>
      <c r="LT78" s="302"/>
      <c r="LU78" s="302"/>
      <c r="LV78" s="302"/>
      <c r="LW78" s="302"/>
      <c r="LX78" s="302"/>
      <c r="LY78" s="302"/>
      <c r="LZ78" s="302"/>
      <c r="MA78" s="302"/>
      <c r="MB78" s="302"/>
      <c r="MC78" s="302"/>
      <c r="MD78" s="302"/>
      <c r="ME78" s="302"/>
      <c r="MF78" s="302"/>
      <c r="MG78" s="302"/>
      <c r="MH78" s="302"/>
      <c r="MI78" s="302"/>
      <c r="MJ78" s="302"/>
      <c r="MK78" s="302"/>
      <c r="ML78" s="302"/>
      <c r="MM78" s="302"/>
      <c r="MN78" s="302"/>
      <c r="MO78" s="302"/>
      <c r="MP78" s="302"/>
      <c r="MQ78" s="302"/>
      <c r="MR78" s="302"/>
      <c r="MS78" s="302"/>
      <c r="MT78" s="302"/>
      <c r="MU78" s="302"/>
      <c r="MV78" s="302"/>
      <c r="MW78" s="302"/>
      <c r="MX78" s="302"/>
      <c r="MY78" s="302"/>
      <c r="MZ78" s="302"/>
      <c r="NA78" s="302"/>
      <c r="NB78" s="302"/>
      <c r="NC78" s="302"/>
      <c r="ND78" s="302"/>
      <c r="NE78" s="302"/>
      <c r="NF78" s="302"/>
      <c r="NG78" s="302"/>
      <c r="NH78" s="302"/>
      <c r="NI78" s="302"/>
      <c r="NJ78" s="302"/>
      <c r="NK78" s="302"/>
      <c r="NL78" s="302"/>
      <c r="NM78" s="302"/>
      <c r="NN78" s="302"/>
      <c r="NO78" s="302"/>
      <c r="NP78" s="302"/>
      <c r="NQ78" s="302"/>
      <c r="NR78" s="302"/>
      <c r="NS78" s="302"/>
      <c r="NT78" s="302"/>
      <c r="NU78" s="302"/>
      <c r="NV78" s="302"/>
      <c r="NW78" s="302"/>
      <c r="NX78" s="302"/>
      <c r="NY78" s="302"/>
      <c r="NZ78" s="302"/>
      <c r="OA78" s="302"/>
      <c r="OB78" s="302"/>
      <c r="OC78" s="302"/>
      <c r="OD78" s="302"/>
      <c r="OE78" s="302"/>
      <c r="OF78" s="302"/>
      <c r="OG78" s="302"/>
      <c r="OH78" s="302"/>
      <c r="OI78" s="302"/>
      <c r="OJ78" s="302"/>
      <c r="OK78" s="302"/>
      <c r="OL78" s="302"/>
      <c r="OM78" s="302"/>
      <c r="ON78" s="302"/>
      <c r="OO78" s="302"/>
      <c r="OP78" s="302"/>
      <c r="OQ78" s="302"/>
      <c r="OR78" s="302"/>
      <c r="OS78" s="302"/>
      <c r="OT78" s="302"/>
      <c r="OU78" s="302"/>
      <c r="OV78" s="302"/>
      <c r="OW78" s="302"/>
      <c r="OX78" s="302"/>
      <c r="OY78" s="302"/>
      <c r="OZ78" s="302"/>
      <c r="PA78" s="302"/>
      <c r="PB78" s="302"/>
      <c r="PC78" s="302"/>
      <c r="PD78" s="302"/>
      <c r="PE78" s="302"/>
      <c r="PF78" s="302"/>
      <c r="PG78" s="302"/>
      <c r="PH78" s="302"/>
      <c r="PI78" s="302"/>
      <c r="PJ78" s="302"/>
      <c r="PK78" s="302"/>
      <c r="PL78" s="302"/>
      <c r="PM78" s="302"/>
      <c r="PN78" s="302"/>
      <c r="PO78" s="302"/>
      <c r="PP78" s="302"/>
      <c r="PQ78" s="302"/>
      <c r="PR78" s="302"/>
      <c r="PS78" s="302"/>
      <c r="PT78" s="302"/>
      <c r="PU78" s="302"/>
      <c r="PV78" s="302"/>
      <c r="PW78" s="302"/>
      <c r="PX78" s="131"/>
      <c r="PY78" s="131"/>
      <c r="QC78" s="78" t="s">
        <v>24</v>
      </c>
      <c r="QD78" s="78">
        <f>QD37+(0.1/QC3)</f>
        <v>0.28571428571428575</v>
      </c>
      <c r="QE78" s="78">
        <f>QD78</f>
        <v>0.28571428571428575</v>
      </c>
      <c r="QG78" s="78">
        <f>QD78</f>
        <v>0.28571428571428575</v>
      </c>
      <c r="QH78" s="78">
        <f>QD78</f>
        <v>0.28571428571428575</v>
      </c>
      <c r="QJ78" s="78">
        <f>QD78-(0.03/QC3)</f>
        <v>0.26428571428571435</v>
      </c>
      <c r="QK78" s="78">
        <f>QD78+(0.03/QC3)</f>
        <v>0.30714285714285716</v>
      </c>
      <c r="QM78" s="78">
        <f>QJ78</f>
        <v>0.26428571428571435</v>
      </c>
      <c r="QN78" s="78">
        <f>QK78</f>
        <v>0.30714285714285716</v>
      </c>
      <c r="QY78" s="346"/>
      <c r="QZ78" s="346"/>
      <c r="RA78" s="346"/>
      <c r="RB78" s="346"/>
      <c r="RC78" s="346"/>
      <c r="RD78" s="346"/>
      <c r="RE78" s="346"/>
      <c r="RF78" s="346"/>
      <c r="RG78" s="346"/>
      <c r="RH78" s="346"/>
      <c r="RI78" s="346"/>
      <c r="RJ78" s="346"/>
      <c r="RK78" s="346"/>
      <c r="RL78" s="346"/>
      <c r="RM78" s="346"/>
      <c r="RN78" s="346"/>
      <c r="RO78" s="346"/>
      <c r="RP78" s="346"/>
      <c r="RQ78" s="346"/>
      <c r="RR78" s="346"/>
      <c r="RS78" s="346"/>
      <c r="RT78" s="346"/>
      <c r="RU78" s="346"/>
      <c r="RV78" s="346"/>
      <c r="RW78" s="346"/>
      <c r="RX78" s="346"/>
      <c r="RY78" s="346"/>
      <c r="RZ78" s="346"/>
      <c r="SA78" s="346"/>
      <c r="SB78" s="346"/>
      <c r="SC78" s="346"/>
      <c r="SD78" s="346"/>
      <c r="SE78" s="346"/>
      <c r="SF78" s="346"/>
      <c r="SG78" s="346"/>
      <c r="SH78" s="346"/>
      <c r="SI78" s="346"/>
      <c r="SJ78" s="346"/>
      <c r="SK78" s="346"/>
      <c r="SL78" s="346"/>
      <c r="SM78" s="346"/>
      <c r="SN78" s="346"/>
      <c r="SO78" s="346"/>
      <c r="SP78" s="346"/>
      <c r="SQ78" s="346"/>
      <c r="SR78" s="346"/>
      <c r="SS78" s="346"/>
      <c r="ST78" s="346"/>
      <c r="SU78" s="346"/>
      <c r="SV78" s="346"/>
      <c r="SW78" s="346"/>
      <c r="SX78" s="346"/>
      <c r="SY78" s="346"/>
      <c r="SZ78" s="346"/>
      <c r="TA78" s="346"/>
    </row>
    <row r="79" spans="1:521" ht="14.1" customHeight="1" x14ac:dyDescent="0.2">
      <c r="A79" s="226"/>
      <c r="B79" s="226"/>
      <c r="C79" s="226"/>
      <c r="D79" s="226"/>
      <c r="E79" s="226"/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226"/>
      <c r="T79" s="226"/>
      <c r="U79" s="226"/>
      <c r="V79" s="226"/>
      <c r="W79" s="226"/>
      <c r="X79" s="226"/>
      <c r="Y79" s="226"/>
      <c r="Z79" s="226"/>
      <c r="AA79" s="226"/>
      <c r="AB79" s="226"/>
      <c r="AC79" s="226"/>
      <c r="AD79" s="226"/>
      <c r="AE79" s="226"/>
      <c r="AF79" s="226"/>
      <c r="AG79" s="226"/>
      <c r="AH79" s="226"/>
      <c r="AI79" s="226"/>
      <c r="AJ79" s="226"/>
      <c r="AK79" s="226"/>
      <c r="AL79" s="226"/>
      <c r="AM79" s="226"/>
      <c r="AN79" s="226"/>
      <c r="AO79" s="226"/>
      <c r="AP79" s="226"/>
      <c r="AQ79" s="226"/>
      <c r="AR79" s="226"/>
      <c r="AS79" s="226"/>
      <c r="AT79" s="226"/>
      <c r="AU79" s="226"/>
      <c r="AV79" s="226"/>
      <c r="AW79" s="226"/>
      <c r="AX79" s="226"/>
      <c r="AY79" s="226"/>
      <c r="AZ79" s="226"/>
      <c r="BA79" s="226"/>
      <c r="BB79" s="226"/>
      <c r="BC79" s="226"/>
      <c r="BD79" s="226"/>
      <c r="BE79" s="226"/>
      <c r="BF79" s="226"/>
      <c r="BG79" s="226"/>
      <c r="BH79" s="226"/>
      <c r="BI79" s="226"/>
      <c r="BJ79" s="145"/>
      <c r="BK79" s="145"/>
      <c r="BL79" s="145"/>
      <c r="BM79" s="145"/>
      <c r="BN79" s="145"/>
      <c r="BO79" s="145"/>
      <c r="BP79" s="145"/>
      <c r="BQ79" s="145"/>
      <c r="BR79" s="145"/>
      <c r="BS79" s="145"/>
      <c r="BT79" s="145"/>
      <c r="BU79" s="145"/>
      <c r="BV79" s="145"/>
      <c r="BW79" s="145"/>
      <c r="BX79" s="145"/>
      <c r="BY79" s="145"/>
      <c r="BZ79" s="145"/>
      <c r="CA79" s="145"/>
      <c r="CB79" s="145"/>
      <c r="CC79" s="145"/>
      <c r="CD79" s="145"/>
      <c r="CE79" s="145"/>
      <c r="CF79" s="145"/>
      <c r="CG79" s="145"/>
      <c r="CH79" s="145"/>
      <c r="CI79" s="145"/>
      <c r="CJ79" s="145"/>
      <c r="CK79" s="145"/>
      <c r="CL79" s="145"/>
      <c r="CM79" s="145"/>
      <c r="CN79" s="145"/>
      <c r="CO79" s="145"/>
      <c r="CP79" s="145"/>
      <c r="CQ79" s="145"/>
      <c r="CR79" s="145"/>
      <c r="CS79" s="145"/>
      <c r="CT79" s="145"/>
      <c r="CU79" s="145"/>
      <c r="CV79" s="145"/>
      <c r="CW79" s="145"/>
      <c r="CX79" s="145"/>
      <c r="CY79" s="145"/>
      <c r="CZ79" s="145"/>
      <c r="DA79" s="145"/>
      <c r="DB79" s="145"/>
      <c r="DC79" s="145"/>
      <c r="DD79" s="145"/>
      <c r="DE79" s="145"/>
      <c r="DF79" s="145"/>
      <c r="DG79" s="145"/>
      <c r="DH79" s="145"/>
      <c r="DI79" s="145"/>
      <c r="DJ79" s="145"/>
      <c r="DK79" s="145"/>
      <c r="DL79" s="145"/>
      <c r="DM79" s="145"/>
      <c r="DN79" s="145"/>
      <c r="DO79" s="145"/>
      <c r="DP79" s="145"/>
      <c r="DQ79" s="145"/>
      <c r="DR79" s="145"/>
      <c r="DS79" s="145"/>
      <c r="DT79" s="145"/>
      <c r="DU79" s="145"/>
      <c r="DV79" s="145"/>
      <c r="DW79" s="145"/>
      <c r="DX79" s="145"/>
      <c r="DY79" s="145"/>
      <c r="DZ79" s="145"/>
      <c r="EA79" s="145"/>
      <c r="EB79" s="145"/>
      <c r="EC79" s="145"/>
      <c r="ED79" s="145"/>
      <c r="EE79" s="145"/>
      <c r="EF79" s="145"/>
      <c r="EG79" s="145"/>
      <c r="EH79" s="145"/>
      <c r="EI79" s="145"/>
      <c r="EJ79" s="145"/>
      <c r="EK79" s="145"/>
      <c r="EL79" s="145"/>
      <c r="EM79" s="145"/>
      <c r="EN79" s="145"/>
      <c r="EO79" s="145"/>
      <c r="EP79" s="145"/>
      <c r="EQ79" s="145"/>
      <c r="ER79" s="145"/>
      <c r="ES79" s="145"/>
      <c r="ET79" s="145"/>
      <c r="EU79" s="145"/>
      <c r="EV79" s="145"/>
      <c r="EW79" s="145"/>
      <c r="EX79" s="145"/>
      <c r="EY79" s="145"/>
      <c r="EZ79" s="145"/>
      <c r="FA79" s="145"/>
      <c r="FB79" s="145"/>
      <c r="FC79" s="145"/>
      <c r="FD79" s="145"/>
      <c r="FE79" s="145"/>
      <c r="FF79" s="145"/>
      <c r="FG79" s="145"/>
      <c r="FH79" s="145"/>
      <c r="FI79" s="145"/>
      <c r="FJ79" s="145"/>
      <c r="FK79" s="145"/>
      <c r="FL79" s="145"/>
      <c r="FM79" s="145"/>
      <c r="FN79" s="145"/>
      <c r="FO79" s="145"/>
      <c r="FP79" s="145"/>
      <c r="FQ79" s="145"/>
      <c r="FR79" s="145"/>
      <c r="FS79" s="145"/>
      <c r="FT79" s="145"/>
      <c r="FU79" s="145"/>
      <c r="FV79" s="145"/>
      <c r="FW79" s="145"/>
      <c r="FX79" s="145"/>
      <c r="FY79" s="145"/>
      <c r="FZ79" s="145"/>
      <c r="GA79" s="145"/>
      <c r="GB79" s="145"/>
      <c r="GC79" s="145"/>
      <c r="GD79" s="145"/>
      <c r="GE79" s="145"/>
      <c r="GF79" s="145"/>
      <c r="GG79" s="145"/>
      <c r="GH79" s="145"/>
      <c r="GI79" s="145"/>
      <c r="GJ79" s="145"/>
      <c r="GK79" s="145"/>
      <c r="GL79" s="145"/>
      <c r="GM79" s="145"/>
      <c r="GN79" s="145"/>
      <c r="GO79" s="145"/>
      <c r="GP79" s="145"/>
      <c r="GQ79" s="145"/>
      <c r="GR79" s="145"/>
      <c r="GS79" s="145"/>
      <c r="GT79" s="145"/>
      <c r="GU79" s="145"/>
      <c r="GV79" s="145"/>
      <c r="GW79" s="145"/>
      <c r="GX79" s="145"/>
      <c r="GY79" s="145"/>
      <c r="GZ79" s="145"/>
      <c r="HA79" s="145"/>
      <c r="HB79" s="145"/>
      <c r="HC79" s="145"/>
      <c r="HD79" s="145"/>
      <c r="HE79" s="302"/>
      <c r="HF79" s="302"/>
      <c r="HG79" s="302"/>
      <c r="HH79" s="302"/>
      <c r="HI79" s="302"/>
      <c r="HJ79" s="302"/>
      <c r="HK79" s="302"/>
      <c r="HL79" s="302"/>
      <c r="HM79" s="302"/>
      <c r="HN79" s="302"/>
      <c r="HO79" s="302"/>
      <c r="HP79" s="302"/>
      <c r="HQ79" s="302"/>
      <c r="HR79" s="302"/>
      <c r="HS79" s="302"/>
      <c r="HT79" s="302"/>
      <c r="HU79" s="302"/>
      <c r="HV79" s="302"/>
      <c r="HW79" s="302"/>
      <c r="HX79" s="302"/>
      <c r="HY79" s="302"/>
      <c r="HZ79" s="302"/>
      <c r="IA79" s="302"/>
      <c r="IB79" s="302"/>
      <c r="IC79" s="302"/>
      <c r="ID79" s="302"/>
      <c r="IE79" s="302"/>
      <c r="IF79" s="302"/>
      <c r="IG79" s="302"/>
      <c r="IH79" s="302"/>
      <c r="II79" s="302"/>
      <c r="IJ79" s="302"/>
      <c r="IK79" s="302"/>
      <c r="IL79" s="302"/>
      <c r="IM79" s="302"/>
      <c r="IN79" s="302"/>
      <c r="IO79" s="302"/>
      <c r="IP79" s="302"/>
      <c r="IQ79" s="302"/>
      <c r="IR79" s="302"/>
      <c r="IS79" s="302"/>
      <c r="IT79" s="302"/>
      <c r="IU79" s="302"/>
      <c r="IV79" s="302"/>
      <c r="IW79" s="302"/>
      <c r="IX79" s="302"/>
      <c r="IY79" s="302"/>
      <c r="IZ79" s="302"/>
      <c r="JA79" s="302"/>
      <c r="JB79" s="302"/>
      <c r="JC79" s="302"/>
      <c r="JD79" s="302"/>
      <c r="JE79" s="302"/>
      <c r="JF79" s="302"/>
      <c r="JG79" s="302"/>
      <c r="JH79" s="302"/>
      <c r="JI79" s="302"/>
      <c r="JJ79" s="302"/>
      <c r="JK79" s="302"/>
      <c r="JL79" s="302"/>
      <c r="JM79" s="302"/>
      <c r="JN79" s="302"/>
      <c r="JO79" s="302"/>
      <c r="JP79" s="302"/>
      <c r="JQ79" s="302"/>
      <c r="JR79" s="302"/>
      <c r="JS79" s="302"/>
      <c r="JT79" s="302"/>
      <c r="JU79" s="302"/>
      <c r="JV79" s="302"/>
      <c r="JW79" s="302"/>
      <c r="JX79" s="302"/>
      <c r="JY79" s="302"/>
      <c r="JZ79" s="302"/>
      <c r="KA79" s="302"/>
      <c r="KB79" s="302"/>
      <c r="KC79" s="302"/>
      <c r="KD79" s="302"/>
      <c r="KE79" s="302"/>
      <c r="KF79" s="302"/>
      <c r="KG79" s="302"/>
      <c r="KH79" s="302"/>
      <c r="KI79" s="302"/>
      <c r="KJ79" s="302"/>
      <c r="KK79" s="302"/>
      <c r="KL79" s="302"/>
      <c r="KM79" s="302"/>
      <c r="KN79" s="302"/>
      <c r="KO79" s="302"/>
      <c r="KP79" s="302"/>
      <c r="KQ79" s="302"/>
      <c r="KR79" s="302"/>
      <c r="KS79" s="302"/>
      <c r="KT79" s="302"/>
      <c r="KU79" s="302"/>
      <c r="KV79" s="302"/>
      <c r="KW79" s="302"/>
      <c r="KX79" s="302"/>
      <c r="KY79" s="302"/>
      <c r="KZ79" s="302"/>
      <c r="LA79" s="302"/>
      <c r="LB79" s="302"/>
      <c r="LC79" s="302"/>
      <c r="LD79" s="302"/>
      <c r="LE79" s="302"/>
      <c r="LF79" s="302"/>
      <c r="LG79" s="302"/>
      <c r="LH79" s="302"/>
      <c r="LI79" s="302"/>
      <c r="LJ79" s="302"/>
      <c r="LK79" s="302"/>
      <c r="LL79" s="302"/>
      <c r="LM79" s="302"/>
      <c r="LN79" s="302"/>
      <c r="LO79" s="302"/>
      <c r="LP79" s="302"/>
      <c r="LQ79" s="302"/>
      <c r="LR79" s="302"/>
      <c r="LS79" s="302"/>
      <c r="LT79" s="302"/>
      <c r="LU79" s="302"/>
      <c r="LV79" s="302"/>
      <c r="LW79" s="302"/>
      <c r="LX79" s="302"/>
      <c r="LY79" s="302"/>
      <c r="LZ79" s="302"/>
      <c r="MA79" s="302"/>
      <c r="MB79" s="302"/>
      <c r="MC79" s="302"/>
      <c r="MD79" s="302"/>
      <c r="ME79" s="302"/>
      <c r="MF79" s="302"/>
      <c r="MG79" s="302"/>
      <c r="MH79" s="302"/>
      <c r="MI79" s="302"/>
      <c r="MJ79" s="302"/>
      <c r="MK79" s="302"/>
      <c r="ML79" s="302"/>
      <c r="MM79" s="302"/>
      <c r="MN79" s="302"/>
      <c r="MO79" s="302"/>
      <c r="MP79" s="302"/>
      <c r="MQ79" s="302"/>
      <c r="MR79" s="302"/>
      <c r="MS79" s="302"/>
      <c r="MT79" s="302"/>
      <c r="MU79" s="302"/>
      <c r="MV79" s="302"/>
      <c r="MW79" s="302"/>
      <c r="MX79" s="302"/>
      <c r="MY79" s="302"/>
      <c r="MZ79" s="302"/>
      <c r="NA79" s="302"/>
      <c r="NB79" s="302"/>
      <c r="NC79" s="302"/>
      <c r="ND79" s="302"/>
      <c r="NE79" s="302"/>
      <c r="NF79" s="302"/>
      <c r="NG79" s="302"/>
      <c r="NH79" s="302"/>
      <c r="NI79" s="302"/>
      <c r="NJ79" s="302"/>
      <c r="NK79" s="302"/>
      <c r="NL79" s="302"/>
      <c r="NM79" s="302"/>
      <c r="NN79" s="302"/>
      <c r="NO79" s="302"/>
      <c r="NP79" s="302"/>
      <c r="NQ79" s="302"/>
      <c r="NR79" s="302"/>
      <c r="NS79" s="302"/>
      <c r="NT79" s="302"/>
      <c r="NU79" s="302"/>
      <c r="NV79" s="302"/>
      <c r="NW79" s="302"/>
      <c r="NX79" s="302"/>
      <c r="NY79" s="302"/>
      <c r="NZ79" s="302"/>
      <c r="OA79" s="302"/>
      <c r="OB79" s="302"/>
      <c r="OC79" s="302"/>
      <c r="OD79" s="302"/>
      <c r="OE79" s="302"/>
      <c r="OF79" s="302"/>
      <c r="OG79" s="302"/>
      <c r="OH79" s="302"/>
      <c r="OI79" s="302"/>
      <c r="OJ79" s="302"/>
      <c r="OK79" s="302"/>
      <c r="OL79" s="302"/>
      <c r="OM79" s="302"/>
      <c r="ON79" s="302"/>
      <c r="OO79" s="302"/>
      <c r="OP79" s="302"/>
      <c r="OQ79" s="302"/>
      <c r="OR79" s="302"/>
      <c r="OS79" s="302"/>
      <c r="OT79" s="302"/>
      <c r="OU79" s="302"/>
      <c r="OV79" s="302"/>
      <c r="OW79" s="302"/>
      <c r="OX79" s="302"/>
      <c r="OY79" s="302"/>
      <c r="OZ79" s="302"/>
      <c r="PA79" s="302"/>
      <c r="PB79" s="302"/>
      <c r="PC79" s="302"/>
      <c r="PD79" s="302"/>
      <c r="PE79" s="302"/>
      <c r="PF79" s="302"/>
      <c r="PG79" s="302"/>
      <c r="PH79" s="302"/>
      <c r="PI79" s="302"/>
      <c r="PJ79" s="302"/>
      <c r="PK79" s="302"/>
      <c r="PL79" s="302"/>
      <c r="PM79" s="302"/>
      <c r="PN79" s="302"/>
      <c r="PO79" s="302"/>
      <c r="PP79" s="302"/>
      <c r="PQ79" s="302"/>
      <c r="PR79" s="302"/>
      <c r="PS79" s="302"/>
      <c r="PT79" s="302"/>
      <c r="PU79" s="302"/>
      <c r="PV79" s="302"/>
      <c r="PW79" s="302"/>
      <c r="PX79" s="131"/>
      <c r="PY79" s="131"/>
      <c r="QY79" s="346"/>
      <c r="QZ79" s="346"/>
      <c r="RA79" s="346"/>
      <c r="RB79" s="346"/>
      <c r="RC79" s="346"/>
      <c r="RD79" s="346"/>
      <c r="RE79" s="346"/>
      <c r="RF79" s="346"/>
      <c r="RG79" s="346"/>
      <c r="RH79" s="346"/>
      <c r="RI79" s="346"/>
      <c r="RJ79" s="346"/>
      <c r="RK79" s="346"/>
      <c r="RL79" s="346"/>
      <c r="RM79" s="346"/>
      <c r="RN79" s="346"/>
      <c r="RO79" s="346"/>
      <c r="RP79" s="346"/>
      <c r="RQ79" s="346"/>
      <c r="RR79" s="346"/>
      <c r="RS79" s="346"/>
      <c r="RT79" s="346"/>
      <c r="RU79" s="346"/>
      <c r="RV79" s="346"/>
      <c r="RW79" s="346"/>
      <c r="RX79" s="346"/>
      <c r="RY79" s="346"/>
      <c r="RZ79" s="346"/>
      <c r="SA79" s="346"/>
      <c r="SB79" s="346"/>
      <c r="SC79" s="346"/>
      <c r="SD79" s="346"/>
      <c r="SE79" s="346"/>
      <c r="SF79" s="346"/>
      <c r="SG79" s="346"/>
      <c r="SH79" s="346"/>
      <c r="SI79" s="346"/>
      <c r="SJ79" s="346"/>
      <c r="SK79" s="346"/>
      <c r="SL79" s="346"/>
      <c r="SM79" s="346"/>
      <c r="SN79" s="346"/>
      <c r="SO79" s="346"/>
      <c r="SP79" s="346"/>
      <c r="SQ79" s="346"/>
      <c r="SR79" s="346"/>
      <c r="SS79" s="346"/>
      <c r="ST79" s="346"/>
      <c r="SU79" s="346"/>
      <c r="SV79" s="346"/>
      <c r="SW79" s="346"/>
      <c r="SX79" s="346"/>
      <c r="SY79" s="346"/>
      <c r="SZ79" s="346"/>
      <c r="TA79" s="346"/>
    </row>
    <row r="80" spans="1:521" ht="14.1" customHeight="1" x14ac:dyDescent="0.2">
      <c r="A80" s="226"/>
      <c r="B80" s="226"/>
      <c r="C80" s="226"/>
      <c r="D80" s="226"/>
      <c r="E80" s="226"/>
      <c r="F80" s="226"/>
      <c r="G80" s="226"/>
      <c r="H80" s="226"/>
      <c r="I80" s="226"/>
      <c r="J80" s="226"/>
      <c r="K80" s="226"/>
      <c r="L80" s="226"/>
      <c r="M80" s="226"/>
      <c r="N80" s="226"/>
      <c r="O80" s="226"/>
      <c r="P80" s="226"/>
      <c r="Q80" s="226"/>
      <c r="R80" s="226"/>
      <c r="S80" s="226"/>
      <c r="T80" s="226"/>
      <c r="U80" s="226"/>
      <c r="V80" s="226"/>
      <c r="W80" s="226"/>
      <c r="X80" s="226"/>
      <c r="Y80" s="226"/>
      <c r="Z80" s="226"/>
      <c r="AA80" s="226"/>
      <c r="AB80" s="226"/>
      <c r="AC80" s="226"/>
      <c r="AD80" s="226"/>
      <c r="AE80" s="226"/>
      <c r="AF80" s="226"/>
      <c r="AG80" s="226"/>
      <c r="AH80" s="226"/>
      <c r="AI80" s="226"/>
      <c r="AJ80" s="226"/>
      <c r="AK80" s="226"/>
      <c r="AL80" s="226"/>
      <c r="AM80" s="226"/>
      <c r="AN80" s="226"/>
      <c r="AO80" s="226"/>
      <c r="AP80" s="226"/>
      <c r="AQ80" s="226"/>
      <c r="AR80" s="226"/>
      <c r="AS80" s="226"/>
      <c r="AT80" s="226"/>
      <c r="AU80" s="226"/>
      <c r="AV80" s="226"/>
      <c r="AW80" s="226"/>
      <c r="AX80" s="226"/>
      <c r="AY80" s="226"/>
      <c r="AZ80" s="226"/>
      <c r="BA80" s="226"/>
      <c r="BB80" s="226"/>
      <c r="BC80" s="226"/>
      <c r="BD80" s="226"/>
      <c r="BE80" s="226"/>
      <c r="BF80" s="226"/>
      <c r="BG80" s="226"/>
      <c r="BH80" s="226"/>
      <c r="BI80" s="226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302"/>
      <c r="HF80" s="302"/>
      <c r="HG80" s="302"/>
      <c r="HH80" s="302"/>
      <c r="HI80" s="302"/>
      <c r="HJ80" s="302"/>
      <c r="HK80" s="302"/>
      <c r="HL80" s="302"/>
      <c r="HM80" s="302"/>
      <c r="HN80" s="302"/>
      <c r="HO80" s="302"/>
      <c r="HP80" s="302"/>
      <c r="HQ80" s="302"/>
      <c r="HR80" s="302"/>
      <c r="HS80" s="302"/>
      <c r="HT80" s="302"/>
      <c r="HU80" s="302"/>
      <c r="HV80" s="302"/>
      <c r="HW80" s="302"/>
      <c r="HX80" s="302"/>
      <c r="HY80" s="302"/>
      <c r="HZ80" s="302"/>
      <c r="IA80" s="302"/>
      <c r="IB80" s="302"/>
      <c r="IC80" s="302"/>
      <c r="ID80" s="302"/>
      <c r="IE80" s="302"/>
      <c r="IF80" s="302"/>
      <c r="IG80" s="302"/>
      <c r="IH80" s="302"/>
      <c r="II80" s="302"/>
      <c r="IJ80" s="302"/>
      <c r="IK80" s="302"/>
      <c r="IL80" s="302"/>
      <c r="IM80" s="302"/>
      <c r="IN80" s="302"/>
      <c r="IO80" s="302"/>
      <c r="IP80" s="302"/>
      <c r="IQ80" s="302"/>
      <c r="IR80" s="302"/>
      <c r="IS80" s="302"/>
      <c r="IT80" s="302"/>
      <c r="IU80" s="302"/>
      <c r="IV80" s="302"/>
      <c r="IW80" s="302"/>
      <c r="IX80" s="302"/>
      <c r="IY80" s="302"/>
      <c r="IZ80" s="302"/>
      <c r="JA80" s="302"/>
      <c r="JB80" s="302"/>
      <c r="JC80" s="302"/>
      <c r="JD80" s="302"/>
      <c r="JE80" s="302"/>
      <c r="JF80" s="302"/>
      <c r="JG80" s="302"/>
      <c r="JH80" s="302"/>
      <c r="JI80" s="302"/>
      <c r="JJ80" s="302"/>
      <c r="JK80" s="302"/>
      <c r="JL80" s="302"/>
      <c r="JM80" s="302"/>
      <c r="JN80" s="302"/>
      <c r="JO80" s="302"/>
      <c r="JP80" s="302"/>
      <c r="JQ80" s="302"/>
      <c r="JR80" s="302"/>
      <c r="JS80" s="302"/>
      <c r="JT80" s="302"/>
      <c r="JU80" s="302"/>
      <c r="JV80" s="302"/>
      <c r="JW80" s="302"/>
      <c r="JX80" s="302"/>
      <c r="JY80" s="302"/>
      <c r="JZ80" s="302"/>
      <c r="KA80" s="302"/>
      <c r="KB80" s="302"/>
      <c r="KC80" s="302"/>
      <c r="KD80" s="302"/>
      <c r="KE80" s="302"/>
      <c r="KF80" s="302"/>
      <c r="KG80" s="302"/>
      <c r="KH80" s="302"/>
      <c r="KI80" s="302"/>
      <c r="KJ80" s="302"/>
      <c r="KK80" s="302"/>
      <c r="KL80" s="302"/>
      <c r="KM80" s="302"/>
      <c r="KN80" s="302"/>
      <c r="KO80" s="302"/>
      <c r="KP80" s="302"/>
      <c r="KQ80" s="302"/>
      <c r="KR80" s="302"/>
      <c r="KS80" s="302"/>
      <c r="KT80" s="302"/>
      <c r="KU80" s="302"/>
      <c r="KV80" s="302"/>
      <c r="KW80" s="302"/>
      <c r="KX80" s="302"/>
      <c r="KY80" s="302"/>
      <c r="KZ80" s="302"/>
      <c r="LA80" s="302"/>
      <c r="LB80" s="302"/>
      <c r="LC80" s="302"/>
      <c r="LD80" s="302"/>
      <c r="LE80" s="302"/>
      <c r="LF80" s="302"/>
      <c r="LG80" s="302"/>
      <c r="LH80" s="302"/>
      <c r="LI80" s="302"/>
      <c r="LJ80" s="302"/>
      <c r="LK80" s="302"/>
      <c r="LL80" s="302"/>
      <c r="LM80" s="302"/>
      <c r="LN80" s="302"/>
      <c r="LO80" s="302"/>
      <c r="LP80" s="302"/>
      <c r="LQ80" s="302"/>
      <c r="LR80" s="302"/>
      <c r="LS80" s="302"/>
      <c r="LT80" s="302"/>
      <c r="LU80" s="302"/>
      <c r="LV80" s="302"/>
      <c r="LW80" s="302"/>
      <c r="LX80" s="302"/>
      <c r="LY80" s="302"/>
      <c r="LZ80" s="302"/>
      <c r="MA80" s="302"/>
      <c r="MB80" s="302"/>
      <c r="MC80" s="302"/>
      <c r="MD80" s="302"/>
      <c r="ME80" s="302"/>
      <c r="MF80" s="302"/>
      <c r="MG80" s="302"/>
      <c r="MH80" s="302"/>
      <c r="MI80" s="302"/>
      <c r="MJ80" s="302"/>
      <c r="MK80" s="302"/>
      <c r="ML80" s="302"/>
      <c r="MM80" s="302"/>
      <c r="MN80" s="302"/>
      <c r="MO80" s="302"/>
      <c r="MP80" s="302"/>
      <c r="MQ80" s="302"/>
      <c r="MR80" s="302"/>
      <c r="MS80" s="302"/>
      <c r="MT80" s="302"/>
      <c r="MU80" s="302"/>
      <c r="MV80" s="302"/>
      <c r="MW80" s="302"/>
      <c r="MX80" s="302"/>
      <c r="MY80" s="302"/>
      <c r="MZ80" s="302"/>
      <c r="NA80" s="302"/>
      <c r="NB80" s="302"/>
      <c r="NC80" s="302"/>
      <c r="ND80" s="302"/>
      <c r="NE80" s="302"/>
      <c r="NF80" s="302"/>
      <c r="NG80" s="302"/>
      <c r="NH80" s="302"/>
      <c r="NI80" s="302"/>
      <c r="NJ80" s="302"/>
      <c r="NK80" s="302"/>
      <c r="NL80" s="302"/>
      <c r="NM80" s="302"/>
      <c r="NN80" s="302"/>
      <c r="NO80" s="302"/>
      <c r="NP80" s="302"/>
      <c r="NQ80" s="302"/>
      <c r="NR80" s="302"/>
      <c r="NS80" s="302"/>
      <c r="NT80" s="302"/>
      <c r="NU80" s="302"/>
      <c r="NV80" s="302"/>
      <c r="NW80" s="302"/>
      <c r="NX80" s="302"/>
      <c r="NY80" s="302"/>
      <c r="NZ80" s="302"/>
      <c r="OA80" s="302"/>
      <c r="OB80" s="302"/>
      <c r="OC80" s="302"/>
      <c r="OD80" s="302"/>
      <c r="OE80" s="302"/>
      <c r="OF80" s="302"/>
      <c r="OG80" s="302"/>
      <c r="OH80" s="302"/>
      <c r="OI80" s="302"/>
      <c r="OJ80" s="302"/>
      <c r="OK80" s="302"/>
      <c r="OL80" s="302"/>
      <c r="OM80" s="302"/>
      <c r="ON80" s="302"/>
      <c r="OO80" s="302"/>
      <c r="OP80" s="302"/>
      <c r="OQ80" s="302"/>
      <c r="OR80" s="302"/>
      <c r="OS80" s="302"/>
      <c r="OT80" s="302"/>
      <c r="OU80" s="302"/>
      <c r="OV80" s="302"/>
      <c r="OW80" s="302"/>
      <c r="OX80" s="302"/>
      <c r="OY80" s="302"/>
      <c r="OZ80" s="302"/>
      <c r="PA80" s="302"/>
      <c r="PB80" s="302"/>
      <c r="PC80" s="302"/>
      <c r="PD80" s="302"/>
      <c r="PE80" s="302"/>
      <c r="PF80" s="302"/>
      <c r="PG80" s="302"/>
      <c r="PH80" s="302"/>
      <c r="PI80" s="302"/>
      <c r="PJ80" s="302"/>
      <c r="PK80" s="302"/>
      <c r="PL80" s="302"/>
      <c r="PM80" s="302"/>
      <c r="PN80" s="302"/>
      <c r="PO80" s="302"/>
      <c r="PP80" s="302"/>
      <c r="PQ80" s="302"/>
      <c r="PR80" s="302"/>
      <c r="PS80" s="302"/>
      <c r="PT80" s="302"/>
      <c r="PU80" s="302"/>
      <c r="PV80" s="302"/>
      <c r="PW80" s="302"/>
      <c r="PX80" s="131"/>
      <c r="PY80" s="131"/>
      <c r="QC80" s="78" t="s">
        <v>23</v>
      </c>
      <c r="QD80" s="78">
        <f>QF73+(0.1/QC3)</f>
        <v>0.64285714285714279</v>
      </c>
      <c r="QE80" s="78">
        <f>QD80</f>
        <v>0.64285714285714279</v>
      </c>
      <c r="QG80" s="78">
        <f>QD80-(0.03/QC3)</f>
        <v>0.62142857142857133</v>
      </c>
      <c r="QH80" s="78">
        <f>QD80+(0.03/QC3)</f>
        <v>0.66428571428571426</v>
      </c>
      <c r="QJ80" s="78">
        <f>QG80</f>
        <v>0.62142857142857133</v>
      </c>
      <c r="QK80" s="78">
        <f>QH80</f>
        <v>0.66428571428571426</v>
      </c>
      <c r="QM80" s="78">
        <f>QD80</f>
        <v>0.64285714285714279</v>
      </c>
      <c r="QN80" s="78">
        <f>QD80</f>
        <v>0.64285714285714279</v>
      </c>
      <c r="QO80" s="78">
        <f>QN80+(0.1/QC3)</f>
        <v>0.71428571428571419</v>
      </c>
      <c r="QY80" s="346"/>
      <c r="QZ80" s="346"/>
      <c r="RA80" s="346"/>
      <c r="RB80" s="346"/>
      <c r="RC80" s="346"/>
      <c r="RD80" s="346"/>
      <c r="RE80" s="346"/>
      <c r="RF80" s="346"/>
      <c r="RG80" s="346"/>
      <c r="RH80" s="346"/>
      <c r="RI80" s="346"/>
      <c r="RJ80" s="346"/>
      <c r="RK80" s="346"/>
      <c r="RL80" s="346"/>
      <c r="RM80" s="346"/>
      <c r="RN80" s="346"/>
      <c r="RO80" s="346"/>
      <c r="RP80" s="346"/>
      <c r="RQ80" s="346"/>
      <c r="RR80" s="346"/>
      <c r="RS80" s="346"/>
      <c r="RT80" s="346"/>
      <c r="RU80" s="346"/>
      <c r="RV80" s="346"/>
      <c r="RW80" s="346"/>
      <c r="RX80" s="346"/>
      <c r="RY80" s="346"/>
      <c r="RZ80" s="346"/>
      <c r="SA80" s="346"/>
      <c r="SB80" s="346"/>
      <c r="SC80" s="346"/>
      <c r="SD80" s="346"/>
      <c r="SE80" s="346"/>
      <c r="SF80" s="346"/>
      <c r="SG80" s="346"/>
      <c r="SH80" s="346"/>
      <c r="SI80" s="346"/>
      <c r="SJ80" s="346"/>
      <c r="SK80" s="346"/>
      <c r="SL80" s="346"/>
      <c r="SM80" s="346"/>
      <c r="SN80" s="346"/>
      <c r="SO80" s="346"/>
      <c r="SP80" s="346"/>
      <c r="SQ80" s="346"/>
      <c r="SR80" s="346"/>
      <c r="SS80" s="346"/>
      <c r="ST80" s="346"/>
      <c r="SU80" s="346"/>
      <c r="SV80" s="346"/>
      <c r="SW80" s="346"/>
      <c r="SX80" s="346"/>
      <c r="SY80" s="346"/>
      <c r="SZ80" s="346"/>
      <c r="TA80" s="346"/>
    </row>
    <row r="81" spans="1:521" ht="14.1" customHeight="1" x14ac:dyDescent="0.2">
      <c r="A81" s="226"/>
      <c r="B81" s="226"/>
      <c r="C81" s="226"/>
      <c r="D81" s="226"/>
      <c r="E81" s="226"/>
      <c r="F81" s="226"/>
      <c r="G81" s="226"/>
      <c r="H81" s="226"/>
      <c r="I81" s="226"/>
      <c r="J81" s="226"/>
      <c r="K81" s="226"/>
      <c r="L81" s="226"/>
      <c r="M81" s="226"/>
      <c r="N81" s="226"/>
      <c r="O81" s="226"/>
      <c r="P81" s="226"/>
      <c r="Q81" s="226"/>
      <c r="R81" s="226"/>
      <c r="S81" s="226"/>
      <c r="T81" s="226"/>
      <c r="U81" s="226"/>
      <c r="V81" s="226"/>
      <c r="W81" s="226"/>
      <c r="X81" s="226"/>
      <c r="Y81" s="226"/>
      <c r="Z81" s="226"/>
      <c r="AA81" s="226"/>
      <c r="AB81" s="226"/>
      <c r="AC81" s="226"/>
      <c r="AD81" s="226"/>
      <c r="AE81" s="226"/>
      <c r="AF81" s="226"/>
      <c r="AG81" s="226"/>
      <c r="AH81" s="226"/>
      <c r="AI81" s="226"/>
      <c r="AJ81" s="226"/>
      <c r="AK81" s="226"/>
      <c r="AL81" s="226"/>
      <c r="AM81" s="226"/>
      <c r="AN81" s="226"/>
      <c r="AO81" s="226"/>
      <c r="AP81" s="226"/>
      <c r="AQ81" s="226"/>
      <c r="AR81" s="226"/>
      <c r="AS81" s="226"/>
      <c r="AT81" s="226"/>
      <c r="AU81" s="226"/>
      <c r="AV81" s="226"/>
      <c r="AW81" s="226"/>
      <c r="AX81" s="226"/>
      <c r="AY81" s="226"/>
      <c r="AZ81" s="226"/>
      <c r="BA81" s="226"/>
      <c r="BB81" s="226"/>
      <c r="BC81" s="226"/>
      <c r="BD81" s="226"/>
      <c r="BE81" s="226"/>
      <c r="BF81" s="226"/>
      <c r="BG81" s="226"/>
      <c r="BH81" s="226"/>
      <c r="BI81" s="226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302"/>
      <c r="HF81" s="302"/>
      <c r="HG81" s="302"/>
      <c r="HH81" s="302"/>
      <c r="HI81" s="302"/>
      <c r="HJ81" s="302"/>
      <c r="HK81" s="302"/>
      <c r="HL81" s="302"/>
      <c r="HM81" s="302"/>
      <c r="HN81" s="302"/>
      <c r="HO81" s="302"/>
      <c r="HP81" s="302"/>
      <c r="HQ81" s="302"/>
      <c r="HR81" s="302"/>
      <c r="HS81" s="302"/>
      <c r="HT81" s="302"/>
      <c r="HU81" s="302"/>
      <c r="HV81" s="302"/>
      <c r="HW81" s="302"/>
      <c r="HX81" s="302"/>
      <c r="HY81" s="302"/>
      <c r="HZ81" s="302"/>
      <c r="IA81" s="302"/>
      <c r="IB81" s="302"/>
      <c r="IC81" s="302"/>
      <c r="ID81" s="302"/>
      <c r="IE81" s="302"/>
      <c r="IF81" s="302"/>
      <c r="IG81" s="302"/>
      <c r="IH81" s="302"/>
      <c r="II81" s="302"/>
      <c r="IJ81" s="302"/>
      <c r="IK81" s="302"/>
      <c r="IL81" s="302"/>
      <c r="IM81" s="302"/>
      <c r="IN81" s="302"/>
      <c r="IO81" s="302"/>
      <c r="IP81" s="302"/>
      <c r="IQ81" s="302"/>
      <c r="IR81" s="302"/>
      <c r="IS81" s="302"/>
      <c r="IT81" s="302"/>
      <c r="IU81" s="302"/>
      <c r="IV81" s="302"/>
      <c r="IW81" s="302"/>
      <c r="IX81" s="302"/>
      <c r="IY81" s="302"/>
      <c r="IZ81" s="302"/>
      <c r="JA81" s="302"/>
      <c r="JB81" s="302"/>
      <c r="JC81" s="302"/>
      <c r="JD81" s="302"/>
      <c r="JE81" s="302"/>
      <c r="JF81" s="302"/>
      <c r="JG81" s="302"/>
      <c r="JH81" s="302"/>
      <c r="JI81" s="302"/>
      <c r="JJ81" s="302"/>
      <c r="JK81" s="302"/>
      <c r="JL81" s="302"/>
      <c r="JM81" s="302"/>
      <c r="JN81" s="302"/>
      <c r="JO81" s="302"/>
      <c r="JP81" s="302"/>
      <c r="JQ81" s="302"/>
      <c r="JR81" s="302"/>
      <c r="JS81" s="302"/>
      <c r="JT81" s="302"/>
      <c r="JU81" s="302"/>
      <c r="JV81" s="302"/>
      <c r="JW81" s="302"/>
      <c r="JX81" s="302"/>
      <c r="JY81" s="302"/>
      <c r="JZ81" s="302"/>
      <c r="KA81" s="302"/>
      <c r="KB81" s="302"/>
      <c r="KC81" s="302"/>
      <c r="KD81" s="302"/>
      <c r="KE81" s="302"/>
      <c r="KF81" s="302"/>
      <c r="KG81" s="302"/>
      <c r="KH81" s="302"/>
      <c r="KI81" s="302"/>
      <c r="KJ81" s="302"/>
      <c r="KK81" s="302"/>
      <c r="KL81" s="302"/>
      <c r="KM81" s="302"/>
      <c r="KN81" s="302"/>
      <c r="KO81" s="302"/>
      <c r="KP81" s="302"/>
      <c r="KQ81" s="302"/>
      <c r="KR81" s="302"/>
      <c r="KS81" s="302"/>
      <c r="KT81" s="302"/>
      <c r="KU81" s="302"/>
      <c r="KV81" s="302"/>
      <c r="KW81" s="302"/>
      <c r="KX81" s="302"/>
      <c r="KY81" s="302"/>
      <c r="KZ81" s="302"/>
      <c r="LA81" s="302"/>
      <c r="LB81" s="302"/>
      <c r="LC81" s="302"/>
      <c r="LD81" s="302"/>
      <c r="LE81" s="302"/>
      <c r="LF81" s="302"/>
      <c r="LG81" s="302"/>
      <c r="LH81" s="302"/>
      <c r="LI81" s="302"/>
      <c r="LJ81" s="302"/>
      <c r="LK81" s="302"/>
      <c r="LL81" s="302"/>
      <c r="LM81" s="302"/>
      <c r="LN81" s="302"/>
      <c r="LO81" s="302"/>
      <c r="LP81" s="302"/>
      <c r="LQ81" s="302"/>
      <c r="LR81" s="302"/>
      <c r="LS81" s="302"/>
      <c r="LT81" s="302"/>
      <c r="LU81" s="302"/>
      <c r="LV81" s="302"/>
      <c r="LW81" s="302"/>
      <c r="LX81" s="302"/>
      <c r="LY81" s="302"/>
      <c r="LZ81" s="302"/>
      <c r="MA81" s="302"/>
      <c r="MB81" s="302"/>
      <c r="MC81" s="302"/>
      <c r="MD81" s="302"/>
      <c r="ME81" s="302"/>
      <c r="MF81" s="302"/>
      <c r="MG81" s="302"/>
      <c r="MH81" s="302"/>
      <c r="MI81" s="302"/>
      <c r="MJ81" s="302"/>
      <c r="MK81" s="302"/>
      <c r="ML81" s="302"/>
      <c r="MM81" s="302"/>
      <c r="MN81" s="302"/>
      <c r="MO81" s="302"/>
      <c r="MP81" s="302"/>
      <c r="MQ81" s="302"/>
      <c r="MR81" s="302"/>
      <c r="MS81" s="302"/>
      <c r="MT81" s="302"/>
      <c r="MU81" s="302"/>
      <c r="MV81" s="302"/>
      <c r="MW81" s="302"/>
      <c r="MX81" s="302"/>
      <c r="MY81" s="302"/>
      <c r="MZ81" s="302"/>
      <c r="NA81" s="302"/>
      <c r="NB81" s="302"/>
      <c r="NC81" s="302"/>
      <c r="ND81" s="302"/>
      <c r="NE81" s="302"/>
      <c r="NF81" s="302"/>
      <c r="NG81" s="302"/>
      <c r="NH81" s="302"/>
      <c r="NI81" s="302"/>
      <c r="NJ81" s="302"/>
      <c r="NK81" s="302"/>
      <c r="NL81" s="302"/>
      <c r="NM81" s="302"/>
      <c r="NN81" s="302"/>
      <c r="NO81" s="302"/>
      <c r="NP81" s="302"/>
      <c r="NQ81" s="302"/>
      <c r="NR81" s="302"/>
      <c r="NS81" s="302"/>
      <c r="NT81" s="302"/>
      <c r="NU81" s="302"/>
      <c r="NV81" s="302"/>
      <c r="NW81" s="302"/>
      <c r="NX81" s="302"/>
      <c r="NY81" s="302"/>
      <c r="NZ81" s="302"/>
      <c r="OA81" s="302"/>
      <c r="OB81" s="302"/>
      <c r="OC81" s="302"/>
      <c r="OD81" s="302"/>
      <c r="OE81" s="302"/>
      <c r="OF81" s="302"/>
      <c r="OG81" s="302"/>
      <c r="OH81" s="302"/>
      <c r="OI81" s="302"/>
      <c r="OJ81" s="302"/>
      <c r="OK81" s="302"/>
      <c r="OL81" s="302"/>
      <c r="OM81" s="302"/>
      <c r="ON81" s="302"/>
      <c r="OO81" s="302"/>
      <c r="OP81" s="302"/>
      <c r="OQ81" s="302"/>
      <c r="OR81" s="302"/>
      <c r="OS81" s="302"/>
      <c r="OT81" s="302"/>
      <c r="OU81" s="302"/>
      <c r="OV81" s="302"/>
      <c r="OW81" s="302"/>
      <c r="OX81" s="302"/>
      <c r="OY81" s="302"/>
      <c r="OZ81" s="302"/>
      <c r="PA81" s="302"/>
      <c r="PB81" s="302"/>
      <c r="PC81" s="302"/>
      <c r="PD81" s="302"/>
      <c r="PE81" s="302"/>
      <c r="PF81" s="302"/>
      <c r="PG81" s="302"/>
      <c r="PH81" s="302"/>
      <c r="PI81" s="302"/>
      <c r="PJ81" s="302"/>
      <c r="PK81" s="302"/>
      <c r="PL81" s="302"/>
      <c r="PM81" s="302"/>
      <c r="PN81" s="302"/>
      <c r="PO81" s="302"/>
      <c r="PP81" s="302"/>
      <c r="PQ81" s="302"/>
      <c r="PR81" s="302"/>
      <c r="PS81" s="302"/>
      <c r="PT81" s="302"/>
      <c r="PU81" s="302"/>
      <c r="PV81" s="302"/>
      <c r="PW81" s="302"/>
      <c r="PX81" s="131"/>
      <c r="PY81" s="131"/>
      <c r="QC81" s="78" t="s">
        <v>24</v>
      </c>
      <c r="QD81" s="78">
        <f>QF37</f>
        <v>0</v>
      </c>
      <c r="QE81" s="78">
        <f>QH64</f>
        <v>5.3571428571428575E-2</v>
      </c>
      <c r="QG81" s="78">
        <f>QD81</f>
        <v>0</v>
      </c>
      <c r="QH81" s="78">
        <f>QG81</f>
        <v>0</v>
      </c>
      <c r="QJ81" s="78">
        <f>QE81</f>
        <v>5.3571428571428575E-2</v>
      </c>
      <c r="QK81" s="78">
        <f>QJ81</f>
        <v>5.3571428571428575E-2</v>
      </c>
      <c r="QM81" s="78">
        <f>QJ81</f>
        <v>5.3571428571428575E-2</v>
      </c>
      <c r="QN81" s="78">
        <f>QM81+(0.075/QC3)</f>
        <v>0.10714285714285715</v>
      </c>
      <c r="QO81" s="78">
        <f>QN81</f>
        <v>0.10714285714285715</v>
      </c>
      <c r="RG81" s="346"/>
      <c r="RH81" s="346"/>
      <c r="RI81" s="346"/>
      <c r="RJ81" s="346"/>
      <c r="RK81" s="346"/>
      <c r="RL81" s="346"/>
      <c r="RM81" s="346"/>
      <c r="RN81" s="346"/>
      <c r="RO81" s="346"/>
      <c r="RP81" s="346"/>
      <c r="RQ81" s="346"/>
      <c r="RR81" s="346"/>
      <c r="RS81" s="346"/>
      <c r="RT81" s="346"/>
      <c r="RU81" s="346"/>
      <c r="RV81" s="346"/>
      <c r="RW81" s="346"/>
      <c r="RX81" s="346"/>
      <c r="RY81" s="346"/>
      <c r="RZ81" s="346"/>
      <c r="SA81" s="346"/>
      <c r="SB81" s="346"/>
      <c r="SC81" s="346"/>
      <c r="SD81" s="346"/>
      <c r="SE81" s="346"/>
      <c r="SF81" s="346"/>
      <c r="SG81" s="346"/>
      <c r="SH81" s="346"/>
      <c r="SI81" s="346"/>
      <c r="SJ81" s="346"/>
      <c r="SK81" s="346"/>
      <c r="SL81" s="346"/>
      <c r="SM81" s="346"/>
      <c r="SN81" s="346"/>
      <c r="SO81" s="346"/>
      <c r="SP81" s="346"/>
      <c r="SQ81" s="346"/>
      <c r="SR81" s="346"/>
      <c r="SS81" s="346"/>
      <c r="ST81" s="346"/>
      <c r="SU81" s="346"/>
      <c r="SV81" s="346"/>
      <c r="SW81" s="346"/>
      <c r="SX81" s="346"/>
      <c r="SY81" s="346"/>
      <c r="SZ81" s="346"/>
      <c r="TA81" s="346"/>
    </row>
    <row r="82" spans="1:521" ht="14.1" customHeight="1" x14ac:dyDescent="0.2">
      <c r="A82" s="226"/>
      <c r="B82" s="226"/>
      <c r="C82" s="226"/>
      <c r="D82" s="226"/>
      <c r="E82" s="226"/>
      <c r="F82" s="226"/>
      <c r="G82" s="226"/>
      <c r="H82" s="226"/>
      <c r="I82" s="226"/>
      <c r="J82" s="226"/>
      <c r="K82" s="226"/>
      <c r="L82" s="226"/>
      <c r="M82" s="226"/>
      <c r="N82" s="226"/>
      <c r="O82" s="226"/>
      <c r="P82" s="226"/>
      <c r="Q82" s="226"/>
      <c r="R82" s="226"/>
      <c r="S82" s="226"/>
      <c r="T82" s="226"/>
      <c r="U82" s="226"/>
      <c r="V82" s="226"/>
      <c r="W82" s="226"/>
      <c r="X82" s="226"/>
      <c r="Y82" s="226"/>
      <c r="Z82" s="226"/>
      <c r="AA82" s="226"/>
      <c r="AB82" s="226"/>
      <c r="AC82" s="226"/>
      <c r="AD82" s="226"/>
      <c r="AE82" s="226"/>
      <c r="AF82" s="226"/>
      <c r="AG82" s="226"/>
      <c r="AH82" s="226"/>
      <c r="AI82" s="226"/>
      <c r="AJ82" s="226"/>
      <c r="AK82" s="226"/>
      <c r="AL82" s="226"/>
      <c r="AM82" s="226"/>
      <c r="AN82" s="226"/>
      <c r="AO82" s="226"/>
      <c r="AP82" s="226"/>
      <c r="AQ82" s="226"/>
      <c r="AR82" s="226"/>
      <c r="AS82" s="226"/>
      <c r="AT82" s="226"/>
      <c r="AU82" s="226"/>
      <c r="AV82" s="226"/>
      <c r="AW82" s="226"/>
      <c r="AX82" s="226"/>
      <c r="AY82" s="226"/>
      <c r="AZ82" s="226"/>
      <c r="BA82" s="226"/>
      <c r="BB82" s="226"/>
      <c r="BC82" s="226"/>
      <c r="BD82" s="226"/>
      <c r="BE82" s="226"/>
      <c r="BF82" s="226"/>
      <c r="BG82" s="226"/>
      <c r="BH82" s="226"/>
      <c r="BI82" s="226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302"/>
      <c r="HF82" s="302"/>
      <c r="HG82" s="302"/>
      <c r="HH82" s="302"/>
      <c r="HI82" s="302"/>
      <c r="HJ82" s="302"/>
      <c r="HK82" s="302"/>
      <c r="HL82" s="302"/>
      <c r="HM82" s="302"/>
      <c r="HN82" s="302"/>
      <c r="HO82" s="302"/>
      <c r="HP82" s="302"/>
      <c r="HQ82" s="302"/>
      <c r="HR82" s="302"/>
      <c r="HS82" s="302"/>
      <c r="HT82" s="302"/>
      <c r="HU82" s="302"/>
      <c r="HV82" s="302"/>
      <c r="HW82" s="302"/>
      <c r="HX82" s="302"/>
      <c r="HY82" s="302"/>
      <c r="HZ82" s="302"/>
      <c r="IA82" s="302"/>
      <c r="IB82" s="302"/>
      <c r="IC82" s="302"/>
      <c r="ID82" s="302"/>
      <c r="IE82" s="302"/>
      <c r="IF82" s="302"/>
      <c r="IG82" s="302"/>
      <c r="IH82" s="302"/>
      <c r="II82" s="302"/>
      <c r="IJ82" s="302"/>
      <c r="IK82" s="302"/>
      <c r="IL82" s="302"/>
      <c r="IM82" s="302"/>
      <c r="IN82" s="302"/>
      <c r="IO82" s="302"/>
      <c r="IP82" s="302"/>
      <c r="IQ82" s="302"/>
      <c r="IR82" s="302"/>
      <c r="IS82" s="302"/>
      <c r="IT82" s="302"/>
      <c r="IU82" s="302"/>
      <c r="IV82" s="302"/>
      <c r="IW82" s="302"/>
      <c r="IX82" s="302"/>
      <c r="IY82" s="302"/>
      <c r="IZ82" s="302"/>
      <c r="JA82" s="302"/>
      <c r="JB82" s="302"/>
      <c r="JC82" s="302"/>
      <c r="JD82" s="302"/>
      <c r="JE82" s="302"/>
      <c r="JF82" s="302"/>
      <c r="JG82" s="302"/>
      <c r="JH82" s="302"/>
      <c r="JI82" s="302"/>
      <c r="JJ82" s="302"/>
      <c r="JK82" s="302"/>
      <c r="JL82" s="302"/>
      <c r="JM82" s="302"/>
      <c r="JN82" s="302"/>
      <c r="JO82" s="302"/>
      <c r="JP82" s="302"/>
      <c r="JQ82" s="302"/>
      <c r="JR82" s="302"/>
      <c r="JS82" s="302"/>
      <c r="JT82" s="302"/>
      <c r="JU82" s="302"/>
      <c r="JV82" s="302"/>
      <c r="JW82" s="302"/>
      <c r="JX82" s="302"/>
      <c r="JY82" s="302"/>
      <c r="JZ82" s="302"/>
      <c r="KA82" s="302"/>
      <c r="KB82" s="302"/>
      <c r="KC82" s="302"/>
      <c r="KD82" s="302"/>
      <c r="KE82" s="302"/>
      <c r="KF82" s="302"/>
      <c r="KG82" s="302"/>
      <c r="KH82" s="302"/>
      <c r="KI82" s="302"/>
      <c r="KJ82" s="302"/>
      <c r="KK82" s="302"/>
      <c r="KL82" s="302"/>
      <c r="KM82" s="302"/>
      <c r="KN82" s="302"/>
      <c r="KO82" s="302"/>
      <c r="KP82" s="302"/>
      <c r="KQ82" s="302"/>
      <c r="KR82" s="302"/>
      <c r="KS82" s="302"/>
      <c r="KT82" s="302"/>
      <c r="KU82" s="302"/>
      <c r="KV82" s="302"/>
      <c r="KW82" s="302"/>
      <c r="KX82" s="302"/>
      <c r="KY82" s="302"/>
      <c r="KZ82" s="302"/>
      <c r="LA82" s="302"/>
      <c r="LB82" s="302"/>
      <c r="LC82" s="302"/>
      <c r="LD82" s="302"/>
      <c r="LE82" s="302"/>
      <c r="LF82" s="302"/>
      <c r="LG82" s="302"/>
      <c r="LH82" s="302"/>
      <c r="LI82" s="302"/>
      <c r="LJ82" s="302"/>
      <c r="LK82" s="302"/>
      <c r="LL82" s="302"/>
      <c r="LM82" s="302"/>
      <c r="LN82" s="302"/>
      <c r="LO82" s="302"/>
      <c r="LP82" s="302"/>
      <c r="LQ82" s="302"/>
      <c r="LR82" s="302"/>
      <c r="LS82" s="302"/>
      <c r="LT82" s="302"/>
      <c r="LU82" s="302"/>
      <c r="LV82" s="302"/>
      <c r="LW82" s="302"/>
      <c r="LX82" s="302"/>
      <c r="LY82" s="302"/>
      <c r="LZ82" s="302"/>
      <c r="MA82" s="302"/>
      <c r="MB82" s="302"/>
      <c r="MC82" s="302"/>
      <c r="MD82" s="302"/>
      <c r="ME82" s="302"/>
      <c r="MF82" s="302"/>
      <c r="MG82" s="302"/>
      <c r="MH82" s="302"/>
      <c r="MI82" s="302"/>
      <c r="MJ82" s="302"/>
      <c r="MK82" s="302"/>
      <c r="ML82" s="302"/>
      <c r="MM82" s="302"/>
      <c r="MN82" s="302"/>
      <c r="MO82" s="302"/>
      <c r="MP82" s="302"/>
      <c r="MQ82" s="302"/>
      <c r="MR82" s="302"/>
      <c r="MS82" s="302"/>
      <c r="MT82" s="302"/>
      <c r="MU82" s="302"/>
      <c r="MV82" s="302"/>
      <c r="MW82" s="302"/>
      <c r="MX82" s="302"/>
      <c r="MY82" s="302"/>
      <c r="MZ82" s="302"/>
      <c r="NA82" s="302"/>
      <c r="NB82" s="302"/>
      <c r="NC82" s="302"/>
      <c r="ND82" s="302"/>
      <c r="NE82" s="302"/>
      <c r="NF82" s="302"/>
      <c r="NG82" s="302"/>
      <c r="NH82" s="302"/>
      <c r="NI82" s="302"/>
      <c r="NJ82" s="302"/>
      <c r="NK82" s="302"/>
      <c r="NL82" s="302"/>
      <c r="NM82" s="302"/>
      <c r="NN82" s="302"/>
      <c r="NO82" s="302"/>
      <c r="NP82" s="302"/>
      <c r="NQ82" s="302"/>
      <c r="NR82" s="302"/>
      <c r="NS82" s="302"/>
      <c r="NT82" s="302"/>
      <c r="NU82" s="302"/>
      <c r="NV82" s="302"/>
      <c r="NW82" s="302"/>
      <c r="NX82" s="302"/>
      <c r="NY82" s="302"/>
      <c r="NZ82" s="302"/>
      <c r="OA82" s="302"/>
      <c r="OB82" s="302"/>
      <c r="OC82" s="302"/>
      <c r="OD82" s="302"/>
      <c r="OE82" s="302"/>
      <c r="OF82" s="302"/>
      <c r="OG82" s="302"/>
      <c r="OH82" s="302"/>
      <c r="OI82" s="302"/>
      <c r="OJ82" s="302"/>
      <c r="OK82" s="302"/>
      <c r="OL82" s="302"/>
      <c r="OM82" s="302"/>
      <c r="ON82" s="302"/>
      <c r="OO82" s="302"/>
      <c r="OP82" s="302"/>
      <c r="OQ82" s="302"/>
      <c r="OR82" s="302"/>
      <c r="OS82" s="302"/>
      <c r="OT82" s="302"/>
      <c r="OU82" s="302"/>
      <c r="OV82" s="302"/>
      <c r="OW82" s="302"/>
      <c r="OX82" s="302"/>
      <c r="OY82" s="302"/>
      <c r="OZ82" s="302"/>
      <c r="PA82" s="302"/>
      <c r="PB82" s="302"/>
      <c r="PC82" s="302"/>
      <c r="PD82" s="302"/>
      <c r="PE82" s="302"/>
      <c r="PF82" s="302"/>
      <c r="PG82" s="302"/>
      <c r="PH82" s="302"/>
      <c r="PI82" s="302"/>
      <c r="PJ82" s="302"/>
      <c r="PK82" s="302"/>
      <c r="PL82" s="302"/>
      <c r="PM82" s="302"/>
      <c r="PN82" s="302"/>
      <c r="PO82" s="302"/>
      <c r="PP82" s="302"/>
      <c r="PQ82" s="302"/>
      <c r="PR82" s="302"/>
      <c r="PS82" s="302"/>
      <c r="PT82" s="302"/>
      <c r="PU82" s="302"/>
      <c r="PV82" s="302"/>
      <c r="PW82" s="302"/>
      <c r="PX82" s="131"/>
      <c r="PY82" s="131"/>
      <c r="RG82" s="346"/>
      <c r="RH82" s="346"/>
      <c r="RI82" s="346"/>
      <c r="RJ82" s="346"/>
      <c r="RK82" s="346"/>
      <c r="RL82" s="346"/>
      <c r="RM82" s="346"/>
      <c r="RN82" s="346"/>
      <c r="RO82" s="346"/>
      <c r="RP82" s="346"/>
      <c r="RQ82" s="346"/>
      <c r="RR82" s="346"/>
      <c r="RS82" s="346"/>
      <c r="RT82" s="346"/>
      <c r="RU82" s="346"/>
      <c r="RV82" s="346"/>
      <c r="RW82" s="346"/>
      <c r="RX82" s="346"/>
      <c r="RY82" s="346"/>
      <c r="RZ82" s="346"/>
      <c r="SA82" s="346"/>
      <c r="SB82" s="346"/>
      <c r="SC82" s="346"/>
      <c r="SD82" s="346"/>
      <c r="SE82" s="346"/>
      <c r="SF82" s="346"/>
      <c r="SG82" s="346"/>
      <c r="SH82" s="346"/>
      <c r="SI82" s="346"/>
      <c r="SJ82" s="346"/>
      <c r="SK82" s="346"/>
      <c r="SL82" s="346"/>
      <c r="SM82" s="346"/>
      <c r="SN82" s="346"/>
      <c r="SO82" s="346"/>
      <c r="SP82" s="346"/>
      <c r="SQ82" s="346"/>
      <c r="SR82" s="346"/>
      <c r="SS82" s="346"/>
      <c r="ST82" s="346"/>
      <c r="SU82" s="346"/>
      <c r="SV82" s="346"/>
      <c r="SW82" s="346"/>
      <c r="SX82" s="346"/>
      <c r="SY82" s="346"/>
      <c r="SZ82" s="346"/>
      <c r="TA82" s="346"/>
    </row>
    <row r="83" spans="1:521" ht="14.1" customHeight="1" x14ac:dyDescent="0.2">
      <c r="A83" s="226"/>
      <c r="B83" s="226"/>
      <c r="C83" s="226"/>
      <c r="D83" s="226"/>
      <c r="E83" s="226"/>
      <c r="F83" s="226"/>
      <c r="G83" s="226"/>
      <c r="H83" s="226"/>
      <c r="I83" s="226"/>
      <c r="J83" s="226"/>
      <c r="K83" s="226"/>
      <c r="L83" s="226"/>
      <c r="M83" s="226"/>
      <c r="N83" s="226"/>
      <c r="O83" s="226"/>
      <c r="P83" s="226"/>
      <c r="Q83" s="226"/>
      <c r="R83" s="226"/>
      <c r="S83" s="226"/>
      <c r="T83" s="226"/>
      <c r="U83" s="226"/>
      <c r="V83" s="226"/>
      <c r="W83" s="226"/>
      <c r="X83" s="226"/>
      <c r="Y83" s="226"/>
      <c r="Z83" s="226"/>
      <c r="AA83" s="226"/>
      <c r="AB83" s="226"/>
      <c r="AC83" s="226"/>
      <c r="AD83" s="226"/>
      <c r="AE83" s="226"/>
      <c r="AF83" s="226"/>
      <c r="AG83" s="226"/>
      <c r="AH83" s="226"/>
      <c r="AI83" s="226"/>
      <c r="AJ83" s="226"/>
      <c r="AK83" s="226"/>
      <c r="AL83" s="226"/>
      <c r="AM83" s="226"/>
      <c r="AN83" s="226"/>
      <c r="AO83" s="226"/>
      <c r="AP83" s="226"/>
      <c r="AQ83" s="226"/>
      <c r="AR83" s="226"/>
      <c r="AS83" s="226"/>
      <c r="AT83" s="226"/>
      <c r="AU83" s="226"/>
      <c r="AV83" s="226"/>
      <c r="AW83" s="226"/>
      <c r="AX83" s="226"/>
      <c r="AY83" s="226"/>
      <c r="AZ83" s="226"/>
      <c r="BA83" s="226"/>
      <c r="BB83" s="226"/>
      <c r="BC83" s="226"/>
      <c r="BD83" s="226"/>
      <c r="BE83" s="226"/>
      <c r="BF83" s="226"/>
      <c r="BG83" s="226"/>
      <c r="BH83" s="226"/>
      <c r="BI83" s="226"/>
      <c r="BJ83" s="226"/>
      <c r="BK83" s="226"/>
      <c r="BL83" s="226"/>
      <c r="BM83" s="226"/>
      <c r="BN83" s="226"/>
      <c r="BO83" s="226"/>
      <c r="BP83" s="226"/>
      <c r="BQ83" s="226"/>
      <c r="BR83" s="226"/>
      <c r="BS83" s="226"/>
      <c r="BT83" s="226"/>
      <c r="BU83" s="226"/>
      <c r="BV83" s="226"/>
      <c r="BW83" s="226"/>
      <c r="BX83" s="226"/>
      <c r="BY83" s="226"/>
      <c r="BZ83" s="226"/>
      <c r="CA83" s="226"/>
      <c r="CB83" s="226"/>
      <c r="CC83" s="226"/>
      <c r="CD83" s="226"/>
      <c r="CE83" s="226"/>
      <c r="CF83" s="226"/>
      <c r="CG83" s="226"/>
      <c r="CH83" s="226"/>
      <c r="CI83" s="226"/>
      <c r="CJ83" s="226"/>
      <c r="CK83" s="226"/>
      <c r="CL83" s="226"/>
      <c r="CM83" s="226"/>
      <c r="CN83" s="226"/>
      <c r="CO83" s="226"/>
      <c r="CP83" s="226"/>
      <c r="CQ83" s="226"/>
      <c r="CR83" s="226"/>
      <c r="CS83" s="226"/>
      <c r="CT83" s="226"/>
      <c r="CU83" s="226"/>
      <c r="CV83" s="226"/>
      <c r="CW83" s="226"/>
      <c r="CX83" s="226"/>
      <c r="CY83" s="226"/>
      <c r="CZ83" s="226"/>
      <c r="DA83" s="226"/>
      <c r="DB83" s="226"/>
      <c r="DC83" s="226"/>
      <c r="DD83" s="226"/>
      <c r="DE83" s="226"/>
      <c r="DF83" s="226"/>
      <c r="DG83" s="226"/>
      <c r="DH83" s="226"/>
      <c r="DI83" s="226"/>
      <c r="DJ83" s="226"/>
      <c r="DK83" s="226"/>
      <c r="DL83" s="226"/>
      <c r="DM83" s="226"/>
      <c r="DN83" s="226"/>
      <c r="DO83" s="226"/>
      <c r="DP83" s="226"/>
      <c r="DQ83" s="226"/>
      <c r="DR83" s="226"/>
      <c r="DS83" s="226"/>
      <c r="DT83" s="226"/>
      <c r="DU83" s="226"/>
      <c r="DV83" s="226"/>
      <c r="DW83" s="226"/>
      <c r="DX83" s="226"/>
      <c r="DY83" s="226"/>
      <c r="DZ83" s="226"/>
      <c r="EA83" s="226"/>
      <c r="EB83" s="226"/>
      <c r="EC83" s="226"/>
      <c r="ED83" s="226"/>
      <c r="EE83" s="226"/>
      <c r="EF83" s="226"/>
      <c r="EG83" s="226"/>
      <c r="EH83" s="226"/>
      <c r="EI83" s="226"/>
      <c r="EJ83" s="226"/>
      <c r="EK83" s="226"/>
      <c r="EL83" s="226"/>
      <c r="EM83" s="226"/>
      <c r="EN83" s="226"/>
      <c r="EO83" s="226"/>
      <c r="EP83" s="226"/>
      <c r="EQ83" s="226"/>
      <c r="ER83" s="226"/>
      <c r="ES83" s="226"/>
      <c r="ET83" s="226"/>
      <c r="EU83" s="226"/>
      <c r="EV83" s="226"/>
      <c r="EW83" s="226"/>
      <c r="EX83" s="226"/>
      <c r="EY83" s="226"/>
      <c r="EZ83" s="226"/>
      <c r="FA83" s="226"/>
      <c r="FB83" s="226"/>
      <c r="FC83" s="226"/>
      <c r="FD83" s="226"/>
      <c r="FE83" s="226"/>
      <c r="FF83" s="226"/>
      <c r="FG83" s="226"/>
      <c r="FH83" s="226"/>
      <c r="FI83" s="226"/>
      <c r="FJ83" s="226"/>
      <c r="FK83" s="226"/>
      <c r="FL83" s="226"/>
      <c r="FM83" s="226"/>
      <c r="FN83" s="226"/>
      <c r="FO83" s="226"/>
      <c r="FP83" s="226"/>
      <c r="FQ83" s="226"/>
      <c r="FR83" s="226"/>
      <c r="FS83" s="226"/>
      <c r="FT83" s="226"/>
      <c r="FU83" s="226"/>
      <c r="FV83" s="226"/>
      <c r="FW83" s="226"/>
      <c r="FX83" s="226"/>
      <c r="FY83" s="226"/>
      <c r="FZ83" s="226"/>
      <c r="GA83" s="226"/>
      <c r="GB83" s="226"/>
      <c r="GC83" s="226"/>
      <c r="GD83" s="226"/>
      <c r="GE83" s="226"/>
      <c r="GF83" s="226"/>
      <c r="GG83" s="226"/>
      <c r="GH83" s="226"/>
      <c r="GI83" s="226"/>
      <c r="GJ83" s="226"/>
      <c r="GK83" s="226"/>
      <c r="GL83" s="226"/>
      <c r="GM83" s="226"/>
      <c r="GN83" s="226"/>
      <c r="GO83" s="226"/>
      <c r="GP83" s="226"/>
      <c r="GQ83" s="226"/>
      <c r="GR83" s="226"/>
      <c r="GS83" s="226"/>
      <c r="GT83" s="226"/>
      <c r="GU83" s="226"/>
      <c r="GV83" s="226"/>
      <c r="GW83" s="226"/>
      <c r="GX83" s="226"/>
      <c r="GY83" s="226"/>
      <c r="GZ83" s="226"/>
      <c r="HA83" s="226"/>
      <c r="HB83" s="226"/>
      <c r="HC83" s="226"/>
      <c r="HD83" s="226"/>
      <c r="PX83" s="131"/>
      <c r="PY83" s="131"/>
      <c r="QC83" s="78" t="s">
        <v>150</v>
      </c>
      <c r="QJ83" s="78" t="s">
        <v>151</v>
      </c>
    </row>
    <row r="84" spans="1:521" ht="14.1" customHeight="1" x14ac:dyDescent="0.2">
      <c r="A84" s="226"/>
      <c r="B84" s="226"/>
      <c r="C84" s="226"/>
      <c r="D84" s="226"/>
      <c r="E84" s="226"/>
      <c r="F84" s="226"/>
      <c r="G84" s="226"/>
      <c r="H84" s="226"/>
      <c r="I84" s="226"/>
      <c r="J84" s="226"/>
      <c r="K84" s="226"/>
      <c r="L84" s="226"/>
      <c r="M84" s="226"/>
      <c r="N84" s="226"/>
      <c r="O84" s="226"/>
      <c r="P84" s="226"/>
      <c r="Q84" s="226"/>
      <c r="R84" s="226"/>
      <c r="S84" s="226"/>
      <c r="T84" s="226"/>
      <c r="U84" s="226"/>
      <c r="V84" s="226"/>
      <c r="W84" s="226"/>
      <c r="X84" s="226"/>
      <c r="Y84" s="226"/>
      <c r="Z84" s="226"/>
      <c r="AA84" s="226"/>
      <c r="AB84" s="226"/>
      <c r="AC84" s="226"/>
      <c r="AD84" s="226"/>
      <c r="AE84" s="226"/>
      <c r="AF84" s="226"/>
      <c r="AG84" s="226"/>
      <c r="AH84" s="226"/>
      <c r="AI84" s="226"/>
      <c r="AJ84" s="226"/>
      <c r="AK84" s="226"/>
      <c r="AL84" s="226"/>
      <c r="AM84" s="226"/>
      <c r="AN84" s="226"/>
      <c r="AO84" s="226"/>
      <c r="AP84" s="226"/>
      <c r="AQ84" s="226"/>
      <c r="AR84" s="226"/>
      <c r="AS84" s="226"/>
      <c r="AT84" s="226"/>
      <c r="AU84" s="226"/>
      <c r="AV84" s="226"/>
      <c r="AW84" s="226"/>
      <c r="AX84" s="226"/>
      <c r="AY84" s="226"/>
      <c r="AZ84" s="226"/>
      <c r="BA84" s="226"/>
      <c r="BB84" s="226"/>
      <c r="BC84" s="226"/>
      <c r="BD84" s="226"/>
      <c r="BE84" s="226"/>
      <c r="BF84" s="226"/>
      <c r="BG84" s="226"/>
      <c r="BH84" s="226"/>
      <c r="BI84" s="226"/>
      <c r="BJ84" s="226"/>
      <c r="BK84" s="226"/>
      <c r="BL84" s="226"/>
      <c r="BM84" s="226"/>
      <c r="BN84" s="226"/>
      <c r="BO84" s="226"/>
      <c r="BP84" s="226"/>
      <c r="BQ84" s="226"/>
      <c r="BR84" s="226"/>
      <c r="BS84" s="226"/>
      <c r="BT84" s="226"/>
      <c r="BU84" s="226"/>
      <c r="BV84" s="226"/>
      <c r="BW84" s="226"/>
      <c r="BX84" s="226"/>
      <c r="BY84" s="226"/>
      <c r="BZ84" s="226"/>
      <c r="CA84" s="226"/>
      <c r="CB84" s="226"/>
      <c r="CC84" s="226"/>
      <c r="CD84" s="226"/>
      <c r="CE84" s="226"/>
      <c r="CF84" s="226"/>
      <c r="CG84" s="226"/>
      <c r="CH84" s="226"/>
      <c r="CI84" s="226"/>
      <c r="CJ84" s="226"/>
      <c r="CK84" s="226"/>
      <c r="CL84" s="226"/>
      <c r="CM84" s="226"/>
      <c r="CN84" s="226"/>
      <c r="CO84" s="226"/>
      <c r="CP84" s="226"/>
      <c r="CQ84" s="226"/>
      <c r="CR84" s="226"/>
      <c r="CS84" s="226"/>
      <c r="CT84" s="226"/>
      <c r="CU84" s="226"/>
      <c r="CV84" s="226"/>
      <c r="CW84" s="226"/>
      <c r="CX84" s="226"/>
      <c r="CY84" s="226"/>
      <c r="CZ84" s="226"/>
      <c r="DA84" s="226"/>
      <c r="DB84" s="226"/>
      <c r="DC84" s="226"/>
      <c r="DD84" s="226"/>
      <c r="DE84" s="226"/>
      <c r="DF84" s="226"/>
      <c r="DG84" s="226"/>
      <c r="DH84" s="226"/>
      <c r="DI84" s="226"/>
      <c r="DJ84" s="226"/>
      <c r="DK84" s="226"/>
      <c r="DL84" s="226"/>
      <c r="DM84" s="226"/>
      <c r="DN84" s="226"/>
      <c r="DO84" s="226"/>
      <c r="DP84" s="226"/>
      <c r="DQ84" s="226"/>
      <c r="DR84" s="226"/>
      <c r="DS84" s="226"/>
      <c r="DT84" s="226"/>
      <c r="DU84" s="226"/>
      <c r="DV84" s="226"/>
      <c r="DW84" s="226"/>
      <c r="DX84" s="226"/>
      <c r="DY84" s="226"/>
      <c r="DZ84" s="226"/>
      <c r="EA84" s="226"/>
      <c r="EB84" s="226"/>
      <c r="EC84" s="226"/>
      <c r="ED84" s="226"/>
      <c r="EE84" s="226"/>
      <c r="EF84" s="226"/>
      <c r="EG84" s="226"/>
      <c r="EH84" s="226"/>
      <c r="EI84" s="226"/>
      <c r="EJ84" s="226"/>
      <c r="EK84" s="226"/>
      <c r="EL84" s="226"/>
      <c r="EM84" s="226"/>
      <c r="EN84" s="226"/>
      <c r="EO84" s="226"/>
      <c r="EP84" s="226"/>
      <c r="EQ84" s="226"/>
      <c r="ER84" s="226"/>
      <c r="ES84" s="226"/>
      <c r="ET84" s="226"/>
      <c r="EU84" s="226"/>
      <c r="EV84" s="226"/>
      <c r="EW84" s="226"/>
      <c r="EX84" s="226"/>
      <c r="EY84" s="226"/>
      <c r="EZ84" s="226"/>
      <c r="FA84" s="226"/>
      <c r="FB84" s="226"/>
      <c r="FC84" s="226"/>
      <c r="FD84" s="226"/>
      <c r="FE84" s="226"/>
      <c r="FF84" s="226"/>
      <c r="FG84" s="226"/>
      <c r="FH84" s="226"/>
      <c r="FI84" s="226"/>
      <c r="FJ84" s="226"/>
      <c r="FK84" s="226"/>
      <c r="FL84" s="226"/>
      <c r="FM84" s="226"/>
      <c r="FN84" s="226"/>
      <c r="FO84" s="226"/>
      <c r="FP84" s="226"/>
      <c r="FQ84" s="226"/>
      <c r="FR84" s="226"/>
      <c r="FS84" s="226"/>
      <c r="FT84" s="226"/>
      <c r="FU84" s="226"/>
      <c r="FV84" s="226"/>
      <c r="FW84" s="226"/>
      <c r="FX84" s="226"/>
      <c r="FY84" s="226"/>
      <c r="FZ84" s="226"/>
      <c r="GA84" s="226"/>
      <c r="GB84" s="226"/>
      <c r="GC84" s="226"/>
      <c r="GD84" s="226"/>
      <c r="GE84" s="226"/>
      <c r="GF84" s="226"/>
      <c r="GG84" s="226"/>
      <c r="GH84" s="226"/>
      <c r="GI84" s="226"/>
      <c r="GJ84" s="226"/>
      <c r="GK84" s="226"/>
      <c r="GL84" s="226"/>
      <c r="GM84" s="226"/>
      <c r="GN84" s="226"/>
      <c r="GO84" s="226"/>
      <c r="GP84" s="226"/>
      <c r="GQ84" s="226"/>
      <c r="GR84" s="226"/>
      <c r="GS84" s="226"/>
      <c r="GT84" s="226"/>
      <c r="GU84" s="226"/>
      <c r="GV84" s="226"/>
      <c r="GW84" s="226"/>
      <c r="GX84" s="226"/>
      <c r="GY84" s="226"/>
      <c r="GZ84" s="226"/>
      <c r="HA84" s="226"/>
      <c r="HB84" s="226"/>
      <c r="HC84" s="226"/>
      <c r="HD84" s="226"/>
      <c r="PX84" s="131"/>
      <c r="PY84" s="131"/>
      <c r="QC84" s="78" t="s">
        <v>23</v>
      </c>
      <c r="QD84" s="354">
        <f>QD10+(QI2/QC3)</f>
        <v>-0.4464285714285714</v>
      </c>
      <c r="QE84" s="354">
        <f>QE10-(QI2/QC3)</f>
        <v>0.4464285714285714</v>
      </c>
      <c r="QG84" s="78">
        <f>QF11/2</f>
        <v>-0.25</v>
      </c>
      <c r="QH84" s="78">
        <f>QG84</f>
        <v>-0.25</v>
      </c>
      <c r="QJ84" s="78" t="s">
        <v>23</v>
      </c>
      <c r="QK84" s="354">
        <f>QD84</f>
        <v>-0.4464285714285714</v>
      </c>
      <c r="QL84" s="354">
        <f>QE84</f>
        <v>0.4464285714285714</v>
      </c>
      <c r="QN84" s="354">
        <f>QK84</f>
        <v>-0.4464285714285714</v>
      </c>
      <c r="QO84" s="354">
        <f>QN84</f>
        <v>-0.4464285714285714</v>
      </c>
      <c r="QQ84" s="354">
        <f>QL84</f>
        <v>0.4464285714285714</v>
      </c>
      <c r="QR84" s="354">
        <f>QQ84</f>
        <v>0.4464285714285714</v>
      </c>
      <c r="QT84" s="78">
        <f>QG84</f>
        <v>-0.25</v>
      </c>
      <c r="QV84" s="78">
        <v>0</v>
      </c>
      <c r="QX84" s="78">
        <f>0</f>
        <v>0</v>
      </c>
    </row>
    <row r="85" spans="1:521" ht="14.1" customHeight="1" x14ac:dyDescent="0.2">
      <c r="A85" s="226"/>
      <c r="B85" s="226"/>
      <c r="C85" s="226"/>
      <c r="D85" s="226"/>
      <c r="E85" s="226"/>
      <c r="F85" s="226"/>
      <c r="G85" s="226"/>
      <c r="H85" s="226"/>
      <c r="I85" s="226"/>
      <c r="J85" s="226"/>
      <c r="K85" s="226"/>
      <c r="L85" s="226"/>
      <c r="M85" s="226"/>
      <c r="N85" s="226"/>
      <c r="O85" s="226"/>
      <c r="P85" s="226"/>
      <c r="Q85" s="226"/>
      <c r="R85" s="226"/>
      <c r="S85" s="226"/>
      <c r="T85" s="226"/>
      <c r="U85" s="226"/>
      <c r="V85" s="226"/>
      <c r="W85" s="226"/>
      <c r="X85" s="226"/>
      <c r="Y85" s="226"/>
      <c r="Z85" s="226"/>
      <c r="AA85" s="226"/>
      <c r="AB85" s="226"/>
      <c r="AC85" s="226"/>
      <c r="AD85" s="226"/>
      <c r="AE85" s="226"/>
      <c r="AF85" s="226"/>
      <c r="AG85" s="226"/>
      <c r="AH85" s="226"/>
      <c r="AI85" s="226"/>
      <c r="AJ85" s="226"/>
      <c r="AK85" s="226"/>
      <c r="AL85" s="226"/>
      <c r="AM85" s="226"/>
      <c r="AN85" s="226"/>
      <c r="AO85" s="226"/>
      <c r="AP85" s="226"/>
      <c r="AQ85" s="226"/>
      <c r="AR85" s="226"/>
      <c r="AS85" s="226"/>
      <c r="AT85" s="226"/>
      <c r="AU85" s="226"/>
      <c r="AV85" s="226"/>
      <c r="AW85" s="226"/>
      <c r="AX85" s="226"/>
      <c r="AY85" s="226"/>
      <c r="AZ85" s="226"/>
      <c r="BA85" s="226"/>
      <c r="BB85" s="226"/>
      <c r="BC85" s="226"/>
      <c r="BD85" s="226"/>
      <c r="BE85" s="226"/>
      <c r="BF85" s="226"/>
      <c r="BG85" s="226"/>
      <c r="BH85" s="226"/>
      <c r="BI85" s="226"/>
      <c r="BJ85" s="226"/>
      <c r="BK85" s="226"/>
      <c r="BL85" s="226"/>
      <c r="BM85" s="226"/>
      <c r="BN85" s="226"/>
      <c r="BO85" s="226"/>
      <c r="BP85" s="226"/>
      <c r="BQ85" s="226"/>
      <c r="BR85" s="226"/>
      <c r="BS85" s="226"/>
      <c r="BT85" s="226"/>
      <c r="BU85" s="226"/>
      <c r="BV85" s="226"/>
      <c r="BW85" s="226"/>
      <c r="BX85" s="226"/>
      <c r="BY85" s="226"/>
      <c r="BZ85" s="226"/>
      <c r="CA85" s="226"/>
      <c r="CB85" s="226"/>
      <c r="CC85" s="226"/>
      <c r="CD85" s="226"/>
      <c r="CE85" s="226"/>
      <c r="CF85" s="226"/>
      <c r="CG85" s="226"/>
      <c r="CH85" s="226"/>
      <c r="CI85" s="226"/>
      <c r="CJ85" s="226"/>
      <c r="CK85" s="226"/>
      <c r="CL85" s="226"/>
      <c r="CM85" s="226"/>
      <c r="CN85" s="226"/>
      <c r="CO85" s="226"/>
      <c r="CP85" s="226"/>
      <c r="CQ85" s="226"/>
      <c r="CR85" s="226"/>
      <c r="CS85" s="226"/>
      <c r="CT85" s="226"/>
      <c r="CU85" s="226"/>
      <c r="CV85" s="226"/>
      <c r="CW85" s="226"/>
      <c r="CX85" s="226"/>
      <c r="CY85" s="226"/>
      <c r="CZ85" s="226"/>
      <c r="DA85" s="226"/>
      <c r="DB85" s="226"/>
      <c r="DC85" s="226"/>
      <c r="DD85" s="226"/>
      <c r="DE85" s="226"/>
      <c r="DF85" s="226"/>
      <c r="DG85" s="226"/>
      <c r="DH85" s="226"/>
      <c r="DI85" s="226"/>
      <c r="DJ85" s="226"/>
      <c r="DK85" s="226"/>
      <c r="DL85" s="226"/>
      <c r="DM85" s="226"/>
      <c r="DN85" s="226"/>
      <c r="DO85" s="226"/>
      <c r="DP85" s="226"/>
      <c r="DQ85" s="226"/>
      <c r="DR85" s="226"/>
      <c r="DS85" s="226"/>
      <c r="DT85" s="226"/>
      <c r="DU85" s="226"/>
      <c r="DV85" s="226"/>
      <c r="DW85" s="226"/>
      <c r="DX85" s="226"/>
      <c r="DY85" s="226"/>
      <c r="DZ85" s="226"/>
      <c r="EA85" s="226"/>
      <c r="EB85" s="226"/>
      <c r="EC85" s="226"/>
      <c r="ED85" s="226"/>
      <c r="EE85" s="226"/>
      <c r="EF85" s="226"/>
      <c r="EG85" s="226"/>
      <c r="EH85" s="226"/>
      <c r="EI85" s="226"/>
      <c r="EJ85" s="226"/>
      <c r="EK85" s="226"/>
      <c r="EL85" s="226"/>
      <c r="EM85" s="226"/>
      <c r="EN85" s="226"/>
      <c r="EO85" s="226"/>
      <c r="EP85" s="226"/>
      <c r="EQ85" s="226"/>
      <c r="ER85" s="226"/>
      <c r="ES85" s="226"/>
      <c r="ET85" s="226"/>
      <c r="EU85" s="226"/>
      <c r="EV85" s="226"/>
      <c r="EW85" s="226"/>
      <c r="EX85" s="226"/>
      <c r="EY85" s="226"/>
      <c r="EZ85" s="226"/>
      <c r="FA85" s="226"/>
      <c r="FB85" s="226"/>
      <c r="FC85" s="226"/>
      <c r="FD85" s="226"/>
      <c r="FE85" s="226"/>
      <c r="FF85" s="226"/>
      <c r="FG85" s="226"/>
      <c r="FH85" s="226"/>
      <c r="FI85" s="226"/>
      <c r="FJ85" s="226"/>
      <c r="FK85" s="226"/>
      <c r="FL85" s="226"/>
      <c r="FM85" s="226"/>
      <c r="FN85" s="226"/>
      <c r="FO85" s="226"/>
      <c r="FP85" s="226"/>
      <c r="FQ85" s="226"/>
      <c r="FR85" s="226"/>
      <c r="FS85" s="226"/>
      <c r="FT85" s="226"/>
      <c r="FU85" s="226"/>
      <c r="FV85" s="226"/>
      <c r="FW85" s="226"/>
      <c r="FX85" s="226"/>
      <c r="FY85" s="226"/>
      <c r="FZ85" s="226"/>
      <c r="GA85" s="226"/>
      <c r="GB85" s="226"/>
      <c r="GC85" s="226"/>
      <c r="GD85" s="226"/>
      <c r="GE85" s="226"/>
      <c r="GF85" s="226"/>
      <c r="GG85" s="226"/>
      <c r="GH85" s="226"/>
      <c r="GI85" s="226"/>
      <c r="GJ85" s="226"/>
      <c r="GK85" s="226"/>
      <c r="GL85" s="226"/>
      <c r="GM85" s="226"/>
      <c r="GN85" s="226"/>
      <c r="GO85" s="226"/>
      <c r="GP85" s="226"/>
      <c r="GQ85" s="226"/>
      <c r="GR85" s="226"/>
      <c r="GS85" s="226"/>
      <c r="GT85" s="226"/>
      <c r="GU85" s="226"/>
      <c r="GV85" s="226"/>
      <c r="GW85" s="226"/>
      <c r="GX85" s="226"/>
      <c r="GY85" s="226"/>
      <c r="GZ85" s="226"/>
      <c r="HA85" s="226"/>
      <c r="HB85" s="226"/>
      <c r="HC85" s="226"/>
      <c r="HD85" s="226"/>
      <c r="PX85" s="131"/>
      <c r="PY85" s="131"/>
      <c r="QC85" s="78" t="s">
        <v>24</v>
      </c>
      <c r="QD85" s="78">
        <f>QD11/2</f>
        <v>0.25</v>
      </c>
      <c r="QE85" s="78">
        <f>QD85</f>
        <v>0.25</v>
      </c>
      <c r="QG85" s="78">
        <f>QD11-(QI2/QC3)</f>
        <v>0.4464285714285714</v>
      </c>
      <c r="QH85" s="78">
        <f>QF11+(QI2/QC3)</f>
        <v>-0.4464285714285714</v>
      </c>
      <c r="QJ85" s="78" t="s">
        <v>24</v>
      </c>
      <c r="QK85" s="78">
        <f>QF11/2</f>
        <v>-0.25</v>
      </c>
      <c r="QL85" s="78">
        <f>QK85</f>
        <v>-0.25</v>
      </c>
      <c r="QN85" s="78">
        <f>QK85+(0.03/QC3)</f>
        <v>-0.22857142857142856</v>
      </c>
      <c r="QO85" s="78">
        <f>QK85-(0.03/QC3)</f>
        <v>-0.27142857142857141</v>
      </c>
      <c r="QQ85" s="78">
        <f>QN85</f>
        <v>-0.22857142857142856</v>
      </c>
      <c r="QR85" s="78">
        <f>QO85</f>
        <v>-0.27142857142857141</v>
      </c>
      <c r="QT85" s="78">
        <f>QK85</f>
        <v>-0.25</v>
      </c>
      <c r="QV85" s="78">
        <f>QT85</f>
        <v>-0.25</v>
      </c>
      <c r="QX85" s="354">
        <f>QF11</f>
        <v>-0.5</v>
      </c>
    </row>
    <row r="86" spans="1:521" ht="14.1" customHeight="1" x14ac:dyDescent="0.2">
      <c r="A86" s="226"/>
      <c r="B86" s="226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  <c r="O86" s="226"/>
      <c r="P86" s="226"/>
      <c r="Q86" s="226"/>
      <c r="R86" s="226"/>
      <c r="S86" s="226"/>
      <c r="T86" s="226"/>
      <c r="U86" s="226"/>
      <c r="V86" s="226"/>
      <c r="W86" s="226"/>
      <c r="X86" s="226"/>
      <c r="Y86" s="226"/>
      <c r="Z86" s="226"/>
      <c r="AA86" s="226"/>
      <c r="AB86" s="226"/>
      <c r="AC86" s="226"/>
      <c r="AD86" s="226"/>
      <c r="AE86" s="226"/>
      <c r="AF86" s="226"/>
      <c r="AG86" s="226"/>
      <c r="AH86" s="226"/>
      <c r="AI86" s="226"/>
      <c r="AJ86" s="226"/>
      <c r="AK86" s="226"/>
      <c r="AL86" s="226"/>
      <c r="AM86" s="226"/>
      <c r="AN86" s="226"/>
      <c r="AO86" s="226"/>
      <c r="AP86" s="226"/>
      <c r="AQ86" s="226"/>
      <c r="AR86" s="226"/>
      <c r="AS86" s="226"/>
      <c r="AT86" s="226"/>
      <c r="AU86" s="226"/>
      <c r="AV86" s="226"/>
      <c r="AW86" s="226"/>
      <c r="AX86" s="226"/>
      <c r="AY86" s="226"/>
      <c r="AZ86" s="226"/>
      <c r="BA86" s="226"/>
      <c r="BB86" s="226"/>
      <c r="BC86" s="226"/>
      <c r="BD86" s="226"/>
      <c r="BE86" s="226"/>
      <c r="BF86" s="226"/>
      <c r="BG86" s="226"/>
      <c r="BH86" s="226"/>
      <c r="BI86" s="226"/>
      <c r="BJ86" s="226"/>
      <c r="BK86" s="226"/>
      <c r="BL86" s="226"/>
      <c r="BM86" s="226"/>
      <c r="BN86" s="226"/>
      <c r="BO86" s="226"/>
      <c r="BP86" s="226"/>
      <c r="BQ86" s="226"/>
      <c r="BR86" s="226"/>
      <c r="BS86" s="226"/>
      <c r="BT86" s="226"/>
      <c r="BU86" s="226"/>
      <c r="BV86" s="226"/>
      <c r="BW86" s="226"/>
      <c r="BX86" s="226"/>
      <c r="BY86" s="226"/>
      <c r="BZ86" s="226"/>
      <c r="CA86" s="226"/>
      <c r="CB86" s="226"/>
      <c r="CC86" s="226"/>
      <c r="CD86" s="226"/>
      <c r="CE86" s="226"/>
      <c r="CF86" s="226"/>
      <c r="CG86" s="226"/>
      <c r="CH86" s="226"/>
      <c r="CI86" s="226"/>
      <c r="CJ86" s="226"/>
      <c r="CK86" s="226"/>
      <c r="CL86" s="226"/>
      <c r="CM86" s="226"/>
      <c r="CN86" s="226"/>
      <c r="CO86" s="226"/>
      <c r="CP86" s="226"/>
      <c r="CQ86" s="226"/>
      <c r="CR86" s="226"/>
      <c r="CS86" s="226"/>
      <c r="CT86" s="226"/>
      <c r="CU86" s="226"/>
      <c r="CV86" s="226"/>
      <c r="CW86" s="226"/>
      <c r="CX86" s="226"/>
      <c r="CY86" s="226"/>
      <c r="CZ86" s="226"/>
      <c r="DA86" s="226"/>
      <c r="DB86" s="226"/>
      <c r="DC86" s="226"/>
      <c r="DD86" s="226"/>
      <c r="DE86" s="226"/>
      <c r="DF86" s="226"/>
      <c r="DG86" s="226"/>
      <c r="DH86" s="226"/>
      <c r="DI86" s="226"/>
      <c r="DJ86" s="226"/>
      <c r="DK86" s="226"/>
      <c r="DL86" s="226"/>
      <c r="DM86" s="226"/>
      <c r="DN86" s="226"/>
      <c r="DO86" s="226"/>
      <c r="DP86" s="226"/>
      <c r="DQ86" s="226"/>
      <c r="DR86" s="226"/>
      <c r="DS86" s="226"/>
      <c r="DT86" s="226"/>
      <c r="DU86" s="226"/>
      <c r="DV86" s="226"/>
      <c r="DW86" s="226"/>
      <c r="DX86" s="226"/>
      <c r="DY86" s="226"/>
      <c r="DZ86" s="226"/>
      <c r="EA86" s="226"/>
      <c r="EB86" s="226"/>
      <c r="EC86" s="226"/>
      <c r="ED86" s="226"/>
      <c r="EE86" s="226"/>
      <c r="EF86" s="226"/>
      <c r="EG86" s="226"/>
      <c r="EH86" s="226"/>
      <c r="EI86" s="226"/>
      <c r="EJ86" s="226"/>
      <c r="EK86" s="226"/>
      <c r="EL86" s="226"/>
      <c r="EM86" s="226"/>
      <c r="EN86" s="226"/>
      <c r="EO86" s="226"/>
      <c r="EP86" s="226"/>
      <c r="EQ86" s="226"/>
      <c r="ER86" s="226"/>
      <c r="ES86" s="226"/>
      <c r="ET86" s="226"/>
      <c r="EU86" s="226"/>
      <c r="EV86" s="226"/>
      <c r="EW86" s="226"/>
      <c r="EX86" s="226"/>
      <c r="EY86" s="226"/>
      <c r="EZ86" s="226"/>
      <c r="FA86" s="226"/>
      <c r="FB86" s="226"/>
      <c r="FC86" s="226"/>
      <c r="FD86" s="226"/>
      <c r="FE86" s="226"/>
      <c r="FF86" s="226"/>
      <c r="FG86" s="226"/>
      <c r="FH86" s="226"/>
      <c r="FI86" s="226"/>
      <c r="FJ86" s="226"/>
      <c r="FK86" s="226"/>
      <c r="FL86" s="226"/>
      <c r="FM86" s="226"/>
      <c r="FN86" s="226"/>
      <c r="FO86" s="226"/>
      <c r="FP86" s="226"/>
      <c r="FQ86" s="226"/>
      <c r="FR86" s="226"/>
      <c r="FS86" s="226"/>
      <c r="FT86" s="226"/>
      <c r="FU86" s="226"/>
      <c r="FV86" s="226"/>
      <c r="FW86" s="226"/>
      <c r="FX86" s="226"/>
      <c r="FY86" s="226"/>
      <c r="FZ86" s="226"/>
      <c r="GA86" s="226"/>
      <c r="GB86" s="226"/>
      <c r="GC86" s="226"/>
      <c r="GD86" s="226"/>
      <c r="GE86" s="226"/>
      <c r="GF86" s="226"/>
      <c r="GG86" s="226"/>
      <c r="GH86" s="226"/>
      <c r="GI86" s="226"/>
      <c r="GJ86" s="226"/>
      <c r="GK86" s="226"/>
      <c r="GL86" s="226"/>
      <c r="GM86" s="226"/>
      <c r="GN86" s="226"/>
      <c r="GO86" s="226"/>
      <c r="GP86" s="226"/>
      <c r="GQ86" s="226"/>
      <c r="GR86" s="226"/>
      <c r="GS86" s="226"/>
      <c r="GT86" s="226"/>
      <c r="GU86" s="226"/>
      <c r="GV86" s="226"/>
      <c r="GW86" s="226"/>
      <c r="GX86" s="226"/>
      <c r="GY86" s="226"/>
      <c r="GZ86" s="226"/>
      <c r="HA86" s="226"/>
      <c r="HB86" s="226"/>
      <c r="HC86" s="226"/>
      <c r="HD86" s="226"/>
      <c r="PX86" s="131"/>
      <c r="PY86" s="131"/>
    </row>
    <row r="87" spans="1:521" ht="14.1" customHeight="1" x14ac:dyDescent="0.2">
      <c r="A87" s="226"/>
      <c r="B87" s="226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  <c r="O87" s="226"/>
      <c r="P87" s="226"/>
      <c r="Q87" s="226"/>
      <c r="R87" s="226"/>
      <c r="S87" s="226"/>
      <c r="T87" s="226"/>
      <c r="U87" s="226"/>
      <c r="V87" s="226"/>
      <c r="W87" s="226"/>
      <c r="X87" s="226"/>
      <c r="Y87" s="226"/>
      <c r="Z87" s="226"/>
      <c r="AA87" s="226"/>
      <c r="AB87" s="226"/>
      <c r="AC87" s="226"/>
      <c r="AD87" s="226"/>
      <c r="AE87" s="226"/>
      <c r="AF87" s="226"/>
      <c r="AG87" s="226"/>
      <c r="AH87" s="226"/>
      <c r="AI87" s="226"/>
      <c r="AJ87" s="226"/>
      <c r="AK87" s="226"/>
      <c r="AL87" s="226"/>
      <c r="AM87" s="226"/>
      <c r="AN87" s="226"/>
      <c r="AO87" s="226"/>
      <c r="AP87" s="226"/>
      <c r="AQ87" s="226"/>
      <c r="AR87" s="226"/>
      <c r="AS87" s="226"/>
      <c r="AT87" s="226"/>
      <c r="AU87" s="226"/>
      <c r="AV87" s="226"/>
      <c r="AW87" s="226"/>
      <c r="AX87" s="226"/>
      <c r="AY87" s="226"/>
      <c r="AZ87" s="226"/>
      <c r="BA87" s="226"/>
      <c r="BB87" s="226"/>
      <c r="BC87" s="226"/>
      <c r="BD87" s="226"/>
      <c r="BE87" s="226"/>
      <c r="BF87" s="226"/>
      <c r="BG87" s="226"/>
      <c r="BH87" s="226"/>
      <c r="BI87" s="226"/>
      <c r="BJ87" s="226"/>
      <c r="BK87" s="226"/>
      <c r="BL87" s="226"/>
      <c r="BM87" s="226"/>
      <c r="BN87" s="226"/>
      <c r="BO87" s="226"/>
      <c r="BP87" s="226"/>
      <c r="BQ87" s="226"/>
      <c r="BR87" s="226"/>
      <c r="BS87" s="226"/>
      <c r="BT87" s="226"/>
      <c r="BU87" s="226"/>
      <c r="BV87" s="226"/>
      <c r="BW87" s="226"/>
      <c r="BX87" s="226"/>
      <c r="BY87" s="226"/>
      <c r="BZ87" s="226"/>
      <c r="CA87" s="226"/>
      <c r="CB87" s="226"/>
      <c r="CC87" s="226"/>
      <c r="CD87" s="226"/>
      <c r="CE87" s="226"/>
      <c r="CF87" s="226"/>
      <c r="CG87" s="226"/>
      <c r="CH87" s="226"/>
      <c r="CI87" s="226"/>
      <c r="CJ87" s="226"/>
      <c r="CK87" s="226"/>
      <c r="CL87" s="226"/>
      <c r="CM87" s="226"/>
      <c r="CN87" s="226"/>
      <c r="CO87" s="226"/>
      <c r="CP87" s="226"/>
      <c r="CQ87" s="226"/>
      <c r="CR87" s="226"/>
      <c r="CS87" s="226"/>
      <c r="CT87" s="226"/>
      <c r="CU87" s="226"/>
      <c r="CV87" s="226"/>
      <c r="CW87" s="226"/>
      <c r="CX87" s="226"/>
      <c r="CY87" s="226"/>
      <c r="CZ87" s="226"/>
      <c r="DA87" s="226"/>
      <c r="DB87" s="226"/>
      <c r="DC87" s="226"/>
      <c r="DD87" s="226"/>
      <c r="DE87" s="226"/>
      <c r="DF87" s="226"/>
      <c r="DG87" s="226"/>
      <c r="DH87" s="226"/>
      <c r="DI87" s="226"/>
      <c r="DJ87" s="226"/>
      <c r="DK87" s="226"/>
      <c r="DL87" s="226"/>
      <c r="DM87" s="226"/>
      <c r="DN87" s="226"/>
      <c r="DO87" s="226"/>
      <c r="DP87" s="226"/>
      <c r="DQ87" s="226"/>
      <c r="DR87" s="226"/>
      <c r="DS87" s="226"/>
      <c r="DT87" s="226"/>
      <c r="DU87" s="226"/>
      <c r="DV87" s="226"/>
      <c r="DW87" s="226"/>
      <c r="DX87" s="226"/>
      <c r="DY87" s="226"/>
      <c r="DZ87" s="226"/>
      <c r="EA87" s="226"/>
      <c r="EB87" s="226"/>
      <c r="EC87" s="226"/>
      <c r="ED87" s="226"/>
      <c r="EE87" s="226"/>
      <c r="EF87" s="226"/>
      <c r="EG87" s="226"/>
      <c r="EH87" s="226"/>
      <c r="EI87" s="226"/>
      <c r="EJ87" s="226"/>
      <c r="EK87" s="226"/>
      <c r="EL87" s="226"/>
      <c r="EM87" s="226"/>
      <c r="EN87" s="226"/>
      <c r="EO87" s="226"/>
      <c r="EP87" s="226"/>
      <c r="EQ87" s="226"/>
      <c r="ER87" s="226"/>
      <c r="ES87" s="226"/>
      <c r="ET87" s="226"/>
      <c r="EU87" s="226"/>
      <c r="EV87" s="226"/>
      <c r="EW87" s="226"/>
      <c r="EX87" s="226"/>
      <c r="EY87" s="226"/>
      <c r="EZ87" s="226"/>
      <c r="FA87" s="226"/>
      <c r="FB87" s="226"/>
      <c r="FC87" s="226"/>
      <c r="FD87" s="226"/>
      <c r="FE87" s="226"/>
      <c r="FF87" s="226"/>
      <c r="FG87" s="226"/>
      <c r="FH87" s="226"/>
      <c r="FI87" s="226"/>
      <c r="FJ87" s="226"/>
      <c r="FK87" s="226"/>
      <c r="FL87" s="226"/>
      <c r="FM87" s="226"/>
      <c r="FN87" s="226"/>
      <c r="FO87" s="226"/>
      <c r="FP87" s="226"/>
      <c r="FQ87" s="226"/>
      <c r="FR87" s="226"/>
      <c r="FS87" s="226"/>
      <c r="FT87" s="226"/>
      <c r="FU87" s="226"/>
      <c r="FV87" s="226"/>
      <c r="FW87" s="226"/>
      <c r="FX87" s="226"/>
      <c r="FY87" s="226"/>
      <c r="FZ87" s="226"/>
      <c r="GA87" s="226"/>
      <c r="GB87" s="226"/>
      <c r="GC87" s="226"/>
      <c r="GD87" s="226"/>
      <c r="GE87" s="226"/>
      <c r="GF87" s="226"/>
      <c r="GG87" s="226"/>
      <c r="GH87" s="226"/>
      <c r="GI87" s="226"/>
      <c r="GJ87" s="226"/>
      <c r="GK87" s="226"/>
      <c r="GL87" s="226"/>
      <c r="GM87" s="226"/>
      <c r="GN87" s="226"/>
      <c r="GO87" s="226"/>
      <c r="GP87" s="226"/>
      <c r="GQ87" s="226"/>
      <c r="GR87" s="226"/>
      <c r="GS87" s="226"/>
      <c r="GT87" s="226"/>
      <c r="GU87" s="226"/>
      <c r="GV87" s="226"/>
      <c r="GW87" s="226"/>
      <c r="GX87" s="226"/>
      <c r="GY87" s="226"/>
      <c r="GZ87" s="226"/>
      <c r="HA87" s="226"/>
      <c r="HB87" s="226"/>
      <c r="HC87" s="226"/>
      <c r="HD87" s="226"/>
      <c r="PX87" s="131"/>
      <c r="PY87" s="131"/>
      <c r="QJ87" s="78" t="s">
        <v>23</v>
      </c>
      <c r="QK87" s="78">
        <f>QE10/2</f>
        <v>0.25</v>
      </c>
      <c r="QL87" s="78">
        <f>QK87</f>
        <v>0.25</v>
      </c>
      <c r="QN87" s="78">
        <f>QK87-(0.03/QC3)</f>
        <v>0.22857142857142856</v>
      </c>
      <c r="QO87" s="78">
        <f>QK87+(0.03/QC3)</f>
        <v>0.27142857142857141</v>
      </c>
      <c r="QQ87" s="78">
        <f>QN87</f>
        <v>0.22857142857142856</v>
      </c>
      <c r="QR87" s="78">
        <f>QO87</f>
        <v>0.27142857142857141</v>
      </c>
      <c r="QT87" s="78">
        <f>QK87</f>
        <v>0.25</v>
      </c>
      <c r="QV87" s="78">
        <f>QK87</f>
        <v>0.25</v>
      </c>
      <c r="QX87" s="78">
        <v>0</v>
      </c>
    </row>
    <row r="88" spans="1:521" ht="14.1" customHeight="1" x14ac:dyDescent="0.2">
      <c r="A88" s="226"/>
      <c r="B88" s="226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  <c r="O88" s="226"/>
      <c r="P88" s="226"/>
      <c r="Q88" s="226"/>
      <c r="R88" s="226"/>
      <c r="S88" s="226"/>
      <c r="T88" s="226"/>
      <c r="U88" s="226"/>
      <c r="V88" s="226"/>
      <c r="W88" s="226"/>
      <c r="X88" s="226"/>
      <c r="Y88" s="226"/>
      <c r="Z88" s="226"/>
      <c r="AA88" s="226"/>
      <c r="AB88" s="226"/>
      <c r="AC88" s="226"/>
      <c r="AD88" s="226"/>
      <c r="AE88" s="226"/>
      <c r="AF88" s="226"/>
      <c r="AG88" s="226"/>
      <c r="AH88" s="226"/>
      <c r="AI88" s="226"/>
      <c r="AJ88" s="226"/>
      <c r="AK88" s="226"/>
      <c r="AL88" s="226"/>
      <c r="AM88" s="226"/>
      <c r="AN88" s="226"/>
      <c r="AO88" s="226"/>
      <c r="AP88" s="226"/>
      <c r="AQ88" s="226"/>
      <c r="AR88" s="226"/>
      <c r="AS88" s="226"/>
      <c r="AT88" s="226"/>
      <c r="AU88" s="226"/>
      <c r="AV88" s="226"/>
      <c r="AW88" s="226"/>
      <c r="AX88" s="226"/>
      <c r="AY88" s="226"/>
      <c r="AZ88" s="226"/>
      <c r="BA88" s="226"/>
      <c r="BB88" s="226"/>
      <c r="BC88" s="226"/>
      <c r="BD88" s="226"/>
      <c r="BE88" s="226"/>
      <c r="BF88" s="226"/>
      <c r="BG88" s="226"/>
      <c r="BH88" s="226"/>
      <c r="BI88" s="226"/>
      <c r="BJ88" s="226"/>
      <c r="BK88" s="226"/>
      <c r="BL88" s="226"/>
      <c r="BM88" s="226"/>
      <c r="BN88" s="226"/>
      <c r="BO88" s="226"/>
      <c r="BP88" s="226"/>
      <c r="BQ88" s="226"/>
      <c r="BR88" s="226"/>
      <c r="BS88" s="226"/>
      <c r="BT88" s="226"/>
      <c r="BU88" s="226"/>
      <c r="BV88" s="226"/>
      <c r="BW88" s="226"/>
      <c r="BX88" s="226"/>
      <c r="BY88" s="226"/>
      <c r="BZ88" s="226"/>
      <c r="CA88" s="226"/>
      <c r="CB88" s="226"/>
      <c r="CC88" s="226"/>
      <c r="CD88" s="226"/>
      <c r="CE88" s="226"/>
      <c r="CF88" s="226"/>
      <c r="CG88" s="226"/>
      <c r="CH88" s="226"/>
      <c r="CI88" s="226"/>
      <c r="CJ88" s="226"/>
      <c r="CK88" s="226"/>
      <c r="CL88" s="226"/>
      <c r="CM88" s="226"/>
      <c r="CN88" s="226"/>
      <c r="CO88" s="226"/>
      <c r="CP88" s="226"/>
      <c r="CQ88" s="226"/>
      <c r="CR88" s="226"/>
      <c r="CS88" s="226"/>
      <c r="CT88" s="226"/>
      <c r="CU88" s="226"/>
      <c r="CV88" s="226"/>
      <c r="CW88" s="226"/>
      <c r="CX88" s="226"/>
      <c r="CY88" s="226"/>
      <c r="CZ88" s="226"/>
      <c r="DA88" s="226"/>
      <c r="DB88" s="226"/>
      <c r="DC88" s="226"/>
      <c r="DD88" s="226"/>
      <c r="DE88" s="226"/>
      <c r="DF88" s="226"/>
      <c r="DG88" s="226"/>
      <c r="DH88" s="226"/>
      <c r="DI88" s="226"/>
      <c r="DJ88" s="226"/>
      <c r="DK88" s="226"/>
      <c r="DL88" s="226"/>
      <c r="DM88" s="226"/>
      <c r="DN88" s="226"/>
      <c r="DO88" s="226"/>
      <c r="DP88" s="226"/>
      <c r="DQ88" s="226"/>
      <c r="DR88" s="226"/>
      <c r="DS88" s="226"/>
      <c r="DT88" s="226"/>
      <c r="DU88" s="226"/>
      <c r="DV88" s="226"/>
      <c r="DW88" s="226"/>
      <c r="DX88" s="226"/>
      <c r="DY88" s="226"/>
      <c r="DZ88" s="226"/>
      <c r="EA88" s="226"/>
      <c r="EB88" s="226"/>
      <c r="EC88" s="226"/>
      <c r="ED88" s="226"/>
      <c r="EE88" s="226"/>
      <c r="EF88" s="226"/>
      <c r="EG88" s="226"/>
      <c r="EH88" s="226"/>
      <c r="EI88" s="226"/>
      <c r="EJ88" s="226"/>
      <c r="EK88" s="226"/>
      <c r="EL88" s="226"/>
      <c r="EM88" s="226"/>
      <c r="EN88" s="226"/>
      <c r="EO88" s="226"/>
      <c r="EP88" s="226"/>
      <c r="EQ88" s="226"/>
      <c r="ER88" s="226"/>
      <c r="ES88" s="226"/>
      <c r="ET88" s="226"/>
      <c r="EU88" s="226"/>
      <c r="EV88" s="226"/>
      <c r="EW88" s="226"/>
      <c r="EX88" s="226"/>
      <c r="EY88" s="226"/>
      <c r="EZ88" s="226"/>
      <c r="FA88" s="226"/>
      <c r="FB88" s="226"/>
      <c r="FC88" s="226"/>
      <c r="FD88" s="226"/>
      <c r="FE88" s="226"/>
      <c r="FF88" s="226"/>
      <c r="FG88" s="226"/>
      <c r="FH88" s="226"/>
      <c r="FI88" s="226"/>
      <c r="FJ88" s="226"/>
      <c r="FK88" s="226"/>
      <c r="FL88" s="226"/>
      <c r="FM88" s="226"/>
      <c r="FN88" s="226"/>
      <c r="FO88" s="226"/>
      <c r="FP88" s="226"/>
      <c r="FQ88" s="226"/>
      <c r="FR88" s="226"/>
      <c r="FS88" s="226"/>
      <c r="FT88" s="226"/>
      <c r="FU88" s="226"/>
      <c r="FV88" s="226"/>
      <c r="FW88" s="226"/>
      <c r="FX88" s="226"/>
      <c r="FY88" s="226"/>
      <c r="FZ88" s="226"/>
      <c r="GA88" s="226"/>
      <c r="GB88" s="226"/>
      <c r="GC88" s="226"/>
      <c r="GD88" s="226"/>
      <c r="GE88" s="226"/>
      <c r="GF88" s="226"/>
      <c r="GG88" s="226"/>
      <c r="GH88" s="226"/>
      <c r="GI88" s="226"/>
      <c r="GJ88" s="226"/>
      <c r="GK88" s="226"/>
      <c r="GL88" s="226"/>
      <c r="GM88" s="226"/>
      <c r="GN88" s="226"/>
      <c r="GO88" s="226"/>
      <c r="GP88" s="226"/>
      <c r="GQ88" s="226"/>
      <c r="GR88" s="226"/>
      <c r="GS88" s="226"/>
      <c r="GT88" s="226"/>
      <c r="GU88" s="226"/>
      <c r="GV88" s="226"/>
      <c r="GW88" s="226"/>
      <c r="GX88" s="226"/>
      <c r="GY88" s="226"/>
      <c r="GZ88" s="226"/>
      <c r="HA88" s="226"/>
      <c r="HB88" s="226"/>
      <c r="HC88" s="226"/>
      <c r="HD88" s="226"/>
      <c r="PX88" s="131"/>
      <c r="PY88" s="131"/>
      <c r="QJ88" s="78" t="s">
        <v>24</v>
      </c>
      <c r="QK88" s="78">
        <f>QG85</f>
        <v>0.4464285714285714</v>
      </c>
      <c r="QL88" s="78">
        <f>QH85</f>
        <v>-0.4464285714285714</v>
      </c>
      <c r="QN88" s="78">
        <f>QK88</f>
        <v>0.4464285714285714</v>
      </c>
      <c r="QO88" s="78">
        <f>QN88</f>
        <v>0.4464285714285714</v>
      </c>
      <c r="QQ88" s="78">
        <f>QL88</f>
        <v>-0.4464285714285714</v>
      </c>
      <c r="QR88" s="78">
        <f>QQ88</f>
        <v>-0.4464285714285714</v>
      </c>
      <c r="QT88" s="78">
        <f>QD85</f>
        <v>0.25</v>
      </c>
      <c r="QV88" s="78">
        <v>0</v>
      </c>
      <c r="QX88" s="78">
        <f>QD61</f>
        <v>-0.10714285714285715</v>
      </c>
    </row>
    <row r="89" spans="1:521" ht="14.1" customHeight="1" x14ac:dyDescent="0.2">
      <c r="A89" s="226"/>
      <c r="B89" s="226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  <c r="O89" s="226"/>
      <c r="P89" s="226"/>
      <c r="Q89" s="226"/>
      <c r="R89" s="226"/>
      <c r="S89" s="226"/>
      <c r="T89" s="226"/>
      <c r="U89" s="226"/>
      <c r="V89" s="226"/>
      <c r="W89" s="226"/>
      <c r="X89" s="226"/>
      <c r="Y89" s="226"/>
      <c r="Z89" s="226"/>
      <c r="AA89" s="226"/>
      <c r="AB89" s="226"/>
      <c r="AC89" s="226"/>
      <c r="AD89" s="226"/>
      <c r="AE89" s="226"/>
      <c r="AF89" s="226"/>
      <c r="AG89" s="226"/>
      <c r="AH89" s="226"/>
      <c r="AI89" s="226"/>
      <c r="AJ89" s="226"/>
      <c r="AK89" s="226"/>
      <c r="AL89" s="226"/>
      <c r="AM89" s="226"/>
      <c r="AN89" s="226"/>
      <c r="AO89" s="226"/>
      <c r="AP89" s="226"/>
      <c r="AQ89" s="226"/>
      <c r="AR89" s="226"/>
      <c r="AS89" s="226"/>
      <c r="AT89" s="226"/>
      <c r="AU89" s="226"/>
      <c r="AV89" s="226"/>
      <c r="AW89" s="226"/>
      <c r="AX89" s="226"/>
      <c r="AY89" s="226"/>
      <c r="AZ89" s="226"/>
      <c r="BA89" s="226"/>
      <c r="BB89" s="226"/>
      <c r="BC89" s="226"/>
      <c r="BD89" s="226"/>
      <c r="BE89" s="226"/>
      <c r="BF89" s="226"/>
      <c r="BG89" s="226"/>
      <c r="BH89" s="226"/>
      <c r="BI89" s="226"/>
      <c r="BJ89" s="226"/>
      <c r="BK89" s="226"/>
      <c r="BL89" s="226"/>
      <c r="BM89" s="226"/>
      <c r="BN89" s="226"/>
      <c r="BO89" s="226"/>
      <c r="BP89" s="226"/>
      <c r="BQ89" s="226"/>
      <c r="BR89" s="226"/>
      <c r="BS89" s="226"/>
      <c r="BT89" s="226"/>
      <c r="BU89" s="226"/>
      <c r="BV89" s="226"/>
      <c r="BW89" s="226"/>
      <c r="BX89" s="226"/>
      <c r="BY89" s="226"/>
      <c r="BZ89" s="226"/>
      <c r="CA89" s="226"/>
      <c r="CB89" s="226"/>
      <c r="CC89" s="226"/>
      <c r="CD89" s="226"/>
      <c r="CE89" s="226"/>
      <c r="CF89" s="226"/>
      <c r="CG89" s="226"/>
      <c r="CH89" s="226"/>
      <c r="CI89" s="226"/>
      <c r="CJ89" s="226"/>
      <c r="CK89" s="226"/>
      <c r="CL89" s="226"/>
      <c r="CM89" s="226"/>
      <c r="CN89" s="226"/>
      <c r="CO89" s="226"/>
      <c r="CP89" s="226"/>
      <c r="CQ89" s="226"/>
      <c r="CR89" s="226"/>
      <c r="CS89" s="226"/>
      <c r="CT89" s="226"/>
      <c r="CU89" s="226"/>
      <c r="CV89" s="226"/>
      <c r="CW89" s="226"/>
      <c r="CX89" s="226"/>
      <c r="CY89" s="226"/>
      <c r="CZ89" s="226"/>
      <c r="DA89" s="226"/>
      <c r="DB89" s="226"/>
      <c r="DC89" s="226"/>
      <c r="DD89" s="226"/>
      <c r="DE89" s="226"/>
      <c r="DF89" s="226"/>
      <c r="DG89" s="226"/>
      <c r="DH89" s="226"/>
      <c r="DI89" s="226"/>
      <c r="DJ89" s="226"/>
      <c r="DK89" s="226"/>
      <c r="DL89" s="226"/>
      <c r="DM89" s="226"/>
      <c r="DN89" s="226"/>
      <c r="DO89" s="226"/>
      <c r="DP89" s="226"/>
      <c r="DQ89" s="226"/>
      <c r="DR89" s="226"/>
      <c r="DS89" s="226"/>
      <c r="DT89" s="226"/>
      <c r="DU89" s="226"/>
      <c r="DV89" s="226"/>
      <c r="DW89" s="226"/>
      <c r="DX89" s="226"/>
      <c r="DY89" s="226"/>
      <c r="DZ89" s="226"/>
      <c r="EA89" s="226"/>
      <c r="EB89" s="226"/>
      <c r="EC89" s="226"/>
      <c r="ED89" s="226"/>
      <c r="EE89" s="226"/>
      <c r="EF89" s="226"/>
      <c r="EG89" s="226"/>
      <c r="EH89" s="226"/>
      <c r="EI89" s="226"/>
      <c r="EJ89" s="226"/>
      <c r="EK89" s="226"/>
      <c r="EL89" s="226"/>
      <c r="EM89" s="226"/>
      <c r="EN89" s="226"/>
      <c r="EO89" s="226"/>
      <c r="EP89" s="226"/>
      <c r="EQ89" s="226"/>
      <c r="ER89" s="226"/>
      <c r="ES89" s="226"/>
      <c r="ET89" s="226"/>
      <c r="EU89" s="226"/>
      <c r="EV89" s="226"/>
      <c r="EW89" s="226"/>
      <c r="EX89" s="226"/>
      <c r="EY89" s="226"/>
      <c r="EZ89" s="226"/>
      <c r="FA89" s="226"/>
      <c r="FB89" s="226"/>
      <c r="FC89" s="226"/>
      <c r="FD89" s="226"/>
      <c r="FE89" s="226"/>
      <c r="FF89" s="226"/>
      <c r="FG89" s="226"/>
      <c r="FH89" s="226"/>
      <c r="FI89" s="226"/>
      <c r="FJ89" s="226"/>
      <c r="FK89" s="226"/>
      <c r="FL89" s="226"/>
      <c r="FM89" s="226"/>
      <c r="FN89" s="226"/>
      <c r="FO89" s="226"/>
      <c r="FP89" s="226"/>
      <c r="FQ89" s="226"/>
      <c r="FR89" s="226"/>
      <c r="FS89" s="226"/>
      <c r="FT89" s="226"/>
      <c r="FU89" s="226"/>
      <c r="FV89" s="226"/>
      <c r="FW89" s="226"/>
      <c r="FX89" s="226"/>
      <c r="FY89" s="226"/>
      <c r="FZ89" s="226"/>
      <c r="GA89" s="226"/>
      <c r="GB89" s="226"/>
      <c r="GC89" s="226"/>
      <c r="GD89" s="226"/>
      <c r="GE89" s="226"/>
      <c r="GF89" s="226"/>
      <c r="GG89" s="226"/>
      <c r="GH89" s="226"/>
      <c r="GI89" s="226"/>
      <c r="GJ89" s="226"/>
      <c r="GK89" s="226"/>
      <c r="GL89" s="226"/>
      <c r="GM89" s="226"/>
      <c r="GN89" s="226"/>
      <c r="GO89" s="226"/>
      <c r="GP89" s="226"/>
      <c r="GQ89" s="226"/>
      <c r="GR89" s="226"/>
      <c r="GS89" s="226"/>
      <c r="GT89" s="226"/>
      <c r="GU89" s="226"/>
      <c r="GV89" s="226"/>
      <c r="GW89" s="226"/>
      <c r="GX89" s="226"/>
      <c r="GY89" s="226"/>
      <c r="GZ89" s="226"/>
      <c r="HA89" s="226"/>
      <c r="HB89" s="226"/>
      <c r="HC89" s="226"/>
      <c r="HD89" s="226"/>
      <c r="PX89" s="131"/>
      <c r="PY89" s="131"/>
    </row>
    <row r="90" spans="1:521" ht="14.1" customHeight="1" x14ac:dyDescent="0.2">
      <c r="A90" s="226"/>
      <c r="B90" s="226"/>
      <c r="C90" s="226"/>
      <c r="D90" s="226"/>
      <c r="E90" s="226"/>
      <c r="F90" s="226"/>
      <c r="G90" s="226"/>
      <c r="H90" s="226"/>
      <c r="I90" s="226"/>
      <c r="J90" s="226"/>
      <c r="K90" s="226"/>
      <c r="L90" s="226"/>
      <c r="M90" s="226"/>
      <c r="N90" s="226"/>
      <c r="O90" s="226"/>
      <c r="P90" s="226"/>
      <c r="Q90" s="226"/>
      <c r="R90" s="226"/>
      <c r="S90" s="226"/>
      <c r="T90" s="226"/>
      <c r="U90" s="226"/>
      <c r="V90" s="226"/>
      <c r="W90" s="226"/>
      <c r="X90" s="226"/>
      <c r="Y90" s="226"/>
      <c r="Z90" s="226"/>
      <c r="AA90" s="226"/>
      <c r="AB90" s="226"/>
      <c r="AC90" s="226"/>
      <c r="AD90" s="226"/>
      <c r="AE90" s="226"/>
      <c r="AF90" s="226"/>
      <c r="AG90" s="226"/>
      <c r="AH90" s="226"/>
      <c r="AI90" s="226"/>
      <c r="AJ90" s="226"/>
      <c r="AK90" s="226"/>
      <c r="AL90" s="226"/>
      <c r="AM90" s="226"/>
      <c r="AN90" s="226"/>
      <c r="AO90" s="226"/>
      <c r="AP90" s="226"/>
      <c r="AQ90" s="226"/>
      <c r="AR90" s="226"/>
      <c r="AS90" s="226"/>
      <c r="AT90" s="226"/>
      <c r="AU90" s="226"/>
      <c r="AV90" s="226"/>
      <c r="AW90" s="226"/>
      <c r="AX90" s="226"/>
      <c r="AY90" s="226"/>
      <c r="AZ90" s="226"/>
      <c r="BA90" s="226"/>
      <c r="BB90" s="226"/>
      <c r="BC90" s="226"/>
      <c r="BD90" s="226"/>
      <c r="BE90" s="226"/>
      <c r="BF90" s="226"/>
      <c r="BG90" s="226"/>
      <c r="BH90" s="226"/>
      <c r="BI90" s="226"/>
      <c r="BJ90" s="226"/>
      <c r="BK90" s="226"/>
      <c r="BL90" s="226"/>
      <c r="BM90" s="226"/>
      <c r="BN90" s="226"/>
      <c r="BO90" s="226"/>
      <c r="BP90" s="226"/>
      <c r="BQ90" s="226"/>
      <c r="BR90" s="226"/>
      <c r="BS90" s="226"/>
      <c r="BT90" s="226"/>
      <c r="BU90" s="226"/>
      <c r="BV90" s="226"/>
      <c r="BW90" s="226"/>
      <c r="BX90" s="226"/>
      <c r="BY90" s="226"/>
      <c r="BZ90" s="226"/>
      <c r="CA90" s="226"/>
      <c r="CB90" s="226"/>
      <c r="CC90" s="226"/>
      <c r="CD90" s="226"/>
      <c r="CE90" s="226"/>
      <c r="CF90" s="226"/>
      <c r="CG90" s="226"/>
      <c r="CH90" s="226"/>
      <c r="CI90" s="226"/>
      <c r="CJ90" s="226"/>
      <c r="CK90" s="226"/>
      <c r="CL90" s="226"/>
      <c r="CM90" s="226"/>
      <c r="CN90" s="226"/>
      <c r="CO90" s="226"/>
      <c r="CP90" s="226"/>
      <c r="CQ90" s="226"/>
      <c r="CR90" s="226"/>
      <c r="CS90" s="226"/>
      <c r="CT90" s="226"/>
      <c r="CU90" s="226"/>
      <c r="CV90" s="226"/>
      <c r="CW90" s="226"/>
      <c r="CX90" s="226"/>
      <c r="CY90" s="226"/>
      <c r="CZ90" s="226"/>
      <c r="DA90" s="226"/>
      <c r="DB90" s="226"/>
      <c r="DC90" s="226"/>
      <c r="DD90" s="226"/>
      <c r="DE90" s="226"/>
      <c r="DF90" s="226"/>
      <c r="DG90" s="226"/>
      <c r="DH90" s="226"/>
      <c r="DI90" s="226"/>
      <c r="DJ90" s="226"/>
      <c r="DK90" s="226"/>
      <c r="DL90" s="226"/>
      <c r="DM90" s="226"/>
      <c r="DN90" s="226"/>
      <c r="DO90" s="226"/>
      <c r="DP90" s="226"/>
      <c r="DQ90" s="226"/>
      <c r="DR90" s="226"/>
      <c r="DS90" s="226"/>
      <c r="DT90" s="226"/>
      <c r="DU90" s="226"/>
      <c r="DV90" s="226"/>
      <c r="DW90" s="226"/>
      <c r="DX90" s="226"/>
      <c r="DY90" s="226"/>
      <c r="DZ90" s="226"/>
      <c r="EA90" s="226"/>
      <c r="EB90" s="226"/>
      <c r="EC90" s="226"/>
      <c r="ED90" s="226"/>
      <c r="EE90" s="226"/>
      <c r="EF90" s="226"/>
      <c r="EG90" s="226"/>
      <c r="EH90" s="226"/>
      <c r="EI90" s="226"/>
      <c r="EJ90" s="226"/>
      <c r="EK90" s="226"/>
      <c r="EL90" s="226"/>
      <c r="EM90" s="226"/>
      <c r="EN90" s="226"/>
      <c r="EO90" s="226"/>
      <c r="EP90" s="226"/>
      <c r="EQ90" s="226"/>
      <c r="ER90" s="226"/>
      <c r="ES90" s="226"/>
      <c r="ET90" s="226"/>
      <c r="EU90" s="226"/>
      <c r="EV90" s="226"/>
      <c r="EW90" s="226"/>
      <c r="EX90" s="226"/>
      <c r="EY90" s="226"/>
      <c r="EZ90" s="226"/>
      <c r="FA90" s="226"/>
      <c r="FB90" s="226"/>
      <c r="FC90" s="226"/>
      <c r="FD90" s="226"/>
      <c r="FE90" s="226"/>
      <c r="FF90" s="226"/>
      <c r="FG90" s="226"/>
      <c r="FH90" s="226"/>
      <c r="FI90" s="226"/>
      <c r="FJ90" s="226"/>
      <c r="FK90" s="226"/>
      <c r="FL90" s="226"/>
      <c r="FM90" s="226"/>
      <c r="FN90" s="226"/>
      <c r="FO90" s="226"/>
      <c r="FP90" s="226"/>
      <c r="FQ90" s="226"/>
      <c r="FR90" s="226"/>
      <c r="FS90" s="226"/>
      <c r="FT90" s="226"/>
      <c r="FU90" s="226"/>
      <c r="FV90" s="226"/>
      <c r="FW90" s="226"/>
      <c r="FX90" s="226"/>
      <c r="FY90" s="226"/>
      <c r="FZ90" s="226"/>
      <c r="GA90" s="226"/>
      <c r="GB90" s="226"/>
      <c r="GC90" s="226"/>
      <c r="GD90" s="226"/>
      <c r="GE90" s="226"/>
      <c r="GF90" s="226"/>
      <c r="GG90" s="226"/>
      <c r="GH90" s="226"/>
      <c r="GI90" s="226"/>
      <c r="GJ90" s="226"/>
      <c r="GK90" s="226"/>
      <c r="GL90" s="226"/>
      <c r="GM90" s="226"/>
      <c r="GN90" s="226"/>
      <c r="GO90" s="226"/>
      <c r="GP90" s="226"/>
      <c r="GQ90" s="226"/>
      <c r="GR90" s="226"/>
      <c r="GS90" s="226"/>
      <c r="GT90" s="226"/>
      <c r="GU90" s="226"/>
      <c r="GV90" s="226"/>
      <c r="GW90" s="226"/>
      <c r="GX90" s="226"/>
      <c r="GY90" s="226"/>
      <c r="GZ90" s="226"/>
      <c r="HA90" s="226"/>
      <c r="HB90" s="226"/>
      <c r="HC90" s="226"/>
      <c r="HD90" s="226"/>
      <c r="PX90" s="302"/>
      <c r="PY90" s="302"/>
    </row>
    <row r="91" spans="1:521" ht="14.1" customHeight="1" x14ac:dyDescent="0.2">
      <c r="A91" s="226"/>
      <c r="B91" s="226"/>
      <c r="C91" s="226"/>
      <c r="D91" s="226"/>
      <c r="E91" s="226"/>
      <c r="F91" s="226"/>
      <c r="G91" s="226"/>
      <c r="H91" s="226"/>
      <c r="I91" s="226"/>
      <c r="J91" s="226"/>
      <c r="K91" s="226"/>
      <c r="L91" s="226"/>
      <c r="M91" s="226"/>
      <c r="N91" s="226"/>
      <c r="O91" s="226"/>
      <c r="P91" s="226"/>
      <c r="Q91" s="226"/>
      <c r="R91" s="226"/>
      <c r="S91" s="226"/>
      <c r="T91" s="226"/>
      <c r="U91" s="226"/>
      <c r="V91" s="226"/>
      <c r="W91" s="226"/>
      <c r="X91" s="226"/>
      <c r="Y91" s="226"/>
      <c r="Z91" s="226"/>
      <c r="AA91" s="226"/>
      <c r="AB91" s="226"/>
      <c r="AC91" s="226"/>
      <c r="AD91" s="226"/>
      <c r="AE91" s="226"/>
      <c r="AF91" s="226"/>
      <c r="AG91" s="226"/>
      <c r="AH91" s="226"/>
      <c r="AI91" s="226"/>
      <c r="AJ91" s="226"/>
      <c r="AK91" s="226"/>
      <c r="AL91" s="226"/>
      <c r="AM91" s="226"/>
      <c r="AN91" s="226"/>
      <c r="AO91" s="226"/>
      <c r="AP91" s="226"/>
      <c r="AQ91" s="226"/>
      <c r="AR91" s="226"/>
      <c r="AS91" s="226"/>
      <c r="AT91" s="226"/>
      <c r="AU91" s="226"/>
      <c r="AV91" s="226"/>
      <c r="AW91" s="226"/>
      <c r="AX91" s="226"/>
      <c r="AY91" s="226"/>
      <c r="AZ91" s="226"/>
      <c r="BA91" s="226"/>
      <c r="BB91" s="226"/>
      <c r="BC91" s="226"/>
      <c r="BD91" s="226"/>
      <c r="BE91" s="226"/>
      <c r="BF91" s="226"/>
      <c r="BG91" s="226"/>
      <c r="BH91" s="226"/>
      <c r="BI91" s="226"/>
      <c r="BJ91" s="226"/>
      <c r="BK91" s="226"/>
      <c r="BL91" s="226"/>
      <c r="BM91" s="226"/>
      <c r="BN91" s="226"/>
      <c r="BO91" s="226"/>
      <c r="BP91" s="226"/>
      <c r="BQ91" s="226"/>
      <c r="BR91" s="226"/>
      <c r="BS91" s="226"/>
      <c r="BT91" s="226"/>
      <c r="BU91" s="226"/>
      <c r="BV91" s="226"/>
      <c r="BW91" s="226"/>
      <c r="BX91" s="226"/>
      <c r="BY91" s="226"/>
      <c r="BZ91" s="226"/>
      <c r="CA91" s="226"/>
      <c r="CB91" s="226"/>
      <c r="CC91" s="226"/>
      <c r="CD91" s="226"/>
      <c r="CE91" s="226"/>
      <c r="CF91" s="226"/>
      <c r="CG91" s="226"/>
      <c r="CH91" s="226"/>
      <c r="CI91" s="226"/>
      <c r="CJ91" s="226"/>
      <c r="CK91" s="226"/>
      <c r="CL91" s="226"/>
      <c r="CM91" s="226"/>
      <c r="CN91" s="226"/>
      <c r="CO91" s="226"/>
      <c r="CP91" s="226"/>
      <c r="CQ91" s="226"/>
      <c r="CR91" s="226"/>
      <c r="CS91" s="226"/>
      <c r="CT91" s="226"/>
      <c r="CU91" s="226"/>
      <c r="CV91" s="226"/>
      <c r="CW91" s="226"/>
      <c r="CX91" s="226"/>
      <c r="CY91" s="226"/>
      <c r="CZ91" s="226"/>
      <c r="DA91" s="226"/>
      <c r="DB91" s="226"/>
      <c r="DC91" s="226"/>
      <c r="DD91" s="226"/>
      <c r="DE91" s="226"/>
      <c r="DF91" s="226"/>
      <c r="DG91" s="226"/>
      <c r="DH91" s="226"/>
      <c r="DI91" s="226"/>
      <c r="DJ91" s="226"/>
      <c r="DK91" s="226"/>
      <c r="DL91" s="226"/>
      <c r="DM91" s="226"/>
      <c r="DN91" s="226"/>
      <c r="DO91" s="226"/>
      <c r="DP91" s="226"/>
      <c r="DQ91" s="226"/>
      <c r="DR91" s="226"/>
      <c r="DS91" s="226"/>
      <c r="DT91" s="226"/>
      <c r="DU91" s="226"/>
      <c r="DV91" s="226"/>
      <c r="DW91" s="226"/>
      <c r="DX91" s="226"/>
      <c r="DY91" s="226"/>
      <c r="DZ91" s="226"/>
      <c r="EA91" s="226"/>
      <c r="EB91" s="226"/>
      <c r="EC91" s="226"/>
      <c r="ED91" s="226"/>
      <c r="EE91" s="226"/>
      <c r="EF91" s="226"/>
      <c r="EG91" s="226"/>
      <c r="EH91" s="226"/>
      <c r="EI91" s="226"/>
      <c r="EJ91" s="226"/>
      <c r="EK91" s="226"/>
      <c r="EL91" s="226"/>
      <c r="EM91" s="226"/>
      <c r="EN91" s="226"/>
      <c r="EO91" s="226"/>
      <c r="EP91" s="226"/>
      <c r="EQ91" s="226"/>
      <c r="ER91" s="226"/>
      <c r="ES91" s="226"/>
      <c r="ET91" s="226"/>
      <c r="EU91" s="226"/>
      <c r="EV91" s="226"/>
      <c r="EW91" s="226"/>
      <c r="EX91" s="226"/>
      <c r="EY91" s="226"/>
      <c r="EZ91" s="226"/>
      <c r="FA91" s="226"/>
      <c r="FB91" s="226"/>
      <c r="FC91" s="226"/>
      <c r="FD91" s="226"/>
      <c r="FE91" s="226"/>
      <c r="FF91" s="226"/>
      <c r="FG91" s="226"/>
      <c r="FH91" s="226"/>
      <c r="FI91" s="226"/>
      <c r="FJ91" s="226"/>
      <c r="FK91" s="226"/>
      <c r="FL91" s="226"/>
      <c r="FM91" s="226"/>
      <c r="FN91" s="226"/>
      <c r="FO91" s="226"/>
      <c r="FP91" s="226"/>
      <c r="FQ91" s="226"/>
      <c r="FR91" s="226"/>
      <c r="FS91" s="226"/>
      <c r="FT91" s="226"/>
      <c r="FU91" s="226"/>
      <c r="FV91" s="226"/>
      <c r="FW91" s="226"/>
      <c r="FX91" s="226"/>
      <c r="FY91" s="226"/>
      <c r="FZ91" s="226"/>
      <c r="GA91" s="226"/>
      <c r="GB91" s="226"/>
      <c r="GC91" s="226"/>
      <c r="GD91" s="226"/>
      <c r="GE91" s="226"/>
      <c r="GF91" s="226"/>
      <c r="GG91" s="226"/>
      <c r="GH91" s="226"/>
      <c r="GI91" s="226"/>
      <c r="GJ91" s="226"/>
      <c r="GK91" s="226"/>
      <c r="GL91" s="226"/>
      <c r="GM91" s="226"/>
      <c r="GN91" s="226"/>
      <c r="GO91" s="226"/>
      <c r="GP91" s="226"/>
      <c r="GQ91" s="226"/>
      <c r="GR91" s="226"/>
      <c r="GS91" s="226"/>
      <c r="GT91" s="226"/>
      <c r="GU91" s="226"/>
      <c r="GV91" s="226"/>
      <c r="GW91" s="226"/>
      <c r="GX91" s="226"/>
      <c r="GY91" s="226"/>
      <c r="GZ91" s="226"/>
      <c r="HA91" s="226"/>
      <c r="HB91" s="226"/>
      <c r="HC91" s="226"/>
      <c r="HD91" s="226"/>
      <c r="PX91" s="302"/>
      <c r="PY91" s="302"/>
    </row>
    <row r="92" spans="1:521" ht="14.1" customHeight="1" x14ac:dyDescent="0.2">
      <c r="A92" s="226"/>
      <c r="B92" s="226"/>
      <c r="C92" s="226"/>
      <c r="D92" s="226"/>
      <c r="E92" s="226"/>
      <c r="F92" s="226"/>
      <c r="G92" s="226"/>
      <c r="H92" s="226"/>
      <c r="I92" s="226"/>
      <c r="J92" s="226"/>
      <c r="K92" s="226"/>
      <c r="L92" s="226"/>
      <c r="M92" s="226"/>
      <c r="N92" s="226"/>
      <c r="O92" s="226"/>
      <c r="P92" s="226"/>
      <c r="Q92" s="226"/>
      <c r="R92" s="226"/>
      <c r="S92" s="226"/>
      <c r="T92" s="226"/>
      <c r="U92" s="226"/>
      <c r="V92" s="226"/>
      <c r="W92" s="226"/>
      <c r="X92" s="226"/>
      <c r="Y92" s="226"/>
      <c r="Z92" s="226"/>
      <c r="AA92" s="226"/>
      <c r="AB92" s="226"/>
      <c r="AC92" s="226"/>
      <c r="AD92" s="226"/>
      <c r="AE92" s="226"/>
      <c r="AF92" s="226"/>
      <c r="AG92" s="226"/>
      <c r="AH92" s="226"/>
      <c r="AI92" s="226"/>
      <c r="AJ92" s="226"/>
      <c r="AK92" s="226"/>
      <c r="AL92" s="226"/>
      <c r="AM92" s="226"/>
      <c r="AN92" s="226"/>
      <c r="AO92" s="226"/>
      <c r="AP92" s="226"/>
      <c r="AQ92" s="226"/>
      <c r="AR92" s="226"/>
      <c r="AS92" s="226"/>
      <c r="AT92" s="226"/>
      <c r="AU92" s="226"/>
      <c r="AV92" s="226"/>
      <c r="AW92" s="226"/>
      <c r="AX92" s="226"/>
      <c r="AY92" s="226"/>
      <c r="AZ92" s="226"/>
      <c r="BA92" s="226"/>
      <c r="BB92" s="226"/>
      <c r="BC92" s="226"/>
      <c r="BD92" s="226"/>
      <c r="BE92" s="226"/>
      <c r="BF92" s="226"/>
      <c r="BG92" s="226"/>
      <c r="BH92" s="226"/>
      <c r="BI92" s="226"/>
      <c r="BJ92" s="226"/>
      <c r="BK92" s="226"/>
      <c r="BL92" s="226"/>
      <c r="BM92" s="226"/>
      <c r="BN92" s="226"/>
      <c r="BO92" s="226"/>
      <c r="BP92" s="226"/>
      <c r="BQ92" s="226"/>
      <c r="BR92" s="226"/>
      <c r="BS92" s="226"/>
      <c r="BT92" s="226"/>
      <c r="BU92" s="226"/>
      <c r="BV92" s="226"/>
      <c r="BW92" s="226"/>
      <c r="BX92" s="226"/>
      <c r="BY92" s="226"/>
      <c r="BZ92" s="226"/>
      <c r="CA92" s="226"/>
      <c r="CB92" s="226"/>
      <c r="CC92" s="226"/>
      <c r="CD92" s="226"/>
      <c r="CE92" s="226"/>
      <c r="CF92" s="226"/>
      <c r="CG92" s="226"/>
      <c r="CH92" s="226"/>
      <c r="CI92" s="226"/>
      <c r="CJ92" s="226"/>
      <c r="CK92" s="226"/>
      <c r="CL92" s="226"/>
      <c r="CM92" s="226"/>
      <c r="CN92" s="226"/>
      <c r="CO92" s="226"/>
      <c r="CP92" s="226"/>
      <c r="CQ92" s="226"/>
      <c r="CR92" s="226"/>
      <c r="CS92" s="226"/>
      <c r="CT92" s="226"/>
      <c r="CU92" s="226"/>
      <c r="CV92" s="226"/>
      <c r="CW92" s="226"/>
      <c r="CX92" s="226"/>
      <c r="CY92" s="226"/>
      <c r="CZ92" s="226"/>
      <c r="DA92" s="226"/>
      <c r="DB92" s="226"/>
      <c r="DC92" s="226"/>
      <c r="DD92" s="226"/>
      <c r="DE92" s="226"/>
      <c r="DF92" s="226"/>
      <c r="DG92" s="226"/>
      <c r="DH92" s="226"/>
      <c r="DI92" s="226"/>
      <c r="DJ92" s="226"/>
      <c r="DK92" s="226"/>
      <c r="DL92" s="226"/>
      <c r="DM92" s="226"/>
      <c r="DN92" s="226"/>
      <c r="DO92" s="226"/>
      <c r="DP92" s="226"/>
      <c r="DQ92" s="226"/>
      <c r="DR92" s="226"/>
      <c r="DS92" s="226"/>
      <c r="DT92" s="226"/>
      <c r="DU92" s="226"/>
      <c r="DV92" s="226"/>
      <c r="DW92" s="226"/>
      <c r="DX92" s="226"/>
      <c r="DY92" s="226"/>
      <c r="DZ92" s="226"/>
      <c r="EA92" s="226"/>
      <c r="EB92" s="226"/>
      <c r="EC92" s="226"/>
      <c r="ED92" s="226"/>
      <c r="EE92" s="226"/>
      <c r="EF92" s="226"/>
      <c r="EG92" s="226"/>
      <c r="EH92" s="226"/>
      <c r="EI92" s="226"/>
      <c r="EJ92" s="226"/>
      <c r="EK92" s="226"/>
      <c r="EL92" s="226"/>
      <c r="EM92" s="226"/>
      <c r="EN92" s="226"/>
      <c r="EO92" s="226"/>
      <c r="EP92" s="226"/>
      <c r="EQ92" s="226"/>
      <c r="ER92" s="226"/>
      <c r="ES92" s="226"/>
      <c r="ET92" s="226"/>
      <c r="EU92" s="226"/>
      <c r="EV92" s="226"/>
      <c r="EW92" s="226"/>
      <c r="EX92" s="226"/>
      <c r="EY92" s="226"/>
      <c r="EZ92" s="226"/>
      <c r="FA92" s="226"/>
      <c r="FB92" s="226"/>
      <c r="FC92" s="226"/>
      <c r="FD92" s="226"/>
      <c r="FE92" s="226"/>
      <c r="FF92" s="226"/>
      <c r="FG92" s="226"/>
      <c r="FH92" s="226"/>
      <c r="FI92" s="226"/>
      <c r="FJ92" s="226"/>
      <c r="FK92" s="226"/>
      <c r="FL92" s="226"/>
      <c r="FM92" s="226"/>
      <c r="FN92" s="226"/>
      <c r="FO92" s="226"/>
      <c r="FP92" s="226"/>
      <c r="FQ92" s="226"/>
      <c r="FR92" s="226"/>
      <c r="FS92" s="226"/>
      <c r="FT92" s="226"/>
      <c r="FU92" s="226"/>
      <c r="FV92" s="226"/>
      <c r="FW92" s="226"/>
      <c r="FX92" s="226"/>
      <c r="FY92" s="226"/>
      <c r="FZ92" s="226"/>
      <c r="GA92" s="226"/>
      <c r="GB92" s="226"/>
      <c r="GC92" s="226"/>
      <c r="GD92" s="226"/>
      <c r="GE92" s="226"/>
      <c r="GF92" s="226"/>
      <c r="GG92" s="226"/>
      <c r="GH92" s="226"/>
      <c r="GI92" s="226"/>
      <c r="GJ92" s="226"/>
      <c r="GK92" s="226"/>
      <c r="GL92" s="226"/>
      <c r="GM92" s="226"/>
      <c r="GN92" s="226"/>
      <c r="GO92" s="226"/>
      <c r="GP92" s="226"/>
      <c r="GQ92" s="226"/>
      <c r="GR92" s="226"/>
      <c r="GS92" s="226"/>
      <c r="GT92" s="226"/>
      <c r="GU92" s="226"/>
      <c r="GV92" s="226"/>
      <c r="GW92" s="226"/>
      <c r="GX92" s="226"/>
      <c r="GY92" s="226"/>
      <c r="GZ92" s="226"/>
      <c r="HA92" s="226"/>
      <c r="HB92" s="226"/>
      <c r="HC92" s="226"/>
      <c r="HD92" s="226"/>
      <c r="PX92" s="302"/>
      <c r="PY92" s="302"/>
    </row>
    <row r="93" spans="1:521" ht="14.1" customHeight="1" x14ac:dyDescent="0.2">
      <c r="A93" s="226"/>
      <c r="B93" s="226"/>
      <c r="C93" s="226"/>
      <c r="D93" s="226"/>
      <c r="E93" s="226"/>
      <c r="F93" s="226"/>
      <c r="G93" s="226"/>
      <c r="H93" s="226"/>
      <c r="I93" s="226"/>
      <c r="J93" s="226"/>
      <c r="K93" s="226"/>
      <c r="L93" s="226"/>
      <c r="M93" s="226"/>
      <c r="N93" s="226"/>
      <c r="O93" s="226"/>
      <c r="P93" s="226"/>
      <c r="Q93" s="226"/>
      <c r="R93" s="226"/>
      <c r="S93" s="226"/>
      <c r="T93" s="226"/>
      <c r="U93" s="226"/>
      <c r="V93" s="226"/>
      <c r="W93" s="226"/>
      <c r="X93" s="226"/>
      <c r="Y93" s="226"/>
      <c r="Z93" s="226"/>
      <c r="AA93" s="226"/>
      <c r="AB93" s="226"/>
      <c r="AC93" s="226"/>
      <c r="AD93" s="226"/>
      <c r="AE93" s="226"/>
      <c r="AF93" s="226"/>
      <c r="AG93" s="226"/>
      <c r="AH93" s="226"/>
      <c r="AI93" s="226"/>
      <c r="AJ93" s="226"/>
      <c r="AK93" s="226"/>
      <c r="AL93" s="226"/>
      <c r="AM93" s="226"/>
      <c r="AN93" s="226"/>
      <c r="AO93" s="226"/>
      <c r="AP93" s="226"/>
      <c r="AQ93" s="226"/>
      <c r="AR93" s="226"/>
      <c r="AS93" s="226"/>
      <c r="AT93" s="226"/>
      <c r="AU93" s="226"/>
      <c r="AV93" s="226"/>
      <c r="AW93" s="226"/>
      <c r="AX93" s="226"/>
      <c r="AY93" s="226"/>
      <c r="AZ93" s="226"/>
      <c r="BA93" s="226"/>
      <c r="BB93" s="226"/>
      <c r="BC93" s="226"/>
      <c r="BD93" s="226"/>
      <c r="BE93" s="226"/>
      <c r="BF93" s="226"/>
      <c r="BG93" s="226"/>
      <c r="BH93" s="226"/>
      <c r="BI93" s="226"/>
      <c r="BJ93" s="226"/>
      <c r="BK93" s="226"/>
      <c r="BL93" s="226"/>
      <c r="BM93" s="226"/>
      <c r="BN93" s="226"/>
      <c r="BO93" s="226"/>
      <c r="BP93" s="226"/>
      <c r="BQ93" s="226"/>
      <c r="BR93" s="226"/>
      <c r="BS93" s="226"/>
      <c r="BT93" s="226"/>
      <c r="BU93" s="226"/>
      <c r="BV93" s="226"/>
      <c r="BW93" s="226"/>
      <c r="BX93" s="226"/>
      <c r="BY93" s="226"/>
      <c r="BZ93" s="226"/>
      <c r="CA93" s="226"/>
      <c r="CB93" s="226"/>
      <c r="CC93" s="226"/>
      <c r="CD93" s="226"/>
      <c r="CE93" s="226"/>
      <c r="CF93" s="226"/>
      <c r="CG93" s="226"/>
      <c r="CH93" s="226"/>
      <c r="CI93" s="226"/>
      <c r="CJ93" s="226"/>
      <c r="CK93" s="226"/>
      <c r="CL93" s="226"/>
      <c r="CM93" s="226"/>
      <c r="CN93" s="226"/>
      <c r="CO93" s="226"/>
      <c r="CP93" s="226"/>
      <c r="CQ93" s="226"/>
      <c r="CR93" s="226"/>
      <c r="CS93" s="226"/>
      <c r="CT93" s="226"/>
      <c r="CU93" s="226"/>
      <c r="CV93" s="226"/>
      <c r="CW93" s="226"/>
      <c r="CX93" s="226"/>
      <c r="CY93" s="226"/>
      <c r="CZ93" s="226"/>
      <c r="DA93" s="226"/>
      <c r="DB93" s="226"/>
      <c r="DC93" s="226"/>
      <c r="DD93" s="226"/>
      <c r="DE93" s="226"/>
      <c r="DF93" s="226"/>
      <c r="DG93" s="226"/>
      <c r="DH93" s="226"/>
      <c r="DI93" s="226"/>
      <c r="DJ93" s="226"/>
      <c r="DK93" s="226"/>
      <c r="DL93" s="226"/>
      <c r="DM93" s="226"/>
      <c r="DN93" s="226"/>
      <c r="DO93" s="226"/>
      <c r="DP93" s="226"/>
      <c r="DQ93" s="226"/>
      <c r="DR93" s="226"/>
      <c r="DS93" s="226"/>
      <c r="DT93" s="226"/>
      <c r="DU93" s="226"/>
      <c r="DV93" s="226"/>
      <c r="DW93" s="226"/>
      <c r="DX93" s="226"/>
      <c r="DY93" s="226"/>
      <c r="DZ93" s="226"/>
      <c r="EA93" s="226"/>
      <c r="EB93" s="226"/>
      <c r="EC93" s="226"/>
      <c r="ED93" s="226"/>
      <c r="EE93" s="226"/>
      <c r="EF93" s="226"/>
      <c r="EG93" s="226"/>
      <c r="EH93" s="226"/>
      <c r="EI93" s="226"/>
      <c r="EJ93" s="226"/>
      <c r="EK93" s="226"/>
      <c r="EL93" s="226"/>
      <c r="EM93" s="226"/>
      <c r="EN93" s="226"/>
      <c r="EO93" s="226"/>
      <c r="EP93" s="226"/>
      <c r="EQ93" s="226"/>
      <c r="ER93" s="226"/>
      <c r="ES93" s="226"/>
      <c r="ET93" s="226"/>
      <c r="EU93" s="226"/>
      <c r="EV93" s="226"/>
      <c r="EW93" s="226"/>
      <c r="EX93" s="226"/>
      <c r="EY93" s="226"/>
      <c r="EZ93" s="226"/>
      <c r="FA93" s="226"/>
      <c r="FB93" s="226"/>
      <c r="FC93" s="226"/>
      <c r="FD93" s="226"/>
      <c r="FE93" s="226"/>
      <c r="FF93" s="226"/>
      <c r="FG93" s="226"/>
      <c r="FH93" s="226"/>
      <c r="FI93" s="226"/>
      <c r="FJ93" s="226"/>
      <c r="FK93" s="226"/>
      <c r="FL93" s="226"/>
      <c r="FM93" s="226"/>
      <c r="FN93" s="226"/>
      <c r="FO93" s="226"/>
      <c r="FP93" s="226"/>
      <c r="FQ93" s="226"/>
      <c r="FR93" s="226"/>
      <c r="FS93" s="226"/>
      <c r="FT93" s="226"/>
      <c r="FU93" s="226"/>
      <c r="FV93" s="226"/>
      <c r="FW93" s="226"/>
      <c r="FX93" s="226"/>
      <c r="FY93" s="226"/>
      <c r="FZ93" s="226"/>
      <c r="GA93" s="226"/>
      <c r="GB93" s="226"/>
      <c r="GC93" s="226"/>
      <c r="GD93" s="226"/>
      <c r="GE93" s="226"/>
      <c r="GF93" s="226"/>
      <c r="GG93" s="226"/>
      <c r="GH93" s="226"/>
      <c r="GI93" s="226"/>
      <c r="GJ93" s="226"/>
      <c r="GK93" s="226"/>
      <c r="GL93" s="226"/>
      <c r="GM93" s="226"/>
      <c r="GN93" s="226"/>
      <c r="GO93" s="226"/>
      <c r="GP93" s="226"/>
      <c r="GQ93" s="226"/>
      <c r="GR93" s="226"/>
      <c r="GS93" s="226"/>
      <c r="GT93" s="226"/>
      <c r="GU93" s="226"/>
      <c r="GV93" s="226"/>
      <c r="GW93" s="226"/>
      <c r="GX93" s="226"/>
      <c r="GY93" s="226"/>
      <c r="GZ93" s="226"/>
      <c r="HA93" s="226"/>
      <c r="HB93" s="226"/>
      <c r="HC93" s="226"/>
      <c r="HD93" s="226"/>
      <c r="PX93" s="302"/>
      <c r="PY93" s="302"/>
    </row>
    <row r="94" spans="1:521" ht="14.1" customHeight="1" x14ac:dyDescent="0.2">
      <c r="A94" s="226"/>
      <c r="B94" s="226"/>
      <c r="C94" s="226"/>
      <c r="D94" s="226"/>
      <c r="E94" s="226"/>
      <c r="F94" s="226"/>
      <c r="G94" s="226"/>
      <c r="H94" s="226"/>
      <c r="I94" s="226"/>
      <c r="J94" s="226"/>
      <c r="K94" s="226"/>
      <c r="L94" s="226"/>
      <c r="M94" s="226"/>
      <c r="N94" s="226"/>
      <c r="O94" s="226"/>
      <c r="P94" s="226"/>
      <c r="Q94" s="226"/>
      <c r="R94" s="226"/>
      <c r="S94" s="226"/>
      <c r="T94" s="226"/>
      <c r="U94" s="226"/>
      <c r="V94" s="226"/>
      <c r="W94" s="226"/>
      <c r="X94" s="226"/>
      <c r="Y94" s="226"/>
      <c r="Z94" s="226"/>
      <c r="AA94" s="226"/>
      <c r="AB94" s="226"/>
      <c r="AC94" s="226"/>
      <c r="AD94" s="226"/>
      <c r="AE94" s="226"/>
      <c r="AF94" s="226"/>
      <c r="AG94" s="226"/>
      <c r="AH94" s="226"/>
      <c r="AI94" s="226"/>
      <c r="AJ94" s="226"/>
      <c r="AK94" s="226"/>
      <c r="AL94" s="226"/>
      <c r="AM94" s="226"/>
      <c r="AN94" s="226"/>
      <c r="AO94" s="226"/>
      <c r="AP94" s="226"/>
      <c r="AQ94" s="226"/>
      <c r="AR94" s="226"/>
      <c r="AS94" s="226"/>
      <c r="AT94" s="226"/>
      <c r="AU94" s="226"/>
      <c r="AV94" s="226"/>
      <c r="AW94" s="226"/>
      <c r="AX94" s="226"/>
      <c r="AY94" s="226"/>
      <c r="AZ94" s="226"/>
      <c r="BA94" s="226"/>
      <c r="BB94" s="226"/>
      <c r="BC94" s="226"/>
      <c r="BD94" s="226"/>
      <c r="BE94" s="226"/>
      <c r="BF94" s="226"/>
      <c r="BG94" s="226"/>
      <c r="BH94" s="226"/>
      <c r="BI94" s="226"/>
      <c r="BJ94" s="226"/>
      <c r="BK94" s="226"/>
      <c r="BL94" s="226"/>
      <c r="BM94" s="226"/>
      <c r="BN94" s="226"/>
      <c r="BO94" s="226"/>
      <c r="BP94" s="226"/>
      <c r="BQ94" s="226"/>
      <c r="BR94" s="226"/>
      <c r="BS94" s="226"/>
      <c r="BT94" s="226"/>
      <c r="BU94" s="226"/>
      <c r="BV94" s="226"/>
      <c r="BW94" s="226"/>
      <c r="BX94" s="226"/>
      <c r="BY94" s="226"/>
      <c r="BZ94" s="226"/>
      <c r="CA94" s="226"/>
      <c r="CB94" s="226"/>
      <c r="CC94" s="226"/>
      <c r="CD94" s="226"/>
      <c r="CE94" s="226"/>
      <c r="CF94" s="226"/>
      <c r="CG94" s="226"/>
      <c r="CH94" s="226"/>
      <c r="CI94" s="226"/>
      <c r="CJ94" s="226"/>
      <c r="CK94" s="226"/>
      <c r="CL94" s="226"/>
      <c r="CM94" s="226"/>
      <c r="CN94" s="226"/>
      <c r="CO94" s="226"/>
      <c r="CP94" s="226"/>
      <c r="CQ94" s="226"/>
      <c r="CR94" s="226"/>
      <c r="CS94" s="226"/>
      <c r="CT94" s="226"/>
      <c r="CU94" s="226"/>
      <c r="CV94" s="226"/>
      <c r="CW94" s="226"/>
      <c r="CX94" s="226"/>
      <c r="CY94" s="226"/>
      <c r="CZ94" s="226"/>
      <c r="DA94" s="226"/>
      <c r="DB94" s="226"/>
      <c r="DC94" s="226"/>
      <c r="DD94" s="226"/>
      <c r="DE94" s="226"/>
      <c r="DF94" s="226"/>
      <c r="DG94" s="226"/>
      <c r="DH94" s="226"/>
      <c r="DI94" s="226"/>
      <c r="DJ94" s="226"/>
      <c r="DK94" s="226"/>
      <c r="DL94" s="226"/>
      <c r="DM94" s="226"/>
      <c r="DN94" s="226"/>
      <c r="DO94" s="226"/>
      <c r="DP94" s="226"/>
      <c r="DQ94" s="226"/>
      <c r="DR94" s="226"/>
      <c r="DS94" s="226"/>
      <c r="DT94" s="226"/>
      <c r="DU94" s="226"/>
      <c r="DV94" s="226"/>
      <c r="DW94" s="226"/>
      <c r="DX94" s="226"/>
      <c r="DY94" s="226"/>
      <c r="DZ94" s="226"/>
      <c r="EA94" s="226"/>
      <c r="EB94" s="226"/>
      <c r="EC94" s="226"/>
      <c r="ED94" s="226"/>
      <c r="EE94" s="226"/>
      <c r="EF94" s="226"/>
      <c r="EG94" s="226"/>
      <c r="EH94" s="226"/>
      <c r="EI94" s="226"/>
      <c r="EJ94" s="226"/>
      <c r="EK94" s="226"/>
      <c r="EL94" s="226"/>
      <c r="EM94" s="226"/>
      <c r="EN94" s="226"/>
      <c r="EO94" s="226"/>
      <c r="EP94" s="226"/>
      <c r="EQ94" s="226"/>
      <c r="ER94" s="226"/>
      <c r="ES94" s="226"/>
      <c r="ET94" s="226"/>
      <c r="EU94" s="226"/>
      <c r="EV94" s="226"/>
      <c r="EW94" s="226"/>
      <c r="EX94" s="226"/>
      <c r="EY94" s="226"/>
      <c r="EZ94" s="226"/>
      <c r="FA94" s="226"/>
      <c r="FB94" s="226"/>
      <c r="FC94" s="226"/>
      <c r="FD94" s="226"/>
      <c r="FE94" s="226"/>
      <c r="FF94" s="226"/>
      <c r="FG94" s="226"/>
      <c r="FH94" s="226"/>
      <c r="FI94" s="226"/>
      <c r="FJ94" s="226"/>
      <c r="FK94" s="226"/>
      <c r="FL94" s="226"/>
      <c r="FM94" s="226"/>
      <c r="FN94" s="226"/>
      <c r="FO94" s="226"/>
      <c r="FP94" s="226"/>
      <c r="FQ94" s="226"/>
      <c r="FR94" s="226"/>
      <c r="FS94" s="226"/>
      <c r="FT94" s="226"/>
      <c r="FU94" s="226"/>
      <c r="FV94" s="226"/>
      <c r="FW94" s="226"/>
      <c r="FX94" s="226"/>
      <c r="FY94" s="226"/>
      <c r="FZ94" s="226"/>
      <c r="GA94" s="226"/>
      <c r="GB94" s="226"/>
      <c r="GC94" s="226"/>
      <c r="GD94" s="226"/>
      <c r="GE94" s="226"/>
      <c r="GF94" s="226"/>
      <c r="GG94" s="226"/>
      <c r="GH94" s="226"/>
      <c r="GI94" s="226"/>
      <c r="GJ94" s="226"/>
      <c r="GK94" s="226"/>
      <c r="GL94" s="226"/>
      <c r="GM94" s="226"/>
      <c r="GN94" s="226"/>
      <c r="GO94" s="226"/>
      <c r="GP94" s="226"/>
      <c r="GQ94" s="226"/>
      <c r="GR94" s="226"/>
      <c r="GS94" s="226"/>
      <c r="GT94" s="226"/>
      <c r="GU94" s="226"/>
      <c r="GV94" s="226"/>
      <c r="GW94" s="226"/>
      <c r="GX94" s="226"/>
      <c r="GY94" s="226"/>
      <c r="GZ94" s="226"/>
      <c r="HA94" s="226"/>
      <c r="HB94" s="226"/>
      <c r="HC94" s="226"/>
      <c r="HD94" s="226"/>
      <c r="PX94" s="302"/>
      <c r="PY94" s="302"/>
    </row>
    <row r="95" spans="1:521" ht="14.1" customHeight="1" x14ac:dyDescent="0.2">
      <c r="A95" s="226"/>
      <c r="B95" s="226"/>
      <c r="C95" s="226"/>
      <c r="D95" s="226"/>
      <c r="E95" s="226"/>
      <c r="F95" s="226"/>
      <c r="G95" s="226"/>
      <c r="H95" s="226"/>
      <c r="I95" s="226"/>
      <c r="J95" s="226"/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26"/>
      <c r="AH95" s="226"/>
      <c r="AI95" s="226"/>
      <c r="AJ95" s="226"/>
      <c r="AK95" s="226"/>
      <c r="AL95" s="226"/>
      <c r="AM95" s="226"/>
      <c r="AN95" s="226"/>
      <c r="AO95" s="226"/>
      <c r="AP95" s="226"/>
      <c r="AQ95" s="226"/>
      <c r="AR95" s="226"/>
      <c r="AS95" s="226"/>
      <c r="AT95" s="226"/>
      <c r="AU95" s="226"/>
      <c r="AV95" s="226"/>
      <c r="AW95" s="226"/>
      <c r="AX95" s="226"/>
      <c r="AY95" s="226"/>
      <c r="AZ95" s="226"/>
      <c r="BA95" s="226"/>
      <c r="BB95" s="226"/>
      <c r="BC95" s="226"/>
      <c r="BD95" s="226"/>
      <c r="BE95" s="226"/>
      <c r="BF95" s="226"/>
      <c r="BG95" s="226"/>
      <c r="BH95" s="226"/>
      <c r="BI95" s="226"/>
      <c r="BJ95" s="226"/>
      <c r="BK95" s="226"/>
      <c r="BL95" s="226"/>
      <c r="BM95" s="226"/>
      <c r="BN95" s="226"/>
      <c r="BO95" s="226"/>
      <c r="BP95" s="226"/>
      <c r="BQ95" s="226"/>
      <c r="BR95" s="226"/>
      <c r="BS95" s="226"/>
      <c r="BT95" s="226"/>
      <c r="BU95" s="226"/>
      <c r="BV95" s="226"/>
      <c r="BW95" s="226"/>
      <c r="BX95" s="226"/>
      <c r="BY95" s="226"/>
      <c r="BZ95" s="226"/>
      <c r="CA95" s="226"/>
      <c r="CB95" s="226"/>
      <c r="CC95" s="226"/>
      <c r="CD95" s="226"/>
      <c r="CE95" s="226"/>
      <c r="CF95" s="226"/>
      <c r="CG95" s="226"/>
      <c r="CH95" s="226"/>
      <c r="CI95" s="226"/>
      <c r="CJ95" s="226"/>
      <c r="CK95" s="226"/>
      <c r="CL95" s="226"/>
      <c r="CM95" s="226"/>
      <c r="CN95" s="226"/>
      <c r="CO95" s="226"/>
      <c r="CP95" s="226"/>
      <c r="CQ95" s="226"/>
      <c r="CR95" s="226"/>
      <c r="CS95" s="226"/>
      <c r="CT95" s="226"/>
      <c r="CU95" s="226"/>
      <c r="CV95" s="226"/>
      <c r="CW95" s="226"/>
      <c r="CX95" s="226"/>
      <c r="CY95" s="226"/>
      <c r="CZ95" s="226"/>
      <c r="DA95" s="226"/>
      <c r="DB95" s="226"/>
      <c r="DC95" s="226"/>
      <c r="DD95" s="226"/>
      <c r="DE95" s="226"/>
      <c r="DF95" s="226"/>
      <c r="DG95" s="226"/>
      <c r="DH95" s="226"/>
      <c r="DI95" s="226"/>
      <c r="DJ95" s="226"/>
      <c r="DK95" s="226"/>
      <c r="DL95" s="226"/>
      <c r="DM95" s="226"/>
      <c r="DN95" s="226"/>
      <c r="DO95" s="226"/>
      <c r="DP95" s="226"/>
      <c r="DQ95" s="226"/>
      <c r="DR95" s="226"/>
      <c r="DS95" s="226"/>
      <c r="DT95" s="226"/>
      <c r="DU95" s="226"/>
      <c r="DV95" s="226"/>
      <c r="DW95" s="226"/>
      <c r="DX95" s="226"/>
      <c r="DY95" s="226"/>
      <c r="DZ95" s="226"/>
      <c r="EA95" s="226"/>
      <c r="EB95" s="226"/>
      <c r="EC95" s="226"/>
      <c r="ED95" s="226"/>
      <c r="EE95" s="226"/>
      <c r="EF95" s="226"/>
      <c r="EG95" s="226"/>
      <c r="EH95" s="226"/>
      <c r="EI95" s="226"/>
      <c r="EJ95" s="226"/>
      <c r="EK95" s="226"/>
      <c r="EL95" s="226"/>
      <c r="EM95" s="226"/>
      <c r="EN95" s="226"/>
      <c r="EO95" s="226"/>
      <c r="EP95" s="226"/>
      <c r="EQ95" s="226"/>
      <c r="ER95" s="226"/>
      <c r="ES95" s="226"/>
      <c r="ET95" s="226"/>
      <c r="EU95" s="226"/>
      <c r="EV95" s="226"/>
      <c r="EW95" s="226"/>
      <c r="EX95" s="226"/>
      <c r="EY95" s="226"/>
      <c r="EZ95" s="226"/>
      <c r="FA95" s="226"/>
      <c r="FB95" s="226"/>
      <c r="FC95" s="226"/>
      <c r="FD95" s="226"/>
      <c r="FE95" s="226"/>
      <c r="FF95" s="226"/>
      <c r="FG95" s="226"/>
      <c r="FH95" s="226"/>
      <c r="FI95" s="226"/>
      <c r="FJ95" s="226"/>
      <c r="FK95" s="226"/>
      <c r="FL95" s="226"/>
      <c r="FM95" s="226"/>
      <c r="FN95" s="226"/>
      <c r="FO95" s="226"/>
      <c r="FP95" s="226"/>
      <c r="FQ95" s="226"/>
      <c r="FR95" s="226"/>
      <c r="FS95" s="226"/>
      <c r="FT95" s="226"/>
      <c r="FU95" s="226"/>
      <c r="FV95" s="226"/>
      <c r="FW95" s="226"/>
      <c r="FX95" s="226"/>
      <c r="FY95" s="226"/>
      <c r="FZ95" s="226"/>
      <c r="GA95" s="226"/>
      <c r="GB95" s="226"/>
      <c r="GC95" s="226"/>
      <c r="GD95" s="226"/>
      <c r="GE95" s="226"/>
      <c r="GF95" s="226"/>
      <c r="GG95" s="226"/>
      <c r="GH95" s="226"/>
      <c r="GI95" s="226"/>
      <c r="GJ95" s="226"/>
      <c r="GK95" s="226"/>
      <c r="GL95" s="226"/>
      <c r="GM95" s="226"/>
      <c r="GN95" s="226"/>
      <c r="GO95" s="226"/>
      <c r="GP95" s="226"/>
      <c r="GQ95" s="226"/>
      <c r="GR95" s="226"/>
      <c r="GS95" s="226"/>
      <c r="GT95" s="226"/>
      <c r="GU95" s="226"/>
      <c r="GV95" s="226"/>
      <c r="GW95" s="226"/>
      <c r="GX95" s="226"/>
      <c r="GY95" s="226"/>
      <c r="GZ95" s="226"/>
      <c r="HA95" s="226"/>
      <c r="HB95" s="226"/>
      <c r="HC95" s="226"/>
      <c r="HD95" s="226"/>
      <c r="PX95" s="302"/>
      <c r="PY95" s="302"/>
    </row>
    <row r="96" spans="1:521" ht="14.1" customHeight="1" x14ac:dyDescent="0.2">
      <c r="A96" s="226"/>
      <c r="B96" s="226"/>
      <c r="C96" s="226"/>
      <c r="D96" s="226"/>
      <c r="E96" s="226"/>
      <c r="F96" s="226"/>
      <c r="G96" s="226"/>
      <c r="H96" s="226"/>
      <c r="I96" s="226"/>
      <c r="J96" s="226"/>
      <c r="K96" s="226"/>
      <c r="L96" s="226"/>
      <c r="M96" s="226"/>
      <c r="N96" s="226"/>
      <c r="O96" s="226"/>
      <c r="P96" s="140"/>
      <c r="Q96" s="226"/>
      <c r="R96" s="226"/>
      <c r="S96" s="226"/>
      <c r="T96" s="226"/>
      <c r="U96" s="226"/>
      <c r="V96" s="226"/>
      <c r="W96" s="226"/>
      <c r="X96" s="226"/>
      <c r="Y96" s="226"/>
      <c r="Z96" s="226"/>
      <c r="AA96" s="226"/>
      <c r="AB96" s="226"/>
      <c r="AC96" s="226"/>
      <c r="AD96" s="226"/>
      <c r="AE96" s="226"/>
      <c r="AF96" s="226"/>
      <c r="AG96" s="226"/>
      <c r="AH96" s="226"/>
      <c r="AI96" s="226"/>
      <c r="AJ96" s="226"/>
      <c r="AK96" s="226"/>
      <c r="AL96" s="226"/>
      <c r="AM96" s="226"/>
      <c r="AN96" s="226"/>
      <c r="AO96" s="226"/>
      <c r="AP96" s="226"/>
      <c r="AQ96" s="226"/>
      <c r="AR96" s="226"/>
      <c r="AS96" s="226"/>
      <c r="AT96" s="226"/>
      <c r="AU96" s="226"/>
      <c r="AV96" s="226"/>
      <c r="AW96" s="226"/>
      <c r="AX96" s="226"/>
      <c r="AY96" s="226"/>
      <c r="AZ96" s="226"/>
      <c r="BA96" s="226"/>
      <c r="BB96" s="226"/>
      <c r="BC96" s="226"/>
      <c r="BD96" s="226"/>
      <c r="BE96" s="226"/>
      <c r="BF96" s="226"/>
      <c r="BG96" s="226"/>
      <c r="BH96" s="226"/>
      <c r="BI96" s="226"/>
      <c r="BJ96" s="226"/>
      <c r="BK96" s="226"/>
      <c r="BL96" s="226"/>
      <c r="BM96" s="226"/>
      <c r="BN96" s="226"/>
      <c r="BO96" s="226"/>
      <c r="BP96" s="226"/>
      <c r="BQ96" s="226"/>
      <c r="BR96" s="226"/>
      <c r="BS96" s="226"/>
      <c r="BT96" s="226"/>
      <c r="BU96" s="226"/>
      <c r="BV96" s="226"/>
      <c r="BW96" s="226"/>
      <c r="BX96" s="226"/>
      <c r="BY96" s="226"/>
      <c r="BZ96" s="226"/>
      <c r="CA96" s="226"/>
      <c r="CB96" s="226"/>
      <c r="CC96" s="226"/>
      <c r="CD96" s="226"/>
      <c r="CE96" s="226"/>
      <c r="CF96" s="226"/>
      <c r="CG96" s="226"/>
      <c r="CH96" s="226"/>
      <c r="CI96" s="226"/>
      <c r="CJ96" s="226"/>
      <c r="CK96" s="226"/>
      <c r="CL96" s="226"/>
      <c r="CM96" s="226"/>
      <c r="CN96" s="226"/>
      <c r="CO96" s="226"/>
      <c r="CP96" s="226"/>
      <c r="CQ96" s="226"/>
      <c r="CR96" s="226"/>
      <c r="CS96" s="226"/>
      <c r="CT96" s="226"/>
      <c r="CU96" s="226"/>
      <c r="CV96" s="226"/>
      <c r="CW96" s="226"/>
      <c r="CX96" s="226"/>
      <c r="CY96" s="226"/>
      <c r="CZ96" s="226"/>
      <c r="DA96" s="226"/>
      <c r="DB96" s="226"/>
      <c r="DC96" s="226"/>
      <c r="DD96" s="226"/>
      <c r="DE96" s="226"/>
      <c r="DF96" s="226"/>
      <c r="DG96" s="226"/>
      <c r="DH96" s="226"/>
      <c r="DI96" s="226"/>
      <c r="DJ96" s="226"/>
      <c r="DK96" s="226"/>
      <c r="DL96" s="226"/>
      <c r="DM96" s="226"/>
      <c r="DN96" s="226"/>
      <c r="DO96" s="226"/>
      <c r="DP96" s="226"/>
      <c r="DQ96" s="226"/>
      <c r="DR96" s="226"/>
      <c r="DS96" s="226"/>
      <c r="DT96" s="226"/>
      <c r="DU96" s="226"/>
      <c r="DV96" s="226"/>
      <c r="DW96" s="226"/>
      <c r="DX96" s="226"/>
      <c r="DY96" s="226"/>
      <c r="DZ96" s="226"/>
      <c r="EA96" s="226"/>
      <c r="EB96" s="226"/>
      <c r="EC96" s="226"/>
      <c r="ED96" s="226"/>
      <c r="EE96" s="226"/>
      <c r="EF96" s="226"/>
      <c r="EG96" s="226"/>
      <c r="EH96" s="226"/>
      <c r="EI96" s="226"/>
      <c r="EJ96" s="226"/>
      <c r="EK96" s="226"/>
      <c r="EL96" s="226"/>
      <c r="EM96" s="226"/>
      <c r="EN96" s="226"/>
      <c r="EO96" s="226"/>
      <c r="EP96" s="226"/>
      <c r="EQ96" s="226"/>
      <c r="ER96" s="226"/>
      <c r="ES96" s="226"/>
      <c r="ET96" s="226"/>
      <c r="EU96" s="226"/>
      <c r="EV96" s="226"/>
      <c r="EW96" s="226"/>
      <c r="EX96" s="226"/>
      <c r="EY96" s="226"/>
      <c r="EZ96" s="226"/>
      <c r="FA96" s="226"/>
      <c r="FB96" s="226"/>
      <c r="FC96" s="226"/>
      <c r="FD96" s="226"/>
      <c r="FE96" s="226"/>
      <c r="FF96" s="226"/>
      <c r="FG96" s="226"/>
      <c r="FH96" s="226"/>
      <c r="FI96" s="226"/>
      <c r="FJ96" s="226"/>
      <c r="FK96" s="226"/>
      <c r="FL96" s="226"/>
      <c r="FM96" s="226"/>
      <c r="FN96" s="226"/>
      <c r="FO96" s="226"/>
      <c r="FP96" s="226"/>
      <c r="FQ96" s="226"/>
      <c r="FR96" s="226"/>
      <c r="FS96" s="226"/>
      <c r="FT96" s="226"/>
      <c r="FU96" s="226"/>
      <c r="FV96" s="226"/>
      <c r="FW96" s="226"/>
      <c r="FX96" s="226"/>
      <c r="FY96" s="226"/>
      <c r="FZ96" s="226"/>
      <c r="GA96" s="226"/>
      <c r="GB96" s="226"/>
      <c r="GC96" s="226"/>
      <c r="GD96" s="226"/>
      <c r="GE96" s="226"/>
      <c r="GF96" s="226"/>
      <c r="GG96" s="226"/>
      <c r="GH96" s="226"/>
      <c r="GI96" s="226"/>
      <c r="GJ96" s="226"/>
      <c r="GK96" s="226"/>
      <c r="GL96" s="226"/>
      <c r="GM96" s="226"/>
      <c r="GN96" s="226"/>
      <c r="GO96" s="226"/>
      <c r="GP96" s="226"/>
      <c r="GQ96" s="226"/>
      <c r="GR96" s="226"/>
      <c r="GS96" s="226"/>
      <c r="GT96" s="226"/>
      <c r="GU96" s="226"/>
      <c r="GV96" s="226"/>
      <c r="GW96" s="226"/>
      <c r="GX96" s="226"/>
      <c r="GY96" s="226"/>
      <c r="GZ96" s="226"/>
      <c r="HA96" s="226"/>
      <c r="HB96" s="226"/>
      <c r="HC96" s="226"/>
      <c r="HD96" s="226"/>
      <c r="PX96" s="302"/>
      <c r="PY96" s="302"/>
    </row>
    <row r="97" spans="1:441" ht="14.1" customHeight="1" x14ac:dyDescent="0.2">
      <c r="A97" s="226"/>
      <c r="B97" s="148"/>
      <c r="C97" s="148"/>
      <c r="D97" s="148"/>
      <c r="E97" s="148"/>
      <c r="F97" s="147"/>
      <c r="G97" s="147"/>
      <c r="H97" s="147"/>
      <c r="I97" s="146"/>
      <c r="J97" s="148"/>
      <c r="K97" s="148"/>
      <c r="L97" s="145"/>
      <c r="M97" s="145"/>
      <c r="N97" s="140"/>
      <c r="O97" s="140"/>
      <c r="P97" s="140"/>
      <c r="Q97" s="226"/>
      <c r="R97" s="226"/>
      <c r="S97" s="226"/>
      <c r="T97" s="226"/>
      <c r="U97" s="226"/>
      <c r="V97" s="226"/>
      <c r="W97" s="226"/>
      <c r="X97" s="226"/>
      <c r="Y97" s="226"/>
      <c r="Z97" s="226"/>
      <c r="AA97" s="226"/>
      <c r="AB97" s="226"/>
      <c r="AC97" s="226"/>
      <c r="AD97" s="226"/>
      <c r="AE97" s="226"/>
      <c r="AF97" s="226"/>
      <c r="AG97" s="226"/>
      <c r="AH97" s="226"/>
      <c r="AI97" s="226"/>
      <c r="AJ97" s="226"/>
      <c r="AK97" s="226"/>
      <c r="AL97" s="226"/>
      <c r="AM97" s="226"/>
      <c r="AN97" s="226"/>
      <c r="AO97" s="226"/>
      <c r="AP97" s="226"/>
      <c r="AQ97" s="226"/>
      <c r="AR97" s="226"/>
      <c r="AS97" s="226"/>
      <c r="AT97" s="226"/>
      <c r="AU97" s="226"/>
      <c r="AV97" s="226"/>
      <c r="AW97" s="226"/>
      <c r="AX97" s="226"/>
      <c r="AY97" s="226"/>
      <c r="AZ97" s="226"/>
      <c r="BA97" s="226"/>
      <c r="BB97" s="226"/>
      <c r="BC97" s="226"/>
      <c r="BD97" s="226"/>
      <c r="BE97" s="226"/>
      <c r="BF97" s="226"/>
      <c r="BG97" s="226"/>
      <c r="BH97" s="226"/>
      <c r="BI97" s="226"/>
      <c r="BJ97" s="226"/>
      <c r="BK97" s="226"/>
      <c r="BL97" s="226"/>
      <c r="BM97" s="226"/>
      <c r="BN97" s="226"/>
      <c r="BO97" s="226"/>
      <c r="BP97" s="226"/>
      <c r="BQ97" s="226"/>
      <c r="BR97" s="226"/>
      <c r="BS97" s="226"/>
      <c r="BT97" s="226"/>
      <c r="BU97" s="226"/>
      <c r="BV97" s="226"/>
      <c r="BW97" s="226"/>
      <c r="BX97" s="226"/>
      <c r="BY97" s="226"/>
      <c r="BZ97" s="226"/>
      <c r="CA97" s="226"/>
      <c r="CB97" s="226"/>
      <c r="CC97" s="226"/>
      <c r="CD97" s="226"/>
      <c r="CE97" s="226"/>
      <c r="CF97" s="226"/>
      <c r="CG97" s="226"/>
      <c r="CH97" s="226"/>
      <c r="CI97" s="226"/>
      <c r="CJ97" s="226"/>
      <c r="CK97" s="226"/>
      <c r="CL97" s="226"/>
      <c r="CM97" s="226"/>
      <c r="CN97" s="226"/>
      <c r="CO97" s="226"/>
      <c r="CP97" s="226"/>
      <c r="CQ97" s="226"/>
      <c r="CR97" s="226"/>
      <c r="CS97" s="226"/>
      <c r="CT97" s="226"/>
      <c r="CU97" s="226"/>
      <c r="CV97" s="226"/>
      <c r="CW97" s="226"/>
      <c r="CX97" s="226"/>
      <c r="CY97" s="226"/>
      <c r="CZ97" s="226"/>
      <c r="DA97" s="226"/>
      <c r="DB97" s="226"/>
      <c r="DC97" s="226"/>
      <c r="DD97" s="226"/>
      <c r="DE97" s="226"/>
      <c r="DF97" s="226"/>
      <c r="DG97" s="226"/>
      <c r="DH97" s="226"/>
      <c r="DI97" s="226"/>
      <c r="DJ97" s="226"/>
      <c r="DK97" s="226"/>
      <c r="DL97" s="226"/>
      <c r="DM97" s="226"/>
      <c r="DN97" s="226"/>
      <c r="DO97" s="226"/>
      <c r="DP97" s="226"/>
      <c r="DQ97" s="226"/>
      <c r="DR97" s="226"/>
      <c r="DS97" s="226"/>
      <c r="DT97" s="226"/>
      <c r="DU97" s="226"/>
      <c r="DV97" s="226"/>
      <c r="DW97" s="226"/>
      <c r="DX97" s="226"/>
      <c r="DY97" s="226"/>
      <c r="DZ97" s="226"/>
      <c r="EA97" s="226"/>
      <c r="EB97" s="226"/>
      <c r="EC97" s="226"/>
      <c r="ED97" s="226"/>
      <c r="EE97" s="226"/>
      <c r="EF97" s="226"/>
      <c r="EG97" s="226"/>
      <c r="EH97" s="226"/>
      <c r="EI97" s="226"/>
      <c r="EJ97" s="226"/>
      <c r="EK97" s="226"/>
      <c r="EL97" s="226"/>
      <c r="EM97" s="226"/>
      <c r="EN97" s="226"/>
      <c r="EO97" s="226"/>
      <c r="EP97" s="226"/>
      <c r="EQ97" s="226"/>
      <c r="ER97" s="226"/>
      <c r="ES97" s="226"/>
      <c r="ET97" s="226"/>
      <c r="EU97" s="226"/>
      <c r="EV97" s="226"/>
      <c r="EW97" s="226"/>
      <c r="EX97" s="226"/>
      <c r="EY97" s="226"/>
      <c r="EZ97" s="226"/>
      <c r="FA97" s="226"/>
      <c r="FB97" s="226"/>
      <c r="FC97" s="226"/>
      <c r="FD97" s="226"/>
      <c r="FE97" s="226"/>
      <c r="FF97" s="226"/>
      <c r="FG97" s="226"/>
      <c r="FH97" s="226"/>
      <c r="FI97" s="226"/>
      <c r="FJ97" s="226"/>
      <c r="FK97" s="226"/>
      <c r="FL97" s="226"/>
      <c r="FM97" s="226"/>
      <c r="FN97" s="226"/>
      <c r="FO97" s="226"/>
      <c r="FP97" s="226"/>
      <c r="FQ97" s="226"/>
      <c r="FR97" s="226"/>
      <c r="FS97" s="226"/>
      <c r="FT97" s="226"/>
      <c r="FU97" s="226"/>
      <c r="FV97" s="226"/>
      <c r="FW97" s="226"/>
      <c r="FX97" s="226"/>
      <c r="FY97" s="226"/>
      <c r="FZ97" s="226"/>
      <c r="GA97" s="226"/>
      <c r="GB97" s="226"/>
      <c r="GC97" s="226"/>
      <c r="GD97" s="226"/>
      <c r="GE97" s="226"/>
      <c r="GF97" s="226"/>
      <c r="GG97" s="226"/>
      <c r="GH97" s="226"/>
      <c r="GI97" s="226"/>
      <c r="GJ97" s="226"/>
      <c r="GK97" s="226"/>
      <c r="GL97" s="226"/>
      <c r="GM97" s="226"/>
      <c r="GN97" s="226"/>
      <c r="GO97" s="226"/>
      <c r="GP97" s="226"/>
      <c r="GQ97" s="226"/>
      <c r="GR97" s="226"/>
      <c r="GS97" s="226"/>
      <c r="GT97" s="226"/>
      <c r="GU97" s="226"/>
      <c r="GV97" s="226"/>
      <c r="GW97" s="226"/>
      <c r="GX97" s="226"/>
      <c r="GY97" s="226"/>
      <c r="GZ97" s="226"/>
      <c r="HA97" s="226"/>
      <c r="HB97" s="226"/>
      <c r="HC97" s="226"/>
      <c r="HD97" s="226"/>
      <c r="PX97" s="302"/>
      <c r="PY97" s="302"/>
    </row>
    <row r="98" spans="1:441" ht="14.1" customHeight="1" x14ac:dyDescent="0.2">
      <c r="A98" s="226"/>
      <c r="B98" s="226"/>
      <c r="C98" s="226"/>
      <c r="D98" s="226"/>
      <c r="E98" s="226"/>
      <c r="F98" s="226"/>
      <c r="G98" s="226"/>
      <c r="H98" s="226"/>
      <c r="I98" s="226"/>
      <c r="J98" s="226"/>
      <c r="K98" s="226"/>
      <c r="L98" s="226"/>
      <c r="M98" s="226"/>
      <c r="N98" s="226"/>
      <c r="O98" s="226"/>
      <c r="P98" s="140"/>
      <c r="Q98" s="226"/>
      <c r="R98" s="226"/>
      <c r="S98" s="226"/>
      <c r="T98" s="226"/>
      <c r="U98" s="226"/>
      <c r="V98" s="226"/>
      <c r="W98" s="226"/>
      <c r="X98" s="226"/>
      <c r="Y98" s="226"/>
      <c r="Z98" s="226"/>
      <c r="AA98" s="226"/>
      <c r="AB98" s="226"/>
      <c r="AC98" s="226"/>
      <c r="AD98" s="226"/>
      <c r="AE98" s="226"/>
      <c r="AF98" s="226"/>
      <c r="AG98" s="226"/>
      <c r="AH98" s="226"/>
      <c r="AI98" s="226"/>
      <c r="AJ98" s="226"/>
      <c r="AK98" s="226"/>
      <c r="AL98" s="226"/>
      <c r="AM98" s="226"/>
      <c r="AN98" s="226"/>
      <c r="AO98" s="226"/>
      <c r="AP98" s="226"/>
      <c r="AQ98" s="226"/>
      <c r="AR98" s="226"/>
      <c r="AS98" s="226"/>
      <c r="AT98" s="226"/>
      <c r="AU98" s="226"/>
      <c r="AV98" s="226"/>
      <c r="AW98" s="226"/>
      <c r="AX98" s="226"/>
      <c r="AY98" s="226"/>
      <c r="AZ98" s="226"/>
      <c r="BA98" s="226"/>
      <c r="BB98" s="226"/>
      <c r="BC98" s="226"/>
      <c r="BD98" s="226"/>
      <c r="BE98" s="226"/>
      <c r="BF98" s="226"/>
      <c r="BG98" s="226"/>
      <c r="BH98" s="226"/>
      <c r="BI98" s="226"/>
      <c r="BJ98" s="226"/>
      <c r="BK98" s="226"/>
      <c r="BL98" s="226"/>
      <c r="BM98" s="226"/>
      <c r="BN98" s="226"/>
      <c r="BO98" s="226"/>
      <c r="BP98" s="226"/>
      <c r="BQ98" s="226"/>
      <c r="BR98" s="226"/>
      <c r="BS98" s="226"/>
      <c r="BT98" s="226"/>
      <c r="BU98" s="226"/>
      <c r="BV98" s="226"/>
      <c r="BW98" s="226"/>
      <c r="BX98" s="226"/>
      <c r="BY98" s="226"/>
      <c r="BZ98" s="226"/>
      <c r="CA98" s="226"/>
      <c r="CB98" s="226"/>
      <c r="CC98" s="226"/>
      <c r="CD98" s="226"/>
      <c r="CE98" s="226"/>
      <c r="CF98" s="226"/>
      <c r="CG98" s="226"/>
      <c r="CH98" s="226"/>
      <c r="CI98" s="226"/>
      <c r="CJ98" s="226"/>
      <c r="CK98" s="226"/>
      <c r="CL98" s="226"/>
      <c r="CM98" s="226"/>
      <c r="CN98" s="226"/>
      <c r="CO98" s="226"/>
      <c r="CP98" s="226"/>
      <c r="CQ98" s="226"/>
      <c r="CR98" s="226"/>
      <c r="CS98" s="226"/>
      <c r="CT98" s="226"/>
      <c r="CU98" s="226"/>
      <c r="CV98" s="226"/>
      <c r="CW98" s="226"/>
      <c r="CX98" s="226"/>
      <c r="CY98" s="226"/>
      <c r="CZ98" s="226"/>
      <c r="DA98" s="226"/>
      <c r="DB98" s="226"/>
      <c r="DC98" s="226"/>
      <c r="DD98" s="226"/>
      <c r="DE98" s="226"/>
      <c r="DF98" s="226"/>
      <c r="DG98" s="226"/>
      <c r="DH98" s="226"/>
      <c r="DI98" s="226"/>
      <c r="DJ98" s="226"/>
      <c r="DK98" s="226"/>
      <c r="DL98" s="226"/>
      <c r="DM98" s="226"/>
      <c r="DN98" s="226"/>
      <c r="DO98" s="226"/>
      <c r="DP98" s="226"/>
      <c r="DQ98" s="226"/>
      <c r="DR98" s="226"/>
      <c r="DS98" s="226"/>
      <c r="DT98" s="226"/>
      <c r="DU98" s="226"/>
      <c r="DV98" s="226"/>
      <c r="DW98" s="226"/>
      <c r="DX98" s="226"/>
      <c r="DY98" s="226"/>
      <c r="DZ98" s="226"/>
      <c r="EA98" s="226"/>
      <c r="EB98" s="226"/>
      <c r="EC98" s="226"/>
      <c r="ED98" s="226"/>
      <c r="EE98" s="226"/>
      <c r="EF98" s="226"/>
      <c r="EG98" s="226"/>
      <c r="EH98" s="226"/>
      <c r="EI98" s="226"/>
      <c r="EJ98" s="226"/>
      <c r="EK98" s="226"/>
      <c r="EL98" s="226"/>
      <c r="EM98" s="226"/>
      <c r="EN98" s="226"/>
      <c r="EO98" s="226"/>
      <c r="EP98" s="226"/>
      <c r="EQ98" s="226"/>
      <c r="ER98" s="226"/>
      <c r="ES98" s="226"/>
      <c r="ET98" s="226"/>
      <c r="EU98" s="226"/>
      <c r="EV98" s="226"/>
      <c r="EW98" s="226"/>
      <c r="EX98" s="226"/>
      <c r="EY98" s="226"/>
      <c r="EZ98" s="226"/>
      <c r="FA98" s="226"/>
      <c r="FB98" s="226"/>
      <c r="FC98" s="226"/>
      <c r="FD98" s="226"/>
      <c r="FE98" s="226"/>
      <c r="FF98" s="226"/>
      <c r="FG98" s="226"/>
      <c r="FH98" s="226"/>
      <c r="FI98" s="226"/>
      <c r="FJ98" s="226"/>
      <c r="FK98" s="226"/>
      <c r="FL98" s="226"/>
      <c r="FM98" s="226"/>
      <c r="FN98" s="226"/>
      <c r="FO98" s="226"/>
      <c r="FP98" s="226"/>
      <c r="FQ98" s="226"/>
      <c r="FR98" s="226"/>
      <c r="FS98" s="226"/>
      <c r="FT98" s="226"/>
      <c r="FU98" s="226"/>
      <c r="FV98" s="226"/>
      <c r="FW98" s="226"/>
      <c r="FX98" s="226"/>
      <c r="FY98" s="226"/>
      <c r="FZ98" s="226"/>
      <c r="GA98" s="226"/>
      <c r="GB98" s="226"/>
      <c r="GC98" s="226"/>
      <c r="GD98" s="226"/>
      <c r="GE98" s="226"/>
      <c r="GF98" s="226"/>
      <c r="GG98" s="226"/>
      <c r="GH98" s="226"/>
      <c r="GI98" s="226"/>
      <c r="GJ98" s="226"/>
      <c r="GK98" s="226"/>
      <c r="GL98" s="226"/>
      <c r="GM98" s="226"/>
      <c r="GN98" s="226"/>
      <c r="GO98" s="226"/>
      <c r="GP98" s="226"/>
      <c r="GQ98" s="226"/>
      <c r="GR98" s="226"/>
      <c r="GS98" s="226"/>
      <c r="GT98" s="226"/>
      <c r="GU98" s="226"/>
      <c r="GV98" s="226"/>
      <c r="GW98" s="226"/>
      <c r="GX98" s="226"/>
      <c r="GY98" s="226"/>
      <c r="GZ98" s="226"/>
      <c r="HA98" s="226"/>
      <c r="HB98" s="226"/>
      <c r="HC98" s="226"/>
      <c r="HD98" s="226"/>
      <c r="PX98" s="302"/>
      <c r="PY98" s="302"/>
    </row>
    <row r="99" spans="1:441" ht="14.1" customHeight="1" x14ac:dyDescent="0.2">
      <c r="A99" s="226"/>
      <c r="B99" s="226"/>
      <c r="C99" s="226"/>
      <c r="D99" s="226"/>
      <c r="E99" s="226"/>
      <c r="F99" s="226"/>
      <c r="G99" s="226"/>
      <c r="H99" s="226"/>
      <c r="I99" s="226"/>
      <c r="J99" s="226"/>
      <c r="K99" s="226"/>
      <c r="L99" s="226"/>
      <c r="M99" s="226"/>
      <c r="N99" s="226"/>
      <c r="O99" s="226"/>
      <c r="P99" s="140"/>
      <c r="Q99" s="226"/>
      <c r="R99" s="226"/>
      <c r="S99" s="226"/>
      <c r="T99" s="226"/>
      <c r="U99" s="226"/>
      <c r="V99" s="226"/>
      <c r="W99" s="226"/>
      <c r="X99" s="226"/>
      <c r="Y99" s="226"/>
      <c r="Z99" s="226"/>
      <c r="AA99" s="226"/>
      <c r="AB99" s="226"/>
      <c r="AC99" s="226"/>
      <c r="AD99" s="226"/>
      <c r="AE99" s="226"/>
      <c r="AF99" s="226"/>
      <c r="AG99" s="226"/>
      <c r="AH99" s="226"/>
      <c r="AI99" s="226"/>
      <c r="AJ99" s="226"/>
      <c r="AK99" s="226"/>
      <c r="AL99" s="226"/>
      <c r="AM99" s="226"/>
      <c r="AN99" s="226"/>
      <c r="AO99" s="226"/>
      <c r="AP99" s="226"/>
      <c r="AQ99" s="226"/>
      <c r="AR99" s="226"/>
      <c r="AS99" s="226"/>
      <c r="AT99" s="226"/>
      <c r="AU99" s="226"/>
      <c r="AV99" s="226"/>
      <c r="AW99" s="226"/>
      <c r="AX99" s="226"/>
      <c r="AY99" s="226"/>
      <c r="AZ99" s="226"/>
      <c r="BA99" s="226"/>
      <c r="BB99" s="226"/>
      <c r="BC99" s="226"/>
      <c r="BD99" s="226"/>
      <c r="BE99" s="226"/>
      <c r="BF99" s="226"/>
      <c r="BG99" s="226"/>
      <c r="BH99" s="226"/>
      <c r="BI99" s="226"/>
      <c r="BJ99" s="226"/>
      <c r="BK99" s="226"/>
      <c r="BL99" s="226"/>
      <c r="BM99" s="226"/>
      <c r="BN99" s="226"/>
      <c r="BO99" s="226"/>
      <c r="BP99" s="226"/>
      <c r="BQ99" s="226"/>
      <c r="BR99" s="226"/>
      <c r="BS99" s="226"/>
      <c r="BT99" s="226"/>
      <c r="BU99" s="226"/>
      <c r="BV99" s="226"/>
      <c r="BW99" s="226"/>
      <c r="BX99" s="226"/>
      <c r="BY99" s="226"/>
      <c r="BZ99" s="226"/>
      <c r="CA99" s="226"/>
      <c r="CB99" s="226"/>
      <c r="CC99" s="226"/>
      <c r="CD99" s="226"/>
      <c r="CE99" s="226"/>
      <c r="CF99" s="226"/>
      <c r="CG99" s="226"/>
      <c r="CH99" s="226"/>
      <c r="CI99" s="226"/>
      <c r="CJ99" s="226"/>
      <c r="CK99" s="226"/>
      <c r="CL99" s="226"/>
      <c r="CM99" s="226"/>
      <c r="CN99" s="226"/>
      <c r="CO99" s="226"/>
      <c r="CP99" s="226"/>
      <c r="CQ99" s="226"/>
      <c r="CR99" s="226"/>
      <c r="CS99" s="226"/>
      <c r="CT99" s="226"/>
      <c r="CU99" s="226"/>
      <c r="CV99" s="226"/>
      <c r="CW99" s="226"/>
      <c r="CX99" s="226"/>
      <c r="CY99" s="226"/>
      <c r="CZ99" s="226"/>
      <c r="DA99" s="226"/>
      <c r="DB99" s="226"/>
      <c r="DC99" s="226"/>
      <c r="DD99" s="226"/>
      <c r="DE99" s="226"/>
      <c r="DF99" s="226"/>
      <c r="DG99" s="226"/>
      <c r="DH99" s="226"/>
      <c r="DI99" s="226"/>
      <c r="DJ99" s="226"/>
      <c r="DK99" s="226"/>
      <c r="DL99" s="226"/>
      <c r="DM99" s="226"/>
      <c r="DN99" s="226"/>
      <c r="DO99" s="226"/>
      <c r="DP99" s="226"/>
      <c r="DQ99" s="226"/>
      <c r="DR99" s="226"/>
      <c r="DS99" s="226"/>
      <c r="DT99" s="226"/>
      <c r="DU99" s="226"/>
      <c r="DV99" s="226"/>
      <c r="DW99" s="226"/>
      <c r="DX99" s="226"/>
      <c r="DY99" s="226"/>
      <c r="DZ99" s="226"/>
      <c r="EA99" s="226"/>
      <c r="EB99" s="226"/>
      <c r="EC99" s="226"/>
      <c r="ED99" s="226"/>
      <c r="EE99" s="226"/>
      <c r="EF99" s="226"/>
      <c r="EG99" s="226"/>
      <c r="EH99" s="226"/>
      <c r="EI99" s="226"/>
      <c r="EJ99" s="226"/>
      <c r="EK99" s="226"/>
      <c r="EL99" s="226"/>
      <c r="EM99" s="226"/>
      <c r="EN99" s="226"/>
      <c r="EO99" s="226"/>
      <c r="EP99" s="226"/>
      <c r="EQ99" s="226"/>
      <c r="ER99" s="226"/>
      <c r="ES99" s="226"/>
      <c r="ET99" s="226"/>
      <c r="EU99" s="226"/>
      <c r="EV99" s="226"/>
      <c r="EW99" s="226"/>
      <c r="EX99" s="226"/>
      <c r="EY99" s="226"/>
      <c r="EZ99" s="226"/>
      <c r="FA99" s="226"/>
      <c r="FB99" s="226"/>
      <c r="FC99" s="226"/>
      <c r="FD99" s="226"/>
      <c r="FE99" s="226"/>
      <c r="FF99" s="226"/>
      <c r="FG99" s="226"/>
      <c r="FH99" s="226"/>
      <c r="FI99" s="226"/>
      <c r="FJ99" s="226"/>
      <c r="FK99" s="226"/>
      <c r="FL99" s="226"/>
      <c r="FM99" s="226"/>
      <c r="FN99" s="226"/>
      <c r="FO99" s="226"/>
      <c r="FP99" s="226"/>
      <c r="FQ99" s="226"/>
      <c r="FR99" s="226"/>
      <c r="FS99" s="226"/>
      <c r="FT99" s="226"/>
      <c r="FU99" s="226"/>
      <c r="FV99" s="226"/>
      <c r="FW99" s="226"/>
      <c r="FX99" s="226"/>
      <c r="FY99" s="226"/>
      <c r="FZ99" s="226"/>
      <c r="GA99" s="226"/>
      <c r="GB99" s="226"/>
      <c r="GC99" s="226"/>
      <c r="GD99" s="226"/>
      <c r="GE99" s="226"/>
      <c r="GF99" s="226"/>
      <c r="GG99" s="226"/>
      <c r="GH99" s="226"/>
      <c r="GI99" s="226"/>
      <c r="GJ99" s="226"/>
      <c r="GK99" s="226"/>
      <c r="GL99" s="226"/>
      <c r="GM99" s="226"/>
      <c r="GN99" s="226"/>
      <c r="GO99" s="226"/>
      <c r="GP99" s="226"/>
      <c r="GQ99" s="226"/>
      <c r="GR99" s="226"/>
      <c r="GS99" s="226"/>
      <c r="GT99" s="226"/>
      <c r="GU99" s="226"/>
      <c r="GV99" s="226"/>
      <c r="GW99" s="226"/>
      <c r="GX99" s="226"/>
      <c r="GY99" s="226"/>
      <c r="GZ99" s="226"/>
      <c r="HA99" s="226"/>
      <c r="HB99" s="226"/>
      <c r="HC99" s="226"/>
      <c r="HD99" s="226"/>
      <c r="PX99" s="302"/>
      <c r="PY99" s="302"/>
    </row>
    <row r="100" spans="1:441" ht="14.1" customHeight="1" x14ac:dyDescent="0.2">
      <c r="A100" s="226"/>
      <c r="B100" s="226"/>
      <c r="C100" s="226"/>
      <c r="D100" s="226"/>
      <c r="E100" s="226"/>
      <c r="F100" s="226"/>
      <c r="G100" s="226"/>
      <c r="H100" s="226"/>
      <c r="I100" s="226"/>
      <c r="J100" s="226"/>
      <c r="K100" s="226"/>
      <c r="L100" s="226"/>
      <c r="M100" s="226"/>
      <c r="N100" s="226"/>
      <c r="O100" s="226"/>
      <c r="P100" s="145"/>
      <c r="Q100" s="226"/>
      <c r="R100" s="226"/>
      <c r="S100" s="226"/>
      <c r="T100" s="226"/>
      <c r="U100" s="226"/>
      <c r="V100" s="226"/>
      <c r="W100" s="226"/>
      <c r="X100" s="226"/>
      <c r="Y100" s="226"/>
      <c r="Z100" s="226"/>
      <c r="AA100" s="226"/>
      <c r="AB100" s="226"/>
      <c r="AC100" s="226"/>
      <c r="AD100" s="226"/>
      <c r="AE100" s="226"/>
      <c r="AF100" s="226"/>
      <c r="AG100" s="226"/>
      <c r="AH100" s="226"/>
      <c r="AI100" s="226"/>
      <c r="AJ100" s="226"/>
      <c r="AK100" s="226"/>
      <c r="AL100" s="226"/>
      <c r="AM100" s="226"/>
      <c r="AN100" s="226"/>
      <c r="AO100" s="226"/>
      <c r="AP100" s="226"/>
      <c r="AQ100" s="226"/>
      <c r="AR100" s="226"/>
      <c r="AS100" s="226"/>
      <c r="AT100" s="226"/>
      <c r="AU100" s="226"/>
      <c r="AV100" s="226"/>
      <c r="AW100" s="226"/>
      <c r="AX100" s="226"/>
      <c r="AY100" s="226"/>
      <c r="AZ100" s="226"/>
      <c r="BA100" s="226"/>
      <c r="BB100" s="226"/>
      <c r="BC100" s="226"/>
      <c r="BD100" s="226"/>
      <c r="BE100" s="226"/>
      <c r="BF100" s="226"/>
      <c r="BG100" s="226"/>
      <c r="BH100" s="226"/>
      <c r="BI100" s="226"/>
      <c r="BJ100" s="226"/>
      <c r="BK100" s="226"/>
      <c r="BL100" s="226"/>
      <c r="BM100" s="226"/>
      <c r="BN100" s="226"/>
      <c r="BO100" s="226"/>
      <c r="BP100" s="226"/>
      <c r="BQ100" s="226"/>
      <c r="BR100" s="226"/>
      <c r="BS100" s="226"/>
      <c r="BT100" s="226"/>
      <c r="BU100" s="226"/>
      <c r="BV100" s="226"/>
      <c r="BW100" s="226"/>
      <c r="BX100" s="226"/>
      <c r="BY100" s="226"/>
      <c r="BZ100" s="226"/>
      <c r="CA100" s="226"/>
      <c r="CB100" s="226"/>
      <c r="CC100" s="226"/>
      <c r="CD100" s="226"/>
      <c r="CE100" s="226"/>
      <c r="CF100" s="226"/>
      <c r="CG100" s="226"/>
      <c r="CH100" s="226"/>
      <c r="CI100" s="226"/>
      <c r="CJ100" s="226"/>
      <c r="CK100" s="226"/>
      <c r="CL100" s="226"/>
      <c r="CM100" s="226"/>
      <c r="CN100" s="226"/>
      <c r="CO100" s="226"/>
      <c r="CP100" s="226"/>
      <c r="CQ100" s="226"/>
      <c r="CR100" s="226"/>
      <c r="CS100" s="226"/>
      <c r="CT100" s="226"/>
      <c r="CU100" s="226"/>
      <c r="CV100" s="226"/>
      <c r="CW100" s="226"/>
      <c r="CX100" s="226"/>
      <c r="CY100" s="226"/>
      <c r="CZ100" s="226"/>
      <c r="DA100" s="226"/>
      <c r="DB100" s="226"/>
      <c r="DC100" s="226"/>
      <c r="DD100" s="226"/>
      <c r="DE100" s="226"/>
      <c r="DF100" s="226"/>
      <c r="DG100" s="226"/>
      <c r="DH100" s="226"/>
      <c r="DI100" s="226"/>
      <c r="DJ100" s="226"/>
      <c r="DK100" s="226"/>
      <c r="DL100" s="226"/>
      <c r="DM100" s="226"/>
      <c r="DN100" s="226"/>
      <c r="DO100" s="226"/>
      <c r="DP100" s="226"/>
      <c r="DQ100" s="226"/>
      <c r="DR100" s="226"/>
      <c r="DS100" s="226"/>
      <c r="DT100" s="226"/>
      <c r="DU100" s="226"/>
      <c r="DV100" s="226"/>
      <c r="DW100" s="226"/>
      <c r="DX100" s="226"/>
      <c r="DY100" s="226"/>
      <c r="DZ100" s="226"/>
      <c r="EA100" s="226"/>
      <c r="EB100" s="226"/>
      <c r="EC100" s="226"/>
      <c r="ED100" s="226"/>
      <c r="EE100" s="226"/>
      <c r="EF100" s="226"/>
      <c r="EG100" s="226"/>
      <c r="EH100" s="226"/>
      <c r="EI100" s="226"/>
      <c r="EJ100" s="226"/>
      <c r="EK100" s="226"/>
      <c r="EL100" s="226"/>
      <c r="EM100" s="226"/>
      <c r="EN100" s="226"/>
      <c r="EO100" s="226"/>
      <c r="EP100" s="226"/>
      <c r="EQ100" s="226"/>
      <c r="ER100" s="226"/>
      <c r="ES100" s="226"/>
      <c r="ET100" s="226"/>
      <c r="EU100" s="226"/>
      <c r="EV100" s="226"/>
      <c r="EW100" s="226"/>
      <c r="EX100" s="226"/>
      <c r="EY100" s="226"/>
      <c r="EZ100" s="226"/>
      <c r="FA100" s="226"/>
      <c r="FB100" s="226"/>
      <c r="FC100" s="226"/>
      <c r="FD100" s="226"/>
      <c r="FE100" s="226"/>
      <c r="FF100" s="226"/>
      <c r="FG100" s="226"/>
      <c r="FH100" s="226"/>
      <c r="FI100" s="226"/>
      <c r="FJ100" s="226"/>
      <c r="FK100" s="226"/>
      <c r="FL100" s="226"/>
      <c r="FM100" s="226"/>
      <c r="FN100" s="226"/>
      <c r="FO100" s="226"/>
      <c r="FP100" s="226"/>
      <c r="FQ100" s="226"/>
      <c r="FR100" s="226"/>
      <c r="FS100" s="226"/>
      <c r="FT100" s="226"/>
      <c r="FU100" s="226"/>
      <c r="FV100" s="226"/>
      <c r="FW100" s="226"/>
      <c r="FX100" s="226"/>
      <c r="FY100" s="226"/>
      <c r="FZ100" s="226"/>
      <c r="GA100" s="226"/>
      <c r="GB100" s="226"/>
      <c r="GC100" s="226"/>
      <c r="GD100" s="226"/>
      <c r="GE100" s="226"/>
      <c r="GF100" s="226"/>
      <c r="GG100" s="226"/>
      <c r="GH100" s="226"/>
      <c r="GI100" s="226"/>
      <c r="GJ100" s="226"/>
      <c r="GK100" s="226"/>
      <c r="GL100" s="226"/>
      <c r="GM100" s="226"/>
      <c r="GN100" s="226"/>
      <c r="GO100" s="226"/>
      <c r="GP100" s="226"/>
      <c r="GQ100" s="226"/>
      <c r="GR100" s="226"/>
      <c r="GS100" s="226"/>
      <c r="GT100" s="226"/>
      <c r="GU100" s="226"/>
      <c r="GV100" s="226"/>
      <c r="GW100" s="226"/>
      <c r="GX100" s="226"/>
      <c r="GY100" s="226"/>
      <c r="GZ100" s="226"/>
      <c r="HA100" s="226"/>
      <c r="HB100" s="226"/>
      <c r="HC100" s="226"/>
      <c r="HD100" s="226"/>
      <c r="PX100" s="302"/>
      <c r="PY100" s="302"/>
    </row>
    <row r="101" spans="1:441" ht="14.1" customHeight="1" x14ac:dyDescent="0.2">
      <c r="A101" s="226"/>
      <c r="B101" s="226"/>
      <c r="C101" s="226"/>
      <c r="D101" s="226"/>
      <c r="E101" s="226"/>
      <c r="F101" s="226"/>
      <c r="G101" s="226"/>
      <c r="H101" s="226"/>
      <c r="I101" s="226"/>
      <c r="J101" s="226"/>
      <c r="K101" s="226"/>
      <c r="L101" s="226"/>
      <c r="M101" s="226"/>
      <c r="N101" s="226"/>
      <c r="O101" s="226"/>
      <c r="P101" s="145"/>
      <c r="Q101" s="226"/>
      <c r="R101" s="226"/>
      <c r="S101" s="226"/>
      <c r="T101" s="226"/>
      <c r="U101" s="226"/>
      <c r="V101" s="226"/>
      <c r="W101" s="226"/>
      <c r="X101" s="226"/>
      <c r="Y101" s="226"/>
      <c r="Z101" s="226"/>
      <c r="AA101" s="226"/>
      <c r="AB101" s="226"/>
      <c r="AC101" s="226"/>
      <c r="AD101" s="226"/>
      <c r="AE101" s="226"/>
      <c r="AF101" s="226"/>
      <c r="AG101" s="226"/>
      <c r="AH101" s="226"/>
      <c r="AI101" s="226"/>
      <c r="AJ101" s="226"/>
      <c r="AK101" s="226"/>
      <c r="AL101" s="226"/>
      <c r="AM101" s="226"/>
      <c r="AN101" s="226"/>
      <c r="AO101" s="226"/>
      <c r="AP101" s="226"/>
      <c r="AQ101" s="226"/>
      <c r="AR101" s="226"/>
      <c r="AS101" s="226"/>
      <c r="AT101" s="226"/>
      <c r="AU101" s="226"/>
      <c r="AV101" s="226"/>
      <c r="AW101" s="226"/>
      <c r="AX101" s="226"/>
      <c r="AY101" s="226"/>
      <c r="AZ101" s="226"/>
      <c r="BA101" s="226"/>
      <c r="BB101" s="226"/>
      <c r="BC101" s="226"/>
      <c r="BD101" s="226"/>
      <c r="BE101" s="226"/>
      <c r="BF101" s="226"/>
      <c r="BG101" s="226"/>
      <c r="BH101" s="226"/>
      <c r="BI101" s="226"/>
      <c r="BJ101" s="226"/>
      <c r="BK101" s="226"/>
      <c r="BL101" s="226"/>
      <c r="BM101" s="226"/>
      <c r="BN101" s="226"/>
      <c r="BO101" s="226"/>
      <c r="BP101" s="226"/>
      <c r="BQ101" s="226"/>
      <c r="BR101" s="226"/>
      <c r="BS101" s="226"/>
      <c r="BT101" s="226"/>
      <c r="BU101" s="226"/>
      <c r="BV101" s="226"/>
      <c r="BW101" s="226"/>
      <c r="BX101" s="226"/>
      <c r="BY101" s="226"/>
      <c r="BZ101" s="226"/>
      <c r="CA101" s="226"/>
      <c r="CB101" s="226"/>
      <c r="CC101" s="226"/>
      <c r="CD101" s="226"/>
      <c r="CE101" s="226"/>
      <c r="CF101" s="226"/>
      <c r="CG101" s="226"/>
      <c r="CH101" s="226"/>
      <c r="CI101" s="226"/>
      <c r="CJ101" s="226"/>
      <c r="CK101" s="226"/>
      <c r="CL101" s="226"/>
      <c r="CM101" s="226"/>
      <c r="CN101" s="226"/>
      <c r="CO101" s="226"/>
      <c r="CP101" s="226"/>
      <c r="CQ101" s="226"/>
      <c r="CR101" s="226"/>
      <c r="CS101" s="226"/>
      <c r="CT101" s="226"/>
      <c r="CU101" s="226"/>
      <c r="CV101" s="226"/>
      <c r="CW101" s="226"/>
      <c r="CX101" s="226"/>
      <c r="CY101" s="226"/>
      <c r="CZ101" s="226"/>
      <c r="DA101" s="226"/>
      <c r="DB101" s="226"/>
      <c r="DC101" s="226"/>
      <c r="DD101" s="226"/>
      <c r="DE101" s="226"/>
      <c r="DF101" s="226"/>
      <c r="DG101" s="226"/>
      <c r="DH101" s="226"/>
      <c r="DI101" s="226"/>
      <c r="DJ101" s="226"/>
      <c r="DK101" s="226"/>
      <c r="DL101" s="226"/>
      <c r="DM101" s="226"/>
      <c r="DN101" s="226"/>
      <c r="DO101" s="226"/>
      <c r="DP101" s="226"/>
      <c r="DQ101" s="226"/>
      <c r="DR101" s="226"/>
      <c r="DS101" s="226"/>
      <c r="DT101" s="226"/>
      <c r="DU101" s="226"/>
      <c r="DV101" s="226"/>
      <c r="DW101" s="226"/>
      <c r="DX101" s="226"/>
      <c r="DY101" s="226"/>
      <c r="DZ101" s="226"/>
      <c r="EA101" s="226"/>
      <c r="EB101" s="226"/>
      <c r="EC101" s="226"/>
      <c r="ED101" s="226"/>
      <c r="EE101" s="226"/>
      <c r="EF101" s="226"/>
      <c r="EG101" s="226"/>
      <c r="EH101" s="226"/>
      <c r="EI101" s="226"/>
      <c r="EJ101" s="226"/>
      <c r="EK101" s="226"/>
      <c r="EL101" s="226"/>
      <c r="EM101" s="226"/>
      <c r="EN101" s="226"/>
      <c r="EO101" s="226"/>
      <c r="EP101" s="226"/>
      <c r="EQ101" s="226"/>
      <c r="ER101" s="226"/>
      <c r="ES101" s="226"/>
      <c r="ET101" s="226"/>
      <c r="EU101" s="226"/>
      <c r="EV101" s="226"/>
      <c r="EW101" s="226"/>
      <c r="EX101" s="226"/>
      <c r="EY101" s="226"/>
      <c r="EZ101" s="226"/>
      <c r="FA101" s="226"/>
      <c r="FB101" s="226"/>
      <c r="FC101" s="226"/>
      <c r="FD101" s="226"/>
      <c r="FE101" s="226"/>
      <c r="FF101" s="226"/>
      <c r="FG101" s="226"/>
      <c r="FH101" s="226"/>
      <c r="FI101" s="226"/>
      <c r="FJ101" s="226"/>
      <c r="FK101" s="226"/>
      <c r="FL101" s="226"/>
      <c r="FM101" s="226"/>
      <c r="FN101" s="226"/>
      <c r="FO101" s="226"/>
      <c r="FP101" s="226"/>
      <c r="FQ101" s="226"/>
      <c r="FR101" s="226"/>
      <c r="FS101" s="226"/>
      <c r="FT101" s="226"/>
      <c r="FU101" s="226"/>
      <c r="FV101" s="226"/>
      <c r="FW101" s="226"/>
      <c r="FX101" s="226"/>
      <c r="FY101" s="226"/>
      <c r="FZ101" s="226"/>
      <c r="GA101" s="226"/>
      <c r="GB101" s="226"/>
      <c r="GC101" s="226"/>
      <c r="GD101" s="226"/>
      <c r="GE101" s="226"/>
      <c r="GF101" s="226"/>
      <c r="GG101" s="226"/>
      <c r="GH101" s="226"/>
      <c r="GI101" s="226"/>
      <c r="GJ101" s="226"/>
      <c r="GK101" s="226"/>
      <c r="GL101" s="226"/>
      <c r="GM101" s="226"/>
      <c r="GN101" s="226"/>
      <c r="GO101" s="226"/>
      <c r="GP101" s="226"/>
      <c r="GQ101" s="226"/>
      <c r="GR101" s="226"/>
      <c r="GS101" s="226"/>
      <c r="GT101" s="226"/>
      <c r="GU101" s="226"/>
      <c r="GV101" s="226"/>
      <c r="GW101" s="226"/>
      <c r="GX101" s="226"/>
      <c r="GY101" s="226"/>
      <c r="GZ101" s="226"/>
      <c r="HA101" s="226"/>
      <c r="HB101" s="226"/>
      <c r="HC101" s="226"/>
      <c r="HD101" s="226"/>
      <c r="PX101" s="302"/>
      <c r="PY101" s="302"/>
    </row>
    <row r="102" spans="1:441" ht="14.1" customHeight="1" x14ac:dyDescent="0.2">
      <c r="A102" s="226"/>
      <c r="B102" s="226"/>
      <c r="C102" s="226"/>
      <c r="D102" s="226"/>
      <c r="E102" s="226"/>
      <c r="F102" s="226"/>
      <c r="G102" s="226"/>
      <c r="H102" s="226"/>
      <c r="I102" s="226"/>
      <c r="J102" s="226"/>
      <c r="K102" s="226"/>
      <c r="L102" s="226"/>
      <c r="M102" s="226"/>
      <c r="N102" s="226"/>
      <c r="O102" s="226"/>
      <c r="P102" s="350"/>
      <c r="Q102" s="226"/>
      <c r="R102" s="226"/>
      <c r="S102" s="226"/>
      <c r="T102" s="226"/>
      <c r="U102" s="226"/>
      <c r="V102" s="226"/>
      <c r="W102" s="226"/>
      <c r="X102" s="226"/>
      <c r="Y102" s="226"/>
      <c r="Z102" s="226"/>
      <c r="AA102" s="226"/>
      <c r="AB102" s="226"/>
      <c r="AC102" s="226"/>
      <c r="AD102" s="226"/>
      <c r="AE102" s="226"/>
      <c r="AF102" s="226"/>
      <c r="AG102" s="226"/>
      <c r="AH102" s="226"/>
      <c r="AI102" s="226"/>
      <c r="AJ102" s="226"/>
      <c r="AK102" s="226"/>
      <c r="AL102" s="226"/>
      <c r="AM102" s="226"/>
      <c r="AN102" s="226"/>
      <c r="AO102" s="226"/>
      <c r="AP102" s="226"/>
      <c r="AQ102" s="226"/>
      <c r="AR102" s="226"/>
      <c r="AS102" s="226"/>
      <c r="AT102" s="226"/>
      <c r="AU102" s="226"/>
      <c r="AV102" s="226"/>
      <c r="AW102" s="226"/>
      <c r="AX102" s="226"/>
      <c r="AY102" s="226"/>
      <c r="AZ102" s="226"/>
      <c r="BA102" s="226"/>
      <c r="BB102" s="226"/>
      <c r="BC102" s="226"/>
      <c r="BD102" s="226"/>
      <c r="BE102" s="226"/>
      <c r="BF102" s="226"/>
      <c r="BG102" s="226"/>
      <c r="BH102" s="226"/>
      <c r="BI102" s="226"/>
      <c r="BJ102" s="226"/>
      <c r="BK102" s="226"/>
      <c r="BL102" s="226"/>
      <c r="BM102" s="226"/>
      <c r="BN102" s="226"/>
      <c r="BO102" s="226"/>
      <c r="BP102" s="226"/>
      <c r="BQ102" s="226"/>
      <c r="BR102" s="226"/>
      <c r="BS102" s="226"/>
      <c r="BT102" s="226"/>
      <c r="BU102" s="226"/>
      <c r="BV102" s="226"/>
      <c r="BW102" s="226"/>
      <c r="BX102" s="226"/>
      <c r="BY102" s="226"/>
      <c r="BZ102" s="226"/>
      <c r="CA102" s="226"/>
      <c r="CB102" s="226"/>
      <c r="CC102" s="226"/>
      <c r="CD102" s="226"/>
      <c r="CE102" s="226"/>
      <c r="CF102" s="226"/>
      <c r="CG102" s="226"/>
      <c r="CH102" s="226"/>
      <c r="CI102" s="226"/>
      <c r="CJ102" s="226"/>
      <c r="CK102" s="226"/>
      <c r="CL102" s="226"/>
      <c r="CM102" s="226"/>
      <c r="CN102" s="226"/>
      <c r="CO102" s="226"/>
      <c r="CP102" s="226"/>
      <c r="CQ102" s="226"/>
      <c r="CR102" s="226"/>
      <c r="CS102" s="226"/>
      <c r="CT102" s="226"/>
      <c r="CU102" s="226"/>
      <c r="CV102" s="226"/>
      <c r="CW102" s="226"/>
      <c r="CX102" s="226"/>
      <c r="CY102" s="226"/>
      <c r="CZ102" s="226"/>
      <c r="DA102" s="226"/>
      <c r="DB102" s="226"/>
      <c r="DC102" s="226"/>
      <c r="DD102" s="226"/>
      <c r="DE102" s="226"/>
      <c r="DF102" s="226"/>
      <c r="DG102" s="226"/>
      <c r="DH102" s="226"/>
      <c r="DI102" s="226"/>
      <c r="DJ102" s="226"/>
      <c r="DK102" s="226"/>
      <c r="DL102" s="226"/>
      <c r="DM102" s="226"/>
      <c r="DN102" s="226"/>
      <c r="DO102" s="226"/>
      <c r="DP102" s="226"/>
      <c r="DQ102" s="226"/>
      <c r="DR102" s="226"/>
      <c r="DS102" s="226"/>
      <c r="DT102" s="226"/>
      <c r="DU102" s="226"/>
      <c r="DV102" s="226"/>
      <c r="DW102" s="226"/>
      <c r="DX102" s="226"/>
      <c r="DY102" s="226"/>
      <c r="DZ102" s="226"/>
      <c r="EA102" s="226"/>
      <c r="EB102" s="226"/>
      <c r="EC102" s="226"/>
      <c r="ED102" s="226"/>
      <c r="EE102" s="226"/>
      <c r="EF102" s="226"/>
      <c r="EG102" s="226"/>
      <c r="EH102" s="226"/>
      <c r="EI102" s="226"/>
      <c r="EJ102" s="226"/>
      <c r="EK102" s="226"/>
      <c r="EL102" s="226"/>
      <c r="EM102" s="226"/>
      <c r="EN102" s="226"/>
      <c r="EO102" s="226"/>
      <c r="EP102" s="226"/>
      <c r="EQ102" s="226"/>
      <c r="ER102" s="226"/>
      <c r="ES102" s="226"/>
      <c r="ET102" s="226"/>
      <c r="EU102" s="226"/>
      <c r="EV102" s="226"/>
      <c r="EW102" s="226"/>
      <c r="EX102" s="226"/>
      <c r="EY102" s="226"/>
      <c r="EZ102" s="226"/>
      <c r="FA102" s="226"/>
      <c r="FB102" s="226"/>
      <c r="FC102" s="226"/>
      <c r="FD102" s="226"/>
      <c r="FE102" s="226"/>
      <c r="FF102" s="226"/>
      <c r="FG102" s="226"/>
      <c r="FH102" s="226"/>
      <c r="FI102" s="226"/>
      <c r="FJ102" s="226"/>
      <c r="FK102" s="226"/>
      <c r="FL102" s="226"/>
      <c r="FM102" s="226"/>
      <c r="FN102" s="226"/>
      <c r="FO102" s="226"/>
      <c r="FP102" s="226"/>
      <c r="FQ102" s="226"/>
      <c r="FR102" s="226"/>
      <c r="FS102" s="226"/>
      <c r="FT102" s="226"/>
      <c r="FU102" s="226"/>
      <c r="FV102" s="226"/>
      <c r="FW102" s="226"/>
      <c r="FX102" s="226"/>
      <c r="FY102" s="226"/>
      <c r="FZ102" s="226"/>
      <c r="GA102" s="226"/>
      <c r="GB102" s="226"/>
      <c r="GC102" s="226"/>
      <c r="GD102" s="226"/>
      <c r="GE102" s="226"/>
      <c r="GF102" s="226"/>
      <c r="GG102" s="226"/>
      <c r="GH102" s="226"/>
      <c r="GI102" s="226"/>
      <c r="GJ102" s="226"/>
      <c r="GK102" s="226"/>
      <c r="GL102" s="226"/>
      <c r="GM102" s="226"/>
      <c r="GN102" s="226"/>
      <c r="GO102" s="226"/>
      <c r="GP102" s="226"/>
      <c r="GQ102" s="226"/>
      <c r="GR102" s="226"/>
      <c r="GS102" s="226"/>
      <c r="GT102" s="226"/>
      <c r="GU102" s="226"/>
      <c r="GV102" s="226"/>
      <c r="GW102" s="226"/>
      <c r="GX102" s="226"/>
      <c r="GY102" s="226"/>
      <c r="GZ102" s="226"/>
      <c r="HA102" s="226"/>
      <c r="HB102" s="226"/>
      <c r="HC102" s="226"/>
      <c r="HD102" s="226"/>
      <c r="PX102" s="302"/>
      <c r="PY102" s="302"/>
    </row>
    <row r="103" spans="1:441" ht="14.1" customHeight="1" x14ac:dyDescent="0.2">
      <c r="A103" s="226"/>
      <c r="B103" s="226"/>
      <c r="C103" s="226"/>
      <c r="D103" s="226"/>
      <c r="E103" s="226"/>
      <c r="F103" s="226"/>
      <c r="G103" s="226"/>
      <c r="H103" s="226"/>
      <c r="I103" s="226"/>
      <c r="J103" s="226"/>
      <c r="K103" s="226"/>
      <c r="L103" s="226"/>
      <c r="M103" s="226"/>
      <c r="N103" s="226"/>
      <c r="O103" s="226"/>
      <c r="P103" s="350"/>
      <c r="Q103" s="226"/>
      <c r="R103" s="226"/>
      <c r="S103" s="226"/>
      <c r="T103" s="226"/>
      <c r="U103" s="226"/>
      <c r="V103" s="226"/>
      <c r="W103" s="226"/>
      <c r="X103" s="226"/>
      <c r="Y103" s="226"/>
      <c r="Z103" s="226"/>
      <c r="AA103" s="226"/>
      <c r="AB103" s="226"/>
      <c r="AC103" s="226"/>
      <c r="AD103" s="226"/>
      <c r="AE103" s="226"/>
      <c r="AF103" s="226"/>
      <c r="AG103" s="226"/>
      <c r="AH103" s="226"/>
      <c r="AI103" s="226"/>
      <c r="AJ103" s="226"/>
      <c r="AK103" s="226"/>
      <c r="AL103" s="226"/>
      <c r="AM103" s="226"/>
      <c r="AN103" s="226"/>
      <c r="AO103" s="226"/>
      <c r="AP103" s="226"/>
      <c r="AQ103" s="226"/>
      <c r="AR103" s="226"/>
      <c r="AS103" s="226"/>
      <c r="AT103" s="226"/>
      <c r="AU103" s="226"/>
      <c r="AV103" s="226"/>
      <c r="AW103" s="226"/>
      <c r="AX103" s="226"/>
      <c r="AY103" s="226"/>
      <c r="AZ103" s="226"/>
      <c r="BA103" s="226"/>
      <c r="BB103" s="226"/>
      <c r="BC103" s="226"/>
      <c r="BD103" s="226"/>
      <c r="BE103" s="226"/>
      <c r="BF103" s="226"/>
      <c r="BG103" s="226"/>
      <c r="BH103" s="226"/>
      <c r="BI103" s="226"/>
      <c r="BJ103" s="226"/>
      <c r="BK103" s="226"/>
      <c r="BL103" s="226"/>
      <c r="BM103" s="226"/>
      <c r="BN103" s="226"/>
      <c r="BO103" s="226"/>
      <c r="BP103" s="226"/>
      <c r="BQ103" s="226"/>
      <c r="BR103" s="226"/>
      <c r="BS103" s="226"/>
      <c r="BT103" s="226"/>
      <c r="BU103" s="226"/>
      <c r="BV103" s="226"/>
      <c r="BW103" s="226"/>
      <c r="BX103" s="226"/>
      <c r="BY103" s="226"/>
      <c r="BZ103" s="226"/>
      <c r="CA103" s="226"/>
      <c r="CB103" s="226"/>
      <c r="CC103" s="226"/>
      <c r="CD103" s="226"/>
      <c r="CE103" s="226"/>
      <c r="CF103" s="226"/>
      <c r="CG103" s="226"/>
      <c r="CH103" s="226"/>
      <c r="CI103" s="226"/>
      <c r="CJ103" s="226"/>
      <c r="CK103" s="226"/>
      <c r="CL103" s="226"/>
      <c r="CM103" s="226"/>
      <c r="CN103" s="226"/>
      <c r="CO103" s="226"/>
      <c r="CP103" s="226"/>
      <c r="CQ103" s="226"/>
      <c r="CR103" s="226"/>
      <c r="CS103" s="226"/>
      <c r="CT103" s="226"/>
      <c r="CU103" s="226"/>
      <c r="CV103" s="226"/>
      <c r="CW103" s="226"/>
      <c r="CX103" s="226"/>
      <c r="CY103" s="226"/>
      <c r="CZ103" s="226"/>
      <c r="DA103" s="226"/>
      <c r="DB103" s="226"/>
      <c r="DC103" s="226"/>
      <c r="DD103" s="226"/>
      <c r="DE103" s="226"/>
      <c r="DF103" s="226"/>
      <c r="DG103" s="226"/>
      <c r="DH103" s="226"/>
      <c r="DI103" s="226"/>
      <c r="DJ103" s="226"/>
      <c r="DK103" s="226"/>
      <c r="DL103" s="226"/>
      <c r="DM103" s="226"/>
      <c r="DN103" s="226"/>
      <c r="DO103" s="226"/>
      <c r="DP103" s="226"/>
      <c r="DQ103" s="226"/>
      <c r="DR103" s="226"/>
      <c r="DS103" s="226"/>
      <c r="DT103" s="226"/>
      <c r="DU103" s="226"/>
      <c r="DV103" s="226"/>
      <c r="DW103" s="226"/>
      <c r="DX103" s="226"/>
      <c r="DY103" s="226"/>
      <c r="DZ103" s="226"/>
      <c r="EA103" s="226"/>
      <c r="EB103" s="226"/>
      <c r="EC103" s="226"/>
      <c r="ED103" s="226"/>
      <c r="EE103" s="226"/>
      <c r="EF103" s="226"/>
      <c r="EG103" s="226"/>
      <c r="EH103" s="226"/>
      <c r="EI103" s="226"/>
      <c r="EJ103" s="226"/>
      <c r="EK103" s="226"/>
      <c r="EL103" s="226"/>
      <c r="EM103" s="226"/>
      <c r="EN103" s="226"/>
      <c r="EO103" s="226"/>
      <c r="EP103" s="226"/>
      <c r="EQ103" s="226"/>
      <c r="ER103" s="226"/>
      <c r="ES103" s="226"/>
      <c r="ET103" s="226"/>
      <c r="EU103" s="226"/>
      <c r="EV103" s="226"/>
      <c r="EW103" s="226"/>
      <c r="EX103" s="226"/>
      <c r="EY103" s="226"/>
      <c r="EZ103" s="226"/>
      <c r="FA103" s="226"/>
      <c r="FB103" s="226"/>
      <c r="FC103" s="226"/>
      <c r="FD103" s="226"/>
      <c r="FE103" s="226"/>
      <c r="FF103" s="226"/>
      <c r="FG103" s="226"/>
      <c r="FH103" s="226"/>
      <c r="FI103" s="226"/>
      <c r="FJ103" s="226"/>
      <c r="FK103" s="226"/>
      <c r="FL103" s="226"/>
      <c r="FM103" s="226"/>
      <c r="FN103" s="226"/>
      <c r="FO103" s="226"/>
      <c r="FP103" s="226"/>
      <c r="FQ103" s="226"/>
      <c r="FR103" s="226"/>
      <c r="FS103" s="226"/>
      <c r="FT103" s="226"/>
      <c r="FU103" s="226"/>
      <c r="FV103" s="226"/>
      <c r="FW103" s="226"/>
      <c r="FX103" s="226"/>
      <c r="FY103" s="226"/>
      <c r="FZ103" s="226"/>
      <c r="GA103" s="226"/>
      <c r="GB103" s="226"/>
      <c r="GC103" s="226"/>
      <c r="GD103" s="226"/>
      <c r="GE103" s="226"/>
      <c r="GF103" s="226"/>
      <c r="GG103" s="226"/>
      <c r="GH103" s="226"/>
      <c r="GI103" s="226"/>
      <c r="GJ103" s="226"/>
      <c r="GK103" s="226"/>
      <c r="GL103" s="226"/>
      <c r="GM103" s="226"/>
      <c r="GN103" s="226"/>
      <c r="GO103" s="226"/>
      <c r="GP103" s="226"/>
      <c r="GQ103" s="226"/>
      <c r="GR103" s="226"/>
      <c r="GS103" s="226"/>
      <c r="GT103" s="226"/>
      <c r="GU103" s="226"/>
      <c r="GV103" s="226"/>
      <c r="GW103" s="226"/>
      <c r="GX103" s="226"/>
      <c r="GY103" s="226"/>
      <c r="GZ103" s="226"/>
      <c r="HA103" s="226"/>
      <c r="HB103" s="226"/>
      <c r="HC103" s="226"/>
      <c r="HD103" s="226"/>
      <c r="PX103" s="302"/>
      <c r="PY103" s="302"/>
    </row>
    <row r="104" spans="1:441" ht="14.1" customHeight="1" x14ac:dyDescent="0.2">
      <c r="A104" s="226"/>
      <c r="B104" s="226"/>
      <c r="C104" s="226"/>
      <c r="D104" s="226"/>
      <c r="E104" s="226"/>
      <c r="F104" s="226"/>
      <c r="G104" s="226"/>
      <c r="H104" s="226"/>
      <c r="I104" s="226"/>
      <c r="J104" s="226"/>
      <c r="K104" s="226"/>
      <c r="L104" s="226"/>
      <c r="M104" s="226"/>
      <c r="N104" s="226"/>
      <c r="O104" s="226"/>
      <c r="P104" s="350"/>
      <c r="Q104" s="226"/>
      <c r="R104" s="226"/>
      <c r="S104" s="226"/>
      <c r="T104" s="226"/>
      <c r="U104" s="226"/>
      <c r="V104" s="226"/>
      <c r="W104" s="226"/>
      <c r="X104" s="226"/>
      <c r="Y104" s="226"/>
      <c r="Z104" s="226"/>
      <c r="AA104" s="226"/>
      <c r="AB104" s="226"/>
      <c r="AC104" s="226"/>
      <c r="AD104" s="226"/>
      <c r="AE104" s="226"/>
      <c r="AF104" s="226"/>
      <c r="AG104" s="226"/>
      <c r="AH104" s="226"/>
      <c r="AI104" s="226"/>
      <c r="AJ104" s="226"/>
      <c r="AK104" s="226"/>
      <c r="AL104" s="226"/>
      <c r="AM104" s="226"/>
      <c r="AN104" s="226"/>
      <c r="AO104" s="226"/>
      <c r="AP104" s="226"/>
      <c r="AQ104" s="226"/>
      <c r="AR104" s="226"/>
      <c r="AS104" s="226"/>
      <c r="AT104" s="226"/>
      <c r="AU104" s="226"/>
      <c r="AV104" s="226"/>
      <c r="AW104" s="226"/>
      <c r="AX104" s="226"/>
      <c r="AY104" s="226"/>
      <c r="AZ104" s="226"/>
      <c r="BA104" s="226"/>
      <c r="BB104" s="226"/>
      <c r="BC104" s="226"/>
      <c r="BD104" s="226"/>
      <c r="BE104" s="226"/>
      <c r="BF104" s="226"/>
      <c r="BG104" s="226"/>
      <c r="BH104" s="226"/>
      <c r="BI104" s="226"/>
      <c r="BJ104" s="226"/>
      <c r="BK104" s="226"/>
      <c r="BL104" s="226"/>
      <c r="BM104" s="226"/>
      <c r="BN104" s="226"/>
      <c r="BO104" s="226"/>
      <c r="BP104" s="226"/>
      <c r="BQ104" s="226"/>
      <c r="BR104" s="226"/>
      <c r="BS104" s="226"/>
      <c r="BT104" s="226"/>
      <c r="BU104" s="226"/>
      <c r="BV104" s="226"/>
      <c r="BW104" s="226"/>
      <c r="BX104" s="226"/>
      <c r="BY104" s="226"/>
      <c r="BZ104" s="226"/>
      <c r="CA104" s="226"/>
      <c r="CB104" s="226"/>
      <c r="CC104" s="226"/>
      <c r="CD104" s="226"/>
      <c r="CE104" s="226"/>
      <c r="CF104" s="226"/>
      <c r="CG104" s="226"/>
      <c r="CH104" s="226"/>
      <c r="CI104" s="226"/>
      <c r="CJ104" s="226"/>
      <c r="CK104" s="226"/>
      <c r="CL104" s="226"/>
      <c r="CM104" s="226"/>
      <c r="CN104" s="226"/>
      <c r="CO104" s="226"/>
      <c r="CP104" s="226"/>
      <c r="CQ104" s="226"/>
      <c r="CR104" s="226"/>
      <c r="CS104" s="226"/>
      <c r="CT104" s="226"/>
      <c r="CU104" s="226"/>
      <c r="CV104" s="226"/>
      <c r="CW104" s="226"/>
      <c r="CX104" s="226"/>
      <c r="CY104" s="226"/>
      <c r="CZ104" s="226"/>
      <c r="DA104" s="226"/>
      <c r="DB104" s="226"/>
      <c r="DC104" s="226"/>
      <c r="DD104" s="226"/>
      <c r="DE104" s="226"/>
      <c r="DF104" s="226"/>
      <c r="DG104" s="226"/>
      <c r="DH104" s="226"/>
      <c r="DI104" s="226"/>
      <c r="DJ104" s="226"/>
      <c r="DK104" s="226"/>
      <c r="DL104" s="226"/>
      <c r="DM104" s="226"/>
      <c r="DN104" s="226"/>
      <c r="DO104" s="226"/>
      <c r="DP104" s="226"/>
      <c r="DQ104" s="226"/>
      <c r="DR104" s="226"/>
      <c r="DS104" s="226"/>
      <c r="DT104" s="226"/>
      <c r="DU104" s="226"/>
      <c r="DV104" s="226"/>
      <c r="DW104" s="226"/>
      <c r="DX104" s="226"/>
      <c r="DY104" s="226"/>
      <c r="DZ104" s="226"/>
      <c r="EA104" s="226"/>
      <c r="EB104" s="226"/>
      <c r="EC104" s="226"/>
      <c r="ED104" s="226"/>
      <c r="EE104" s="226"/>
      <c r="EF104" s="226"/>
      <c r="EG104" s="226"/>
      <c r="EH104" s="226"/>
      <c r="EI104" s="226"/>
      <c r="EJ104" s="226"/>
      <c r="EK104" s="226"/>
      <c r="EL104" s="226"/>
      <c r="EM104" s="226"/>
      <c r="EN104" s="226"/>
      <c r="EO104" s="226"/>
      <c r="EP104" s="226"/>
      <c r="EQ104" s="226"/>
      <c r="ER104" s="226"/>
      <c r="ES104" s="226"/>
      <c r="ET104" s="226"/>
      <c r="EU104" s="226"/>
      <c r="EV104" s="226"/>
      <c r="EW104" s="226"/>
      <c r="EX104" s="226"/>
      <c r="EY104" s="226"/>
      <c r="EZ104" s="226"/>
      <c r="FA104" s="226"/>
      <c r="FB104" s="226"/>
      <c r="FC104" s="226"/>
      <c r="FD104" s="226"/>
      <c r="FE104" s="226"/>
      <c r="FF104" s="226"/>
      <c r="FG104" s="226"/>
      <c r="FH104" s="226"/>
      <c r="FI104" s="226"/>
      <c r="FJ104" s="226"/>
      <c r="FK104" s="226"/>
      <c r="FL104" s="226"/>
      <c r="FM104" s="226"/>
      <c r="FN104" s="226"/>
      <c r="FO104" s="226"/>
      <c r="FP104" s="226"/>
      <c r="FQ104" s="226"/>
      <c r="FR104" s="226"/>
      <c r="FS104" s="226"/>
      <c r="FT104" s="226"/>
      <c r="FU104" s="226"/>
      <c r="FV104" s="226"/>
      <c r="FW104" s="226"/>
      <c r="FX104" s="226"/>
      <c r="FY104" s="226"/>
      <c r="FZ104" s="226"/>
      <c r="GA104" s="226"/>
      <c r="GB104" s="226"/>
      <c r="GC104" s="226"/>
      <c r="GD104" s="226"/>
      <c r="GE104" s="226"/>
      <c r="GF104" s="226"/>
      <c r="GG104" s="226"/>
      <c r="GH104" s="226"/>
      <c r="GI104" s="226"/>
      <c r="GJ104" s="226"/>
      <c r="GK104" s="226"/>
      <c r="GL104" s="226"/>
      <c r="GM104" s="226"/>
      <c r="GN104" s="226"/>
      <c r="GO104" s="226"/>
      <c r="GP104" s="226"/>
      <c r="GQ104" s="226"/>
      <c r="GR104" s="226"/>
      <c r="GS104" s="226"/>
      <c r="GT104" s="226"/>
      <c r="GU104" s="226"/>
      <c r="GV104" s="226"/>
      <c r="GW104" s="226"/>
      <c r="GX104" s="226"/>
      <c r="GY104" s="226"/>
      <c r="GZ104" s="226"/>
      <c r="HA104" s="226"/>
      <c r="HB104" s="226"/>
      <c r="HC104" s="226"/>
      <c r="HD104" s="226"/>
      <c r="PX104" s="302"/>
      <c r="PY104" s="302"/>
    </row>
    <row r="105" spans="1:441" ht="14.1" customHeight="1" x14ac:dyDescent="0.2">
      <c r="A105" s="226"/>
      <c r="B105" s="226"/>
      <c r="C105" s="226"/>
      <c r="D105" s="226"/>
      <c r="E105" s="226"/>
      <c r="F105" s="226"/>
      <c r="G105" s="226"/>
      <c r="H105" s="226"/>
      <c r="I105" s="226"/>
      <c r="J105" s="226"/>
      <c r="K105" s="226"/>
      <c r="L105" s="226"/>
      <c r="M105" s="226"/>
      <c r="N105" s="226"/>
      <c r="O105" s="226"/>
      <c r="P105" s="241"/>
      <c r="Q105" s="226"/>
      <c r="R105" s="226"/>
      <c r="S105" s="226"/>
      <c r="T105" s="226"/>
      <c r="U105" s="226"/>
      <c r="V105" s="226"/>
      <c r="W105" s="226"/>
      <c r="X105" s="226"/>
      <c r="Y105" s="226"/>
      <c r="Z105" s="226"/>
      <c r="AA105" s="226"/>
      <c r="AB105" s="226"/>
      <c r="AC105" s="226"/>
      <c r="AD105" s="226"/>
      <c r="AE105" s="226"/>
      <c r="AF105" s="226"/>
      <c r="AG105" s="226"/>
      <c r="AH105" s="226"/>
      <c r="AI105" s="226"/>
      <c r="AJ105" s="226"/>
      <c r="AK105" s="226"/>
      <c r="AL105" s="226"/>
      <c r="AM105" s="226"/>
      <c r="AN105" s="226"/>
      <c r="AO105" s="226"/>
      <c r="AP105" s="226"/>
      <c r="AQ105" s="226"/>
      <c r="AR105" s="226"/>
      <c r="AS105" s="226"/>
      <c r="AT105" s="226"/>
      <c r="AU105" s="226"/>
      <c r="AV105" s="226"/>
      <c r="AW105" s="226"/>
      <c r="AX105" s="226"/>
      <c r="AY105" s="226"/>
      <c r="AZ105" s="226"/>
      <c r="BA105" s="226"/>
      <c r="BB105" s="226"/>
      <c r="BC105" s="226"/>
      <c r="BD105" s="226"/>
      <c r="BE105" s="226"/>
      <c r="BF105" s="226"/>
      <c r="BG105" s="226"/>
      <c r="BH105" s="226"/>
      <c r="BI105" s="226"/>
      <c r="BJ105" s="226"/>
      <c r="BK105" s="226"/>
      <c r="BL105" s="226"/>
      <c r="BM105" s="226"/>
      <c r="BN105" s="226"/>
      <c r="BO105" s="226"/>
      <c r="BP105" s="226"/>
      <c r="BQ105" s="226"/>
      <c r="BR105" s="226"/>
      <c r="BS105" s="226"/>
      <c r="BT105" s="226"/>
      <c r="BU105" s="226"/>
      <c r="BV105" s="226"/>
      <c r="BW105" s="226"/>
      <c r="BX105" s="226"/>
      <c r="BY105" s="226"/>
      <c r="BZ105" s="226"/>
      <c r="CA105" s="226"/>
      <c r="CB105" s="226"/>
      <c r="CC105" s="226"/>
      <c r="CD105" s="226"/>
      <c r="CE105" s="226"/>
      <c r="CF105" s="226"/>
      <c r="CG105" s="226"/>
      <c r="CH105" s="226"/>
      <c r="CI105" s="226"/>
      <c r="CJ105" s="226"/>
      <c r="CK105" s="226"/>
      <c r="CL105" s="226"/>
      <c r="CM105" s="226"/>
      <c r="CN105" s="226"/>
      <c r="CO105" s="226"/>
      <c r="CP105" s="226"/>
      <c r="CQ105" s="226"/>
      <c r="CR105" s="226"/>
      <c r="CS105" s="226"/>
      <c r="CT105" s="226"/>
      <c r="CU105" s="226"/>
      <c r="CV105" s="226"/>
      <c r="CW105" s="226"/>
      <c r="CX105" s="226"/>
      <c r="CY105" s="226"/>
      <c r="CZ105" s="226"/>
      <c r="DA105" s="226"/>
      <c r="DB105" s="226"/>
      <c r="DC105" s="226"/>
      <c r="DD105" s="226"/>
      <c r="DE105" s="226"/>
      <c r="DF105" s="226"/>
      <c r="DG105" s="226"/>
      <c r="DH105" s="226"/>
      <c r="DI105" s="226"/>
      <c r="DJ105" s="226"/>
      <c r="DK105" s="226"/>
      <c r="DL105" s="226"/>
      <c r="DM105" s="226"/>
      <c r="DN105" s="226"/>
      <c r="DO105" s="226"/>
      <c r="DP105" s="226"/>
      <c r="DQ105" s="226"/>
      <c r="DR105" s="226"/>
      <c r="DS105" s="226"/>
      <c r="DT105" s="226"/>
      <c r="DU105" s="226"/>
      <c r="DV105" s="226"/>
      <c r="DW105" s="226"/>
      <c r="DX105" s="226"/>
      <c r="DY105" s="226"/>
      <c r="DZ105" s="226"/>
      <c r="EA105" s="226"/>
      <c r="EB105" s="226"/>
      <c r="EC105" s="226"/>
      <c r="ED105" s="226"/>
      <c r="EE105" s="226"/>
      <c r="EF105" s="226"/>
      <c r="EG105" s="226"/>
      <c r="EH105" s="226"/>
      <c r="EI105" s="226"/>
      <c r="EJ105" s="226"/>
      <c r="EK105" s="226"/>
      <c r="EL105" s="226"/>
      <c r="EM105" s="226"/>
      <c r="EN105" s="226"/>
      <c r="EO105" s="226"/>
      <c r="EP105" s="226"/>
      <c r="EQ105" s="226"/>
      <c r="ER105" s="226"/>
      <c r="ES105" s="226"/>
      <c r="ET105" s="226"/>
      <c r="EU105" s="226"/>
      <c r="EV105" s="226"/>
      <c r="EW105" s="226"/>
      <c r="EX105" s="226"/>
      <c r="EY105" s="226"/>
      <c r="EZ105" s="226"/>
      <c r="FA105" s="226"/>
      <c r="FB105" s="226"/>
      <c r="FC105" s="226"/>
      <c r="FD105" s="226"/>
      <c r="FE105" s="226"/>
      <c r="FF105" s="226"/>
      <c r="FG105" s="226"/>
      <c r="FH105" s="226"/>
      <c r="FI105" s="226"/>
      <c r="FJ105" s="226"/>
      <c r="FK105" s="226"/>
      <c r="FL105" s="226"/>
      <c r="FM105" s="226"/>
      <c r="FN105" s="226"/>
      <c r="FO105" s="226"/>
      <c r="FP105" s="226"/>
      <c r="FQ105" s="226"/>
      <c r="FR105" s="226"/>
      <c r="FS105" s="226"/>
      <c r="FT105" s="226"/>
      <c r="FU105" s="226"/>
      <c r="FV105" s="226"/>
      <c r="FW105" s="226"/>
      <c r="FX105" s="226"/>
      <c r="FY105" s="226"/>
      <c r="FZ105" s="226"/>
      <c r="GA105" s="226"/>
      <c r="GB105" s="226"/>
      <c r="GC105" s="226"/>
      <c r="GD105" s="226"/>
      <c r="GE105" s="226"/>
      <c r="GF105" s="226"/>
      <c r="GG105" s="226"/>
      <c r="GH105" s="226"/>
      <c r="GI105" s="226"/>
      <c r="GJ105" s="226"/>
      <c r="GK105" s="226"/>
      <c r="GL105" s="226"/>
      <c r="GM105" s="226"/>
      <c r="GN105" s="226"/>
      <c r="GO105" s="226"/>
      <c r="GP105" s="226"/>
      <c r="GQ105" s="226"/>
      <c r="GR105" s="226"/>
      <c r="GS105" s="226"/>
      <c r="GT105" s="226"/>
      <c r="GU105" s="226"/>
      <c r="GV105" s="226"/>
      <c r="GW105" s="226"/>
      <c r="GX105" s="226"/>
      <c r="GY105" s="226"/>
      <c r="GZ105" s="226"/>
      <c r="HA105" s="226"/>
      <c r="HB105" s="226"/>
      <c r="HC105" s="226"/>
      <c r="HD105" s="226"/>
      <c r="PX105" s="302"/>
      <c r="PY105" s="302"/>
    </row>
    <row r="106" spans="1:441" ht="14.1" customHeight="1" x14ac:dyDescent="0.2">
      <c r="A106" s="226"/>
      <c r="B106" s="226"/>
      <c r="C106" s="226"/>
      <c r="D106" s="226"/>
      <c r="E106" s="226"/>
      <c r="F106" s="226"/>
      <c r="G106" s="226"/>
      <c r="H106" s="226"/>
      <c r="I106" s="226"/>
      <c r="J106" s="226"/>
      <c r="K106" s="226"/>
      <c r="L106" s="226"/>
      <c r="M106" s="226"/>
      <c r="N106" s="226"/>
      <c r="O106" s="226"/>
      <c r="P106" s="140"/>
      <c r="Q106" s="226"/>
      <c r="R106" s="226"/>
      <c r="S106" s="226"/>
      <c r="T106" s="226"/>
      <c r="U106" s="226"/>
      <c r="V106" s="226"/>
      <c r="W106" s="226"/>
      <c r="X106" s="226"/>
      <c r="Y106" s="226"/>
      <c r="Z106" s="226"/>
      <c r="AA106" s="226"/>
      <c r="AB106" s="226"/>
      <c r="AC106" s="226"/>
      <c r="AD106" s="226"/>
      <c r="AE106" s="226"/>
      <c r="AF106" s="226"/>
      <c r="AG106" s="226"/>
      <c r="AH106" s="226"/>
      <c r="AI106" s="226"/>
      <c r="AJ106" s="226"/>
      <c r="AK106" s="226"/>
      <c r="AL106" s="226"/>
      <c r="AM106" s="226"/>
      <c r="AN106" s="226"/>
      <c r="AO106" s="226"/>
      <c r="AP106" s="226"/>
      <c r="AQ106" s="226"/>
      <c r="AR106" s="226"/>
      <c r="AS106" s="226"/>
      <c r="AT106" s="226"/>
      <c r="AU106" s="226"/>
      <c r="AV106" s="226"/>
      <c r="AW106" s="226"/>
      <c r="AX106" s="226"/>
      <c r="AY106" s="226"/>
      <c r="AZ106" s="226"/>
      <c r="BA106" s="226"/>
      <c r="BB106" s="226"/>
      <c r="BC106" s="226"/>
      <c r="BD106" s="226"/>
      <c r="BE106" s="226"/>
      <c r="BF106" s="226"/>
      <c r="BG106" s="226"/>
      <c r="BH106" s="226"/>
      <c r="BI106" s="226"/>
      <c r="BJ106" s="226"/>
      <c r="BK106" s="226"/>
      <c r="BL106" s="226"/>
      <c r="BM106" s="226"/>
      <c r="BN106" s="226"/>
      <c r="BO106" s="226"/>
      <c r="BP106" s="226"/>
      <c r="BQ106" s="226"/>
      <c r="BR106" s="226"/>
      <c r="BS106" s="226"/>
      <c r="BT106" s="226"/>
      <c r="BU106" s="226"/>
      <c r="BV106" s="226"/>
      <c r="BW106" s="226"/>
      <c r="BX106" s="226"/>
      <c r="BY106" s="226"/>
      <c r="BZ106" s="226"/>
      <c r="CA106" s="226"/>
      <c r="CB106" s="226"/>
      <c r="CC106" s="226"/>
      <c r="CD106" s="226"/>
      <c r="CE106" s="226"/>
      <c r="CF106" s="226"/>
      <c r="CG106" s="226"/>
      <c r="CH106" s="226"/>
      <c r="CI106" s="226"/>
      <c r="CJ106" s="226"/>
      <c r="CK106" s="226"/>
      <c r="CL106" s="226"/>
      <c r="CM106" s="226"/>
      <c r="CN106" s="226"/>
      <c r="CO106" s="226"/>
      <c r="CP106" s="226"/>
      <c r="CQ106" s="226"/>
      <c r="CR106" s="226"/>
      <c r="CS106" s="226"/>
      <c r="CT106" s="226"/>
      <c r="CU106" s="226"/>
      <c r="CV106" s="226"/>
      <c r="CW106" s="226"/>
      <c r="CX106" s="226"/>
      <c r="CY106" s="226"/>
      <c r="CZ106" s="226"/>
      <c r="DA106" s="226"/>
      <c r="DB106" s="226"/>
      <c r="DC106" s="226"/>
      <c r="DD106" s="226"/>
      <c r="DE106" s="226"/>
      <c r="DF106" s="226"/>
      <c r="DG106" s="226"/>
      <c r="DH106" s="226"/>
      <c r="DI106" s="226"/>
      <c r="DJ106" s="226"/>
      <c r="DK106" s="226"/>
      <c r="DL106" s="226"/>
      <c r="DM106" s="226"/>
      <c r="DN106" s="226"/>
      <c r="DO106" s="226"/>
      <c r="DP106" s="226"/>
      <c r="DQ106" s="226"/>
      <c r="DR106" s="226"/>
      <c r="DS106" s="226"/>
      <c r="DT106" s="226"/>
      <c r="DU106" s="226"/>
      <c r="DV106" s="226"/>
      <c r="DW106" s="226"/>
      <c r="DX106" s="226"/>
      <c r="DY106" s="226"/>
      <c r="DZ106" s="226"/>
      <c r="EA106" s="226"/>
      <c r="EB106" s="226"/>
      <c r="EC106" s="226"/>
      <c r="ED106" s="226"/>
      <c r="EE106" s="226"/>
      <c r="EF106" s="226"/>
      <c r="EG106" s="226"/>
      <c r="EH106" s="226"/>
      <c r="EI106" s="226"/>
      <c r="EJ106" s="226"/>
      <c r="EK106" s="226"/>
      <c r="EL106" s="226"/>
      <c r="EM106" s="226"/>
      <c r="EN106" s="226"/>
      <c r="EO106" s="226"/>
      <c r="EP106" s="226"/>
      <c r="EQ106" s="226"/>
      <c r="ER106" s="226"/>
      <c r="ES106" s="226"/>
      <c r="ET106" s="226"/>
      <c r="EU106" s="226"/>
      <c r="EV106" s="226"/>
      <c r="EW106" s="226"/>
      <c r="EX106" s="226"/>
      <c r="EY106" s="226"/>
      <c r="EZ106" s="226"/>
      <c r="FA106" s="226"/>
      <c r="FB106" s="226"/>
      <c r="FC106" s="226"/>
      <c r="FD106" s="226"/>
      <c r="FE106" s="226"/>
      <c r="FF106" s="226"/>
      <c r="FG106" s="226"/>
      <c r="FH106" s="226"/>
      <c r="FI106" s="226"/>
      <c r="FJ106" s="226"/>
      <c r="FK106" s="226"/>
      <c r="FL106" s="226"/>
      <c r="FM106" s="226"/>
      <c r="FN106" s="226"/>
      <c r="FO106" s="226"/>
      <c r="FP106" s="226"/>
      <c r="FQ106" s="226"/>
      <c r="FR106" s="226"/>
      <c r="FS106" s="226"/>
      <c r="FT106" s="226"/>
      <c r="FU106" s="226"/>
      <c r="FV106" s="226"/>
      <c r="FW106" s="226"/>
      <c r="FX106" s="226"/>
      <c r="FY106" s="226"/>
      <c r="FZ106" s="226"/>
      <c r="GA106" s="226"/>
      <c r="GB106" s="226"/>
      <c r="GC106" s="226"/>
      <c r="GD106" s="226"/>
      <c r="GE106" s="226"/>
      <c r="GF106" s="226"/>
      <c r="GG106" s="226"/>
      <c r="GH106" s="226"/>
      <c r="GI106" s="226"/>
      <c r="GJ106" s="226"/>
      <c r="GK106" s="226"/>
      <c r="GL106" s="226"/>
      <c r="GM106" s="226"/>
      <c r="GN106" s="226"/>
      <c r="GO106" s="226"/>
      <c r="GP106" s="226"/>
      <c r="GQ106" s="226"/>
      <c r="GR106" s="226"/>
      <c r="GS106" s="226"/>
      <c r="GT106" s="226"/>
      <c r="GU106" s="226"/>
      <c r="GV106" s="226"/>
      <c r="GW106" s="226"/>
      <c r="GX106" s="226"/>
      <c r="GY106" s="226"/>
      <c r="GZ106" s="226"/>
      <c r="HA106" s="226"/>
      <c r="HB106" s="226"/>
      <c r="HC106" s="226"/>
      <c r="HD106" s="226"/>
      <c r="PX106" s="302"/>
      <c r="PY106" s="302"/>
    </row>
    <row r="107" spans="1:441" ht="14.1" customHeight="1" x14ac:dyDescent="0.2">
      <c r="A107" s="226"/>
      <c r="B107" s="226"/>
      <c r="C107" s="226"/>
      <c r="D107" s="226"/>
      <c r="E107" s="226"/>
      <c r="F107" s="226"/>
      <c r="G107" s="226"/>
      <c r="H107" s="226"/>
      <c r="I107" s="226"/>
      <c r="J107" s="226"/>
      <c r="K107" s="226"/>
      <c r="L107" s="226"/>
      <c r="M107" s="226"/>
      <c r="N107" s="226"/>
      <c r="O107" s="226"/>
      <c r="P107" s="140"/>
      <c r="Q107" s="226"/>
      <c r="R107" s="226"/>
      <c r="S107" s="226"/>
      <c r="T107" s="226"/>
      <c r="U107" s="226"/>
      <c r="V107" s="226"/>
      <c r="W107" s="226"/>
      <c r="X107" s="226"/>
      <c r="Y107" s="226"/>
      <c r="Z107" s="226"/>
      <c r="AA107" s="226"/>
      <c r="AB107" s="226"/>
      <c r="AC107" s="226"/>
      <c r="AD107" s="226"/>
      <c r="AE107" s="226"/>
      <c r="AF107" s="226"/>
      <c r="AG107" s="226"/>
      <c r="AH107" s="226"/>
      <c r="AI107" s="226"/>
      <c r="AJ107" s="226"/>
      <c r="AK107" s="226"/>
      <c r="AL107" s="226"/>
      <c r="AM107" s="226"/>
      <c r="AN107" s="226"/>
      <c r="AO107" s="226"/>
      <c r="AP107" s="226"/>
      <c r="AQ107" s="226"/>
      <c r="AR107" s="226"/>
      <c r="AS107" s="226"/>
      <c r="AT107" s="226"/>
      <c r="AU107" s="226"/>
      <c r="AV107" s="226"/>
      <c r="AW107" s="226"/>
      <c r="AX107" s="226"/>
      <c r="AY107" s="226"/>
      <c r="AZ107" s="226"/>
      <c r="BA107" s="226"/>
      <c r="BB107" s="226"/>
      <c r="BC107" s="226"/>
      <c r="BD107" s="226"/>
      <c r="BE107" s="226"/>
      <c r="BF107" s="226"/>
      <c r="BG107" s="226"/>
      <c r="BH107" s="226"/>
      <c r="BI107" s="226"/>
      <c r="BJ107" s="226"/>
      <c r="BK107" s="226"/>
      <c r="BL107" s="226"/>
      <c r="BM107" s="226"/>
      <c r="BN107" s="226"/>
      <c r="BO107" s="226"/>
      <c r="BP107" s="226"/>
      <c r="BQ107" s="226"/>
      <c r="BR107" s="226"/>
      <c r="BS107" s="226"/>
      <c r="BT107" s="226"/>
      <c r="BU107" s="226"/>
      <c r="BV107" s="226"/>
      <c r="BW107" s="226"/>
      <c r="BX107" s="226"/>
      <c r="BY107" s="226"/>
      <c r="BZ107" s="226"/>
      <c r="CA107" s="226"/>
      <c r="CB107" s="226"/>
      <c r="CC107" s="226"/>
      <c r="CD107" s="226"/>
      <c r="CE107" s="226"/>
      <c r="CF107" s="226"/>
      <c r="CG107" s="226"/>
      <c r="CH107" s="226"/>
      <c r="CI107" s="226"/>
      <c r="CJ107" s="226"/>
      <c r="CK107" s="226"/>
      <c r="CL107" s="226"/>
      <c r="CM107" s="226"/>
      <c r="CN107" s="226"/>
      <c r="CO107" s="226"/>
      <c r="CP107" s="226"/>
      <c r="CQ107" s="226"/>
      <c r="CR107" s="226"/>
      <c r="CS107" s="226"/>
      <c r="CT107" s="226"/>
      <c r="CU107" s="226"/>
      <c r="CV107" s="226"/>
      <c r="CW107" s="226"/>
      <c r="CX107" s="226"/>
      <c r="CY107" s="226"/>
      <c r="CZ107" s="226"/>
      <c r="DA107" s="226"/>
      <c r="DB107" s="226"/>
      <c r="DC107" s="226"/>
      <c r="DD107" s="226"/>
      <c r="DE107" s="226"/>
      <c r="DF107" s="226"/>
      <c r="DG107" s="226"/>
      <c r="DH107" s="226"/>
      <c r="DI107" s="226"/>
      <c r="DJ107" s="226"/>
      <c r="DK107" s="226"/>
      <c r="DL107" s="226"/>
      <c r="DM107" s="226"/>
      <c r="DN107" s="226"/>
      <c r="DO107" s="226"/>
      <c r="DP107" s="226"/>
      <c r="DQ107" s="226"/>
      <c r="DR107" s="226"/>
      <c r="DS107" s="226"/>
      <c r="DT107" s="226"/>
      <c r="DU107" s="226"/>
      <c r="DV107" s="226"/>
      <c r="DW107" s="226"/>
      <c r="DX107" s="226"/>
      <c r="DY107" s="226"/>
      <c r="DZ107" s="226"/>
      <c r="EA107" s="226"/>
      <c r="EB107" s="226"/>
      <c r="EC107" s="226"/>
      <c r="ED107" s="226"/>
      <c r="EE107" s="226"/>
      <c r="EF107" s="226"/>
      <c r="EG107" s="226"/>
      <c r="EH107" s="226"/>
      <c r="EI107" s="226"/>
      <c r="EJ107" s="226"/>
      <c r="EK107" s="226"/>
      <c r="EL107" s="226"/>
      <c r="EM107" s="226"/>
      <c r="EN107" s="226"/>
      <c r="EO107" s="226"/>
      <c r="EP107" s="226"/>
      <c r="EQ107" s="226"/>
      <c r="ER107" s="226"/>
      <c r="ES107" s="226"/>
      <c r="ET107" s="226"/>
      <c r="EU107" s="226"/>
      <c r="EV107" s="226"/>
      <c r="EW107" s="226"/>
      <c r="EX107" s="226"/>
      <c r="EY107" s="226"/>
      <c r="EZ107" s="226"/>
      <c r="FA107" s="226"/>
      <c r="FB107" s="226"/>
      <c r="FC107" s="226"/>
      <c r="FD107" s="226"/>
      <c r="FE107" s="226"/>
      <c r="FF107" s="226"/>
      <c r="FG107" s="226"/>
      <c r="FH107" s="226"/>
      <c r="FI107" s="226"/>
      <c r="FJ107" s="226"/>
      <c r="FK107" s="226"/>
      <c r="FL107" s="226"/>
      <c r="FM107" s="226"/>
      <c r="FN107" s="226"/>
      <c r="FO107" s="226"/>
      <c r="FP107" s="226"/>
      <c r="FQ107" s="226"/>
      <c r="FR107" s="226"/>
      <c r="FS107" s="226"/>
      <c r="FT107" s="226"/>
      <c r="FU107" s="226"/>
      <c r="FV107" s="226"/>
      <c r="FW107" s="226"/>
      <c r="FX107" s="226"/>
      <c r="FY107" s="226"/>
      <c r="FZ107" s="226"/>
      <c r="GA107" s="226"/>
      <c r="GB107" s="226"/>
      <c r="GC107" s="226"/>
      <c r="GD107" s="226"/>
      <c r="GE107" s="226"/>
      <c r="GF107" s="226"/>
      <c r="GG107" s="226"/>
      <c r="GH107" s="226"/>
      <c r="GI107" s="226"/>
      <c r="GJ107" s="226"/>
      <c r="GK107" s="226"/>
      <c r="GL107" s="226"/>
      <c r="GM107" s="226"/>
      <c r="GN107" s="226"/>
      <c r="GO107" s="226"/>
      <c r="GP107" s="226"/>
      <c r="GQ107" s="226"/>
      <c r="GR107" s="226"/>
      <c r="GS107" s="226"/>
      <c r="GT107" s="226"/>
      <c r="GU107" s="226"/>
      <c r="GV107" s="226"/>
      <c r="GW107" s="226"/>
      <c r="GX107" s="226"/>
      <c r="GY107" s="226"/>
      <c r="GZ107" s="226"/>
      <c r="HA107" s="226"/>
      <c r="HB107" s="226"/>
      <c r="HC107" s="226"/>
      <c r="HD107" s="226"/>
    </row>
    <row r="108" spans="1:441" ht="14.1" customHeight="1" x14ac:dyDescent="0.2">
      <c r="A108" s="226"/>
      <c r="B108" s="226"/>
      <c r="C108" s="226"/>
      <c r="D108" s="226"/>
      <c r="E108" s="226"/>
      <c r="F108" s="226"/>
      <c r="G108" s="226"/>
      <c r="H108" s="226"/>
      <c r="I108" s="226"/>
      <c r="J108" s="226"/>
      <c r="K108" s="226"/>
      <c r="L108" s="226"/>
      <c r="M108" s="226"/>
      <c r="N108" s="226"/>
      <c r="O108" s="226"/>
      <c r="P108" s="140"/>
      <c r="Q108" s="226"/>
      <c r="R108" s="226"/>
      <c r="S108" s="226"/>
      <c r="T108" s="226"/>
      <c r="U108" s="226"/>
      <c r="V108" s="226"/>
      <c r="W108" s="226"/>
      <c r="X108" s="226"/>
      <c r="Y108" s="226"/>
      <c r="Z108" s="226"/>
      <c r="AA108" s="226"/>
      <c r="AB108" s="226"/>
      <c r="AC108" s="226"/>
      <c r="AD108" s="226"/>
      <c r="AE108" s="226"/>
      <c r="AF108" s="226"/>
      <c r="AG108" s="226"/>
      <c r="AH108" s="226"/>
      <c r="AI108" s="226"/>
      <c r="AJ108" s="226"/>
      <c r="AK108" s="226"/>
      <c r="AL108" s="226"/>
      <c r="AM108" s="226"/>
      <c r="AN108" s="226"/>
      <c r="AO108" s="226"/>
      <c r="AP108" s="226"/>
      <c r="AQ108" s="226"/>
      <c r="AR108" s="226"/>
      <c r="AS108" s="226"/>
      <c r="AT108" s="226"/>
      <c r="AU108" s="226"/>
      <c r="AV108" s="226"/>
      <c r="AW108" s="226"/>
      <c r="AX108" s="226"/>
      <c r="AY108" s="226"/>
      <c r="AZ108" s="226"/>
      <c r="BA108" s="226"/>
      <c r="BB108" s="226"/>
      <c r="BC108" s="226"/>
      <c r="BD108" s="226"/>
      <c r="BE108" s="226"/>
      <c r="BF108" s="226"/>
      <c r="BG108" s="226"/>
      <c r="BH108" s="226"/>
      <c r="BI108" s="226"/>
      <c r="BJ108" s="226"/>
      <c r="BK108" s="226"/>
      <c r="BL108" s="226"/>
      <c r="BM108" s="226"/>
      <c r="BN108" s="226"/>
      <c r="BO108" s="226"/>
      <c r="BP108" s="226"/>
      <c r="BQ108" s="226"/>
      <c r="BR108" s="226"/>
      <c r="BS108" s="226"/>
      <c r="BT108" s="226"/>
      <c r="BU108" s="226"/>
      <c r="BV108" s="226"/>
      <c r="BW108" s="226"/>
      <c r="BX108" s="226"/>
      <c r="BY108" s="226"/>
      <c r="BZ108" s="226"/>
      <c r="CA108" s="226"/>
      <c r="CB108" s="226"/>
      <c r="CC108" s="226"/>
      <c r="CD108" s="226"/>
      <c r="CE108" s="226"/>
      <c r="CF108" s="226"/>
      <c r="CG108" s="226"/>
      <c r="CH108" s="226"/>
      <c r="CI108" s="226"/>
      <c r="CJ108" s="226"/>
      <c r="CK108" s="226"/>
      <c r="CL108" s="226"/>
      <c r="CM108" s="226"/>
      <c r="CN108" s="226"/>
      <c r="CO108" s="226"/>
      <c r="CP108" s="226"/>
      <c r="CQ108" s="226"/>
      <c r="CR108" s="226"/>
      <c r="CS108" s="226"/>
      <c r="CT108" s="226"/>
      <c r="CU108" s="226"/>
      <c r="CV108" s="226"/>
      <c r="CW108" s="226"/>
      <c r="CX108" s="226"/>
      <c r="CY108" s="226"/>
      <c r="CZ108" s="226"/>
      <c r="DA108" s="226"/>
      <c r="DB108" s="226"/>
      <c r="DC108" s="226"/>
      <c r="DD108" s="226"/>
      <c r="DE108" s="226"/>
      <c r="DF108" s="226"/>
      <c r="DG108" s="226"/>
      <c r="DH108" s="226"/>
      <c r="DI108" s="226"/>
      <c r="DJ108" s="226"/>
      <c r="DK108" s="226"/>
      <c r="DL108" s="226"/>
      <c r="DM108" s="226"/>
      <c r="DN108" s="226"/>
      <c r="DO108" s="226"/>
      <c r="DP108" s="226"/>
      <c r="DQ108" s="226"/>
      <c r="DR108" s="226"/>
      <c r="DS108" s="226"/>
      <c r="DT108" s="226"/>
      <c r="DU108" s="226"/>
      <c r="DV108" s="226"/>
      <c r="DW108" s="226"/>
      <c r="DX108" s="226"/>
      <c r="DY108" s="226"/>
      <c r="DZ108" s="226"/>
      <c r="EA108" s="226"/>
      <c r="EB108" s="226"/>
      <c r="EC108" s="226"/>
      <c r="ED108" s="226"/>
      <c r="EE108" s="226"/>
      <c r="EF108" s="226"/>
      <c r="EG108" s="226"/>
      <c r="EH108" s="226"/>
      <c r="EI108" s="226"/>
      <c r="EJ108" s="226"/>
      <c r="EK108" s="226"/>
      <c r="EL108" s="226"/>
      <c r="EM108" s="226"/>
      <c r="EN108" s="226"/>
      <c r="EO108" s="226"/>
      <c r="EP108" s="226"/>
      <c r="EQ108" s="226"/>
      <c r="ER108" s="226"/>
      <c r="ES108" s="226"/>
      <c r="ET108" s="226"/>
      <c r="EU108" s="226"/>
      <c r="EV108" s="226"/>
      <c r="EW108" s="226"/>
      <c r="EX108" s="226"/>
      <c r="EY108" s="226"/>
      <c r="EZ108" s="226"/>
      <c r="FA108" s="226"/>
      <c r="FB108" s="226"/>
      <c r="FC108" s="226"/>
      <c r="FD108" s="226"/>
      <c r="FE108" s="226"/>
      <c r="FF108" s="226"/>
      <c r="FG108" s="226"/>
      <c r="FH108" s="226"/>
      <c r="FI108" s="226"/>
      <c r="FJ108" s="226"/>
      <c r="FK108" s="226"/>
      <c r="FL108" s="226"/>
      <c r="FM108" s="226"/>
      <c r="FN108" s="226"/>
      <c r="FO108" s="226"/>
      <c r="FP108" s="226"/>
      <c r="FQ108" s="226"/>
      <c r="FR108" s="226"/>
      <c r="FS108" s="226"/>
      <c r="FT108" s="226"/>
      <c r="FU108" s="226"/>
      <c r="FV108" s="226"/>
      <c r="FW108" s="226"/>
      <c r="FX108" s="226"/>
      <c r="FY108" s="226"/>
      <c r="FZ108" s="226"/>
      <c r="GA108" s="226"/>
      <c r="GB108" s="226"/>
      <c r="GC108" s="226"/>
      <c r="GD108" s="226"/>
      <c r="GE108" s="226"/>
      <c r="GF108" s="226"/>
      <c r="GG108" s="226"/>
      <c r="GH108" s="226"/>
      <c r="GI108" s="226"/>
      <c r="GJ108" s="226"/>
      <c r="GK108" s="226"/>
      <c r="GL108" s="226"/>
      <c r="GM108" s="226"/>
      <c r="GN108" s="226"/>
      <c r="GO108" s="226"/>
      <c r="GP108" s="226"/>
      <c r="GQ108" s="226"/>
      <c r="GR108" s="226"/>
      <c r="GS108" s="226"/>
      <c r="GT108" s="226"/>
      <c r="GU108" s="226"/>
      <c r="GV108" s="226"/>
      <c r="GW108" s="226"/>
      <c r="GX108" s="226"/>
      <c r="GY108" s="226"/>
      <c r="GZ108" s="226"/>
      <c r="HA108" s="226"/>
      <c r="HB108" s="226"/>
      <c r="HC108" s="226"/>
      <c r="HD108" s="226"/>
    </row>
    <row r="109" spans="1:441" ht="14.1" customHeight="1" x14ac:dyDescent="0.2">
      <c r="A109" s="226"/>
      <c r="B109" s="226"/>
      <c r="C109" s="226"/>
      <c r="D109" s="226"/>
      <c r="E109" s="226"/>
      <c r="F109" s="226"/>
      <c r="G109" s="226"/>
      <c r="H109" s="226"/>
      <c r="I109" s="226"/>
      <c r="J109" s="226"/>
      <c r="K109" s="226"/>
      <c r="L109" s="226"/>
      <c r="M109" s="226"/>
      <c r="N109" s="226"/>
      <c r="O109" s="226"/>
      <c r="P109" s="140"/>
      <c r="Q109" s="226"/>
      <c r="R109" s="226"/>
      <c r="S109" s="226"/>
      <c r="T109" s="226"/>
      <c r="U109" s="226"/>
      <c r="V109" s="226"/>
      <c r="W109" s="226"/>
      <c r="X109" s="226"/>
      <c r="Y109" s="226"/>
      <c r="Z109" s="226"/>
      <c r="AA109" s="226"/>
      <c r="AB109" s="226"/>
      <c r="AC109" s="226"/>
      <c r="AD109" s="226"/>
      <c r="AE109" s="226"/>
      <c r="AF109" s="226"/>
      <c r="AG109" s="226"/>
      <c r="AH109" s="226"/>
      <c r="AI109" s="226"/>
      <c r="AJ109" s="226"/>
      <c r="AK109" s="226"/>
      <c r="AL109" s="226"/>
      <c r="AM109" s="226"/>
      <c r="AN109" s="226"/>
      <c r="AO109" s="226"/>
      <c r="AP109" s="226"/>
      <c r="AQ109" s="226"/>
      <c r="AR109" s="226"/>
      <c r="AS109" s="226"/>
      <c r="AT109" s="226"/>
      <c r="AU109" s="226"/>
      <c r="AV109" s="226"/>
      <c r="AW109" s="226"/>
      <c r="AX109" s="226"/>
      <c r="AY109" s="226"/>
      <c r="AZ109" s="226"/>
      <c r="BA109" s="226"/>
      <c r="BB109" s="226"/>
      <c r="BC109" s="226"/>
      <c r="BD109" s="226"/>
      <c r="BE109" s="226"/>
      <c r="BF109" s="226"/>
      <c r="BG109" s="226"/>
      <c r="BH109" s="226"/>
      <c r="BI109" s="226"/>
      <c r="BJ109" s="226"/>
      <c r="BK109" s="226"/>
      <c r="BL109" s="226"/>
      <c r="BM109" s="226"/>
      <c r="BN109" s="226"/>
      <c r="BO109" s="226"/>
      <c r="BP109" s="226"/>
      <c r="BQ109" s="226"/>
      <c r="BR109" s="226"/>
      <c r="BS109" s="226"/>
      <c r="BT109" s="226"/>
      <c r="BU109" s="226"/>
      <c r="BV109" s="226"/>
      <c r="BW109" s="226"/>
      <c r="BX109" s="226"/>
      <c r="BY109" s="226"/>
      <c r="BZ109" s="226"/>
      <c r="CA109" s="226"/>
      <c r="CB109" s="226"/>
      <c r="CC109" s="226"/>
      <c r="CD109" s="226"/>
      <c r="CE109" s="226"/>
      <c r="CF109" s="226"/>
      <c r="CG109" s="226"/>
      <c r="CH109" s="226"/>
      <c r="CI109" s="226"/>
      <c r="CJ109" s="226"/>
      <c r="CK109" s="226"/>
      <c r="CL109" s="226"/>
      <c r="CM109" s="226"/>
      <c r="CN109" s="226"/>
      <c r="CO109" s="226"/>
      <c r="CP109" s="226"/>
      <c r="CQ109" s="226"/>
      <c r="CR109" s="226"/>
      <c r="CS109" s="226"/>
      <c r="CT109" s="226"/>
      <c r="CU109" s="226"/>
      <c r="CV109" s="226"/>
      <c r="CW109" s="226"/>
      <c r="CX109" s="226"/>
      <c r="CY109" s="226"/>
      <c r="CZ109" s="226"/>
      <c r="DA109" s="226"/>
      <c r="DB109" s="226"/>
      <c r="DC109" s="226"/>
      <c r="DD109" s="226"/>
      <c r="DE109" s="226"/>
      <c r="DF109" s="226"/>
      <c r="DG109" s="226"/>
      <c r="DH109" s="226"/>
      <c r="DI109" s="226"/>
      <c r="DJ109" s="226"/>
      <c r="DK109" s="226"/>
      <c r="DL109" s="226"/>
      <c r="DM109" s="226"/>
      <c r="DN109" s="226"/>
      <c r="DO109" s="226"/>
      <c r="DP109" s="226"/>
      <c r="DQ109" s="226"/>
      <c r="DR109" s="226"/>
      <c r="DS109" s="226"/>
      <c r="DT109" s="226"/>
      <c r="DU109" s="226"/>
      <c r="DV109" s="226"/>
      <c r="DW109" s="226"/>
      <c r="DX109" s="226"/>
      <c r="DY109" s="226"/>
      <c r="DZ109" s="226"/>
      <c r="EA109" s="226"/>
      <c r="EB109" s="226"/>
      <c r="EC109" s="226"/>
      <c r="ED109" s="226"/>
      <c r="EE109" s="226"/>
      <c r="EF109" s="226"/>
      <c r="EG109" s="226"/>
      <c r="EH109" s="226"/>
      <c r="EI109" s="226"/>
      <c r="EJ109" s="226"/>
      <c r="EK109" s="226"/>
      <c r="EL109" s="226"/>
      <c r="EM109" s="226"/>
      <c r="EN109" s="226"/>
      <c r="EO109" s="226"/>
      <c r="EP109" s="226"/>
      <c r="EQ109" s="226"/>
      <c r="ER109" s="226"/>
      <c r="ES109" s="226"/>
      <c r="ET109" s="226"/>
      <c r="EU109" s="226"/>
      <c r="EV109" s="226"/>
      <c r="EW109" s="226"/>
      <c r="EX109" s="226"/>
      <c r="EY109" s="226"/>
      <c r="EZ109" s="226"/>
      <c r="FA109" s="226"/>
      <c r="FB109" s="226"/>
      <c r="FC109" s="226"/>
      <c r="FD109" s="226"/>
      <c r="FE109" s="226"/>
      <c r="FF109" s="226"/>
      <c r="FG109" s="226"/>
      <c r="FH109" s="226"/>
      <c r="FI109" s="226"/>
      <c r="FJ109" s="226"/>
      <c r="FK109" s="226"/>
      <c r="FL109" s="226"/>
      <c r="FM109" s="226"/>
      <c r="FN109" s="226"/>
      <c r="FO109" s="226"/>
      <c r="FP109" s="226"/>
      <c r="FQ109" s="226"/>
      <c r="FR109" s="226"/>
      <c r="FS109" s="226"/>
      <c r="FT109" s="226"/>
      <c r="FU109" s="226"/>
      <c r="FV109" s="226"/>
      <c r="FW109" s="226"/>
      <c r="FX109" s="226"/>
      <c r="FY109" s="226"/>
      <c r="FZ109" s="226"/>
      <c r="GA109" s="226"/>
      <c r="GB109" s="226"/>
      <c r="GC109" s="226"/>
      <c r="GD109" s="226"/>
      <c r="GE109" s="226"/>
      <c r="GF109" s="226"/>
      <c r="GG109" s="226"/>
      <c r="GH109" s="226"/>
      <c r="GI109" s="226"/>
      <c r="GJ109" s="226"/>
      <c r="GK109" s="226"/>
      <c r="GL109" s="226"/>
      <c r="GM109" s="226"/>
      <c r="GN109" s="226"/>
      <c r="GO109" s="226"/>
      <c r="GP109" s="226"/>
      <c r="GQ109" s="226"/>
      <c r="GR109" s="226"/>
      <c r="GS109" s="226"/>
      <c r="GT109" s="226"/>
      <c r="GU109" s="226"/>
      <c r="GV109" s="226"/>
      <c r="GW109" s="226"/>
      <c r="GX109" s="226"/>
      <c r="GY109" s="226"/>
      <c r="GZ109" s="226"/>
      <c r="HA109" s="226"/>
      <c r="HB109" s="226"/>
      <c r="HC109" s="226"/>
      <c r="HD109" s="226"/>
    </row>
    <row r="110" spans="1:441" ht="14.1" customHeight="1" x14ac:dyDescent="0.2">
      <c r="A110" s="226"/>
      <c r="B110" s="226"/>
      <c r="C110" s="226"/>
      <c r="D110" s="226"/>
      <c r="E110" s="226"/>
      <c r="F110" s="226"/>
      <c r="G110" s="226"/>
      <c r="H110" s="226"/>
      <c r="I110" s="226"/>
      <c r="J110" s="226"/>
      <c r="K110" s="226"/>
      <c r="L110" s="226"/>
      <c r="M110" s="226"/>
      <c r="N110" s="226"/>
      <c r="O110" s="226"/>
      <c r="P110" s="226"/>
      <c r="Q110" s="226"/>
      <c r="R110" s="226"/>
      <c r="S110" s="226"/>
      <c r="T110" s="226"/>
      <c r="U110" s="226"/>
      <c r="V110" s="226"/>
      <c r="W110" s="226"/>
      <c r="X110" s="226"/>
      <c r="Y110" s="226"/>
      <c r="Z110" s="226"/>
      <c r="AA110" s="226"/>
      <c r="AB110" s="226"/>
      <c r="AC110" s="226"/>
      <c r="AD110" s="226"/>
      <c r="AE110" s="226"/>
      <c r="AF110" s="226"/>
      <c r="AG110" s="226"/>
      <c r="AH110" s="226"/>
      <c r="AI110" s="226"/>
      <c r="AJ110" s="226"/>
      <c r="AK110" s="226"/>
      <c r="AL110" s="226"/>
      <c r="AM110" s="226"/>
      <c r="AN110" s="226"/>
      <c r="AO110" s="226"/>
      <c r="AP110" s="226"/>
      <c r="AQ110" s="226"/>
      <c r="AR110" s="226"/>
      <c r="AS110" s="226"/>
      <c r="AT110" s="226"/>
      <c r="AU110" s="226"/>
      <c r="AV110" s="226"/>
      <c r="AW110" s="226"/>
      <c r="AX110" s="226"/>
      <c r="AY110" s="226"/>
      <c r="AZ110" s="226"/>
      <c r="BA110" s="226"/>
      <c r="BB110" s="226"/>
      <c r="BC110" s="226"/>
      <c r="BD110" s="226"/>
      <c r="BE110" s="226"/>
      <c r="BF110" s="226"/>
      <c r="BG110" s="226"/>
      <c r="BH110" s="226"/>
      <c r="BI110" s="226"/>
      <c r="BJ110" s="226"/>
      <c r="BK110" s="226"/>
      <c r="BL110" s="226"/>
      <c r="BM110" s="226"/>
      <c r="BN110" s="226"/>
      <c r="BO110" s="226"/>
      <c r="BP110" s="226"/>
      <c r="BQ110" s="226"/>
      <c r="BR110" s="226"/>
      <c r="BS110" s="226"/>
      <c r="BT110" s="226"/>
      <c r="BU110" s="226"/>
      <c r="BV110" s="226"/>
      <c r="BW110" s="226"/>
      <c r="BX110" s="226"/>
      <c r="BY110" s="226"/>
      <c r="BZ110" s="226"/>
      <c r="CA110" s="226"/>
      <c r="CB110" s="226"/>
      <c r="CC110" s="226"/>
      <c r="CD110" s="226"/>
      <c r="CE110" s="226"/>
      <c r="CF110" s="226"/>
      <c r="CG110" s="226"/>
      <c r="CH110" s="226"/>
      <c r="CI110" s="226"/>
      <c r="CJ110" s="226"/>
      <c r="CK110" s="226"/>
      <c r="CL110" s="226"/>
      <c r="CM110" s="226"/>
      <c r="CN110" s="226"/>
      <c r="CO110" s="226"/>
      <c r="CP110" s="226"/>
      <c r="CQ110" s="226"/>
      <c r="CR110" s="226"/>
      <c r="CS110" s="226"/>
      <c r="CT110" s="226"/>
      <c r="CU110" s="226"/>
      <c r="CV110" s="226"/>
      <c r="CW110" s="226"/>
      <c r="CX110" s="226"/>
      <c r="CY110" s="226"/>
      <c r="CZ110" s="226"/>
      <c r="DA110" s="226"/>
      <c r="DB110" s="226"/>
      <c r="DC110" s="226"/>
      <c r="DD110" s="226"/>
      <c r="DE110" s="226"/>
      <c r="DF110" s="226"/>
      <c r="DG110" s="226"/>
      <c r="DH110" s="226"/>
      <c r="DI110" s="226"/>
      <c r="DJ110" s="226"/>
      <c r="DK110" s="226"/>
      <c r="DL110" s="226"/>
      <c r="DM110" s="226"/>
      <c r="DN110" s="226"/>
      <c r="DO110" s="226"/>
      <c r="DP110" s="226"/>
      <c r="DQ110" s="226"/>
      <c r="DR110" s="226"/>
      <c r="DS110" s="226"/>
      <c r="DT110" s="226"/>
      <c r="DU110" s="226"/>
      <c r="DV110" s="226"/>
      <c r="DW110" s="226"/>
      <c r="DX110" s="226"/>
      <c r="DY110" s="226"/>
      <c r="DZ110" s="226"/>
      <c r="EA110" s="226"/>
      <c r="EB110" s="226"/>
      <c r="EC110" s="226"/>
      <c r="ED110" s="226"/>
      <c r="EE110" s="226"/>
      <c r="EF110" s="226"/>
      <c r="EG110" s="226"/>
      <c r="EH110" s="226"/>
      <c r="EI110" s="226"/>
      <c r="EJ110" s="226"/>
      <c r="EK110" s="226"/>
      <c r="EL110" s="226"/>
      <c r="EM110" s="226"/>
      <c r="EN110" s="226"/>
      <c r="EO110" s="226"/>
      <c r="EP110" s="226"/>
      <c r="EQ110" s="226"/>
      <c r="ER110" s="226"/>
      <c r="ES110" s="226"/>
      <c r="ET110" s="226"/>
      <c r="EU110" s="226"/>
      <c r="EV110" s="226"/>
      <c r="EW110" s="226"/>
      <c r="EX110" s="226"/>
      <c r="EY110" s="226"/>
      <c r="EZ110" s="226"/>
      <c r="FA110" s="226"/>
      <c r="FB110" s="226"/>
      <c r="FC110" s="226"/>
      <c r="FD110" s="226"/>
      <c r="FE110" s="226"/>
      <c r="FF110" s="226"/>
      <c r="FG110" s="226"/>
      <c r="FH110" s="226"/>
      <c r="FI110" s="226"/>
      <c r="FJ110" s="226"/>
      <c r="FK110" s="226"/>
      <c r="FL110" s="226"/>
      <c r="FM110" s="226"/>
      <c r="FN110" s="226"/>
      <c r="FO110" s="226"/>
      <c r="FP110" s="226"/>
      <c r="FQ110" s="226"/>
      <c r="FR110" s="226"/>
      <c r="FS110" s="226"/>
      <c r="FT110" s="226"/>
      <c r="FU110" s="226"/>
      <c r="FV110" s="226"/>
      <c r="FW110" s="226"/>
      <c r="FX110" s="226"/>
      <c r="FY110" s="226"/>
      <c r="FZ110" s="226"/>
      <c r="GA110" s="226"/>
      <c r="GB110" s="226"/>
      <c r="GC110" s="226"/>
      <c r="GD110" s="226"/>
      <c r="GE110" s="226"/>
      <c r="GF110" s="226"/>
      <c r="GG110" s="226"/>
      <c r="GH110" s="226"/>
      <c r="GI110" s="226"/>
      <c r="GJ110" s="226"/>
      <c r="GK110" s="226"/>
      <c r="GL110" s="226"/>
      <c r="GM110" s="226"/>
      <c r="GN110" s="226"/>
      <c r="GO110" s="226"/>
      <c r="GP110" s="226"/>
      <c r="GQ110" s="226"/>
      <c r="GR110" s="226"/>
      <c r="GS110" s="226"/>
      <c r="GT110" s="226"/>
      <c r="GU110" s="226"/>
      <c r="GV110" s="226"/>
      <c r="GW110" s="226"/>
      <c r="GX110" s="226"/>
      <c r="GY110" s="226"/>
      <c r="GZ110" s="226"/>
      <c r="HA110" s="226"/>
      <c r="HB110" s="226"/>
      <c r="HC110" s="226"/>
      <c r="HD110" s="226"/>
    </row>
    <row r="111" spans="1:441" ht="14.1" customHeight="1" x14ac:dyDescent="0.2">
      <c r="A111" s="226"/>
      <c r="B111" s="226"/>
      <c r="C111" s="226"/>
      <c r="D111" s="226"/>
      <c r="E111" s="226"/>
      <c r="F111" s="226"/>
      <c r="G111" s="226"/>
      <c r="H111" s="226"/>
      <c r="I111" s="226"/>
      <c r="J111" s="226"/>
      <c r="K111" s="226"/>
      <c r="L111" s="226"/>
      <c r="M111" s="226"/>
      <c r="N111" s="226"/>
      <c r="O111" s="226"/>
      <c r="P111" s="226"/>
      <c r="Q111" s="226"/>
      <c r="R111" s="226"/>
      <c r="S111" s="226"/>
      <c r="T111" s="226"/>
      <c r="U111" s="226"/>
      <c r="V111" s="226"/>
      <c r="W111" s="226"/>
      <c r="X111" s="226"/>
      <c r="Y111" s="226"/>
      <c r="Z111" s="226"/>
      <c r="AA111" s="226"/>
      <c r="AB111" s="226"/>
      <c r="AC111" s="226"/>
      <c r="AD111" s="226"/>
      <c r="AE111" s="226"/>
      <c r="AF111" s="226"/>
      <c r="AG111" s="226"/>
      <c r="AH111" s="226"/>
      <c r="AI111" s="226"/>
      <c r="AJ111" s="226"/>
      <c r="AK111" s="226"/>
      <c r="AL111" s="226"/>
      <c r="AM111" s="226"/>
      <c r="AN111" s="226"/>
      <c r="AO111" s="226"/>
      <c r="AP111" s="226"/>
      <c r="AQ111" s="226"/>
      <c r="AR111" s="226"/>
      <c r="AS111" s="226"/>
      <c r="AT111" s="226"/>
      <c r="AU111" s="226"/>
      <c r="AV111" s="226"/>
      <c r="AW111" s="226"/>
      <c r="AX111" s="226"/>
      <c r="AY111" s="226"/>
      <c r="AZ111" s="226"/>
      <c r="BA111" s="226"/>
      <c r="BB111" s="226"/>
      <c r="BC111" s="226"/>
      <c r="BD111" s="226"/>
      <c r="BE111" s="226"/>
      <c r="BF111" s="226"/>
      <c r="BG111" s="226"/>
      <c r="BH111" s="226"/>
      <c r="BI111" s="226"/>
      <c r="BJ111" s="226"/>
      <c r="BK111" s="226"/>
      <c r="BL111" s="226"/>
      <c r="BM111" s="226"/>
      <c r="BN111" s="226"/>
      <c r="BO111" s="226"/>
      <c r="BP111" s="226"/>
      <c r="BQ111" s="226"/>
      <c r="BR111" s="226"/>
      <c r="BS111" s="226"/>
      <c r="BT111" s="226"/>
      <c r="BU111" s="226"/>
      <c r="BV111" s="226"/>
      <c r="BW111" s="226"/>
      <c r="BX111" s="226"/>
      <c r="BY111" s="226"/>
      <c r="BZ111" s="226"/>
      <c r="CA111" s="226"/>
      <c r="CB111" s="226"/>
      <c r="CC111" s="226"/>
      <c r="CD111" s="226"/>
      <c r="CE111" s="226"/>
      <c r="CF111" s="226"/>
      <c r="CG111" s="226"/>
      <c r="CH111" s="226"/>
      <c r="CI111" s="226"/>
      <c r="CJ111" s="226"/>
      <c r="CK111" s="226"/>
      <c r="CL111" s="226"/>
      <c r="CM111" s="226"/>
      <c r="CN111" s="226"/>
      <c r="CO111" s="226"/>
      <c r="CP111" s="226"/>
      <c r="CQ111" s="226"/>
      <c r="CR111" s="226"/>
      <c r="CS111" s="226"/>
      <c r="CT111" s="226"/>
      <c r="CU111" s="226"/>
      <c r="CV111" s="226"/>
      <c r="CW111" s="226"/>
      <c r="CX111" s="226"/>
      <c r="CY111" s="226"/>
      <c r="CZ111" s="226"/>
      <c r="DA111" s="226"/>
      <c r="DB111" s="226"/>
      <c r="DC111" s="226"/>
      <c r="DD111" s="226"/>
      <c r="DE111" s="226"/>
      <c r="DF111" s="226"/>
      <c r="DG111" s="226"/>
      <c r="DH111" s="226"/>
      <c r="DI111" s="226"/>
      <c r="DJ111" s="226"/>
      <c r="DK111" s="226"/>
      <c r="DL111" s="226"/>
      <c r="DM111" s="226"/>
      <c r="DN111" s="226"/>
      <c r="DO111" s="226"/>
      <c r="DP111" s="226"/>
      <c r="DQ111" s="226"/>
      <c r="DR111" s="226"/>
      <c r="DS111" s="226"/>
      <c r="DT111" s="226"/>
      <c r="DU111" s="226"/>
      <c r="DV111" s="226"/>
      <c r="DW111" s="226"/>
      <c r="DX111" s="226"/>
      <c r="DY111" s="226"/>
      <c r="DZ111" s="226"/>
      <c r="EA111" s="226"/>
      <c r="EB111" s="226"/>
      <c r="EC111" s="226"/>
      <c r="ED111" s="226"/>
      <c r="EE111" s="226"/>
      <c r="EF111" s="226"/>
      <c r="EG111" s="226"/>
      <c r="EH111" s="226"/>
      <c r="EI111" s="226"/>
      <c r="EJ111" s="226"/>
      <c r="EK111" s="226"/>
      <c r="EL111" s="226"/>
      <c r="EM111" s="226"/>
      <c r="EN111" s="226"/>
      <c r="EO111" s="226"/>
      <c r="EP111" s="226"/>
      <c r="EQ111" s="226"/>
      <c r="ER111" s="226"/>
      <c r="ES111" s="226"/>
      <c r="ET111" s="226"/>
      <c r="EU111" s="226"/>
      <c r="EV111" s="226"/>
      <c r="EW111" s="226"/>
      <c r="EX111" s="226"/>
      <c r="EY111" s="226"/>
      <c r="EZ111" s="226"/>
      <c r="FA111" s="226"/>
      <c r="FB111" s="226"/>
      <c r="FC111" s="226"/>
      <c r="FD111" s="226"/>
      <c r="FE111" s="226"/>
      <c r="FF111" s="226"/>
      <c r="FG111" s="226"/>
      <c r="FH111" s="226"/>
      <c r="FI111" s="226"/>
      <c r="FJ111" s="226"/>
      <c r="FK111" s="226"/>
      <c r="FL111" s="226"/>
      <c r="FM111" s="226"/>
      <c r="FN111" s="226"/>
      <c r="FO111" s="226"/>
      <c r="FP111" s="226"/>
      <c r="FQ111" s="226"/>
      <c r="FR111" s="226"/>
      <c r="FS111" s="226"/>
      <c r="FT111" s="226"/>
      <c r="FU111" s="226"/>
      <c r="FV111" s="226"/>
      <c r="FW111" s="226"/>
      <c r="FX111" s="226"/>
      <c r="FY111" s="226"/>
      <c r="FZ111" s="226"/>
      <c r="GA111" s="226"/>
      <c r="GB111" s="226"/>
      <c r="GC111" s="226"/>
      <c r="GD111" s="226"/>
      <c r="GE111" s="226"/>
      <c r="GF111" s="226"/>
      <c r="GG111" s="226"/>
      <c r="GH111" s="226"/>
      <c r="GI111" s="226"/>
      <c r="GJ111" s="226"/>
      <c r="GK111" s="226"/>
      <c r="GL111" s="226"/>
      <c r="GM111" s="226"/>
      <c r="GN111" s="226"/>
      <c r="GO111" s="226"/>
      <c r="GP111" s="226"/>
      <c r="GQ111" s="226"/>
      <c r="GR111" s="226"/>
      <c r="GS111" s="226"/>
      <c r="GT111" s="226"/>
      <c r="GU111" s="226"/>
      <c r="GV111" s="226"/>
      <c r="GW111" s="226"/>
      <c r="GX111" s="226"/>
      <c r="GY111" s="226"/>
      <c r="GZ111" s="226"/>
      <c r="HA111" s="226"/>
      <c r="HB111" s="226"/>
      <c r="HC111" s="226"/>
      <c r="HD111" s="226"/>
    </row>
    <row r="112" spans="1:441" ht="14.1" customHeight="1" x14ac:dyDescent="0.2">
      <c r="A112" s="226"/>
      <c r="B112" s="226"/>
      <c r="C112" s="226"/>
      <c r="D112" s="226"/>
      <c r="E112" s="226"/>
      <c r="F112" s="226"/>
      <c r="G112" s="226"/>
      <c r="H112" s="226"/>
      <c r="I112" s="226"/>
      <c r="J112" s="226"/>
      <c r="K112" s="226"/>
      <c r="L112" s="226"/>
      <c r="M112" s="226"/>
      <c r="N112" s="226"/>
      <c r="O112" s="226"/>
      <c r="P112" s="226"/>
      <c r="Q112" s="226"/>
      <c r="R112" s="226"/>
      <c r="S112" s="226"/>
      <c r="T112" s="226"/>
      <c r="U112" s="226"/>
      <c r="V112" s="226"/>
      <c r="W112" s="226"/>
      <c r="X112" s="226"/>
      <c r="Y112" s="226"/>
      <c r="Z112" s="226"/>
      <c r="AA112" s="226"/>
      <c r="AB112" s="226"/>
      <c r="AC112" s="226"/>
      <c r="AD112" s="226"/>
      <c r="AE112" s="226"/>
      <c r="AF112" s="226"/>
      <c r="AG112" s="226"/>
      <c r="AH112" s="226"/>
      <c r="AI112" s="226"/>
      <c r="AJ112" s="226"/>
      <c r="AK112" s="226"/>
      <c r="AL112" s="226"/>
      <c r="AM112" s="226"/>
      <c r="AN112" s="226"/>
      <c r="AO112" s="226"/>
      <c r="AP112" s="226"/>
      <c r="AQ112" s="226"/>
      <c r="AR112" s="226"/>
      <c r="AS112" s="226"/>
      <c r="AT112" s="226"/>
      <c r="AU112" s="226"/>
      <c r="AV112" s="226"/>
      <c r="AW112" s="226"/>
      <c r="AX112" s="226"/>
      <c r="AY112" s="226"/>
      <c r="AZ112" s="226"/>
      <c r="BA112" s="226"/>
      <c r="BB112" s="226"/>
      <c r="BC112" s="226"/>
      <c r="BD112" s="226"/>
      <c r="BE112" s="226"/>
      <c r="BF112" s="226"/>
      <c r="BG112" s="226"/>
      <c r="BH112" s="226"/>
      <c r="BI112" s="226"/>
      <c r="BJ112" s="226"/>
      <c r="BK112" s="226"/>
      <c r="BL112" s="226"/>
      <c r="BM112" s="226"/>
      <c r="BN112" s="226"/>
      <c r="BO112" s="226"/>
      <c r="BP112" s="226"/>
      <c r="BQ112" s="226"/>
      <c r="BR112" s="226"/>
      <c r="BS112" s="226"/>
      <c r="BT112" s="226"/>
      <c r="BU112" s="226"/>
      <c r="BV112" s="226"/>
      <c r="BW112" s="226"/>
      <c r="BX112" s="226"/>
      <c r="BY112" s="226"/>
      <c r="BZ112" s="226"/>
      <c r="CA112" s="226"/>
      <c r="CB112" s="226"/>
      <c r="CC112" s="226"/>
      <c r="CD112" s="226"/>
      <c r="CE112" s="226"/>
      <c r="CF112" s="226"/>
      <c r="CG112" s="226"/>
      <c r="CH112" s="226"/>
      <c r="CI112" s="226"/>
      <c r="CJ112" s="226"/>
      <c r="CK112" s="226"/>
      <c r="CL112" s="226"/>
      <c r="CM112" s="226"/>
      <c r="CN112" s="226"/>
      <c r="CO112" s="226"/>
      <c r="CP112" s="226"/>
      <c r="CQ112" s="226"/>
      <c r="CR112" s="226"/>
      <c r="CS112" s="226"/>
      <c r="CT112" s="226"/>
      <c r="CU112" s="226"/>
      <c r="CV112" s="226"/>
      <c r="CW112" s="226"/>
      <c r="CX112" s="226"/>
      <c r="CY112" s="226"/>
      <c r="CZ112" s="226"/>
      <c r="DA112" s="226"/>
      <c r="DB112" s="226"/>
      <c r="DC112" s="226"/>
      <c r="DD112" s="226"/>
      <c r="DE112" s="226"/>
      <c r="DF112" s="226"/>
      <c r="DG112" s="226"/>
      <c r="DH112" s="226"/>
      <c r="DI112" s="226"/>
      <c r="DJ112" s="226"/>
      <c r="DK112" s="226"/>
      <c r="DL112" s="226"/>
      <c r="DM112" s="226"/>
      <c r="DN112" s="226"/>
      <c r="DO112" s="226"/>
      <c r="DP112" s="226"/>
      <c r="DQ112" s="226"/>
      <c r="DR112" s="226"/>
      <c r="DS112" s="226"/>
      <c r="DT112" s="226"/>
      <c r="DU112" s="226"/>
      <c r="DV112" s="226"/>
      <c r="DW112" s="226"/>
      <c r="DX112" s="226"/>
      <c r="DY112" s="226"/>
      <c r="DZ112" s="226"/>
      <c r="EA112" s="226"/>
      <c r="EB112" s="226"/>
      <c r="EC112" s="226"/>
      <c r="ED112" s="226"/>
      <c r="EE112" s="226"/>
      <c r="EF112" s="226"/>
      <c r="EG112" s="226"/>
      <c r="EH112" s="226"/>
      <c r="EI112" s="226"/>
      <c r="EJ112" s="226"/>
      <c r="EK112" s="226"/>
      <c r="EL112" s="226"/>
      <c r="EM112" s="226"/>
      <c r="EN112" s="226"/>
      <c r="EO112" s="226"/>
      <c r="EP112" s="226"/>
      <c r="EQ112" s="226"/>
      <c r="ER112" s="226"/>
      <c r="ES112" s="226"/>
      <c r="ET112" s="226"/>
      <c r="EU112" s="226"/>
      <c r="EV112" s="226"/>
      <c r="EW112" s="226"/>
      <c r="EX112" s="226"/>
      <c r="EY112" s="226"/>
      <c r="EZ112" s="226"/>
      <c r="FA112" s="226"/>
      <c r="FB112" s="226"/>
      <c r="FC112" s="226"/>
      <c r="FD112" s="226"/>
      <c r="FE112" s="226"/>
      <c r="FF112" s="226"/>
      <c r="FG112" s="226"/>
      <c r="FH112" s="226"/>
      <c r="FI112" s="226"/>
      <c r="FJ112" s="226"/>
      <c r="FK112" s="226"/>
      <c r="FL112" s="226"/>
      <c r="FM112" s="226"/>
      <c r="FN112" s="226"/>
      <c r="FO112" s="226"/>
      <c r="FP112" s="226"/>
      <c r="FQ112" s="226"/>
      <c r="FR112" s="226"/>
      <c r="FS112" s="226"/>
      <c r="FT112" s="226"/>
      <c r="FU112" s="226"/>
      <c r="FV112" s="226"/>
      <c r="FW112" s="226"/>
      <c r="FX112" s="226"/>
      <c r="FY112" s="226"/>
      <c r="FZ112" s="226"/>
      <c r="GA112" s="226"/>
      <c r="GB112" s="226"/>
      <c r="GC112" s="226"/>
      <c r="GD112" s="226"/>
      <c r="GE112" s="226"/>
      <c r="GF112" s="226"/>
      <c r="GG112" s="226"/>
      <c r="GH112" s="226"/>
      <c r="GI112" s="226"/>
      <c r="GJ112" s="226"/>
      <c r="GK112" s="226"/>
      <c r="GL112" s="226"/>
      <c r="GM112" s="226"/>
      <c r="GN112" s="226"/>
      <c r="GO112" s="226"/>
      <c r="GP112" s="226"/>
      <c r="GQ112" s="226"/>
      <c r="GR112" s="226"/>
      <c r="GS112" s="226"/>
      <c r="GT112" s="226"/>
      <c r="GU112" s="226"/>
      <c r="GV112" s="226"/>
      <c r="GW112" s="226"/>
      <c r="GX112" s="226"/>
      <c r="GY112" s="226"/>
      <c r="GZ112" s="226"/>
      <c r="HA112" s="226"/>
      <c r="HB112" s="226"/>
      <c r="HC112" s="226"/>
      <c r="HD112" s="226"/>
    </row>
    <row r="113" spans="1:212" ht="14.1" customHeight="1" x14ac:dyDescent="0.2">
      <c r="A113" s="226"/>
      <c r="B113" s="226"/>
      <c r="C113" s="226"/>
      <c r="D113" s="226"/>
      <c r="E113" s="226"/>
      <c r="F113" s="226"/>
      <c r="G113" s="226"/>
      <c r="H113" s="226"/>
      <c r="I113" s="226"/>
      <c r="J113" s="226"/>
      <c r="K113" s="226"/>
      <c r="L113" s="226"/>
      <c r="M113" s="226"/>
      <c r="N113" s="226"/>
      <c r="O113" s="226"/>
      <c r="P113" s="226"/>
      <c r="Q113" s="226"/>
      <c r="R113" s="226"/>
      <c r="S113" s="226"/>
      <c r="T113" s="226"/>
      <c r="U113" s="226"/>
      <c r="V113" s="226"/>
      <c r="W113" s="226"/>
      <c r="X113" s="226"/>
      <c r="Y113" s="226"/>
      <c r="Z113" s="226"/>
      <c r="AA113" s="226"/>
      <c r="AB113" s="226"/>
      <c r="AC113" s="226"/>
      <c r="AD113" s="226"/>
      <c r="AE113" s="226"/>
      <c r="AF113" s="226"/>
      <c r="AG113" s="226"/>
      <c r="AH113" s="226"/>
      <c r="AI113" s="226"/>
      <c r="AJ113" s="226"/>
      <c r="AK113" s="226"/>
      <c r="AL113" s="226"/>
      <c r="AM113" s="226"/>
      <c r="AN113" s="226"/>
      <c r="AO113" s="226"/>
      <c r="AP113" s="226"/>
      <c r="AQ113" s="226"/>
      <c r="AR113" s="226"/>
      <c r="AS113" s="226"/>
      <c r="AT113" s="226"/>
      <c r="AU113" s="226"/>
      <c r="AV113" s="226"/>
      <c r="AW113" s="226"/>
      <c r="AX113" s="226"/>
      <c r="AY113" s="226"/>
      <c r="AZ113" s="226"/>
      <c r="BA113" s="226"/>
      <c r="BB113" s="226"/>
      <c r="BC113" s="226"/>
      <c r="BD113" s="226"/>
      <c r="BE113" s="226"/>
      <c r="BF113" s="226"/>
      <c r="BG113" s="226"/>
      <c r="BH113" s="226"/>
      <c r="BI113" s="226"/>
      <c r="BJ113" s="226"/>
      <c r="BK113" s="226"/>
      <c r="BL113" s="226"/>
      <c r="BM113" s="226"/>
      <c r="BN113" s="226"/>
      <c r="BO113" s="226"/>
      <c r="BP113" s="226"/>
      <c r="BQ113" s="226"/>
      <c r="BR113" s="226"/>
      <c r="BS113" s="226"/>
      <c r="BT113" s="226"/>
      <c r="BU113" s="226"/>
      <c r="BV113" s="226"/>
      <c r="BW113" s="226"/>
      <c r="BX113" s="226"/>
      <c r="BY113" s="226"/>
      <c r="BZ113" s="226"/>
      <c r="CA113" s="226"/>
      <c r="CB113" s="226"/>
      <c r="CC113" s="226"/>
      <c r="CD113" s="226"/>
      <c r="CE113" s="226"/>
      <c r="CF113" s="226"/>
      <c r="CG113" s="226"/>
      <c r="CH113" s="226"/>
      <c r="CI113" s="226"/>
      <c r="CJ113" s="226"/>
      <c r="CK113" s="226"/>
      <c r="CL113" s="226"/>
      <c r="CM113" s="226"/>
      <c r="CN113" s="226"/>
      <c r="CO113" s="226"/>
      <c r="CP113" s="226"/>
      <c r="CQ113" s="226"/>
      <c r="CR113" s="226"/>
      <c r="CS113" s="226"/>
      <c r="CT113" s="226"/>
      <c r="CU113" s="226"/>
      <c r="CV113" s="226"/>
      <c r="CW113" s="226"/>
      <c r="CX113" s="226"/>
      <c r="CY113" s="226"/>
      <c r="CZ113" s="226"/>
      <c r="DA113" s="226"/>
      <c r="DB113" s="226"/>
      <c r="DC113" s="226"/>
      <c r="DD113" s="226"/>
      <c r="DE113" s="226"/>
      <c r="DF113" s="226"/>
      <c r="DG113" s="226"/>
      <c r="DH113" s="226"/>
      <c r="DI113" s="226"/>
      <c r="DJ113" s="226"/>
      <c r="DK113" s="226"/>
      <c r="DL113" s="226"/>
      <c r="DM113" s="226"/>
      <c r="DN113" s="226"/>
      <c r="DO113" s="226"/>
      <c r="DP113" s="226"/>
      <c r="DQ113" s="226"/>
      <c r="DR113" s="226"/>
      <c r="DS113" s="226"/>
      <c r="DT113" s="226"/>
      <c r="DU113" s="226"/>
      <c r="DV113" s="226"/>
      <c r="DW113" s="226"/>
      <c r="DX113" s="226"/>
      <c r="DY113" s="226"/>
      <c r="DZ113" s="226"/>
      <c r="EA113" s="226"/>
      <c r="EB113" s="226"/>
      <c r="EC113" s="226"/>
      <c r="ED113" s="226"/>
      <c r="EE113" s="226"/>
      <c r="EF113" s="226"/>
      <c r="EG113" s="226"/>
      <c r="EH113" s="226"/>
      <c r="EI113" s="226"/>
      <c r="EJ113" s="226"/>
      <c r="EK113" s="226"/>
      <c r="EL113" s="226"/>
      <c r="EM113" s="226"/>
      <c r="EN113" s="226"/>
      <c r="EO113" s="226"/>
      <c r="EP113" s="226"/>
      <c r="EQ113" s="226"/>
      <c r="ER113" s="226"/>
      <c r="ES113" s="226"/>
      <c r="ET113" s="226"/>
      <c r="EU113" s="226"/>
      <c r="EV113" s="226"/>
      <c r="EW113" s="226"/>
      <c r="EX113" s="226"/>
      <c r="EY113" s="226"/>
      <c r="EZ113" s="226"/>
      <c r="FA113" s="226"/>
      <c r="FB113" s="226"/>
      <c r="FC113" s="226"/>
      <c r="FD113" s="226"/>
      <c r="FE113" s="226"/>
      <c r="FF113" s="226"/>
      <c r="FG113" s="226"/>
      <c r="FH113" s="226"/>
      <c r="FI113" s="226"/>
      <c r="FJ113" s="226"/>
      <c r="FK113" s="226"/>
      <c r="FL113" s="226"/>
      <c r="FM113" s="226"/>
      <c r="FN113" s="226"/>
      <c r="FO113" s="226"/>
      <c r="FP113" s="226"/>
      <c r="FQ113" s="226"/>
      <c r="FR113" s="226"/>
      <c r="FS113" s="226"/>
      <c r="FT113" s="226"/>
      <c r="FU113" s="226"/>
      <c r="FV113" s="226"/>
      <c r="FW113" s="226"/>
      <c r="FX113" s="226"/>
      <c r="FY113" s="226"/>
      <c r="FZ113" s="226"/>
      <c r="GA113" s="226"/>
      <c r="GB113" s="226"/>
      <c r="GC113" s="226"/>
      <c r="GD113" s="226"/>
      <c r="GE113" s="226"/>
      <c r="GF113" s="226"/>
      <c r="GG113" s="226"/>
      <c r="GH113" s="226"/>
      <c r="GI113" s="226"/>
      <c r="GJ113" s="226"/>
      <c r="GK113" s="226"/>
      <c r="GL113" s="226"/>
      <c r="GM113" s="226"/>
      <c r="GN113" s="226"/>
      <c r="GO113" s="226"/>
      <c r="GP113" s="226"/>
      <c r="GQ113" s="226"/>
      <c r="GR113" s="226"/>
      <c r="GS113" s="226"/>
      <c r="GT113" s="226"/>
      <c r="GU113" s="226"/>
      <c r="GV113" s="226"/>
      <c r="GW113" s="226"/>
      <c r="GX113" s="226"/>
      <c r="GY113" s="226"/>
      <c r="GZ113" s="226"/>
      <c r="HA113" s="226"/>
      <c r="HB113" s="226"/>
      <c r="HC113" s="226"/>
      <c r="HD113" s="226"/>
    </row>
    <row r="114" spans="1:212" ht="14.1" customHeight="1" x14ac:dyDescent="0.2">
      <c r="A114" s="226"/>
      <c r="B114" s="226"/>
      <c r="C114" s="226"/>
      <c r="D114" s="226"/>
      <c r="E114" s="226"/>
      <c r="F114" s="226"/>
      <c r="G114" s="226"/>
      <c r="H114" s="226"/>
      <c r="I114" s="226"/>
      <c r="J114" s="226"/>
      <c r="K114" s="226"/>
      <c r="L114" s="226"/>
      <c r="M114" s="226"/>
      <c r="N114" s="226"/>
      <c r="O114" s="226"/>
      <c r="P114" s="226"/>
      <c r="Q114" s="226"/>
      <c r="R114" s="226"/>
      <c r="S114" s="226"/>
      <c r="T114" s="226"/>
      <c r="U114" s="226"/>
      <c r="V114" s="226"/>
      <c r="W114" s="226"/>
      <c r="X114" s="226"/>
      <c r="Y114" s="226"/>
      <c r="Z114" s="226"/>
      <c r="AA114" s="226"/>
      <c r="AB114" s="226"/>
      <c r="AC114" s="226"/>
      <c r="AD114" s="226"/>
      <c r="AE114" s="226"/>
      <c r="AF114" s="226"/>
      <c r="AG114" s="226"/>
      <c r="AH114" s="226"/>
      <c r="AI114" s="226"/>
      <c r="AJ114" s="226"/>
      <c r="AK114" s="226"/>
      <c r="AL114" s="226"/>
      <c r="AM114" s="226"/>
      <c r="AN114" s="226"/>
      <c r="AO114" s="226"/>
      <c r="AP114" s="226"/>
      <c r="AQ114" s="226"/>
      <c r="AR114" s="226"/>
      <c r="AS114" s="226"/>
      <c r="AT114" s="226"/>
      <c r="AU114" s="226"/>
      <c r="AV114" s="226"/>
      <c r="AW114" s="226"/>
      <c r="AX114" s="226"/>
      <c r="AY114" s="226"/>
      <c r="AZ114" s="226"/>
      <c r="BA114" s="226"/>
      <c r="BB114" s="226"/>
      <c r="BC114" s="226"/>
      <c r="BD114" s="226"/>
      <c r="BE114" s="226"/>
      <c r="BF114" s="226"/>
      <c r="BG114" s="226"/>
      <c r="BH114" s="226"/>
      <c r="BI114" s="226"/>
      <c r="BJ114" s="226"/>
      <c r="BK114" s="226"/>
      <c r="BL114" s="226"/>
      <c r="BM114" s="226"/>
      <c r="BN114" s="226"/>
      <c r="BO114" s="226"/>
      <c r="BP114" s="226"/>
      <c r="BQ114" s="226"/>
      <c r="BR114" s="226"/>
      <c r="BS114" s="226"/>
      <c r="BT114" s="226"/>
      <c r="BU114" s="226"/>
      <c r="BV114" s="226"/>
      <c r="BW114" s="226"/>
      <c r="BX114" s="226"/>
      <c r="BY114" s="226"/>
      <c r="BZ114" s="226"/>
      <c r="CA114" s="226"/>
      <c r="CB114" s="226"/>
      <c r="CC114" s="226"/>
      <c r="CD114" s="226"/>
      <c r="CE114" s="226"/>
      <c r="CF114" s="226"/>
      <c r="CG114" s="226"/>
      <c r="CH114" s="226"/>
      <c r="CI114" s="226"/>
      <c r="CJ114" s="226"/>
      <c r="CK114" s="226"/>
      <c r="CL114" s="226"/>
      <c r="CM114" s="226"/>
      <c r="CN114" s="226"/>
      <c r="CO114" s="226"/>
      <c r="CP114" s="226"/>
      <c r="CQ114" s="226"/>
      <c r="CR114" s="226"/>
      <c r="CS114" s="226"/>
      <c r="CT114" s="226"/>
      <c r="CU114" s="226"/>
      <c r="CV114" s="226"/>
      <c r="CW114" s="226"/>
      <c r="CX114" s="226"/>
      <c r="CY114" s="226"/>
      <c r="CZ114" s="226"/>
      <c r="DA114" s="226"/>
      <c r="DB114" s="226"/>
      <c r="DC114" s="226"/>
      <c r="DD114" s="226"/>
      <c r="DE114" s="226"/>
      <c r="DF114" s="226"/>
      <c r="DG114" s="226"/>
      <c r="DH114" s="226"/>
      <c r="DI114" s="226"/>
      <c r="DJ114" s="226"/>
      <c r="DK114" s="226"/>
      <c r="DL114" s="226"/>
      <c r="DM114" s="226"/>
      <c r="DN114" s="226"/>
      <c r="DO114" s="226"/>
      <c r="DP114" s="226"/>
      <c r="DQ114" s="226"/>
      <c r="DR114" s="226"/>
      <c r="DS114" s="226"/>
      <c r="DT114" s="226"/>
      <c r="DU114" s="226"/>
      <c r="DV114" s="226"/>
      <c r="DW114" s="226"/>
      <c r="DX114" s="226"/>
      <c r="DY114" s="226"/>
      <c r="DZ114" s="226"/>
      <c r="EA114" s="226"/>
      <c r="EB114" s="226"/>
      <c r="EC114" s="226"/>
      <c r="ED114" s="226"/>
      <c r="EE114" s="226"/>
      <c r="EF114" s="226"/>
      <c r="EG114" s="226"/>
      <c r="EH114" s="226"/>
      <c r="EI114" s="226"/>
      <c r="EJ114" s="226"/>
      <c r="EK114" s="226"/>
      <c r="EL114" s="226"/>
      <c r="EM114" s="226"/>
      <c r="EN114" s="226"/>
      <c r="EO114" s="226"/>
      <c r="EP114" s="226"/>
      <c r="EQ114" s="226"/>
      <c r="ER114" s="226"/>
      <c r="ES114" s="226"/>
      <c r="ET114" s="226"/>
      <c r="EU114" s="226"/>
      <c r="EV114" s="226"/>
      <c r="EW114" s="226"/>
      <c r="EX114" s="226"/>
      <c r="EY114" s="226"/>
      <c r="EZ114" s="226"/>
      <c r="FA114" s="226"/>
      <c r="FB114" s="226"/>
      <c r="FC114" s="226"/>
      <c r="FD114" s="226"/>
      <c r="FE114" s="226"/>
      <c r="FF114" s="226"/>
      <c r="FG114" s="226"/>
      <c r="FH114" s="226"/>
      <c r="FI114" s="226"/>
      <c r="FJ114" s="226"/>
      <c r="FK114" s="226"/>
      <c r="FL114" s="226"/>
      <c r="FM114" s="226"/>
      <c r="FN114" s="226"/>
      <c r="FO114" s="226"/>
      <c r="FP114" s="226"/>
      <c r="FQ114" s="226"/>
      <c r="FR114" s="226"/>
      <c r="FS114" s="226"/>
      <c r="FT114" s="226"/>
      <c r="FU114" s="226"/>
      <c r="FV114" s="226"/>
      <c r="FW114" s="226"/>
      <c r="FX114" s="226"/>
      <c r="FY114" s="226"/>
      <c r="FZ114" s="226"/>
      <c r="GA114" s="226"/>
      <c r="GB114" s="226"/>
      <c r="GC114" s="226"/>
      <c r="GD114" s="226"/>
      <c r="GE114" s="226"/>
      <c r="GF114" s="226"/>
      <c r="GG114" s="226"/>
      <c r="GH114" s="226"/>
      <c r="GI114" s="226"/>
      <c r="GJ114" s="226"/>
      <c r="GK114" s="226"/>
      <c r="GL114" s="226"/>
      <c r="GM114" s="226"/>
      <c r="GN114" s="226"/>
      <c r="GO114" s="226"/>
      <c r="GP114" s="226"/>
      <c r="GQ114" s="226"/>
      <c r="GR114" s="226"/>
      <c r="GS114" s="226"/>
      <c r="GT114" s="226"/>
      <c r="GU114" s="226"/>
      <c r="GV114" s="226"/>
      <c r="GW114" s="226"/>
      <c r="GX114" s="226"/>
      <c r="GY114" s="226"/>
      <c r="GZ114" s="226"/>
      <c r="HA114" s="226"/>
      <c r="HB114" s="226"/>
      <c r="HC114" s="226"/>
      <c r="HD114" s="226"/>
    </row>
    <row r="115" spans="1:212" ht="14.1" customHeight="1" x14ac:dyDescent="0.2">
      <c r="A115" s="226"/>
      <c r="B115" s="226"/>
      <c r="C115" s="226"/>
      <c r="D115" s="226"/>
      <c r="E115" s="226"/>
      <c r="F115" s="226"/>
      <c r="G115" s="226"/>
      <c r="H115" s="226"/>
      <c r="I115" s="226"/>
      <c r="J115" s="226"/>
      <c r="K115" s="226"/>
      <c r="L115" s="226"/>
      <c r="M115" s="226"/>
      <c r="N115" s="226"/>
      <c r="O115" s="226"/>
      <c r="P115" s="226"/>
      <c r="Q115" s="226"/>
      <c r="R115" s="226"/>
      <c r="S115" s="226"/>
      <c r="T115" s="226"/>
      <c r="U115" s="226"/>
      <c r="V115" s="226"/>
      <c r="W115" s="226"/>
      <c r="X115" s="226"/>
      <c r="Y115" s="226"/>
      <c r="Z115" s="226"/>
      <c r="AA115" s="226"/>
      <c r="AB115" s="226"/>
      <c r="AC115" s="226"/>
      <c r="AD115" s="226"/>
      <c r="AE115" s="226"/>
      <c r="AF115" s="226"/>
      <c r="AG115" s="226"/>
      <c r="AH115" s="226"/>
      <c r="AI115" s="226"/>
      <c r="AJ115" s="226"/>
      <c r="AK115" s="226"/>
      <c r="AL115" s="226"/>
      <c r="AM115" s="226"/>
      <c r="AN115" s="226"/>
      <c r="AO115" s="226"/>
      <c r="AP115" s="226"/>
      <c r="AQ115" s="226"/>
      <c r="AR115" s="226"/>
      <c r="AS115" s="226"/>
      <c r="AT115" s="226"/>
      <c r="AU115" s="226"/>
      <c r="AV115" s="226"/>
      <c r="AW115" s="226"/>
      <c r="AX115" s="226"/>
      <c r="AY115" s="226"/>
      <c r="AZ115" s="226"/>
      <c r="BA115" s="226"/>
      <c r="BB115" s="226"/>
      <c r="BC115" s="226"/>
      <c r="BD115" s="226"/>
      <c r="BE115" s="226"/>
      <c r="BF115" s="226"/>
      <c r="BG115" s="226"/>
      <c r="BH115" s="226"/>
      <c r="BI115" s="226"/>
      <c r="BJ115" s="226"/>
      <c r="BK115" s="226"/>
      <c r="BL115" s="226"/>
      <c r="BM115" s="226"/>
      <c r="BN115" s="226"/>
      <c r="BO115" s="226"/>
      <c r="BP115" s="226"/>
      <c r="BQ115" s="226"/>
      <c r="BR115" s="226"/>
      <c r="BS115" s="226"/>
      <c r="BT115" s="226"/>
      <c r="BU115" s="226"/>
      <c r="BV115" s="226"/>
      <c r="BW115" s="226"/>
      <c r="BX115" s="226"/>
      <c r="BY115" s="226"/>
      <c r="BZ115" s="226"/>
      <c r="CA115" s="226"/>
      <c r="CB115" s="226"/>
      <c r="CC115" s="226"/>
      <c r="CD115" s="226"/>
      <c r="CE115" s="226"/>
      <c r="CF115" s="226"/>
      <c r="CG115" s="226"/>
      <c r="CH115" s="226"/>
      <c r="CI115" s="226"/>
      <c r="CJ115" s="226"/>
      <c r="CK115" s="226"/>
      <c r="CL115" s="226"/>
      <c r="CM115" s="226"/>
      <c r="CN115" s="226"/>
      <c r="CO115" s="226"/>
      <c r="CP115" s="226"/>
      <c r="CQ115" s="226"/>
      <c r="CR115" s="226"/>
      <c r="CS115" s="226"/>
      <c r="CT115" s="226"/>
      <c r="CU115" s="226"/>
      <c r="CV115" s="226"/>
      <c r="CW115" s="226"/>
      <c r="CX115" s="226"/>
      <c r="CY115" s="226"/>
      <c r="CZ115" s="226"/>
      <c r="DA115" s="226"/>
      <c r="DB115" s="226"/>
      <c r="DC115" s="226"/>
      <c r="DD115" s="226"/>
      <c r="DE115" s="226"/>
      <c r="DF115" s="226"/>
      <c r="DG115" s="226"/>
      <c r="DH115" s="226"/>
      <c r="DI115" s="226"/>
      <c r="DJ115" s="226"/>
      <c r="DK115" s="226"/>
      <c r="DL115" s="226"/>
      <c r="DM115" s="226"/>
      <c r="DN115" s="226"/>
      <c r="DO115" s="226"/>
      <c r="DP115" s="226"/>
      <c r="DQ115" s="226"/>
      <c r="DR115" s="226"/>
      <c r="DS115" s="226"/>
      <c r="DT115" s="226"/>
      <c r="DU115" s="226"/>
      <c r="DV115" s="226"/>
      <c r="DW115" s="226"/>
      <c r="DX115" s="226"/>
      <c r="DY115" s="226"/>
      <c r="DZ115" s="226"/>
      <c r="EA115" s="226"/>
      <c r="EB115" s="226"/>
      <c r="EC115" s="226"/>
      <c r="ED115" s="226"/>
      <c r="EE115" s="226"/>
      <c r="EF115" s="226"/>
      <c r="EG115" s="226"/>
      <c r="EH115" s="226"/>
      <c r="EI115" s="226"/>
      <c r="EJ115" s="226"/>
      <c r="EK115" s="226"/>
      <c r="EL115" s="226"/>
      <c r="EM115" s="226"/>
      <c r="EN115" s="226"/>
      <c r="EO115" s="226"/>
      <c r="EP115" s="226"/>
      <c r="EQ115" s="226"/>
      <c r="ER115" s="226"/>
      <c r="ES115" s="226"/>
      <c r="ET115" s="226"/>
      <c r="EU115" s="226"/>
      <c r="EV115" s="226"/>
      <c r="EW115" s="226"/>
      <c r="EX115" s="226"/>
      <c r="EY115" s="226"/>
      <c r="EZ115" s="226"/>
      <c r="FA115" s="226"/>
      <c r="FB115" s="226"/>
      <c r="FC115" s="226"/>
      <c r="FD115" s="226"/>
      <c r="FE115" s="226"/>
      <c r="FF115" s="226"/>
      <c r="FG115" s="226"/>
      <c r="FH115" s="226"/>
      <c r="FI115" s="226"/>
      <c r="FJ115" s="226"/>
      <c r="FK115" s="226"/>
      <c r="FL115" s="226"/>
      <c r="FM115" s="226"/>
      <c r="FN115" s="226"/>
      <c r="FO115" s="226"/>
      <c r="FP115" s="226"/>
      <c r="FQ115" s="226"/>
      <c r="FR115" s="226"/>
      <c r="FS115" s="226"/>
      <c r="FT115" s="226"/>
      <c r="FU115" s="226"/>
      <c r="FV115" s="226"/>
      <c r="FW115" s="226"/>
      <c r="FX115" s="226"/>
      <c r="FY115" s="226"/>
      <c r="FZ115" s="226"/>
      <c r="GA115" s="226"/>
      <c r="GB115" s="226"/>
      <c r="GC115" s="226"/>
      <c r="GD115" s="226"/>
      <c r="GE115" s="226"/>
      <c r="GF115" s="226"/>
      <c r="GG115" s="226"/>
      <c r="GH115" s="226"/>
      <c r="GI115" s="226"/>
      <c r="GJ115" s="226"/>
      <c r="GK115" s="226"/>
      <c r="GL115" s="226"/>
      <c r="GM115" s="226"/>
      <c r="GN115" s="226"/>
      <c r="GO115" s="226"/>
      <c r="GP115" s="226"/>
      <c r="GQ115" s="226"/>
      <c r="GR115" s="226"/>
      <c r="GS115" s="226"/>
      <c r="GT115" s="226"/>
      <c r="GU115" s="226"/>
      <c r="GV115" s="226"/>
      <c r="GW115" s="226"/>
      <c r="GX115" s="226"/>
      <c r="GY115" s="226"/>
      <c r="GZ115" s="226"/>
      <c r="HA115" s="226"/>
      <c r="HB115" s="226"/>
      <c r="HC115" s="226"/>
      <c r="HD115" s="226"/>
    </row>
    <row r="116" spans="1:212" ht="14.1" customHeight="1" x14ac:dyDescent="0.2">
      <c r="A116" s="226"/>
      <c r="B116" s="226"/>
      <c r="C116" s="226"/>
      <c r="D116" s="226"/>
      <c r="E116" s="226"/>
      <c r="F116" s="226"/>
      <c r="G116" s="226"/>
      <c r="H116" s="226"/>
      <c r="I116" s="226"/>
      <c r="J116" s="226"/>
      <c r="K116" s="226"/>
      <c r="L116" s="226"/>
      <c r="M116" s="226"/>
      <c r="N116" s="226"/>
      <c r="O116" s="226"/>
      <c r="P116" s="226"/>
      <c r="Q116" s="226"/>
      <c r="R116" s="226"/>
      <c r="S116" s="226"/>
      <c r="T116" s="226"/>
      <c r="U116" s="226"/>
      <c r="V116" s="226"/>
      <c r="W116" s="226"/>
      <c r="X116" s="226"/>
      <c r="Y116" s="226"/>
      <c r="Z116" s="226"/>
      <c r="AA116" s="226"/>
      <c r="AB116" s="226"/>
      <c r="AC116" s="226"/>
      <c r="AD116" s="226"/>
      <c r="AE116" s="226"/>
      <c r="AF116" s="226"/>
      <c r="AG116" s="226"/>
      <c r="AH116" s="226"/>
      <c r="AI116" s="226"/>
      <c r="AJ116" s="226"/>
      <c r="AK116" s="226"/>
      <c r="AL116" s="226"/>
      <c r="AM116" s="226"/>
      <c r="AN116" s="226"/>
      <c r="AO116" s="226"/>
      <c r="AP116" s="226"/>
      <c r="AQ116" s="226"/>
      <c r="AR116" s="226"/>
      <c r="AS116" s="226"/>
      <c r="AT116" s="226"/>
      <c r="AU116" s="226"/>
      <c r="AV116" s="226"/>
      <c r="AW116" s="226"/>
      <c r="AX116" s="226"/>
      <c r="AY116" s="226"/>
      <c r="AZ116" s="226"/>
      <c r="BA116" s="226"/>
      <c r="BB116" s="226"/>
      <c r="BC116" s="226"/>
      <c r="BD116" s="226"/>
      <c r="BE116" s="226"/>
      <c r="BF116" s="226"/>
      <c r="BG116" s="226"/>
      <c r="BH116" s="226"/>
      <c r="BI116" s="226"/>
      <c r="BJ116" s="226"/>
      <c r="BK116" s="226"/>
      <c r="BL116" s="226"/>
      <c r="BM116" s="226"/>
      <c r="BN116" s="226"/>
      <c r="BO116" s="226"/>
      <c r="BP116" s="226"/>
      <c r="BQ116" s="226"/>
      <c r="BR116" s="226"/>
      <c r="BS116" s="226"/>
      <c r="BT116" s="226"/>
      <c r="BU116" s="226"/>
      <c r="BV116" s="226"/>
      <c r="BW116" s="226"/>
      <c r="BX116" s="226"/>
      <c r="BY116" s="226"/>
      <c r="BZ116" s="226"/>
      <c r="CA116" s="226"/>
      <c r="CB116" s="226"/>
      <c r="CC116" s="226"/>
      <c r="CD116" s="226"/>
      <c r="CE116" s="226"/>
      <c r="CF116" s="226"/>
      <c r="CG116" s="226"/>
      <c r="CH116" s="226"/>
      <c r="CI116" s="226"/>
      <c r="CJ116" s="226"/>
      <c r="CK116" s="226"/>
      <c r="CL116" s="226"/>
      <c r="CM116" s="226"/>
      <c r="CN116" s="226"/>
      <c r="CO116" s="226"/>
      <c r="CP116" s="226"/>
      <c r="CQ116" s="226"/>
      <c r="CR116" s="226"/>
      <c r="CS116" s="226"/>
      <c r="CT116" s="226"/>
      <c r="CU116" s="226"/>
      <c r="CV116" s="226"/>
      <c r="CW116" s="226"/>
      <c r="CX116" s="226"/>
      <c r="CY116" s="226"/>
      <c r="CZ116" s="226"/>
      <c r="DA116" s="226"/>
      <c r="DB116" s="226"/>
      <c r="DC116" s="226"/>
      <c r="DD116" s="226"/>
      <c r="DE116" s="226"/>
      <c r="DF116" s="226"/>
      <c r="DG116" s="226"/>
      <c r="DH116" s="226"/>
      <c r="DI116" s="226"/>
      <c r="DJ116" s="226"/>
      <c r="DK116" s="226"/>
      <c r="DL116" s="226"/>
      <c r="DM116" s="226"/>
      <c r="DN116" s="226"/>
      <c r="DO116" s="226"/>
      <c r="DP116" s="226"/>
      <c r="DQ116" s="226"/>
      <c r="DR116" s="226"/>
      <c r="DS116" s="226"/>
      <c r="DT116" s="226"/>
      <c r="DU116" s="226"/>
      <c r="DV116" s="226"/>
      <c r="DW116" s="226"/>
      <c r="DX116" s="226"/>
      <c r="DY116" s="226"/>
      <c r="DZ116" s="226"/>
      <c r="EA116" s="226"/>
      <c r="EB116" s="226"/>
      <c r="EC116" s="226"/>
      <c r="ED116" s="226"/>
      <c r="EE116" s="226"/>
      <c r="EF116" s="226"/>
      <c r="EG116" s="226"/>
      <c r="EH116" s="226"/>
      <c r="EI116" s="226"/>
      <c r="EJ116" s="226"/>
      <c r="EK116" s="226"/>
      <c r="EL116" s="226"/>
      <c r="EM116" s="226"/>
      <c r="EN116" s="226"/>
      <c r="EO116" s="226"/>
      <c r="EP116" s="226"/>
      <c r="EQ116" s="226"/>
      <c r="ER116" s="226"/>
      <c r="ES116" s="226"/>
      <c r="ET116" s="226"/>
      <c r="EU116" s="226"/>
      <c r="EV116" s="226"/>
      <c r="EW116" s="226"/>
      <c r="EX116" s="226"/>
      <c r="EY116" s="226"/>
      <c r="EZ116" s="226"/>
      <c r="FA116" s="226"/>
      <c r="FB116" s="226"/>
      <c r="FC116" s="226"/>
      <c r="FD116" s="226"/>
      <c r="FE116" s="226"/>
      <c r="FF116" s="226"/>
      <c r="FG116" s="226"/>
      <c r="FH116" s="226"/>
      <c r="FI116" s="226"/>
      <c r="FJ116" s="226"/>
      <c r="FK116" s="226"/>
      <c r="FL116" s="226"/>
      <c r="FM116" s="226"/>
      <c r="FN116" s="226"/>
      <c r="FO116" s="226"/>
      <c r="FP116" s="226"/>
      <c r="FQ116" s="226"/>
      <c r="FR116" s="226"/>
      <c r="FS116" s="226"/>
      <c r="FT116" s="226"/>
      <c r="FU116" s="226"/>
      <c r="FV116" s="226"/>
      <c r="FW116" s="226"/>
      <c r="FX116" s="226"/>
      <c r="FY116" s="226"/>
      <c r="FZ116" s="226"/>
      <c r="GA116" s="226"/>
      <c r="GB116" s="226"/>
      <c r="GC116" s="226"/>
      <c r="GD116" s="226"/>
      <c r="GE116" s="226"/>
      <c r="GF116" s="226"/>
      <c r="GG116" s="226"/>
      <c r="GH116" s="226"/>
      <c r="GI116" s="226"/>
      <c r="GJ116" s="226"/>
      <c r="GK116" s="226"/>
      <c r="GL116" s="226"/>
      <c r="GM116" s="226"/>
      <c r="GN116" s="226"/>
      <c r="GO116" s="226"/>
      <c r="GP116" s="226"/>
      <c r="GQ116" s="226"/>
      <c r="GR116" s="226"/>
      <c r="GS116" s="226"/>
      <c r="GT116" s="226"/>
      <c r="GU116" s="226"/>
      <c r="GV116" s="226"/>
      <c r="GW116" s="226"/>
      <c r="GX116" s="226"/>
      <c r="GY116" s="226"/>
      <c r="GZ116" s="226"/>
      <c r="HA116" s="226"/>
      <c r="HB116" s="226"/>
      <c r="HC116" s="226"/>
      <c r="HD116" s="226"/>
    </row>
    <row r="117" spans="1:212" ht="14.1" customHeight="1" x14ac:dyDescent="0.2">
      <c r="A117" s="226"/>
      <c r="B117" s="226"/>
      <c r="C117" s="226"/>
      <c r="D117" s="226"/>
      <c r="E117" s="226"/>
      <c r="F117" s="226"/>
      <c r="G117" s="226"/>
      <c r="H117" s="226"/>
      <c r="I117" s="226"/>
      <c r="J117" s="226"/>
      <c r="K117" s="226"/>
      <c r="L117" s="226"/>
      <c r="M117" s="226"/>
      <c r="N117" s="226"/>
      <c r="O117" s="226"/>
      <c r="P117" s="226"/>
      <c r="Q117" s="226"/>
      <c r="R117" s="226"/>
      <c r="S117" s="226"/>
      <c r="T117" s="226"/>
      <c r="U117" s="226"/>
      <c r="V117" s="226"/>
      <c r="W117" s="226"/>
      <c r="X117" s="226"/>
      <c r="Y117" s="226"/>
      <c r="Z117" s="226"/>
      <c r="AA117" s="226"/>
      <c r="AB117" s="226"/>
      <c r="AC117" s="226"/>
      <c r="AD117" s="226"/>
      <c r="AE117" s="226"/>
      <c r="AF117" s="226"/>
      <c r="AG117" s="226"/>
      <c r="AH117" s="226"/>
      <c r="AI117" s="226"/>
      <c r="AJ117" s="226"/>
      <c r="AK117" s="226"/>
      <c r="AL117" s="226"/>
      <c r="AM117" s="226"/>
      <c r="AN117" s="226"/>
      <c r="AO117" s="226"/>
      <c r="AP117" s="226"/>
      <c r="AQ117" s="226"/>
      <c r="AR117" s="226"/>
      <c r="AS117" s="226"/>
      <c r="AT117" s="226"/>
      <c r="AU117" s="226"/>
      <c r="AV117" s="226"/>
      <c r="AW117" s="226"/>
      <c r="AX117" s="226"/>
      <c r="AY117" s="226"/>
      <c r="AZ117" s="226"/>
      <c r="BA117" s="226"/>
      <c r="BB117" s="226"/>
      <c r="BC117" s="226"/>
      <c r="BD117" s="226"/>
      <c r="BE117" s="226"/>
      <c r="BF117" s="226"/>
      <c r="BG117" s="226"/>
      <c r="BH117" s="226"/>
      <c r="BI117" s="226"/>
      <c r="BJ117" s="226"/>
      <c r="BK117" s="226"/>
      <c r="BL117" s="226"/>
      <c r="BM117" s="226"/>
      <c r="BN117" s="226"/>
      <c r="BO117" s="226"/>
      <c r="BP117" s="226"/>
      <c r="BQ117" s="226"/>
      <c r="BR117" s="226"/>
      <c r="BS117" s="226"/>
      <c r="BT117" s="226"/>
      <c r="BU117" s="226"/>
      <c r="BV117" s="226"/>
      <c r="BW117" s="226"/>
      <c r="BX117" s="226"/>
      <c r="BY117" s="226"/>
      <c r="BZ117" s="226"/>
      <c r="CA117" s="226"/>
      <c r="CB117" s="226"/>
      <c r="CC117" s="226"/>
      <c r="CD117" s="226"/>
      <c r="CE117" s="226"/>
      <c r="CF117" s="226"/>
      <c r="CG117" s="226"/>
      <c r="CH117" s="226"/>
      <c r="CI117" s="226"/>
      <c r="CJ117" s="226"/>
      <c r="CK117" s="226"/>
      <c r="CL117" s="226"/>
      <c r="CM117" s="226"/>
      <c r="CN117" s="226"/>
      <c r="CO117" s="226"/>
      <c r="CP117" s="226"/>
      <c r="CQ117" s="226"/>
      <c r="CR117" s="226"/>
      <c r="CS117" s="226"/>
      <c r="CT117" s="226"/>
      <c r="CU117" s="226"/>
      <c r="CV117" s="226"/>
      <c r="CW117" s="226"/>
      <c r="CX117" s="226"/>
      <c r="CY117" s="226"/>
      <c r="CZ117" s="226"/>
      <c r="DA117" s="226"/>
      <c r="DB117" s="226"/>
      <c r="DC117" s="226"/>
      <c r="DD117" s="226"/>
      <c r="DE117" s="226"/>
      <c r="DF117" s="226"/>
      <c r="DG117" s="226"/>
      <c r="DH117" s="226"/>
      <c r="DI117" s="226"/>
      <c r="DJ117" s="226"/>
      <c r="DK117" s="226"/>
      <c r="DL117" s="226"/>
      <c r="DM117" s="226"/>
      <c r="DN117" s="226"/>
      <c r="DO117" s="226"/>
      <c r="DP117" s="226"/>
      <c r="DQ117" s="226"/>
      <c r="DR117" s="226"/>
      <c r="DS117" s="226"/>
      <c r="DT117" s="226"/>
      <c r="DU117" s="226"/>
      <c r="DV117" s="226"/>
      <c r="DW117" s="226"/>
      <c r="DX117" s="226"/>
      <c r="DY117" s="226"/>
      <c r="DZ117" s="226"/>
      <c r="EA117" s="226"/>
      <c r="EB117" s="226"/>
      <c r="EC117" s="226"/>
      <c r="ED117" s="226"/>
      <c r="EE117" s="226"/>
      <c r="EF117" s="226"/>
      <c r="EG117" s="226"/>
      <c r="EH117" s="226"/>
      <c r="EI117" s="226"/>
      <c r="EJ117" s="226"/>
      <c r="EK117" s="226"/>
      <c r="EL117" s="226"/>
      <c r="EM117" s="226"/>
      <c r="EN117" s="226"/>
      <c r="EO117" s="226"/>
      <c r="EP117" s="226"/>
      <c r="EQ117" s="226"/>
      <c r="ER117" s="226"/>
      <c r="ES117" s="226"/>
      <c r="ET117" s="226"/>
      <c r="EU117" s="226"/>
      <c r="EV117" s="226"/>
      <c r="EW117" s="226"/>
      <c r="EX117" s="226"/>
      <c r="EY117" s="226"/>
      <c r="EZ117" s="226"/>
      <c r="FA117" s="226"/>
      <c r="FB117" s="226"/>
      <c r="FC117" s="226"/>
      <c r="FD117" s="226"/>
      <c r="FE117" s="226"/>
      <c r="FF117" s="226"/>
      <c r="FG117" s="226"/>
      <c r="FH117" s="226"/>
      <c r="FI117" s="226"/>
      <c r="FJ117" s="226"/>
      <c r="FK117" s="226"/>
      <c r="FL117" s="226"/>
      <c r="FM117" s="226"/>
      <c r="FN117" s="226"/>
      <c r="FO117" s="226"/>
      <c r="FP117" s="226"/>
      <c r="FQ117" s="226"/>
      <c r="FR117" s="226"/>
      <c r="FS117" s="226"/>
      <c r="FT117" s="226"/>
      <c r="FU117" s="226"/>
      <c r="FV117" s="226"/>
      <c r="FW117" s="226"/>
      <c r="FX117" s="226"/>
      <c r="FY117" s="226"/>
      <c r="FZ117" s="226"/>
      <c r="GA117" s="226"/>
      <c r="GB117" s="226"/>
      <c r="GC117" s="226"/>
      <c r="GD117" s="226"/>
      <c r="GE117" s="226"/>
      <c r="GF117" s="226"/>
      <c r="GG117" s="226"/>
      <c r="GH117" s="226"/>
      <c r="GI117" s="226"/>
      <c r="GJ117" s="226"/>
      <c r="GK117" s="226"/>
      <c r="GL117" s="226"/>
      <c r="GM117" s="226"/>
      <c r="GN117" s="226"/>
      <c r="GO117" s="226"/>
      <c r="GP117" s="226"/>
      <c r="GQ117" s="226"/>
      <c r="GR117" s="226"/>
      <c r="GS117" s="226"/>
      <c r="GT117" s="226"/>
      <c r="GU117" s="226"/>
      <c r="GV117" s="226"/>
      <c r="GW117" s="226"/>
      <c r="GX117" s="226"/>
      <c r="GY117" s="226"/>
      <c r="GZ117" s="226"/>
      <c r="HA117" s="226"/>
      <c r="HB117" s="226"/>
      <c r="HC117" s="226"/>
      <c r="HD117" s="226"/>
    </row>
    <row r="118" spans="1:212" ht="14.1" customHeight="1" x14ac:dyDescent="0.2">
      <c r="A118" s="226"/>
      <c r="B118" s="226"/>
      <c r="C118" s="226"/>
      <c r="D118" s="226"/>
      <c r="E118" s="226"/>
      <c r="F118" s="226"/>
      <c r="G118" s="226"/>
      <c r="H118" s="226"/>
      <c r="I118" s="226"/>
      <c r="J118" s="226"/>
      <c r="K118" s="226"/>
      <c r="L118" s="226"/>
      <c r="M118" s="226"/>
      <c r="N118" s="226"/>
      <c r="O118" s="226"/>
      <c r="P118" s="226"/>
      <c r="Q118" s="226"/>
      <c r="R118" s="226"/>
      <c r="S118" s="226"/>
      <c r="T118" s="226"/>
      <c r="U118" s="226"/>
      <c r="V118" s="226"/>
      <c r="W118" s="226"/>
      <c r="X118" s="226"/>
      <c r="Y118" s="226"/>
      <c r="Z118" s="226"/>
      <c r="AA118" s="226"/>
      <c r="AB118" s="226"/>
      <c r="AC118" s="226"/>
      <c r="AD118" s="226"/>
      <c r="AE118" s="226"/>
      <c r="AF118" s="226"/>
      <c r="AG118" s="226"/>
      <c r="AH118" s="226"/>
      <c r="AI118" s="226"/>
      <c r="AJ118" s="226"/>
      <c r="AK118" s="226"/>
      <c r="AL118" s="226"/>
      <c r="AM118" s="226"/>
      <c r="AN118" s="226"/>
      <c r="AO118" s="226"/>
      <c r="AP118" s="226"/>
      <c r="AQ118" s="226"/>
      <c r="AR118" s="226"/>
      <c r="AS118" s="226"/>
      <c r="AT118" s="226"/>
      <c r="AU118" s="226"/>
      <c r="AV118" s="226"/>
      <c r="AW118" s="226"/>
      <c r="AX118" s="226"/>
      <c r="AY118" s="226"/>
      <c r="AZ118" s="226"/>
      <c r="BA118" s="226"/>
      <c r="BB118" s="226"/>
      <c r="BC118" s="226"/>
      <c r="BD118" s="226"/>
      <c r="BE118" s="226"/>
      <c r="BF118" s="226"/>
      <c r="BG118" s="226"/>
      <c r="BH118" s="226"/>
      <c r="BI118" s="226"/>
      <c r="BJ118" s="226"/>
      <c r="BK118" s="226"/>
      <c r="BL118" s="226"/>
      <c r="BM118" s="226"/>
      <c r="BN118" s="226"/>
      <c r="BO118" s="226"/>
      <c r="BP118" s="226"/>
      <c r="BQ118" s="226"/>
      <c r="BR118" s="226"/>
      <c r="BS118" s="226"/>
      <c r="BT118" s="226"/>
      <c r="BU118" s="226"/>
      <c r="BV118" s="226"/>
      <c r="BW118" s="226"/>
      <c r="BX118" s="226"/>
      <c r="BY118" s="226"/>
      <c r="BZ118" s="226"/>
      <c r="CA118" s="226"/>
      <c r="CB118" s="226"/>
      <c r="CC118" s="226"/>
      <c r="CD118" s="226"/>
      <c r="CE118" s="226"/>
      <c r="CF118" s="226"/>
      <c r="CG118" s="226"/>
      <c r="CH118" s="226"/>
      <c r="CI118" s="226"/>
      <c r="CJ118" s="226"/>
      <c r="CK118" s="226"/>
      <c r="CL118" s="226"/>
      <c r="CM118" s="226"/>
      <c r="CN118" s="226"/>
      <c r="CO118" s="226"/>
      <c r="CP118" s="226"/>
      <c r="CQ118" s="226"/>
      <c r="CR118" s="226"/>
      <c r="CS118" s="226"/>
      <c r="CT118" s="226"/>
      <c r="CU118" s="226"/>
      <c r="CV118" s="226"/>
      <c r="CW118" s="226"/>
      <c r="CX118" s="226"/>
      <c r="CY118" s="226"/>
      <c r="CZ118" s="226"/>
      <c r="DA118" s="226"/>
      <c r="DB118" s="226"/>
      <c r="DC118" s="226"/>
      <c r="DD118" s="226"/>
      <c r="DE118" s="226"/>
      <c r="DF118" s="226"/>
      <c r="DG118" s="226"/>
      <c r="DH118" s="226"/>
      <c r="DI118" s="226"/>
      <c r="DJ118" s="226"/>
      <c r="DK118" s="226"/>
      <c r="DL118" s="226"/>
      <c r="DM118" s="226"/>
      <c r="DN118" s="226"/>
      <c r="DO118" s="226"/>
      <c r="DP118" s="226"/>
      <c r="DQ118" s="226"/>
      <c r="DR118" s="226"/>
      <c r="DS118" s="226"/>
      <c r="DT118" s="226"/>
      <c r="DU118" s="226"/>
      <c r="DV118" s="226"/>
      <c r="DW118" s="226"/>
      <c r="DX118" s="226"/>
      <c r="DY118" s="226"/>
      <c r="DZ118" s="226"/>
      <c r="EA118" s="226"/>
      <c r="EB118" s="226"/>
      <c r="EC118" s="226"/>
      <c r="ED118" s="226"/>
      <c r="EE118" s="226"/>
      <c r="EF118" s="226"/>
      <c r="EG118" s="226"/>
      <c r="EH118" s="226"/>
      <c r="EI118" s="226"/>
      <c r="EJ118" s="226"/>
      <c r="EK118" s="226"/>
      <c r="EL118" s="226"/>
      <c r="EM118" s="226"/>
      <c r="EN118" s="226"/>
      <c r="EO118" s="226"/>
      <c r="EP118" s="226"/>
      <c r="EQ118" s="226"/>
      <c r="ER118" s="226"/>
      <c r="ES118" s="226"/>
      <c r="ET118" s="226"/>
      <c r="EU118" s="226"/>
      <c r="EV118" s="226"/>
      <c r="EW118" s="226"/>
      <c r="EX118" s="226"/>
      <c r="EY118" s="226"/>
      <c r="EZ118" s="226"/>
      <c r="FA118" s="226"/>
      <c r="FB118" s="226"/>
      <c r="FC118" s="226"/>
      <c r="FD118" s="226"/>
      <c r="FE118" s="226"/>
      <c r="FF118" s="226"/>
      <c r="FG118" s="226"/>
      <c r="FH118" s="226"/>
      <c r="FI118" s="226"/>
      <c r="FJ118" s="226"/>
      <c r="FK118" s="226"/>
      <c r="FL118" s="226"/>
      <c r="FM118" s="226"/>
      <c r="FN118" s="226"/>
      <c r="FO118" s="226"/>
      <c r="FP118" s="226"/>
      <c r="FQ118" s="226"/>
      <c r="FR118" s="226"/>
      <c r="FS118" s="226"/>
      <c r="FT118" s="226"/>
      <c r="FU118" s="226"/>
      <c r="FV118" s="226"/>
      <c r="FW118" s="226"/>
      <c r="FX118" s="226"/>
      <c r="FY118" s="226"/>
      <c r="FZ118" s="226"/>
      <c r="GA118" s="226"/>
      <c r="GB118" s="226"/>
      <c r="GC118" s="226"/>
      <c r="GD118" s="226"/>
      <c r="GE118" s="226"/>
      <c r="GF118" s="226"/>
      <c r="GG118" s="226"/>
      <c r="GH118" s="226"/>
      <c r="GI118" s="226"/>
      <c r="GJ118" s="226"/>
      <c r="GK118" s="226"/>
      <c r="GL118" s="226"/>
      <c r="GM118" s="226"/>
      <c r="GN118" s="226"/>
      <c r="GO118" s="226"/>
      <c r="GP118" s="226"/>
      <c r="GQ118" s="226"/>
      <c r="GR118" s="226"/>
      <c r="GS118" s="226"/>
      <c r="GT118" s="226"/>
      <c r="GU118" s="226"/>
      <c r="GV118" s="226"/>
      <c r="GW118" s="226"/>
      <c r="GX118" s="226"/>
      <c r="GY118" s="226"/>
      <c r="GZ118" s="226"/>
      <c r="HA118" s="226"/>
      <c r="HB118" s="226"/>
      <c r="HC118" s="226"/>
      <c r="HD118" s="226"/>
    </row>
    <row r="119" spans="1:212" ht="14.1" customHeight="1" x14ac:dyDescent="0.2">
      <c r="A119" s="226"/>
      <c r="B119" s="226"/>
      <c r="C119" s="226"/>
      <c r="D119" s="226"/>
      <c r="E119" s="226"/>
      <c r="F119" s="226"/>
      <c r="G119" s="226"/>
      <c r="H119" s="226"/>
      <c r="I119" s="226"/>
      <c r="J119" s="226"/>
      <c r="K119" s="226"/>
      <c r="L119" s="226"/>
      <c r="M119" s="226"/>
      <c r="N119" s="226"/>
      <c r="O119" s="226"/>
      <c r="P119" s="226"/>
      <c r="Q119" s="226"/>
      <c r="R119" s="226"/>
      <c r="S119" s="226"/>
      <c r="T119" s="226"/>
      <c r="U119" s="226"/>
      <c r="V119" s="226"/>
      <c r="W119" s="226"/>
      <c r="X119" s="226"/>
      <c r="Y119" s="226"/>
      <c r="Z119" s="226"/>
      <c r="AA119" s="226"/>
      <c r="AB119" s="226"/>
      <c r="AC119" s="226"/>
      <c r="AD119" s="226"/>
      <c r="AE119" s="226"/>
      <c r="AF119" s="226"/>
      <c r="AG119" s="226"/>
      <c r="AH119" s="226"/>
      <c r="AI119" s="226"/>
      <c r="AJ119" s="226"/>
      <c r="AK119" s="226"/>
      <c r="AL119" s="226"/>
      <c r="AM119" s="226"/>
      <c r="AN119" s="226"/>
      <c r="AO119" s="226"/>
      <c r="AP119" s="226"/>
      <c r="AQ119" s="226"/>
      <c r="AR119" s="226"/>
      <c r="AS119" s="226"/>
      <c r="AT119" s="226"/>
      <c r="AU119" s="226"/>
      <c r="AV119" s="226"/>
      <c r="AW119" s="226"/>
      <c r="AX119" s="226"/>
      <c r="AY119" s="226"/>
      <c r="AZ119" s="226"/>
      <c r="BA119" s="226"/>
      <c r="BB119" s="226"/>
      <c r="BC119" s="226"/>
      <c r="BD119" s="226"/>
      <c r="BE119" s="226"/>
      <c r="BF119" s="226"/>
      <c r="BG119" s="226"/>
      <c r="BH119" s="226"/>
      <c r="BI119" s="226"/>
      <c r="BJ119" s="226"/>
      <c r="BK119" s="226"/>
      <c r="BL119" s="226"/>
      <c r="BM119" s="226"/>
      <c r="BN119" s="226"/>
      <c r="BO119" s="226"/>
      <c r="BP119" s="226"/>
      <c r="BQ119" s="226"/>
      <c r="BR119" s="226"/>
      <c r="BS119" s="226"/>
      <c r="BT119" s="226"/>
      <c r="BU119" s="226"/>
      <c r="BV119" s="226"/>
      <c r="BW119" s="226"/>
      <c r="BX119" s="226"/>
      <c r="BY119" s="226"/>
      <c r="BZ119" s="226"/>
      <c r="CA119" s="226"/>
      <c r="CB119" s="226"/>
      <c r="CC119" s="226"/>
      <c r="CD119" s="226"/>
      <c r="CE119" s="226"/>
      <c r="CF119" s="226"/>
      <c r="CG119" s="226"/>
      <c r="CH119" s="226"/>
      <c r="CI119" s="226"/>
      <c r="CJ119" s="226"/>
      <c r="CK119" s="226"/>
      <c r="CL119" s="226"/>
      <c r="CM119" s="226"/>
      <c r="CN119" s="226"/>
      <c r="CO119" s="226"/>
      <c r="CP119" s="226"/>
      <c r="CQ119" s="226"/>
      <c r="CR119" s="226"/>
      <c r="CS119" s="226"/>
      <c r="CT119" s="226"/>
      <c r="CU119" s="226"/>
      <c r="CV119" s="226"/>
      <c r="CW119" s="226"/>
      <c r="CX119" s="226"/>
      <c r="CY119" s="226"/>
      <c r="CZ119" s="226"/>
      <c r="DA119" s="226"/>
      <c r="DB119" s="226"/>
      <c r="DC119" s="226"/>
      <c r="DD119" s="226"/>
      <c r="DE119" s="226"/>
      <c r="DF119" s="226"/>
      <c r="DG119" s="226"/>
      <c r="DH119" s="226"/>
      <c r="DI119" s="226"/>
      <c r="DJ119" s="226"/>
      <c r="DK119" s="226"/>
      <c r="DL119" s="226"/>
      <c r="DM119" s="226"/>
      <c r="DN119" s="226"/>
      <c r="DO119" s="226"/>
      <c r="DP119" s="226"/>
      <c r="DQ119" s="226"/>
      <c r="DR119" s="226"/>
      <c r="DS119" s="226"/>
      <c r="DT119" s="226"/>
      <c r="DU119" s="226"/>
      <c r="DV119" s="226"/>
      <c r="DW119" s="226"/>
      <c r="DX119" s="226"/>
      <c r="DY119" s="226"/>
      <c r="DZ119" s="226"/>
      <c r="EA119" s="226"/>
      <c r="EB119" s="226"/>
      <c r="EC119" s="226"/>
      <c r="ED119" s="226"/>
      <c r="EE119" s="226"/>
      <c r="EF119" s="226"/>
      <c r="EG119" s="226"/>
      <c r="EH119" s="226"/>
      <c r="EI119" s="226"/>
      <c r="EJ119" s="226"/>
      <c r="EK119" s="226"/>
      <c r="EL119" s="226"/>
      <c r="EM119" s="226"/>
      <c r="EN119" s="226"/>
      <c r="EO119" s="226"/>
      <c r="EP119" s="226"/>
      <c r="EQ119" s="226"/>
      <c r="ER119" s="226"/>
      <c r="ES119" s="226"/>
      <c r="ET119" s="226"/>
      <c r="EU119" s="226"/>
      <c r="EV119" s="226"/>
      <c r="EW119" s="226"/>
      <c r="EX119" s="226"/>
      <c r="EY119" s="226"/>
      <c r="EZ119" s="226"/>
      <c r="FA119" s="226"/>
      <c r="FB119" s="226"/>
      <c r="FC119" s="226"/>
      <c r="FD119" s="226"/>
      <c r="FE119" s="226"/>
      <c r="FF119" s="226"/>
      <c r="FG119" s="226"/>
      <c r="FH119" s="226"/>
      <c r="FI119" s="226"/>
      <c r="FJ119" s="226"/>
      <c r="FK119" s="226"/>
      <c r="FL119" s="226"/>
      <c r="FM119" s="226"/>
      <c r="FN119" s="226"/>
      <c r="FO119" s="226"/>
      <c r="FP119" s="226"/>
      <c r="FQ119" s="226"/>
      <c r="FR119" s="226"/>
      <c r="FS119" s="226"/>
      <c r="FT119" s="226"/>
      <c r="FU119" s="226"/>
      <c r="FV119" s="226"/>
      <c r="FW119" s="226"/>
      <c r="FX119" s="226"/>
      <c r="FY119" s="226"/>
      <c r="FZ119" s="226"/>
      <c r="GA119" s="226"/>
      <c r="GB119" s="226"/>
      <c r="GC119" s="226"/>
      <c r="GD119" s="226"/>
      <c r="GE119" s="226"/>
      <c r="GF119" s="226"/>
      <c r="GG119" s="226"/>
      <c r="GH119" s="226"/>
      <c r="GI119" s="226"/>
      <c r="GJ119" s="226"/>
      <c r="GK119" s="226"/>
      <c r="GL119" s="226"/>
      <c r="GM119" s="226"/>
      <c r="GN119" s="226"/>
      <c r="GO119" s="226"/>
      <c r="GP119" s="226"/>
      <c r="GQ119" s="226"/>
      <c r="GR119" s="226"/>
      <c r="GS119" s="226"/>
      <c r="GT119" s="226"/>
      <c r="GU119" s="226"/>
      <c r="GV119" s="226"/>
      <c r="GW119" s="226"/>
      <c r="GX119" s="226"/>
      <c r="GY119" s="226"/>
      <c r="GZ119" s="226"/>
      <c r="HA119" s="226"/>
      <c r="HB119" s="226"/>
      <c r="HC119" s="226"/>
      <c r="HD119" s="226"/>
    </row>
    <row r="120" spans="1:212" ht="14.1" customHeight="1" x14ac:dyDescent="0.2">
      <c r="A120" s="226"/>
      <c r="B120" s="226"/>
      <c r="C120" s="226"/>
      <c r="D120" s="226"/>
      <c r="E120" s="226"/>
      <c r="F120" s="226"/>
      <c r="G120" s="226"/>
      <c r="H120" s="226"/>
      <c r="I120" s="226"/>
      <c r="J120" s="226"/>
      <c r="K120" s="226"/>
      <c r="L120" s="226"/>
      <c r="M120" s="226"/>
      <c r="N120" s="226"/>
      <c r="O120" s="226"/>
      <c r="P120" s="226"/>
      <c r="Q120" s="226"/>
      <c r="R120" s="226"/>
      <c r="S120" s="226"/>
      <c r="T120" s="226"/>
      <c r="U120" s="226"/>
      <c r="V120" s="226"/>
      <c r="W120" s="226"/>
      <c r="X120" s="226"/>
      <c r="Y120" s="226"/>
      <c r="Z120" s="226"/>
      <c r="AA120" s="226"/>
      <c r="AB120" s="226"/>
      <c r="AC120" s="226"/>
      <c r="AD120" s="226"/>
      <c r="AE120" s="226"/>
      <c r="AF120" s="226"/>
      <c r="AG120" s="226"/>
      <c r="AH120" s="226"/>
      <c r="AI120" s="226"/>
      <c r="AJ120" s="226"/>
      <c r="AK120" s="226"/>
      <c r="AL120" s="226"/>
      <c r="AM120" s="226"/>
      <c r="AN120" s="226"/>
      <c r="AO120" s="226"/>
      <c r="AP120" s="226"/>
      <c r="AQ120" s="226"/>
      <c r="AR120" s="226"/>
      <c r="AS120" s="226"/>
      <c r="AT120" s="226"/>
      <c r="AU120" s="226"/>
      <c r="AV120" s="226"/>
      <c r="AW120" s="226"/>
      <c r="AX120" s="226"/>
      <c r="AY120" s="226"/>
      <c r="AZ120" s="226"/>
      <c r="BA120" s="226"/>
      <c r="BB120" s="226"/>
      <c r="BC120" s="226"/>
      <c r="BD120" s="226"/>
      <c r="BE120" s="226"/>
      <c r="BF120" s="226"/>
      <c r="BG120" s="226"/>
      <c r="BH120" s="226"/>
      <c r="BI120" s="226"/>
      <c r="BJ120" s="226"/>
      <c r="BK120" s="226"/>
      <c r="BL120" s="226"/>
      <c r="BM120" s="226"/>
      <c r="BN120" s="226"/>
      <c r="BO120" s="226"/>
      <c r="BP120" s="226"/>
      <c r="BQ120" s="226"/>
      <c r="BR120" s="226"/>
      <c r="BS120" s="226"/>
      <c r="BT120" s="226"/>
      <c r="BU120" s="226"/>
      <c r="BV120" s="226"/>
      <c r="BW120" s="226"/>
      <c r="BX120" s="226"/>
      <c r="BY120" s="226"/>
      <c r="BZ120" s="226"/>
      <c r="CA120" s="226"/>
      <c r="CB120" s="226"/>
      <c r="CC120" s="226"/>
      <c r="CD120" s="226"/>
      <c r="CE120" s="226"/>
      <c r="CF120" s="226"/>
      <c r="CG120" s="226"/>
      <c r="CH120" s="226"/>
      <c r="CI120" s="226"/>
      <c r="CJ120" s="226"/>
      <c r="CK120" s="226"/>
      <c r="CL120" s="226"/>
      <c r="CM120" s="226"/>
      <c r="CN120" s="226"/>
      <c r="CO120" s="226"/>
      <c r="CP120" s="226"/>
      <c r="CQ120" s="226"/>
      <c r="CR120" s="226"/>
      <c r="CS120" s="226"/>
      <c r="CT120" s="226"/>
      <c r="CU120" s="226"/>
      <c r="CV120" s="226"/>
      <c r="CW120" s="226"/>
      <c r="CX120" s="226"/>
      <c r="CY120" s="226"/>
      <c r="CZ120" s="226"/>
      <c r="DA120" s="226"/>
      <c r="DB120" s="226"/>
      <c r="DC120" s="226"/>
      <c r="DD120" s="226"/>
      <c r="DE120" s="226"/>
      <c r="DF120" s="226"/>
      <c r="DG120" s="226"/>
      <c r="DH120" s="226"/>
      <c r="DI120" s="226"/>
      <c r="DJ120" s="226"/>
      <c r="DK120" s="226"/>
      <c r="DL120" s="226"/>
      <c r="DM120" s="226"/>
      <c r="DN120" s="226"/>
      <c r="DO120" s="226"/>
      <c r="DP120" s="226"/>
      <c r="DQ120" s="226"/>
      <c r="DR120" s="226"/>
      <c r="DS120" s="226"/>
      <c r="DT120" s="226"/>
      <c r="DU120" s="226"/>
      <c r="DV120" s="226"/>
      <c r="DW120" s="226"/>
      <c r="DX120" s="226"/>
      <c r="DY120" s="226"/>
      <c r="DZ120" s="226"/>
      <c r="EA120" s="226"/>
      <c r="EB120" s="226"/>
      <c r="EC120" s="226"/>
      <c r="ED120" s="226"/>
      <c r="EE120" s="226"/>
      <c r="EF120" s="226"/>
      <c r="EG120" s="226"/>
      <c r="EH120" s="226"/>
      <c r="EI120" s="226"/>
      <c r="EJ120" s="226"/>
      <c r="EK120" s="226"/>
      <c r="EL120" s="226"/>
      <c r="EM120" s="226"/>
      <c r="EN120" s="226"/>
      <c r="EO120" s="226"/>
      <c r="EP120" s="226"/>
      <c r="EQ120" s="226"/>
      <c r="ER120" s="226"/>
      <c r="ES120" s="226"/>
      <c r="ET120" s="226"/>
      <c r="EU120" s="226"/>
      <c r="EV120" s="226"/>
      <c r="EW120" s="226"/>
      <c r="EX120" s="226"/>
      <c r="EY120" s="226"/>
      <c r="EZ120" s="226"/>
      <c r="FA120" s="226"/>
      <c r="FB120" s="226"/>
      <c r="FC120" s="226"/>
      <c r="FD120" s="226"/>
      <c r="FE120" s="226"/>
      <c r="FF120" s="226"/>
      <c r="FG120" s="226"/>
      <c r="FH120" s="226"/>
      <c r="FI120" s="226"/>
      <c r="FJ120" s="226"/>
      <c r="FK120" s="226"/>
      <c r="FL120" s="226"/>
      <c r="FM120" s="226"/>
      <c r="FN120" s="226"/>
      <c r="FO120" s="226"/>
      <c r="FP120" s="226"/>
      <c r="FQ120" s="226"/>
      <c r="FR120" s="226"/>
      <c r="FS120" s="226"/>
      <c r="FT120" s="226"/>
      <c r="FU120" s="226"/>
      <c r="FV120" s="226"/>
      <c r="FW120" s="226"/>
      <c r="FX120" s="226"/>
      <c r="FY120" s="226"/>
      <c r="FZ120" s="226"/>
      <c r="GA120" s="226"/>
      <c r="GB120" s="226"/>
      <c r="GC120" s="226"/>
      <c r="GD120" s="226"/>
      <c r="GE120" s="226"/>
      <c r="GF120" s="226"/>
      <c r="GG120" s="226"/>
      <c r="GH120" s="226"/>
      <c r="GI120" s="226"/>
      <c r="GJ120" s="226"/>
      <c r="GK120" s="226"/>
      <c r="GL120" s="226"/>
      <c r="GM120" s="226"/>
      <c r="GN120" s="226"/>
      <c r="GO120" s="226"/>
      <c r="GP120" s="226"/>
      <c r="GQ120" s="226"/>
      <c r="GR120" s="226"/>
      <c r="GS120" s="226"/>
      <c r="GT120" s="226"/>
      <c r="GU120" s="226"/>
      <c r="GV120" s="226"/>
      <c r="GW120" s="226"/>
      <c r="GX120" s="226"/>
      <c r="GY120" s="226"/>
      <c r="GZ120" s="226"/>
      <c r="HA120" s="226"/>
      <c r="HB120" s="226"/>
      <c r="HC120" s="226"/>
      <c r="HD120" s="226"/>
    </row>
    <row r="121" spans="1:212" ht="14.1" customHeight="1" x14ac:dyDescent="0.2">
      <c r="A121" s="226"/>
      <c r="B121" s="226"/>
      <c r="C121" s="226"/>
      <c r="D121" s="226"/>
      <c r="E121" s="226"/>
      <c r="F121" s="226"/>
      <c r="G121" s="226"/>
      <c r="H121" s="226"/>
      <c r="I121" s="226"/>
      <c r="J121" s="226"/>
      <c r="K121" s="226"/>
      <c r="L121" s="226"/>
      <c r="M121" s="226"/>
      <c r="N121" s="226"/>
      <c r="O121" s="226"/>
      <c r="P121" s="226"/>
      <c r="Q121" s="226"/>
      <c r="R121" s="226"/>
      <c r="S121" s="226"/>
      <c r="T121" s="226"/>
      <c r="U121" s="226"/>
      <c r="V121" s="226"/>
      <c r="W121" s="226"/>
      <c r="X121" s="226"/>
      <c r="Y121" s="226"/>
      <c r="Z121" s="226"/>
      <c r="AA121" s="226"/>
      <c r="AB121" s="226"/>
      <c r="AC121" s="226"/>
      <c r="AD121" s="226"/>
      <c r="AE121" s="226"/>
      <c r="AF121" s="226"/>
      <c r="AG121" s="226"/>
      <c r="AH121" s="226"/>
      <c r="AI121" s="226"/>
      <c r="AJ121" s="226"/>
      <c r="AK121" s="226"/>
      <c r="AL121" s="226"/>
      <c r="AM121" s="226"/>
      <c r="AN121" s="226"/>
      <c r="AO121" s="226"/>
      <c r="AP121" s="226"/>
      <c r="AQ121" s="226"/>
      <c r="AR121" s="226"/>
      <c r="AS121" s="226"/>
      <c r="AT121" s="226"/>
      <c r="AU121" s="226"/>
      <c r="AV121" s="226"/>
      <c r="AW121" s="226"/>
      <c r="AX121" s="226"/>
      <c r="AY121" s="226"/>
      <c r="AZ121" s="226"/>
      <c r="BA121" s="226"/>
      <c r="BB121" s="226"/>
      <c r="BC121" s="226"/>
      <c r="BD121" s="226"/>
      <c r="BE121" s="226"/>
      <c r="BF121" s="226"/>
      <c r="BG121" s="226"/>
      <c r="BH121" s="226"/>
      <c r="BI121" s="226"/>
      <c r="BJ121" s="226"/>
      <c r="BK121" s="226"/>
      <c r="BL121" s="226"/>
      <c r="BM121" s="226"/>
      <c r="BN121" s="226"/>
      <c r="BO121" s="226"/>
      <c r="BP121" s="226"/>
      <c r="BQ121" s="226"/>
      <c r="BR121" s="226"/>
      <c r="BS121" s="226"/>
      <c r="BT121" s="226"/>
      <c r="BU121" s="226"/>
      <c r="BV121" s="226"/>
      <c r="BW121" s="226"/>
      <c r="BX121" s="226"/>
      <c r="BY121" s="226"/>
      <c r="BZ121" s="226"/>
      <c r="CA121" s="226"/>
      <c r="CB121" s="226"/>
      <c r="CC121" s="226"/>
      <c r="CD121" s="226"/>
      <c r="CE121" s="226"/>
      <c r="CF121" s="226"/>
      <c r="CG121" s="226"/>
      <c r="CH121" s="226"/>
      <c r="CI121" s="226"/>
      <c r="CJ121" s="226"/>
      <c r="CK121" s="226"/>
      <c r="CL121" s="226"/>
      <c r="CM121" s="226"/>
      <c r="CN121" s="226"/>
      <c r="CO121" s="226"/>
      <c r="CP121" s="226"/>
      <c r="CQ121" s="226"/>
      <c r="CR121" s="226"/>
      <c r="CS121" s="226"/>
      <c r="CT121" s="226"/>
      <c r="CU121" s="226"/>
      <c r="CV121" s="226"/>
      <c r="CW121" s="226"/>
      <c r="CX121" s="226"/>
      <c r="CY121" s="226"/>
      <c r="CZ121" s="226"/>
      <c r="DA121" s="226"/>
      <c r="DB121" s="226"/>
      <c r="DC121" s="226"/>
      <c r="DD121" s="226"/>
      <c r="DE121" s="226"/>
      <c r="DF121" s="226"/>
      <c r="DG121" s="226"/>
      <c r="DH121" s="226"/>
      <c r="DI121" s="226"/>
      <c r="DJ121" s="226"/>
      <c r="DK121" s="226"/>
      <c r="DL121" s="226"/>
      <c r="DM121" s="226"/>
      <c r="DN121" s="226"/>
      <c r="DO121" s="226"/>
      <c r="DP121" s="226"/>
      <c r="DQ121" s="226"/>
      <c r="DR121" s="226"/>
      <c r="DS121" s="226"/>
      <c r="DT121" s="226"/>
      <c r="DU121" s="226"/>
      <c r="DV121" s="226"/>
      <c r="DW121" s="226"/>
      <c r="DX121" s="226"/>
      <c r="DY121" s="226"/>
      <c r="DZ121" s="226"/>
      <c r="EA121" s="226"/>
      <c r="EB121" s="226"/>
      <c r="EC121" s="226"/>
      <c r="ED121" s="226"/>
      <c r="EE121" s="226"/>
      <c r="EF121" s="226"/>
      <c r="EG121" s="226"/>
      <c r="EH121" s="226"/>
      <c r="EI121" s="226"/>
      <c r="EJ121" s="226"/>
      <c r="EK121" s="226"/>
      <c r="EL121" s="226"/>
      <c r="EM121" s="226"/>
      <c r="EN121" s="226"/>
      <c r="EO121" s="226"/>
      <c r="EP121" s="226"/>
      <c r="EQ121" s="226"/>
      <c r="ER121" s="226"/>
      <c r="ES121" s="226"/>
      <c r="ET121" s="226"/>
      <c r="EU121" s="226"/>
      <c r="EV121" s="226"/>
      <c r="EW121" s="226"/>
      <c r="EX121" s="226"/>
      <c r="EY121" s="226"/>
      <c r="EZ121" s="226"/>
      <c r="FA121" s="226"/>
      <c r="FB121" s="226"/>
      <c r="FC121" s="226"/>
      <c r="FD121" s="226"/>
      <c r="FE121" s="226"/>
      <c r="FF121" s="226"/>
      <c r="FG121" s="226"/>
      <c r="FH121" s="226"/>
      <c r="FI121" s="226"/>
      <c r="FJ121" s="226"/>
      <c r="FK121" s="226"/>
      <c r="FL121" s="226"/>
      <c r="FM121" s="226"/>
      <c r="FN121" s="226"/>
      <c r="FO121" s="226"/>
      <c r="FP121" s="226"/>
      <c r="FQ121" s="226"/>
      <c r="FR121" s="226"/>
      <c r="FS121" s="226"/>
      <c r="FT121" s="226"/>
      <c r="FU121" s="226"/>
      <c r="FV121" s="226"/>
      <c r="FW121" s="226"/>
      <c r="FX121" s="226"/>
      <c r="FY121" s="226"/>
      <c r="FZ121" s="226"/>
      <c r="GA121" s="226"/>
      <c r="GB121" s="226"/>
      <c r="GC121" s="226"/>
      <c r="GD121" s="226"/>
      <c r="GE121" s="226"/>
      <c r="GF121" s="226"/>
      <c r="GG121" s="226"/>
      <c r="GH121" s="226"/>
      <c r="GI121" s="226"/>
      <c r="GJ121" s="226"/>
      <c r="GK121" s="226"/>
      <c r="GL121" s="226"/>
      <c r="GM121" s="226"/>
      <c r="GN121" s="226"/>
      <c r="GO121" s="226"/>
      <c r="GP121" s="226"/>
      <c r="GQ121" s="226"/>
      <c r="GR121" s="226"/>
      <c r="GS121" s="226"/>
      <c r="GT121" s="226"/>
      <c r="GU121" s="226"/>
      <c r="GV121" s="226"/>
      <c r="GW121" s="226"/>
      <c r="GX121" s="226"/>
      <c r="GY121" s="226"/>
      <c r="GZ121" s="226"/>
      <c r="HA121" s="226"/>
      <c r="HB121" s="226"/>
      <c r="HC121" s="226"/>
      <c r="HD121" s="226"/>
    </row>
    <row r="122" spans="1:212" ht="14.1" customHeight="1" x14ac:dyDescent="0.2">
      <c r="A122" s="226"/>
      <c r="B122" s="226"/>
      <c r="C122" s="226"/>
      <c r="D122" s="226"/>
      <c r="E122" s="226"/>
      <c r="F122" s="226"/>
      <c r="G122" s="226"/>
      <c r="H122" s="226"/>
      <c r="I122" s="226"/>
      <c r="J122" s="226"/>
      <c r="K122" s="226"/>
      <c r="L122" s="226"/>
      <c r="M122" s="226"/>
      <c r="N122" s="226"/>
      <c r="O122" s="226"/>
      <c r="P122" s="226"/>
      <c r="Q122" s="226"/>
      <c r="R122" s="226"/>
      <c r="S122" s="226"/>
      <c r="T122" s="226"/>
      <c r="U122" s="226"/>
      <c r="V122" s="226"/>
      <c r="W122" s="226"/>
      <c r="X122" s="226"/>
      <c r="Y122" s="226"/>
      <c r="Z122" s="226"/>
      <c r="AA122" s="226"/>
      <c r="AB122" s="226"/>
      <c r="AC122" s="226"/>
      <c r="AD122" s="226"/>
      <c r="AE122" s="226"/>
      <c r="AF122" s="226"/>
      <c r="AG122" s="226"/>
      <c r="AH122" s="226"/>
      <c r="AI122" s="226"/>
      <c r="AJ122" s="226"/>
      <c r="AK122" s="226"/>
      <c r="AL122" s="226"/>
      <c r="AM122" s="226"/>
      <c r="AN122" s="226"/>
      <c r="AO122" s="226"/>
      <c r="AP122" s="226"/>
      <c r="AQ122" s="226"/>
      <c r="AR122" s="226"/>
      <c r="AS122" s="226"/>
      <c r="AT122" s="226"/>
      <c r="AU122" s="226"/>
      <c r="AV122" s="226"/>
      <c r="AW122" s="226"/>
      <c r="AX122" s="226"/>
      <c r="AY122" s="226"/>
      <c r="AZ122" s="226"/>
      <c r="BA122" s="226"/>
      <c r="BB122" s="226"/>
      <c r="BC122" s="226"/>
      <c r="BD122" s="226"/>
      <c r="BE122" s="226"/>
      <c r="BF122" s="226"/>
      <c r="BG122" s="226"/>
      <c r="BH122" s="226"/>
      <c r="BI122" s="226"/>
      <c r="BJ122" s="226"/>
      <c r="BK122" s="226"/>
      <c r="BL122" s="226"/>
      <c r="BM122" s="226"/>
      <c r="BN122" s="226"/>
      <c r="BO122" s="226"/>
      <c r="BP122" s="226"/>
      <c r="BQ122" s="226"/>
      <c r="BR122" s="226"/>
      <c r="BS122" s="226"/>
      <c r="BT122" s="226"/>
      <c r="BU122" s="226"/>
      <c r="BV122" s="226"/>
      <c r="BW122" s="226"/>
      <c r="BX122" s="226"/>
      <c r="BY122" s="226"/>
      <c r="BZ122" s="226"/>
      <c r="CA122" s="226"/>
      <c r="CB122" s="226"/>
      <c r="CC122" s="226"/>
      <c r="CD122" s="226"/>
      <c r="CE122" s="226"/>
      <c r="CF122" s="226"/>
      <c r="CG122" s="226"/>
      <c r="CH122" s="226"/>
      <c r="CI122" s="226"/>
      <c r="CJ122" s="226"/>
      <c r="CK122" s="226"/>
      <c r="CL122" s="226"/>
      <c r="CM122" s="226"/>
      <c r="CN122" s="226"/>
      <c r="CO122" s="226"/>
      <c r="CP122" s="226"/>
      <c r="CQ122" s="226"/>
      <c r="CR122" s="226"/>
      <c r="CS122" s="226"/>
      <c r="CT122" s="226"/>
      <c r="CU122" s="226"/>
      <c r="CV122" s="226"/>
      <c r="CW122" s="226"/>
      <c r="CX122" s="226"/>
      <c r="CY122" s="226"/>
      <c r="CZ122" s="226"/>
      <c r="DA122" s="226"/>
      <c r="DB122" s="226"/>
      <c r="DC122" s="226"/>
      <c r="DD122" s="226"/>
      <c r="DE122" s="226"/>
      <c r="DF122" s="226"/>
      <c r="DG122" s="226"/>
      <c r="DH122" s="226"/>
      <c r="DI122" s="226"/>
      <c r="DJ122" s="226"/>
      <c r="DK122" s="226"/>
      <c r="DL122" s="226"/>
      <c r="DM122" s="226"/>
      <c r="DN122" s="226"/>
      <c r="DO122" s="226"/>
      <c r="DP122" s="226"/>
      <c r="DQ122" s="226"/>
      <c r="DR122" s="226"/>
      <c r="DS122" s="226"/>
      <c r="DT122" s="226"/>
      <c r="DU122" s="226"/>
      <c r="DV122" s="226"/>
      <c r="DW122" s="226"/>
      <c r="DX122" s="226"/>
      <c r="DY122" s="226"/>
      <c r="DZ122" s="226"/>
      <c r="EA122" s="226"/>
      <c r="EB122" s="226"/>
      <c r="EC122" s="226"/>
      <c r="ED122" s="226"/>
      <c r="EE122" s="226"/>
      <c r="EF122" s="226"/>
      <c r="EG122" s="226"/>
      <c r="EH122" s="226"/>
      <c r="EI122" s="226"/>
      <c r="EJ122" s="226"/>
      <c r="EK122" s="226"/>
      <c r="EL122" s="226"/>
      <c r="EM122" s="226"/>
      <c r="EN122" s="226"/>
      <c r="EO122" s="226"/>
      <c r="EP122" s="226"/>
      <c r="EQ122" s="226"/>
      <c r="ER122" s="226"/>
      <c r="ES122" s="226"/>
      <c r="ET122" s="226"/>
      <c r="EU122" s="226"/>
      <c r="EV122" s="226"/>
      <c r="EW122" s="226"/>
      <c r="EX122" s="226"/>
      <c r="EY122" s="226"/>
      <c r="EZ122" s="226"/>
      <c r="FA122" s="226"/>
      <c r="FB122" s="226"/>
      <c r="FC122" s="226"/>
      <c r="FD122" s="226"/>
      <c r="FE122" s="226"/>
      <c r="FF122" s="226"/>
      <c r="FG122" s="226"/>
      <c r="FH122" s="226"/>
      <c r="FI122" s="226"/>
      <c r="FJ122" s="226"/>
      <c r="FK122" s="226"/>
      <c r="FL122" s="226"/>
      <c r="FM122" s="226"/>
      <c r="FN122" s="226"/>
      <c r="FO122" s="226"/>
      <c r="FP122" s="226"/>
      <c r="FQ122" s="226"/>
      <c r="FR122" s="226"/>
      <c r="FS122" s="226"/>
      <c r="FT122" s="226"/>
      <c r="FU122" s="226"/>
      <c r="FV122" s="226"/>
      <c r="FW122" s="226"/>
      <c r="FX122" s="226"/>
      <c r="FY122" s="226"/>
      <c r="FZ122" s="226"/>
      <c r="GA122" s="226"/>
      <c r="GB122" s="226"/>
      <c r="GC122" s="226"/>
      <c r="GD122" s="226"/>
      <c r="GE122" s="226"/>
      <c r="GF122" s="226"/>
      <c r="GG122" s="226"/>
      <c r="GH122" s="226"/>
      <c r="GI122" s="226"/>
      <c r="GJ122" s="226"/>
      <c r="GK122" s="226"/>
      <c r="GL122" s="226"/>
      <c r="GM122" s="226"/>
      <c r="GN122" s="226"/>
      <c r="GO122" s="226"/>
      <c r="GP122" s="226"/>
      <c r="GQ122" s="226"/>
      <c r="GR122" s="226"/>
      <c r="GS122" s="226"/>
      <c r="GT122" s="226"/>
      <c r="GU122" s="226"/>
      <c r="GV122" s="226"/>
      <c r="GW122" s="226"/>
      <c r="GX122" s="226"/>
      <c r="GY122" s="226"/>
      <c r="GZ122" s="226"/>
      <c r="HA122" s="226"/>
      <c r="HB122" s="226"/>
      <c r="HC122" s="226"/>
      <c r="HD122" s="226"/>
    </row>
    <row r="123" spans="1:212" ht="14.1" customHeight="1" x14ac:dyDescent="0.2">
      <c r="A123" s="226"/>
      <c r="B123" s="226"/>
      <c r="C123" s="226"/>
      <c r="D123" s="226"/>
      <c r="E123" s="226"/>
      <c r="F123" s="226"/>
      <c r="G123" s="226"/>
      <c r="H123" s="226"/>
      <c r="I123" s="226"/>
      <c r="J123" s="226"/>
      <c r="K123" s="226"/>
      <c r="L123" s="226"/>
      <c r="M123" s="226"/>
      <c r="N123" s="226"/>
      <c r="O123" s="226"/>
      <c r="P123" s="226"/>
      <c r="Q123" s="226"/>
      <c r="R123" s="226"/>
      <c r="S123" s="226"/>
      <c r="T123" s="226"/>
      <c r="U123" s="226"/>
      <c r="V123" s="226"/>
      <c r="W123" s="226"/>
      <c r="X123" s="226"/>
      <c r="Y123" s="226"/>
      <c r="Z123" s="226"/>
      <c r="AA123" s="226"/>
      <c r="AB123" s="226"/>
      <c r="AC123" s="226"/>
      <c r="AD123" s="226"/>
      <c r="AE123" s="226"/>
      <c r="AF123" s="226"/>
      <c r="AG123" s="226"/>
      <c r="AH123" s="226"/>
      <c r="AI123" s="226"/>
      <c r="AJ123" s="226"/>
      <c r="AK123" s="226"/>
      <c r="AL123" s="226"/>
      <c r="AM123" s="226"/>
      <c r="AN123" s="226"/>
      <c r="AO123" s="226"/>
      <c r="AP123" s="226"/>
      <c r="AQ123" s="226"/>
      <c r="AR123" s="226"/>
      <c r="AS123" s="226"/>
      <c r="AT123" s="226"/>
      <c r="AU123" s="226"/>
      <c r="AV123" s="226"/>
      <c r="AW123" s="226"/>
      <c r="AX123" s="226"/>
      <c r="AY123" s="226"/>
      <c r="AZ123" s="226"/>
      <c r="BA123" s="226"/>
      <c r="BB123" s="226"/>
      <c r="BC123" s="226"/>
      <c r="BD123" s="226"/>
      <c r="BE123" s="226"/>
      <c r="BF123" s="226"/>
      <c r="BG123" s="226"/>
      <c r="BH123" s="226"/>
      <c r="BI123" s="226"/>
      <c r="BJ123" s="226"/>
      <c r="BK123" s="226"/>
      <c r="BL123" s="226"/>
      <c r="BM123" s="226"/>
      <c r="BN123" s="226"/>
      <c r="BO123" s="226"/>
      <c r="BP123" s="226"/>
      <c r="BQ123" s="226"/>
      <c r="BR123" s="226"/>
      <c r="BS123" s="226"/>
      <c r="BT123" s="226"/>
      <c r="BU123" s="226"/>
      <c r="BV123" s="226"/>
      <c r="BW123" s="226"/>
      <c r="BX123" s="226"/>
      <c r="BY123" s="226"/>
      <c r="BZ123" s="226"/>
      <c r="CA123" s="226"/>
      <c r="CB123" s="226"/>
      <c r="CC123" s="226"/>
      <c r="CD123" s="226"/>
      <c r="CE123" s="226"/>
      <c r="CF123" s="226"/>
      <c r="CG123" s="226"/>
      <c r="CH123" s="226"/>
      <c r="CI123" s="226"/>
      <c r="CJ123" s="226"/>
      <c r="CK123" s="226"/>
      <c r="CL123" s="226"/>
      <c r="CM123" s="226"/>
      <c r="CN123" s="226"/>
      <c r="CO123" s="226"/>
      <c r="CP123" s="226"/>
      <c r="CQ123" s="226"/>
      <c r="CR123" s="226"/>
      <c r="CS123" s="226"/>
      <c r="CT123" s="226"/>
      <c r="CU123" s="226"/>
      <c r="CV123" s="226"/>
      <c r="CW123" s="226"/>
      <c r="CX123" s="226"/>
      <c r="CY123" s="226"/>
      <c r="CZ123" s="226"/>
      <c r="DA123" s="226"/>
      <c r="DB123" s="226"/>
      <c r="DC123" s="226"/>
      <c r="DD123" s="226"/>
      <c r="DE123" s="226"/>
      <c r="DF123" s="226"/>
      <c r="DG123" s="226"/>
      <c r="DH123" s="226"/>
      <c r="DI123" s="226"/>
      <c r="DJ123" s="226"/>
      <c r="DK123" s="226"/>
      <c r="DL123" s="226"/>
      <c r="DM123" s="226"/>
      <c r="DN123" s="226"/>
      <c r="DO123" s="226"/>
      <c r="DP123" s="226"/>
      <c r="DQ123" s="226"/>
      <c r="DR123" s="226"/>
      <c r="DS123" s="226"/>
      <c r="DT123" s="226"/>
      <c r="DU123" s="226"/>
      <c r="DV123" s="226"/>
      <c r="DW123" s="226"/>
      <c r="DX123" s="226"/>
      <c r="DY123" s="226"/>
      <c r="DZ123" s="226"/>
      <c r="EA123" s="226"/>
      <c r="EB123" s="226"/>
      <c r="EC123" s="226"/>
      <c r="ED123" s="226"/>
      <c r="EE123" s="226"/>
      <c r="EF123" s="226"/>
      <c r="EG123" s="226"/>
      <c r="EH123" s="226"/>
      <c r="EI123" s="226"/>
      <c r="EJ123" s="226"/>
      <c r="EK123" s="226"/>
      <c r="EL123" s="226"/>
      <c r="EM123" s="226"/>
      <c r="EN123" s="226"/>
      <c r="EO123" s="226"/>
      <c r="EP123" s="226"/>
      <c r="EQ123" s="226"/>
      <c r="ER123" s="226"/>
      <c r="ES123" s="226"/>
      <c r="ET123" s="226"/>
      <c r="EU123" s="226"/>
      <c r="EV123" s="226"/>
      <c r="EW123" s="226"/>
      <c r="EX123" s="226"/>
      <c r="EY123" s="226"/>
      <c r="EZ123" s="226"/>
      <c r="FA123" s="226"/>
      <c r="FB123" s="226"/>
      <c r="FC123" s="226"/>
      <c r="FD123" s="226"/>
      <c r="FE123" s="226"/>
      <c r="FF123" s="226"/>
      <c r="FG123" s="226"/>
      <c r="FH123" s="226"/>
      <c r="FI123" s="226"/>
      <c r="FJ123" s="226"/>
      <c r="FK123" s="226"/>
      <c r="FL123" s="226"/>
      <c r="FM123" s="226"/>
      <c r="FN123" s="226"/>
      <c r="FO123" s="226"/>
      <c r="FP123" s="226"/>
      <c r="FQ123" s="226"/>
      <c r="FR123" s="226"/>
      <c r="FS123" s="226"/>
      <c r="FT123" s="226"/>
      <c r="FU123" s="226"/>
      <c r="FV123" s="226"/>
      <c r="FW123" s="226"/>
      <c r="FX123" s="226"/>
      <c r="FY123" s="226"/>
      <c r="FZ123" s="226"/>
      <c r="GA123" s="226"/>
      <c r="GB123" s="226"/>
      <c r="GC123" s="226"/>
      <c r="GD123" s="226"/>
      <c r="GE123" s="226"/>
      <c r="GF123" s="226"/>
      <c r="GG123" s="226"/>
      <c r="GH123" s="226"/>
      <c r="GI123" s="226"/>
      <c r="GJ123" s="226"/>
      <c r="GK123" s="226"/>
      <c r="GL123" s="226"/>
      <c r="GM123" s="226"/>
      <c r="GN123" s="226"/>
      <c r="GO123" s="226"/>
      <c r="GP123" s="226"/>
      <c r="GQ123" s="226"/>
      <c r="GR123" s="226"/>
      <c r="GS123" s="226"/>
      <c r="GT123" s="226"/>
      <c r="GU123" s="226"/>
      <c r="GV123" s="226"/>
      <c r="GW123" s="226"/>
      <c r="GX123" s="226"/>
      <c r="GY123" s="226"/>
      <c r="GZ123" s="226"/>
      <c r="HA123" s="226"/>
      <c r="HB123" s="226"/>
      <c r="HC123" s="226"/>
      <c r="HD123" s="226"/>
    </row>
    <row r="124" spans="1:212" ht="14.1" customHeight="1" x14ac:dyDescent="0.2">
      <c r="A124" s="226"/>
      <c r="B124" s="226"/>
      <c r="C124" s="226"/>
      <c r="D124" s="226"/>
      <c r="E124" s="226"/>
      <c r="F124" s="226"/>
      <c r="G124" s="226"/>
      <c r="H124" s="226"/>
      <c r="I124" s="226"/>
      <c r="J124" s="226"/>
      <c r="K124" s="226"/>
      <c r="L124" s="226"/>
      <c r="M124" s="226"/>
      <c r="N124" s="226"/>
      <c r="O124" s="226"/>
      <c r="P124" s="226"/>
      <c r="Q124" s="226"/>
      <c r="R124" s="226"/>
      <c r="S124" s="226"/>
      <c r="T124" s="226"/>
      <c r="U124" s="226"/>
      <c r="V124" s="226"/>
      <c r="W124" s="226"/>
      <c r="X124" s="226"/>
      <c r="Y124" s="226"/>
      <c r="Z124" s="226"/>
      <c r="AA124" s="226"/>
      <c r="AB124" s="226"/>
      <c r="AC124" s="226"/>
      <c r="AD124" s="226"/>
      <c r="AE124" s="226"/>
      <c r="AF124" s="226"/>
      <c r="AG124" s="226"/>
      <c r="AH124" s="226"/>
      <c r="AI124" s="226"/>
      <c r="AJ124" s="226"/>
      <c r="AK124" s="226"/>
      <c r="AL124" s="226"/>
      <c r="AM124" s="226"/>
      <c r="AN124" s="226"/>
      <c r="AO124" s="226"/>
      <c r="AP124" s="226"/>
      <c r="AQ124" s="226"/>
      <c r="AR124" s="226"/>
      <c r="AS124" s="226"/>
      <c r="AT124" s="226"/>
      <c r="AU124" s="226"/>
      <c r="AV124" s="226"/>
      <c r="AW124" s="226"/>
      <c r="AX124" s="226"/>
      <c r="AY124" s="226"/>
      <c r="AZ124" s="226"/>
      <c r="BA124" s="226"/>
      <c r="BB124" s="226"/>
      <c r="BC124" s="226"/>
      <c r="BD124" s="226"/>
      <c r="BE124" s="226"/>
      <c r="BF124" s="226"/>
      <c r="BG124" s="226"/>
      <c r="BH124" s="226"/>
      <c r="BI124" s="226"/>
      <c r="BJ124" s="226"/>
      <c r="BK124" s="226"/>
      <c r="BL124" s="226"/>
      <c r="BM124" s="226"/>
      <c r="BN124" s="226"/>
      <c r="BO124" s="226"/>
      <c r="BP124" s="226"/>
      <c r="BQ124" s="226"/>
      <c r="BR124" s="226"/>
      <c r="BS124" s="226"/>
      <c r="BT124" s="226"/>
      <c r="BU124" s="226"/>
      <c r="BV124" s="226"/>
      <c r="BW124" s="226"/>
      <c r="BX124" s="226"/>
      <c r="BY124" s="226"/>
      <c r="BZ124" s="226"/>
      <c r="CA124" s="226"/>
      <c r="CB124" s="226"/>
      <c r="CC124" s="226"/>
      <c r="CD124" s="226"/>
      <c r="CE124" s="226"/>
      <c r="CF124" s="226"/>
      <c r="CG124" s="226"/>
      <c r="CH124" s="226"/>
      <c r="CI124" s="226"/>
      <c r="CJ124" s="226"/>
      <c r="CK124" s="226"/>
      <c r="CL124" s="226"/>
      <c r="CM124" s="226"/>
      <c r="CN124" s="226"/>
      <c r="CO124" s="226"/>
      <c r="CP124" s="226"/>
      <c r="CQ124" s="226"/>
      <c r="CR124" s="226"/>
      <c r="CS124" s="226"/>
      <c r="CT124" s="226"/>
      <c r="CU124" s="226"/>
      <c r="CV124" s="226"/>
      <c r="CW124" s="226"/>
      <c r="CX124" s="226"/>
      <c r="CY124" s="226"/>
      <c r="CZ124" s="226"/>
      <c r="DA124" s="226"/>
      <c r="DB124" s="226"/>
      <c r="DC124" s="226"/>
      <c r="DD124" s="226"/>
      <c r="DE124" s="226"/>
      <c r="DF124" s="226"/>
      <c r="DG124" s="226"/>
      <c r="DH124" s="226"/>
      <c r="DI124" s="226"/>
      <c r="DJ124" s="226"/>
      <c r="DK124" s="226"/>
      <c r="DL124" s="226"/>
      <c r="DM124" s="226"/>
      <c r="DN124" s="226"/>
      <c r="DO124" s="226"/>
      <c r="DP124" s="226"/>
      <c r="DQ124" s="226"/>
      <c r="DR124" s="226"/>
      <c r="DS124" s="226"/>
      <c r="DT124" s="226"/>
      <c r="DU124" s="226"/>
      <c r="DV124" s="226"/>
      <c r="DW124" s="226"/>
      <c r="DX124" s="226"/>
      <c r="DY124" s="226"/>
      <c r="DZ124" s="226"/>
      <c r="EA124" s="226"/>
      <c r="EB124" s="226"/>
      <c r="EC124" s="226"/>
      <c r="ED124" s="226"/>
      <c r="EE124" s="226"/>
      <c r="EF124" s="226"/>
      <c r="EG124" s="226"/>
      <c r="EH124" s="226"/>
      <c r="EI124" s="226"/>
      <c r="EJ124" s="226"/>
      <c r="EK124" s="226"/>
      <c r="EL124" s="226"/>
      <c r="EM124" s="226"/>
      <c r="EN124" s="226"/>
      <c r="EO124" s="226"/>
      <c r="EP124" s="226"/>
      <c r="EQ124" s="226"/>
      <c r="ER124" s="226"/>
      <c r="ES124" s="226"/>
      <c r="ET124" s="226"/>
      <c r="EU124" s="226"/>
      <c r="EV124" s="226"/>
      <c r="EW124" s="226"/>
      <c r="EX124" s="226"/>
      <c r="EY124" s="226"/>
      <c r="EZ124" s="226"/>
      <c r="FA124" s="226"/>
      <c r="FB124" s="226"/>
      <c r="FC124" s="226"/>
      <c r="FD124" s="226"/>
      <c r="FE124" s="226"/>
      <c r="FF124" s="226"/>
      <c r="FG124" s="226"/>
      <c r="FH124" s="226"/>
      <c r="FI124" s="226"/>
      <c r="FJ124" s="226"/>
      <c r="FK124" s="226"/>
      <c r="FL124" s="226"/>
      <c r="FM124" s="226"/>
      <c r="FN124" s="226"/>
      <c r="FO124" s="226"/>
      <c r="FP124" s="226"/>
      <c r="FQ124" s="226"/>
      <c r="FR124" s="226"/>
      <c r="FS124" s="226"/>
      <c r="FT124" s="226"/>
      <c r="FU124" s="226"/>
      <c r="FV124" s="226"/>
      <c r="FW124" s="226"/>
      <c r="FX124" s="226"/>
      <c r="FY124" s="226"/>
      <c r="FZ124" s="226"/>
      <c r="GA124" s="226"/>
      <c r="GB124" s="226"/>
      <c r="GC124" s="226"/>
      <c r="GD124" s="226"/>
      <c r="GE124" s="226"/>
      <c r="GF124" s="226"/>
      <c r="GG124" s="226"/>
      <c r="GH124" s="226"/>
      <c r="GI124" s="226"/>
      <c r="GJ124" s="226"/>
      <c r="GK124" s="226"/>
      <c r="GL124" s="226"/>
      <c r="GM124" s="226"/>
      <c r="GN124" s="226"/>
      <c r="GO124" s="226"/>
      <c r="GP124" s="226"/>
      <c r="GQ124" s="226"/>
      <c r="GR124" s="226"/>
      <c r="GS124" s="226"/>
      <c r="GT124" s="226"/>
      <c r="GU124" s="226"/>
      <c r="GV124" s="226"/>
      <c r="GW124" s="226"/>
      <c r="GX124" s="226"/>
      <c r="GY124" s="226"/>
      <c r="GZ124" s="226"/>
      <c r="HA124" s="226"/>
      <c r="HB124" s="226"/>
      <c r="HC124" s="226"/>
      <c r="HD124" s="226"/>
    </row>
    <row r="125" spans="1:212" ht="14.1" customHeight="1" x14ac:dyDescent="0.2">
      <c r="A125" s="226"/>
      <c r="B125" s="226"/>
      <c r="C125" s="226"/>
      <c r="D125" s="226"/>
      <c r="E125" s="226"/>
      <c r="F125" s="226"/>
      <c r="G125" s="226"/>
      <c r="H125" s="226"/>
      <c r="I125" s="226"/>
      <c r="J125" s="226"/>
      <c r="K125" s="226"/>
      <c r="L125" s="226"/>
      <c r="M125" s="226"/>
      <c r="N125" s="226"/>
      <c r="O125" s="226"/>
      <c r="P125" s="226"/>
      <c r="Q125" s="226"/>
      <c r="R125" s="226"/>
      <c r="S125" s="226"/>
      <c r="T125" s="226"/>
      <c r="U125" s="226"/>
      <c r="V125" s="226"/>
      <c r="W125" s="226"/>
      <c r="X125" s="226"/>
      <c r="Y125" s="226"/>
      <c r="Z125" s="226"/>
      <c r="AA125" s="226"/>
      <c r="AB125" s="226"/>
      <c r="AC125" s="226"/>
      <c r="AD125" s="226"/>
      <c r="AE125" s="226"/>
      <c r="AF125" s="226"/>
      <c r="AG125" s="226"/>
      <c r="AH125" s="226"/>
      <c r="AI125" s="226"/>
      <c r="AJ125" s="226"/>
      <c r="AK125" s="226"/>
      <c r="AL125" s="226"/>
      <c r="AM125" s="226"/>
      <c r="AN125" s="226"/>
      <c r="AO125" s="226"/>
      <c r="AP125" s="226"/>
      <c r="AQ125" s="226"/>
      <c r="AR125" s="226"/>
      <c r="AS125" s="226"/>
      <c r="AT125" s="226"/>
      <c r="AU125" s="226"/>
      <c r="AV125" s="226"/>
      <c r="AW125" s="226"/>
      <c r="AX125" s="226"/>
      <c r="AY125" s="226"/>
      <c r="AZ125" s="226"/>
      <c r="BA125" s="226"/>
      <c r="BB125" s="226"/>
      <c r="BC125" s="226"/>
      <c r="BD125" s="226"/>
      <c r="BE125" s="226"/>
      <c r="BF125" s="226"/>
      <c r="BG125" s="226"/>
      <c r="BH125" s="226"/>
      <c r="BI125" s="226"/>
      <c r="BJ125" s="226"/>
      <c r="BK125" s="226"/>
      <c r="BL125" s="226"/>
      <c r="BM125" s="226"/>
      <c r="BN125" s="226"/>
      <c r="BO125" s="226"/>
      <c r="BP125" s="226"/>
      <c r="BQ125" s="226"/>
      <c r="BR125" s="226"/>
      <c r="BS125" s="226"/>
      <c r="BT125" s="226"/>
      <c r="BU125" s="226"/>
      <c r="BV125" s="226"/>
      <c r="BW125" s="226"/>
      <c r="BX125" s="226"/>
      <c r="BY125" s="226"/>
      <c r="BZ125" s="226"/>
      <c r="CA125" s="226"/>
      <c r="CB125" s="226"/>
      <c r="CC125" s="226"/>
      <c r="CD125" s="226"/>
      <c r="CE125" s="226"/>
      <c r="CF125" s="226"/>
      <c r="CG125" s="226"/>
      <c r="CH125" s="226"/>
      <c r="CI125" s="226"/>
      <c r="CJ125" s="226"/>
      <c r="CK125" s="226"/>
      <c r="CL125" s="226"/>
      <c r="CM125" s="226"/>
      <c r="CN125" s="226"/>
      <c r="CO125" s="226"/>
      <c r="CP125" s="226"/>
      <c r="CQ125" s="226"/>
      <c r="CR125" s="226"/>
      <c r="CS125" s="226"/>
      <c r="CT125" s="226"/>
      <c r="CU125" s="226"/>
      <c r="CV125" s="226"/>
      <c r="CW125" s="226"/>
      <c r="CX125" s="226"/>
      <c r="CY125" s="226"/>
      <c r="CZ125" s="226"/>
      <c r="DA125" s="226"/>
      <c r="DB125" s="226"/>
      <c r="DC125" s="226"/>
      <c r="DD125" s="226"/>
      <c r="DE125" s="226"/>
      <c r="DF125" s="226"/>
      <c r="DG125" s="226"/>
      <c r="DH125" s="226"/>
      <c r="DI125" s="226"/>
      <c r="DJ125" s="226"/>
      <c r="DK125" s="226"/>
      <c r="DL125" s="226"/>
      <c r="DM125" s="226"/>
      <c r="DN125" s="226"/>
      <c r="DO125" s="226"/>
      <c r="DP125" s="226"/>
      <c r="DQ125" s="226"/>
      <c r="DR125" s="226"/>
      <c r="DS125" s="226"/>
      <c r="DT125" s="226"/>
      <c r="DU125" s="226"/>
      <c r="DV125" s="226"/>
      <c r="DW125" s="226"/>
      <c r="DX125" s="226"/>
      <c r="DY125" s="226"/>
      <c r="DZ125" s="226"/>
      <c r="EA125" s="226"/>
      <c r="EB125" s="226"/>
      <c r="EC125" s="226"/>
      <c r="ED125" s="226"/>
      <c r="EE125" s="226"/>
      <c r="EF125" s="226"/>
      <c r="EG125" s="226"/>
      <c r="EH125" s="226"/>
      <c r="EI125" s="226"/>
      <c r="EJ125" s="226"/>
      <c r="EK125" s="226"/>
      <c r="EL125" s="226"/>
      <c r="EM125" s="226"/>
      <c r="EN125" s="226"/>
      <c r="EO125" s="226"/>
      <c r="EP125" s="226"/>
      <c r="EQ125" s="226"/>
      <c r="ER125" s="226"/>
      <c r="ES125" s="226"/>
      <c r="ET125" s="226"/>
      <c r="EU125" s="226"/>
      <c r="EV125" s="226"/>
      <c r="EW125" s="226"/>
      <c r="EX125" s="226"/>
      <c r="EY125" s="226"/>
      <c r="EZ125" s="226"/>
      <c r="FA125" s="226"/>
      <c r="FB125" s="226"/>
      <c r="FC125" s="226"/>
      <c r="FD125" s="226"/>
      <c r="FE125" s="226"/>
      <c r="FF125" s="226"/>
      <c r="FG125" s="226"/>
      <c r="FH125" s="226"/>
      <c r="FI125" s="226"/>
      <c r="FJ125" s="226"/>
      <c r="FK125" s="226"/>
      <c r="FL125" s="226"/>
      <c r="FM125" s="226"/>
      <c r="FN125" s="226"/>
      <c r="FO125" s="226"/>
      <c r="FP125" s="226"/>
      <c r="FQ125" s="226"/>
      <c r="FR125" s="226"/>
      <c r="FS125" s="226"/>
      <c r="FT125" s="226"/>
      <c r="FU125" s="226"/>
      <c r="FV125" s="226"/>
      <c r="FW125" s="226"/>
      <c r="FX125" s="226"/>
      <c r="FY125" s="226"/>
      <c r="FZ125" s="226"/>
      <c r="GA125" s="226"/>
      <c r="GB125" s="226"/>
      <c r="GC125" s="226"/>
      <c r="GD125" s="226"/>
      <c r="GE125" s="226"/>
      <c r="GF125" s="226"/>
      <c r="GG125" s="226"/>
      <c r="GH125" s="226"/>
      <c r="GI125" s="226"/>
      <c r="GJ125" s="226"/>
      <c r="GK125" s="226"/>
      <c r="GL125" s="226"/>
      <c r="GM125" s="226"/>
      <c r="GN125" s="226"/>
      <c r="GO125" s="226"/>
      <c r="GP125" s="226"/>
      <c r="GQ125" s="226"/>
      <c r="GR125" s="226"/>
      <c r="GS125" s="226"/>
      <c r="GT125" s="226"/>
      <c r="GU125" s="226"/>
      <c r="GV125" s="226"/>
      <c r="GW125" s="226"/>
      <c r="GX125" s="226"/>
      <c r="GY125" s="226"/>
      <c r="GZ125" s="226"/>
      <c r="HA125" s="226"/>
      <c r="HB125" s="226"/>
      <c r="HC125" s="226"/>
      <c r="HD125" s="226"/>
    </row>
    <row r="126" spans="1:212" ht="14.1" customHeight="1" x14ac:dyDescent="0.2">
      <c r="A126" s="226"/>
      <c r="B126" s="226"/>
      <c r="C126" s="226"/>
      <c r="D126" s="226"/>
      <c r="E126" s="226"/>
      <c r="F126" s="226"/>
      <c r="G126" s="226"/>
      <c r="H126" s="226"/>
      <c r="I126" s="226"/>
      <c r="J126" s="226"/>
      <c r="K126" s="226"/>
      <c r="L126" s="226"/>
      <c r="M126" s="226"/>
      <c r="N126" s="226"/>
      <c r="O126" s="226"/>
      <c r="P126" s="226"/>
      <c r="Q126" s="226"/>
      <c r="R126" s="226"/>
      <c r="S126" s="226"/>
      <c r="T126" s="226"/>
      <c r="U126" s="226"/>
      <c r="V126" s="226"/>
      <c r="W126" s="226"/>
      <c r="X126" s="226"/>
      <c r="Y126" s="226"/>
      <c r="Z126" s="226"/>
      <c r="AA126" s="226"/>
      <c r="AB126" s="226"/>
      <c r="AC126" s="226"/>
      <c r="AD126" s="226"/>
      <c r="AE126" s="226"/>
      <c r="AF126" s="226"/>
      <c r="AG126" s="226"/>
      <c r="AH126" s="226"/>
      <c r="AI126" s="226"/>
      <c r="AJ126" s="226"/>
      <c r="AK126" s="226"/>
      <c r="AL126" s="226"/>
      <c r="AM126" s="226"/>
      <c r="AN126" s="226"/>
      <c r="AO126" s="226"/>
      <c r="AP126" s="226"/>
      <c r="AQ126" s="226"/>
      <c r="AR126" s="226"/>
      <c r="AS126" s="226"/>
      <c r="AT126" s="226"/>
      <c r="AU126" s="226"/>
      <c r="AV126" s="226"/>
      <c r="AW126" s="226"/>
      <c r="AX126" s="226"/>
      <c r="AY126" s="226"/>
      <c r="AZ126" s="226"/>
      <c r="BA126" s="226"/>
      <c r="BB126" s="226"/>
      <c r="BC126" s="226"/>
      <c r="BD126" s="226"/>
      <c r="BE126" s="226"/>
      <c r="BF126" s="226"/>
      <c r="BG126" s="226"/>
      <c r="BH126" s="226"/>
      <c r="BI126" s="226"/>
      <c r="BJ126" s="226"/>
      <c r="BK126" s="226"/>
      <c r="BL126" s="226"/>
      <c r="BM126" s="226"/>
      <c r="BN126" s="226"/>
      <c r="BO126" s="226"/>
      <c r="BP126" s="226"/>
      <c r="BQ126" s="226"/>
      <c r="BR126" s="226"/>
      <c r="BS126" s="226"/>
      <c r="BT126" s="226"/>
      <c r="BU126" s="226"/>
      <c r="BV126" s="226"/>
      <c r="BW126" s="226"/>
      <c r="BX126" s="226"/>
      <c r="BY126" s="226"/>
      <c r="BZ126" s="226"/>
      <c r="CA126" s="226"/>
      <c r="CB126" s="226"/>
      <c r="CC126" s="226"/>
      <c r="CD126" s="226"/>
      <c r="CE126" s="226"/>
      <c r="CF126" s="226"/>
      <c r="CG126" s="226"/>
      <c r="CH126" s="226"/>
      <c r="CI126" s="226"/>
      <c r="CJ126" s="226"/>
      <c r="CK126" s="226"/>
      <c r="CL126" s="226"/>
      <c r="CM126" s="226"/>
      <c r="CN126" s="226"/>
      <c r="CO126" s="226"/>
      <c r="CP126" s="226"/>
      <c r="CQ126" s="226"/>
      <c r="CR126" s="226"/>
      <c r="CS126" s="226"/>
      <c r="CT126" s="226"/>
      <c r="CU126" s="226"/>
      <c r="CV126" s="226"/>
      <c r="CW126" s="226"/>
      <c r="CX126" s="226"/>
      <c r="CY126" s="226"/>
      <c r="CZ126" s="226"/>
      <c r="DA126" s="226"/>
      <c r="DB126" s="226"/>
      <c r="DC126" s="226"/>
      <c r="DD126" s="226"/>
      <c r="DE126" s="226"/>
      <c r="DF126" s="226"/>
      <c r="DG126" s="226"/>
      <c r="DH126" s="226"/>
      <c r="DI126" s="226"/>
      <c r="DJ126" s="226"/>
      <c r="DK126" s="226"/>
      <c r="DL126" s="226"/>
      <c r="DM126" s="226"/>
      <c r="DN126" s="226"/>
      <c r="DO126" s="226"/>
      <c r="DP126" s="226"/>
      <c r="DQ126" s="226"/>
      <c r="DR126" s="226"/>
      <c r="DS126" s="226"/>
      <c r="DT126" s="226"/>
      <c r="DU126" s="226"/>
      <c r="DV126" s="226"/>
      <c r="DW126" s="226"/>
      <c r="DX126" s="226"/>
      <c r="DY126" s="226"/>
      <c r="DZ126" s="226"/>
      <c r="EA126" s="226"/>
      <c r="EB126" s="226"/>
      <c r="EC126" s="226"/>
      <c r="ED126" s="226"/>
      <c r="EE126" s="226"/>
      <c r="EF126" s="226"/>
      <c r="EG126" s="226"/>
      <c r="EH126" s="226"/>
      <c r="EI126" s="226"/>
      <c r="EJ126" s="226"/>
      <c r="EK126" s="226"/>
      <c r="EL126" s="226"/>
      <c r="EM126" s="226"/>
      <c r="EN126" s="226"/>
      <c r="EO126" s="226"/>
      <c r="EP126" s="226"/>
      <c r="EQ126" s="226"/>
      <c r="ER126" s="226"/>
      <c r="ES126" s="226"/>
      <c r="ET126" s="226"/>
      <c r="EU126" s="226"/>
      <c r="EV126" s="226"/>
      <c r="EW126" s="226"/>
      <c r="EX126" s="226"/>
      <c r="EY126" s="226"/>
      <c r="EZ126" s="226"/>
      <c r="FA126" s="226"/>
      <c r="FB126" s="226"/>
      <c r="FC126" s="226"/>
      <c r="FD126" s="226"/>
      <c r="FE126" s="226"/>
      <c r="FF126" s="226"/>
      <c r="FG126" s="226"/>
      <c r="FH126" s="226"/>
      <c r="FI126" s="226"/>
      <c r="FJ126" s="226"/>
      <c r="FK126" s="226"/>
      <c r="FL126" s="226"/>
      <c r="FM126" s="226"/>
      <c r="FN126" s="226"/>
      <c r="FO126" s="226"/>
      <c r="FP126" s="226"/>
      <c r="FQ126" s="226"/>
      <c r="FR126" s="226"/>
      <c r="FS126" s="226"/>
      <c r="FT126" s="226"/>
      <c r="FU126" s="226"/>
      <c r="FV126" s="226"/>
      <c r="FW126" s="226"/>
      <c r="FX126" s="226"/>
      <c r="FY126" s="226"/>
      <c r="FZ126" s="226"/>
      <c r="GA126" s="226"/>
      <c r="GB126" s="226"/>
      <c r="GC126" s="226"/>
      <c r="GD126" s="226"/>
      <c r="GE126" s="226"/>
      <c r="GF126" s="226"/>
      <c r="GG126" s="226"/>
      <c r="GH126" s="226"/>
      <c r="GI126" s="226"/>
      <c r="GJ126" s="226"/>
      <c r="GK126" s="226"/>
      <c r="GL126" s="226"/>
      <c r="GM126" s="226"/>
      <c r="GN126" s="226"/>
      <c r="GO126" s="226"/>
      <c r="GP126" s="226"/>
      <c r="GQ126" s="226"/>
      <c r="GR126" s="226"/>
      <c r="GS126" s="226"/>
      <c r="GT126" s="226"/>
      <c r="GU126" s="226"/>
      <c r="GV126" s="226"/>
      <c r="GW126" s="226"/>
      <c r="GX126" s="226"/>
      <c r="GY126" s="226"/>
      <c r="GZ126" s="226"/>
      <c r="HA126" s="226"/>
      <c r="HB126" s="226"/>
      <c r="HC126" s="226"/>
      <c r="HD126" s="226"/>
    </row>
    <row r="127" spans="1:212" ht="14.1" customHeight="1" x14ac:dyDescent="0.2">
      <c r="A127" s="226"/>
      <c r="B127" s="226"/>
      <c r="C127" s="226"/>
      <c r="D127" s="226"/>
      <c r="E127" s="226"/>
      <c r="F127" s="226"/>
      <c r="G127" s="226"/>
      <c r="H127" s="226"/>
      <c r="I127" s="226"/>
      <c r="J127" s="226"/>
      <c r="K127" s="226"/>
      <c r="L127" s="226"/>
      <c r="M127" s="226"/>
      <c r="N127" s="226"/>
      <c r="O127" s="226"/>
      <c r="P127" s="226"/>
      <c r="Q127" s="226"/>
      <c r="R127" s="226"/>
      <c r="S127" s="226"/>
      <c r="T127" s="226"/>
      <c r="U127" s="226"/>
      <c r="V127" s="226"/>
      <c r="W127" s="226"/>
      <c r="X127" s="226"/>
      <c r="Y127" s="226"/>
      <c r="Z127" s="226"/>
      <c r="AA127" s="226"/>
      <c r="AB127" s="226"/>
      <c r="AC127" s="226"/>
      <c r="AD127" s="226"/>
      <c r="AE127" s="226"/>
      <c r="AF127" s="226"/>
      <c r="AG127" s="226"/>
      <c r="AH127" s="226"/>
      <c r="AI127" s="226"/>
      <c r="AJ127" s="226"/>
      <c r="AK127" s="226"/>
      <c r="AL127" s="226"/>
      <c r="AM127" s="226"/>
      <c r="AN127" s="226"/>
      <c r="AO127" s="226"/>
      <c r="AP127" s="226"/>
      <c r="AQ127" s="226"/>
      <c r="AR127" s="226"/>
      <c r="AS127" s="226"/>
      <c r="AT127" s="226"/>
      <c r="AU127" s="226"/>
      <c r="AV127" s="226"/>
      <c r="AW127" s="226"/>
      <c r="AX127" s="226"/>
      <c r="AY127" s="226"/>
      <c r="AZ127" s="226"/>
      <c r="BA127" s="226"/>
      <c r="BB127" s="226"/>
      <c r="BC127" s="226"/>
      <c r="BD127" s="226"/>
      <c r="BE127" s="226"/>
      <c r="BF127" s="226"/>
      <c r="BG127" s="226"/>
      <c r="BH127" s="226"/>
      <c r="BI127" s="226"/>
      <c r="BJ127" s="226"/>
      <c r="BK127" s="226"/>
      <c r="BL127" s="226"/>
      <c r="BM127" s="226"/>
      <c r="BN127" s="226"/>
      <c r="BO127" s="226"/>
      <c r="BP127" s="226"/>
      <c r="BQ127" s="226"/>
      <c r="BR127" s="226"/>
      <c r="BS127" s="226"/>
      <c r="BT127" s="226"/>
      <c r="BU127" s="226"/>
      <c r="BV127" s="226"/>
      <c r="BW127" s="226"/>
      <c r="BX127" s="226"/>
      <c r="BY127" s="226"/>
      <c r="BZ127" s="226"/>
      <c r="CA127" s="226"/>
      <c r="CB127" s="226"/>
      <c r="CC127" s="226"/>
      <c r="CD127" s="226"/>
      <c r="CE127" s="226"/>
      <c r="CF127" s="226"/>
      <c r="CG127" s="226"/>
      <c r="CH127" s="226"/>
      <c r="CI127" s="226"/>
      <c r="CJ127" s="226"/>
      <c r="CK127" s="226"/>
      <c r="CL127" s="226"/>
      <c r="CM127" s="226"/>
      <c r="CN127" s="226"/>
      <c r="CO127" s="226"/>
      <c r="CP127" s="226"/>
      <c r="CQ127" s="226"/>
      <c r="CR127" s="226"/>
      <c r="CS127" s="226"/>
      <c r="CT127" s="226"/>
      <c r="CU127" s="226"/>
      <c r="CV127" s="226"/>
      <c r="CW127" s="226"/>
      <c r="CX127" s="226"/>
      <c r="CY127" s="226"/>
      <c r="CZ127" s="226"/>
      <c r="DA127" s="226"/>
      <c r="DB127" s="226"/>
      <c r="DC127" s="226"/>
      <c r="DD127" s="226"/>
      <c r="DE127" s="226"/>
      <c r="DF127" s="226"/>
      <c r="DG127" s="226"/>
      <c r="DH127" s="226"/>
      <c r="DI127" s="226"/>
      <c r="DJ127" s="226"/>
      <c r="DK127" s="226"/>
      <c r="DL127" s="226"/>
      <c r="DM127" s="226"/>
      <c r="DN127" s="226"/>
      <c r="DO127" s="226"/>
      <c r="DP127" s="226"/>
      <c r="DQ127" s="226"/>
      <c r="DR127" s="226"/>
      <c r="DS127" s="226"/>
      <c r="DT127" s="226"/>
      <c r="DU127" s="226"/>
      <c r="DV127" s="226"/>
      <c r="DW127" s="226"/>
      <c r="DX127" s="226"/>
      <c r="DY127" s="226"/>
      <c r="DZ127" s="226"/>
      <c r="EA127" s="226"/>
      <c r="EB127" s="226"/>
      <c r="EC127" s="226"/>
      <c r="ED127" s="226"/>
      <c r="EE127" s="226"/>
      <c r="EF127" s="226"/>
      <c r="EG127" s="226"/>
      <c r="EH127" s="226"/>
      <c r="EI127" s="226"/>
      <c r="EJ127" s="226"/>
      <c r="EK127" s="226"/>
      <c r="EL127" s="226"/>
      <c r="EM127" s="226"/>
      <c r="EN127" s="226"/>
      <c r="EO127" s="226"/>
      <c r="EP127" s="226"/>
      <c r="EQ127" s="226"/>
      <c r="ER127" s="226"/>
      <c r="ES127" s="226"/>
      <c r="ET127" s="226"/>
      <c r="EU127" s="226"/>
      <c r="EV127" s="226"/>
      <c r="EW127" s="226"/>
      <c r="EX127" s="226"/>
      <c r="EY127" s="226"/>
      <c r="EZ127" s="226"/>
      <c r="FA127" s="226"/>
      <c r="FB127" s="226"/>
      <c r="FC127" s="226"/>
      <c r="FD127" s="226"/>
      <c r="FE127" s="226"/>
      <c r="FF127" s="226"/>
      <c r="FG127" s="226"/>
      <c r="FH127" s="226"/>
      <c r="FI127" s="226"/>
      <c r="FJ127" s="226"/>
      <c r="FK127" s="226"/>
      <c r="FL127" s="226"/>
      <c r="FM127" s="226"/>
      <c r="FN127" s="226"/>
      <c r="FO127" s="226"/>
      <c r="FP127" s="226"/>
      <c r="FQ127" s="226"/>
      <c r="FR127" s="226"/>
      <c r="FS127" s="226"/>
      <c r="FT127" s="226"/>
      <c r="FU127" s="226"/>
      <c r="FV127" s="226"/>
      <c r="FW127" s="226"/>
      <c r="FX127" s="226"/>
      <c r="FY127" s="226"/>
      <c r="FZ127" s="226"/>
      <c r="GA127" s="226"/>
      <c r="GB127" s="226"/>
      <c r="GC127" s="226"/>
      <c r="GD127" s="226"/>
      <c r="GE127" s="226"/>
      <c r="GF127" s="226"/>
      <c r="GG127" s="226"/>
      <c r="GH127" s="226"/>
      <c r="GI127" s="226"/>
      <c r="GJ127" s="226"/>
      <c r="GK127" s="226"/>
      <c r="GL127" s="226"/>
      <c r="GM127" s="226"/>
      <c r="GN127" s="226"/>
      <c r="GO127" s="226"/>
      <c r="GP127" s="226"/>
      <c r="GQ127" s="226"/>
      <c r="GR127" s="226"/>
      <c r="GS127" s="226"/>
      <c r="GT127" s="226"/>
      <c r="GU127" s="226"/>
      <c r="GV127" s="226"/>
      <c r="GW127" s="226"/>
      <c r="GX127" s="226"/>
      <c r="GY127" s="226"/>
      <c r="GZ127" s="226"/>
      <c r="HA127" s="226"/>
      <c r="HB127" s="226"/>
      <c r="HC127" s="226"/>
      <c r="HD127" s="226"/>
    </row>
    <row r="128" spans="1:212" ht="14.1" customHeight="1" x14ac:dyDescent="0.2">
      <c r="A128" s="226"/>
      <c r="B128" s="226"/>
      <c r="C128" s="226"/>
      <c r="D128" s="226"/>
      <c r="E128" s="226"/>
      <c r="F128" s="226"/>
      <c r="G128" s="226"/>
      <c r="H128" s="226"/>
      <c r="I128" s="226"/>
      <c r="J128" s="226"/>
      <c r="K128" s="226"/>
      <c r="L128" s="226"/>
      <c r="M128" s="226"/>
      <c r="N128" s="226"/>
      <c r="O128" s="226"/>
      <c r="P128" s="226"/>
      <c r="Q128" s="226"/>
      <c r="R128" s="226"/>
      <c r="S128" s="226"/>
      <c r="T128" s="226"/>
      <c r="U128" s="226"/>
      <c r="V128" s="226"/>
      <c r="W128" s="226"/>
      <c r="X128" s="226"/>
      <c r="Y128" s="226"/>
      <c r="Z128" s="226"/>
      <c r="AA128" s="226"/>
      <c r="AB128" s="226"/>
      <c r="AC128" s="226"/>
      <c r="AD128" s="226"/>
      <c r="AE128" s="226"/>
      <c r="AF128" s="226"/>
      <c r="AG128" s="226"/>
      <c r="AH128" s="226"/>
      <c r="AI128" s="226"/>
      <c r="AJ128" s="226"/>
      <c r="AK128" s="226"/>
      <c r="AL128" s="226"/>
      <c r="AM128" s="226"/>
      <c r="AN128" s="226"/>
      <c r="AO128" s="226"/>
      <c r="AP128" s="226"/>
      <c r="AQ128" s="226"/>
      <c r="AR128" s="226"/>
      <c r="AS128" s="226"/>
      <c r="AT128" s="226"/>
      <c r="AU128" s="226"/>
      <c r="AV128" s="226"/>
      <c r="AW128" s="226"/>
      <c r="AX128" s="226"/>
      <c r="AY128" s="226"/>
      <c r="AZ128" s="226"/>
      <c r="BA128" s="226"/>
      <c r="BB128" s="226"/>
      <c r="BC128" s="226"/>
      <c r="BD128" s="226"/>
      <c r="BE128" s="226"/>
      <c r="BF128" s="226"/>
      <c r="BG128" s="226"/>
      <c r="BH128" s="226"/>
      <c r="BI128" s="226"/>
      <c r="BJ128" s="226"/>
      <c r="BK128" s="226"/>
      <c r="BL128" s="226"/>
      <c r="BM128" s="226"/>
      <c r="BN128" s="226"/>
      <c r="BO128" s="226"/>
      <c r="BP128" s="226"/>
      <c r="BQ128" s="226"/>
      <c r="BR128" s="226"/>
      <c r="BS128" s="226"/>
      <c r="BT128" s="226"/>
      <c r="BU128" s="226"/>
      <c r="BV128" s="226"/>
      <c r="BW128" s="226"/>
      <c r="BX128" s="226"/>
      <c r="BY128" s="226"/>
      <c r="BZ128" s="226"/>
      <c r="CA128" s="226"/>
      <c r="CB128" s="226"/>
      <c r="CC128" s="226"/>
      <c r="CD128" s="226"/>
      <c r="CE128" s="226"/>
      <c r="CF128" s="226"/>
      <c r="CG128" s="226"/>
      <c r="CH128" s="226"/>
      <c r="CI128" s="226"/>
      <c r="CJ128" s="226"/>
      <c r="CK128" s="226"/>
      <c r="CL128" s="226"/>
      <c r="CM128" s="226"/>
      <c r="CN128" s="226"/>
      <c r="CO128" s="226"/>
      <c r="CP128" s="226"/>
      <c r="CQ128" s="226"/>
      <c r="CR128" s="226"/>
      <c r="CS128" s="226"/>
      <c r="CT128" s="226"/>
      <c r="CU128" s="226"/>
      <c r="CV128" s="226"/>
      <c r="CW128" s="226"/>
      <c r="CX128" s="226"/>
      <c r="CY128" s="226"/>
      <c r="CZ128" s="226"/>
      <c r="DA128" s="226"/>
      <c r="DB128" s="226"/>
      <c r="DC128" s="226"/>
      <c r="DD128" s="226"/>
      <c r="DE128" s="226"/>
      <c r="DF128" s="226"/>
      <c r="DG128" s="226"/>
      <c r="DH128" s="226"/>
      <c r="DI128" s="226"/>
      <c r="DJ128" s="226"/>
      <c r="DK128" s="226"/>
      <c r="DL128" s="226"/>
      <c r="DM128" s="226"/>
      <c r="DN128" s="226"/>
      <c r="DO128" s="226"/>
      <c r="DP128" s="226"/>
      <c r="DQ128" s="226"/>
      <c r="DR128" s="226"/>
      <c r="DS128" s="226"/>
      <c r="DT128" s="226"/>
      <c r="DU128" s="226"/>
      <c r="DV128" s="226"/>
      <c r="DW128" s="226"/>
      <c r="DX128" s="226"/>
      <c r="DY128" s="226"/>
      <c r="DZ128" s="226"/>
      <c r="EA128" s="226"/>
      <c r="EB128" s="226"/>
      <c r="EC128" s="226"/>
      <c r="ED128" s="226"/>
      <c r="EE128" s="226"/>
      <c r="EF128" s="226"/>
      <c r="EG128" s="226"/>
      <c r="EH128" s="226"/>
      <c r="EI128" s="226"/>
      <c r="EJ128" s="226"/>
      <c r="EK128" s="226"/>
      <c r="EL128" s="226"/>
      <c r="EM128" s="226"/>
      <c r="EN128" s="226"/>
      <c r="EO128" s="226"/>
      <c r="EP128" s="226"/>
      <c r="EQ128" s="226"/>
      <c r="ER128" s="226"/>
      <c r="ES128" s="226"/>
      <c r="ET128" s="226"/>
      <c r="EU128" s="226"/>
      <c r="EV128" s="226"/>
      <c r="EW128" s="226"/>
      <c r="EX128" s="226"/>
      <c r="EY128" s="226"/>
      <c r="EZ128" s="226"/>
      <c r="FA128" s="226"/>
      <c r="FB128" s="226"/>
      <c r="FC128" s="226"/>
      <c r="FD128" s="226"/>
      <c r="FE128" s="226"/>
      <c r="FF128" s="226"/>
      <c r="FG128" s="226"/>
      <c r="FH128" s="226"/>
      <c r="FI128" s="226"/>
      <c r="FJ128" s="226"/>
      <c r="FK128" s="226"/>
      <c r="FL128" s="226"/>
      <c r="FM128" s="226"/>
      <c r="FN128" s="226"/>
      <c r="FO128" s="226"/>
      <c r="FP128" s="226"/>
      <c r="FQ128" s="226"/>
      <c r="FR128" s="226"/>
      <c r="FS128" s="226"/>
      <c r="FT128" s="226"/>
      <c r="FU128" s="226"/>
      <c r="FV128" s="226"/>
      <c r="FW128" s="226"/>
      <c r="FX128" s="226"/>
      <c r="FY128" s="226"/>
      <c r="FZ128" s="226"/>
      <c r="GA128" s="226"/>
      <c r="GB128" s="226"/>
      <c r="GC128" s="226"/>
      <c r="GD128" s="226"/>
      <c r="GE128" s="226"/>
      <c r="GF128" s="226"/>
      <c r="GG128" s="226"/>
      <c r="GH128" s="226"/>
      <c r="GI128" s="226"/>
      <c r="GJ128" s="226"/>
      <c r="GK128" s="226"/>
      <c r="GL128" s="226"/>
      <c r="GM128" s="226"/>
      <c r="GN128" s="226"/>
      <c r="GO128" s="226"/>
      <c r="GP128" s="226"/>
      <c r="GQ128" s="226"/>
      <c r="GR128" s="226"/>
      <c r="GS128" s="226"/>
      <c r="GT128" s="226"/>
      <c r="GU128" s="226"/>
      <c r="GV128" s="226"/>
      <c r="GW128" s="226"/>
      <c r="GX128" s="226"/>
      <c r="GY128" s="226"/>
      <c r="GZ128" s="226"/>
      <c r="HA128" s="226"/>
      <c r="HB128" s="226"/>
      <c r="HC128" s="226"/>
      <c r="HD128" s="226"/>
    </row>
    <row r="129" spans="1:212" ht="14.1" customHeight="1" x14ac:dyDescent="0.2">
      <c r="A129" s="226"/>
      <c r="B129" s="226"/>
      <c r="C129" s="226"/>
      <c r="D129" s="226"/>
      <c r="E129" s="226"/>
      <c r="F129" s="226"/>
      <c r="G129" s="226"/>
      <c r="H129" s="226"/>
      <c r="I129" s="226"/>
      <c r="J129" s="226"/>
      <c r="K129" s="226"/>
      <c r="L129" s="226"/>
      <c r="M129" s="226"/>
      <c r="N129" s="226"/>
      <c r="O129" s="226"/>
      <c r="P129" s="226"/>
      <c r="Q129" s="226"/>
      <c r="R129" s="226"/>
      <c r="S129" s="226"/>
      <c r="T129" s="226"/>
      <c r="U129" s="226"/>
      <c r="V129" s="226"/>
      <c r="W129" s="226"/>
      <c r="X129" s="226"/>
      <c r="Y129" s="226"/>
      <c r="Z129" s="226"/>
      <c r="AA129" s="226"/>
      <c r="AB129" s="226"/>
      <c r="AC129" s="226"/>
      <c r="AD129" s="226"/>
      <c r="AE129" s="226"/>
      <c r="AF129" s="226"/>
      <c r="AG129" s="226"/>
      <c r="AH129" s="226"/>
      <c r="AI129" s="226"/>
      <c r="AJ129" s="226"/>
      <c r="AK129" s="226"/>
      <c r="AL129" s="226"/>
      <c r="AM129" s="226"/>
      <c r="AN129" s="226"/>
      <c r="AO129" s="226"/>
      <c r="AP129" s="226"/>
      <c r="AQ129" s="226"/>
      <c r="AR129" s="226"/>
      <c r="AS129" s="226"/>
      <c r="AT129" s="226"/>
      <c r="AU129" s="226"/>
      <c r="AV129" s="226"/>
      <c r="AW129" s="226"/>
      <c r="AX129" s="226"/>
      <c r="AY129" s="226"/>
      <c r="AZ129" s="226"/>
      <c r="BA129" s="226"/>
      <c r="BB129" s="226"/>
      <c r="BC129" s="226"/>
      <c r="BD129" s="226"/>
      <c r="BE129" s="226"/>
      <c r="BF129" s="226"/>
      <c r="BG129" s="226"/>
      <c r="BH129" s="226"/>
      <c r="BI129" s="226"/>
      <c r="BJ129" s="226"/>
      <c r="BK129" s="226"/>
      <c r="BL129" s="226"/>
      <c r="BM129" s="226"/>
      <c r="BN129" s="226"/>
      <c r="BO129" s="226"/>
      <c r="BP129" s="226"/>
      <c r="BQ129" s="226"/>
      <c r="BR129" s="226"/>
      <c r="BS129" s="226"/>
      <c r="BT129" s="226"/>
      <c r="BU129" s="226"/>
      <c r="BV129" s="226"/>
      <c r="BW129" s="226"/>
      <c r="BX129" s="226"/>
      <c r="BY129" s="226"/>
      <c r="BZ129" s="226"/>
      <c r="CA129" s="226"/>
      <c r="CB129" s="226"/>
      <c r="CC129" s="226"/>
      <c r="CD129" s="226"/>
      <c r="CE129" s="226"/>
      <c r="CF129" s="226"/>
      <c r="CG129" s="226"/>
      <c r="CH129" s="226"/>
      <c r="CI129" s="226"/>
      <c r="CJ129" s="226"/>
      <c r="CK129" s="226"/>
      <c r="CL129" s="226"/>
      <c r="CM129" s="226"/>
      <c r="CN129" s="226"/>
      <c r="CO129" s="226"/>
      <c r="CP129" s="226"/>
      <c r="CQ129" s="226"/>
      <c r="CR129" s="226"/>
      <c r="CS129" s="226"/>
      <c r="CT129" s="226"/>
      <c r="CU129" s="226"/>
      <c r="CV129" s="226"/>
      <c r="CW129" s="226"/>
      <c r="CX129" s="226"/>
      <c r="CY129" s="226"/>
      <c r="CZ129" s="226"/>
      <c r="DA129" s="226"/>
      <c r="DB129" s="226"/>
      <c r="DC129" s="226"/>
      <c r="DD129" s="226"/>
      <c r="DE129" s="226"/>
      <c r="DF129" s="226"/>
      <c r="DG129" s="226"/>
      <c r="DH129" s="226"/>
      <c r="DI129" s="226"/>
      <c r="DJ129" s="226"/>
      <c r="DK129" s="226"/>
      <c r="DL129" s="226"/>
      <c r="DM129" s="226"/>
      <c r="DN129" s="226"/>
      <c r="DO129" s="226"/>
      <c r="DP129" s="226"/>
      <c r="DQ129" s="226"/>
      <c r="DR129" s="226"/>
      <c r="DS129" s="226"/>
      <c r="DT129" s="226"/>
      <c r="DU129" s="226"/>
      <c r="DV129" s="226"/>
      <c r="DW129" s="226"/>
      <c r="DX129" s="226"/>
      <c r="DY129" s="226"/>
      <c r="DZ129" s="226"/>
      <c r="EA129" s="226"/>
      <c r="EB129" s="226"/>
      <c r="EC129" s="226"/>
      <c r="ED129" s="226"/>
      <c r="EE129" s="226"/>
      <c r="EF129" s="226"/>
      <c r="EG129" s="226"/>
      <c r="EH129" s="226"/>
      <c r="EI129" s="226"/>
      <c r="EJ129" s="226"/>
      <c r="EK129" s="226"/>
      <c r="EL129" s="226"/>
      <c r="EM129" s="226"/>
      <c r="EN129" s="226"/>
      <c r="EO129" s="226"/>
      <c r="EP129" s="226"/>
      <c r="EQ129" s="226"/>
      <c r="ER129" s="226"/>
      <c r="ES129" s="226"/>
      <c r="ET129" s="226"/>
      <c r="EU129" s="226"/>
      <c r="EV129" s="226"/>
      <c r="EW129" s="226"/>
      <c r="EX129" s="226"/>
      <c r="EY129" s="226"/>
      <c r="EZ129" s="226"/>
      <c r="FA129" s="226"/>
      <c r="FB129" s="226"/>
      <c r="FC129" s="226"/>
      <c r="FD129" s="226"/>
      <c r="FE129" s="226"/>
      <c r="FF129" s="226"/>
      <c r="FG129" s="226"/>
      <c r="FH129" s="226"/>
      <c r="FI129" s="226"/>
      <c r="FJ129" s="226"/>
      <c r="FK129" s="226"/>
      <c r="FL129" s="226"/>
      <c r="FM129" s="226"/>
      <c r="FN129" s="226"/>
      <c r="FO129" s="226"/>
      <c r="FP129" s="226"/>
      <c r="FQ129" s="226"/>
      <c r="FR129" s="226"/>
      <c r="FS129" s="226"/>
      <c r="FT129" s="226"/>
      <c r="FU129" s="226"/>
      <c r="FV129" s="226"/>
      <c r="FW129" s="226"/>
      <c r="FX129" s="226"/>
      <c r="FY129" s="226"/>
      <c r="FZ129" s="226"/>
      <c r="GA129" s="226"/>
      <c r="GB129" s="226"/>
      <c r="GC129" s="226"/>
      <c r="GD129" s="226"/>
      <c r="GE129" s="226"/>
      <c r="GF129" s="226"/>
      <c r="GG129" s="226"/>
      <c r="GH129" s="226"/>
      <c r="GI129" s="226"/>
      <c r="GJ129" s="226"/>
      <c r="GK129" s="226"/>
      <c r="GL129" s="226"/>
      <c r="GM129" s="226"/>
      <c r="GN129" s="226"/>
      <c r="GO129" s="226"/>
      <c r="GP129" s="226"/>
      <c r="GQ129" s="226"/>
      <c r="GR129" s="226"/>
      <c r="GS129" s="226"/>
      <c r="GT129" s="226"/>
      <c r="GU129" s="226"/>
      <c r="GV129" s="226"/>
      <c r="GW129" s="226"/>
      <c r="GX129" s="226"/>
      <c r="GY129" s="226"/>
      <c r="GZ129" s="226"/>
      <c r="HA129" s="226"/>
      <c r="HB129" s="226"/>
      <c r="HC129" s="226"/>
      <c r="HD129" s="226"/>
    </row>
    <row r="130" spans="1:212" ht="14.1" customHeight="1" x14ac:dyDescent="0.2">
      <c r="A130" s="226"/>
      <c r="B130" s="226"/>
      <c r="C130" s="226"/>
      <c r="D130" s="226"/>
      <c r="E130" s="226"/>
      <c r="F130" s="226"/>
      <c r="G130" s="226"/>
      <c r="H130" s="226"/>
      <c r="I130" s="226"/>
      <c r="J130" s="226"/>
      <c r="K130" s="226"/>
      <c r="L130" s="226"/>
      <c r="M130" s="226"/>
      <c r="N130" s="226"/>
      <c r="O130" s="226"/>
      <c r="P130" s="226"/>
      <c r="Q130" s="226"/>
      <c r="R130" s="226"/>
      <c r="S130" s="226"/>
      <c r="T130" s="226"/>
      <c r="U130" s="226"/>
      <c r="V130" s="226"/>
      <c r="W130" s="226"/>
      <c r="X130" s="226"/>
      <c r="Y130" s="226"/>
      <c r="Z130" s="226"/>
      <c r="AA130" s="226"/>
      <c r="AB130" s="226"/>
      <c r="AC130" s="226"/>
      <c r="AD130" s="226"/>
      <c r="AE130" s="226"/>
      <c r="AF130" s="226"/>
      <c r="AG130" s="226"/>
      <c r="AH130" s="226"/>
      <c r="AI130" s="226"/>
      <c r="AJ130" s="226"/>
      <c r="AK130" s="226"/>
      <c r="AL130" s="226"/>
      <c r="AM130" s="226"/>
      <c r="AN130" s="226"/>
      <c r="AO130" s="226"/>
      <c r="AP130" s="226"/>
      <c r="AQ130" s="226"/>
      <c r="AR130" s="226"/>
      <c r="AS130" s="226"/>
      <c r="AT130" s="226"/>
      <c r="AU130" s="226"/>
      <c r="AV130" s="226"/>
      <c r="AW130" s="226"/>
      <c r="AX130" s="226"/>
      <c r="AY130" s="226"/>
      <c r="AZ130" s="226"/>
      <c r="BA130" s="226"/>
      <c r="BB130" s="226"/>
      <c r="BC130" s="226"/>
      <c r="BD130" s="226"/>
      <c r="BE130" s="226"/>
      <c r="BF130" s="226"/>
      <c r="BG130" s="226"/>
      <c r="BH130" s="226"/>
      <c r="BI130" s="226"/>
      <c r="BJ130" s="226"/>
      <c r="BK130" s="226"/>
      <c r="BL130" s="226"/>
      <c r="BM130" s="226"/>
      <c r="BN130" s="226"/>
      <c r="BO130" s="226"/>
      <c r="BP130" s="226"/>
      <c r="BQ130" s="226"/>
      <c r="BR130" s="226"/>
      <c r="BS130" s="226"/>
      <c r="BT130" s="226"/>
      <c r="BU130" s="226"/>
      <c r="BV130" s="226"/>
      <c r="BW130" s="226"/>
      <c r="BX130" s="226"/>
      <c r="BY130" s="226"/>
      <c r="BZ130" s="226"/>
      <c r="CA130" s="226"/>
      <c r="CB130" s="226"/>
      <c r="CC130" s="226"/>
      <c r="CD130" s="226"/>
      <c r="CE130" s="226"/>
      <c r="CF130" s="226"/>
      <c r="CG130" s="226"/>
      <c r="CH130" s="226"/>
      <c r="CI130" s="226"/>
      <c r="CJ130" s="226"/>
      <c r="CK130" s="226"/>
      <c r="CL130" s="226"/>
      <c r="CM130" s="226"/>
      <c r="CN130" s="226"/>
      <c r="CO130" s="226"/>
      <c r="CP130" s="226"/>
      <c r="CQ130" s="226"/>
      <c r="CR130" s="226"/>
      <c r="CS130" s="226"/>
      <c r="CT130" s="226"/>
      <c r="CU130" s="226"/>
      <c r="CV130" s="226"/>
      <c r="CW130" s="226"/>
      <c r="CX130" s="226"/>
      <c r="CY130" s="226"/>
      <c r="CZ130" s="226"/>
      <c r="DA130" s="226"/>
      <c r="DB130" s="226"/>
      <c r="DC130" s="226"/>
      <c r="DD130" s="226"/>
      <c r="DE130" s="226"/>
      <c r="DF130" s="226"/>
      <c r="DG130" s="226"/>
      <c r="DH130" s="226"/>
      <c r="DI130" s="226"/>
      <c r="DJ130" s="226"/>
      <c r="DK130" s="226"/>
      <c r="DL130" s="226"/>
      <c r="DM130" s="226"/>
      <c r="DN130" s="226"/>
      <c r="DO130" s="226"/>
      <c r="DP130" s="226"/>
      <c r="DQ130" s="226"/>
      <c r="DR130" s="226"/>
      <c r="DS130" s="226"/>
      <c r="DT130" s="226"/>
      <c r="DU130" s="226"/>
      <c r="DV130" s="226"/>
      <c r="DW130" s="226"/>
      <c r="DX130" s="226"/>
      <c r="DY130" s="226"/>
      <c r="DZ130" s="226"/>
      <c r="EA130" s="226"/>
      <c r="EB130" s="226"/>
      <c r="EC130" s="226"/>
      <c r="ED130" s="226"/>
      <c r="EE130" s="226"/>
      <c r="EF130" s="226"/>
      <c r="EG130" s="226"/>
      <c r="EH130" s="226"/>
      <c r="EI130" s="226"/>
      <c r="EJ130" s="226"/>
      <c r="EK130" s="226"/>
      <c r="EL130" s="226"/>
      <c r="EM130" s="226"/>
      <c r="EN130" s="226"/>
      <c r="EO130" s="226"/>
      <c r="EP130" s="226"/>
      <c r="EQ130" s="226"/>
      <c r="ER130" s="226"/>
      <c r="ES130" s="226"/>
      <c r="ET130" s="226"/>
      <c r="EU130" s="226"/>
      <c r="EV130" s="226"/>
      <c r="EW130" s="226"/>
      <c r="EX130" s="226"/>
      <c r="EY130" s="226"/>
      <c r="EZ130" s="226"/>
      <c r="FA130" s="226"/>
      <c r="FB130" s="226"/>
      <c r="FC130" s="226"/>
      <c r="FD130" s="226"/>
      <c r="FE130" s="226"/>
      <c r="FF130" s="226"/>
      <c r="FG130" s="226"/>
      <c r="FH130" s="226"/>
      <c r="FI130" s="226"/>
      <c r="FJ130" s="226"/>
      <c r="FK130" s="226"/>
      <c r="FL130" s="226"/>
      <c r="FM130" s="226"/>
      <c r="FN130" s="226"/>
      <c r="FO130" s="226"/>
      <c r="FP130" s="226"/>
      <c r="FQ130" s="226"/>
      <c r="FR130" s="226"/>
      <c r="FS130" s="226"/>
      <c r="FT130" s="226"/>
      <c r="FU130" s="226"/>
      <c r="FV130" s="226"/>
      <c r="FW130" s="226"/>
      <c r="FX130" s="226"/>
      <c r="FY130" s="226"/>
      <c r="FZ130" s="226"/>
      <c r="GA130" s="226"/>
      <c r="GB130" s="226"/>
      <c r="GC130" s="226"/>
      <c r="GD130" s="226"/>
      <c r="GE130" s="226"/>
      <c r="GF130" s="226"/>
      <c r="GG130" s="226"/>
      <c r="GH130" s="226"/>
      <c r="GI130" s="226"/>
      <c r="GJ130" s="226"/>
      <c r="GK130" s="226"/>
      <c r="GL130" s="226"/>
      <c r="GM130" s="226"/>
      <c r="GN130" s="226"/>
      <c r="GO130" s="226"/>
      <c r="GP130" s="226"/>
      <c r="GQ130" s="226"/>
      <c r="GR130" s="226"/>
      <c r="GS130" s="226"/>
      <c r="GT130" s="226"/>
      <c r="GU130" s="226"/>
      <c r="GV130" s="226"/>
      <c r="GW130" s="226"/>
      <c r="GX130" s="226"/>
      <c r="GY130" s="226"/>
      <c r="GZ130" s="226"/>
      <c r="HA130" s="226"/>
      <c r="HB130" s="226"/>
      <c r="HC130" s="226"/>
      <c r="HD130" s="226"/>
    </row>
    <row r="131" spans="1:212" ht="14.1" customHeight="1" x14ac:dyDescent="0.2">
      <c r="A131" s="226"/>
      <c r="B131" s="226"/>
      <c r="C131" s="226"/>
      <c r="D131" s="226"/>
      <c r="E131" s="226"/>
      <c r="F131" s="226"/>
      <c r="G131" s="226"/>
      <c r="H131" s="226"/>
      <c r="I131" s="226"/>
      <c r="J131" s="226"/>
      <c r="K131" s="226"/>
      <c r="L131" s="226"/>
      <c r="M131" s="226"/>
      <c r="N131" s="226"/>
      <c r="O131" s="226"/>
      <c r="P131" s="226"/>
      <c r="Q131" s="226"/>
      <c r="R131" s="226"/>
      <c r="S131" s="226"/>
      <c r="T131" s="226"/>
      <c r="U131" s="226"/>
      <c r="V131" s="226"/>
      <c r="W131" s="226"/>
      <c r="X131" s="226"/>
      <c r="Y131" s="226"/>
      <c r="Z131" s="226"/>
      <c r="AA131" s="226"/>
      <c r="AB131" s="226"/>
      <c r="AC131" s="226"/>
      <c r="AD131" s="226"/>
      <c r="AE131" s="226"/>
      <c r="AF131" s="226"/>
      <c r="AG131" s="226"/>
      <c r="AH131" s="226"/>
      <c r="AI131" s="226"/>
      <c r="AJ131" s="226"/>
      <c r="AK131" s="226"/>
      <c r="AL131" s="226"/>
      <c r="AM131" s="226"/>
      <c r="AN131" s="226"/>
      <c r="AO131" s="226"/>
      <c r="AP131" s="226"/>
      <c r="AQ131" s="226"/>
      <c r="AR131" s="226"/>
      <c r="AS131" s="226"/>
      <c r="AT131" s="226"/>
      <c r="AU131" s="226"/>
      <c r="AV131" s="226"/>
      <c r="AW131" s="226"/>
      <c r="AX131" s="226"/>
      <c r="AY131" s="226"/>
      <c r="AZ131" s="226"/>
      <c r="BA131" s="226"/>
      <c r="BB131" s="226"/>
      <c r="BC131" s="226"/>
      <c r="BD131" s="226"/>
      <c r="BE131" s="226"/>
      <c r="BF131" s="226"/>
      <c r="BG131" s="226"/>
      <c r="BH131" s="226"/>
      <c r="BI131" s="226"/>
      <c r="BJ131" s="226"/>
      <c r="BK131" s="226"/>
      <c r="BL131" s="226"/>
      <c r="BM131" s="226"/>
      <c r="BN131" s="226"/>
      <c r="BO131" s="226"/>
      <c r="BP131" s="226"/>
      <c r="BQ131" s="226"/>
      <c r="BR131" s="226"/>
      <c r="BS131" s="226"/>
      <c r="BT131" s="226"/>
      <c r="BU131" s="226"/>
      <c r="BV131" s="226"/>
      <c r="BW131" s="226"/>
      <c r="BX131" s="226"/>
      <c r="BY131" s="226"/>
      <c r="BZ131" s="226"/>
      <c r="CA131" s="226"/>
      <c r="CB131" s="226"/>
      <c r="CC131" s="226"/>
      <c r="CD131" s="226"/>
      <c r="CE131" s="226"/>
      <c r="CF131" s="226"/>
      <c r="CG131" s="226"/>
      <c r="CH131" s="226"/>
      <c r="CI131" s="226"/>
      <c r="CJ131" s="226"/>
      <c r="CK131" s="226"/>
      <c r="CL131" s="226"/>
      <c r="CM131" s="226"/>
      <c r="CN131" s="226"/>
      <c r="CO131" s="226"/>
      <c r="CP131" s="226"/>
      <c r="CQ131" s="226"/>
      <c r="CR131" s="226"/>
      <c r="CS131" s="226"/>
      <c r="CT131" s="226"/>
      <c r="CU131" s="226"/>
      <c r="CV131" s="226"/>
      <c r="CW131" s="226"/>
      <c r="CX131" s="226"/>
      <c r="CY131" s="226"/>
      <c r="CZ131" s="226"/>
      <c r="DA131" s="226"/>
      <c r="DB131" s="226"/>
      <c r="DC131" s="226"/>
      <c r="DD131" s="226"/>
      <c r="DE131" s="226"/>
      <c r="DF131" s="226"/>
      <c r="DG131" s="226"/>
      <c r="DH131" s="226"/>
      <c r="DI131" s="226"/>
      <c r="DJ131" s="226"/>
      <c r="DK131" s="226"/>
      <c r="DL131" s="226"/>
      <c r="DM131" s="226"/>
      <c r="DN131" s="226"/>
      <c r="DO131" s="226"/>
      <c r="DP131" s="226"/>
      <c r="DQ131" s="226"/>
      <c r="DR131" s="226"/>
      <c r="DS131" s="226"/>
      <c r="DT131" s="226"/>
      <c r="DU131" s="226"/>
      <c r="DV131" s="226"/>
      <c r="DW131" s="226"/>
      <c r="DX131" s="226"/>
      <c r="DY131" s="226"/>
      <c r="DZ131" s="226"/>
      <c r="EA131" s="226"/>
      <c r="EB131" s="226"/>
      <c r="EC131" s="226"/>
      <c r="ED131" s="226"/>
      <c r="EE131" s="226"/>
      <c r="EF131" s="226"/>
      <c r="EG131" s="226"/>
      <c r="EH131" s="226"/>
      <c r="EI131" s="226"/>
      <c r="EJ131" s="226"/>
      <c r="EK131" s="226"/>
      <c r="EL131" s="226"/>
      <c r="EM131" s="226"/>
      <c r="EN131" s="226"/>
      <c r="EO131" s="226"/>
      <c r="EP131" s="226"/>
      <c r="EQ131" s="226"/>
      <c r="ER131" s="226"/>
      <c r="ES131" s="226"/>
      <c r="ET131" s="226"/>
      <c r="EU131" s="226"/>
      <c r="EV131" s="226"/>
      <c r="EW131" s="226"/>
      <c r="EX131" s="226"/>
      <c r="EY131" s="226"/>
      <c r="EZ131" s="226"/>
      <c r="FA131" s="226"/>
      <c r="FB131" s="226"/>
      <c r="FC131" s="226"/>
      <c r="FD131" s="226"/>
      <c r="FE131" s="226"/>
      <c r="FF131" s="226"/>
      <c r="FG131" s="226"/>
      <c r="FH131" s="226"/>
      <c r="FI131" s="226"/>
      <c r="FJ131" s="226"/>
      <c r="FK131" s="226"/>
      <c r="FL131" s="226"/>
      <c r="FM131" s="226"/>
      <c r="FN131" s="226"/>
      <c r="FO131" s="226"/>
      <c r="FP131" s="226"/>
      <c r="FQ131" s="226"/>
      <c r="FR131" s="226"/>
      <c r="FS131" s="226"/>
      <c r="FT131" s="226"/>
      <c r="FU131" s="226"/>
      <c r="FV131" s="226"/>
      <c r="FW131" s="226"/>
      <c r="FX131" s="226"/>
      <c r="FY131" s="226"/>
      <c r="FZ131" s="226"/>
      <c r="GA131" s="226"/>
      <c r="GB131" s="226"/>
      <c r="GC131" s="226"/>
      <c r="GD131" s="226"/>
      <c r="GE131" s="226"/>
      <c r="GF131" s="226"/>
      <c r="GG131" s="226"/>
      <c r="GH131" s="226"/>
      <c r="GI131" s="226"/>
      <c r="GJ131" s="226"/>
      <c r="GK131" s="226"/>
      <c r="GL131" s="226"/>
      <c r="GM131" s="226"/>
      <c r="GN131" s="226"/>
      <c r="GO131" s="226"/>
      <c r="GP131" s="226"/>
      <c r="GQ131" s="226"/>
      <c r="GR131" s="226"/>
      <c r="GS131" s="226"/>
      <c r="GT131" s="226"/>
      <c r="GU131" s="226"/>
      <c r="GV131" s="226"/>
      <c r="GW131" s="226"/>
      <c r="GX131" s="226"/>
      <c r="GY131" s="226"/>
      <c r="GZ131" s="226"/>
      <c r="HA131" s="226"/>
      <c r="HB131" s="226"/>
      <c r="HC131" s="226"/>
      <c r="HD131" s="226"/>
    </row>
    <row r="132" spans="1:212" ht="14.1" customHeight="1" x14ac:dyDescent="0.2">
      <c r="A132" s="226"/>
      <c r="B132" s="226"/>
      <c r="C132" s="226"/>
      <c r="D132" s="226"/>
      <c r="E132" s="226"/>
      <c r="F132" s="226"/>
      <c r="G132" s="226"/>
      <c r="H132" s="226"/>
      <c r="I132" s="226"/>
      <c r="J132" s="226"/>
      <c r="K132" s="226"/>
      <c r="L132" s="226"/>
      <c r="M132" s="226"/>
      <c r="N132" s="226"/>
      <c r="O132" s="226"/>
      <c r="P132" s="226"/>
      <c r="Q132" s="226"/>
      <c r="R132" s="226"/>
      <c r="S132" s="226"/>
      <c r="T132" s="226"/>
      <c r="U132" s="226"/>
      <c r="V132" s="226"/>
      <c r="W132" s="226"/>
      <c r="X132" s="226"/>
      <c r="Y132" s="226"/>
      <c r="Z132" s="226"/>
      <c r="AA132" s="226"/>
      <c r="AB132" s="226"/>
      <c r="AC132" s="226"/>
      <c r="AD132" s="226"/>
      <c r="AE132" s="226"/>
      <c r="AF132" s="226"/>
      <c r="AG132" s="226"/>
      <c r="AH132" s="226"/>
      <c r="AI132" s="226"/>
      <c r="AJ132" s="226"/>
      <c r="AK132" s="226"/>
      <c r="AL132" s="226"/>
      <c r="AM132" s="226"/>
      <c r="AN132" s="226"/>
      <c r="AO132" s="226"/>
      <c r="AP132" s="226"/>
      <c r="AQ132" s="226"/>
      <c r="AR132" s="226"/>
      <c r="AS132" s="226"/>
      <c r="AT132" s="226"/>
      <c r="AU132" s="226"/>
      <c r="AV132" s="226"/>
      <c r="AW132" s="226"/>
      <c r="AX132" s="226"/>
      <c r="AY132" s="226"/>
      <c r="AZ132" s="226"/>
      <c r="BA132" s="226"/>
      <c r="BB132" s="226"/>
      <c r="BC132" s="226"/>
      <c r="BD132" s="226"/>
      <c r="BE132" s="226"/>
      <c r="BF132" s="226"/>
      <c r="BG132" s="226"/>
      <c r="BH132" s="226"/>
      <c r="BI132" s="226"/>
      <c r="BJ132" s="226"/>
      <c r="BK132" s="226"/>
      <c r="BL132" s="226"/>
      <c r="BM132" s="226"/>
      <c r="BN132" s="226"/>
      <c r="BO132" s="226"/>
      <c r="BP132" s="226"/>
      <c r="BQ132" s="226"/>
      <c r="BR132" s="226"/>
      <c r="BS132" s="226"/>
      <c r="BT132" s="226"/>
      <c r="BU132" s="226"/>
      <c r="BV132" s="226"/>
      <c r="BW132" s="226"/>
      <c r="BX132" s="226"/>
      <c r="BY132" s="226"/>
      <c r="BZ132" s="226"/>
      <c r="CA132" s="226"/>
      <c r="CB132" s="226"/>
      <c r="CC132" s="226"/>
      <c r="CD132" s="226"/>
      <c r="CE132" s="226"/>
      <c r="CF132" s="226"/>
      <c r="CG132" s="226"/>
      <c r="CH132" s="226"/>
      <c r="CI132" s="226"/>
      <c r="CJ132" s="226"/>
      <c r="CK132" s="226"/>
      <c r="CL132" s="226"/>
      <c r="CM132" s="226"/>
      <c r="CN132" s="226"/>
      <c r="CO132" s="226"/>
      <c r="CP132" s="226"/>
      <c r="CQ132" s="226"/>
      <c r="CR132" s="226"/>
      <c r="CS132" s="226"/>
      <c r="CT132" s="226"/>
      <c r="CU132" s="226"/>
      <c r="CV132" s="226"/>
      <c r="CW132" s="226"/>
      <c r="CX132" s="226"/>
      <c r="CY132" s="226"/>
      <c r="CZ132" s="226"/>
      <c r="DA132" s="226"/>
      <c r="DB132" s="226"/>
      <c r="DC132" s="226"/>
      <c r="DD132" s="226"/>
      <c r="DE132" s="226"/>
      <c r="DF132" s="226"/>
      <c r="DG132" s="226"/>
      <c r="DH132" s="226"/>
      <c r="DI132" s="226"/>
      <c r="DJ132" s="226"/>
      <c r="DK132" s="226"/>
      <c r="DL132" s="226"/>
      <c r="DM132" s="226"/>
      <c r="DN132" s="226"/>
      <c r="DO132" s="226"/>
      <c r="DP132" s="226"/>
      <c r="DQ132" s="226"/>
      <c r="DR132" s="226"/>
      <c r="DS132" s="226"/>
      <c r="DT132" s="226"/>
      <c r="DU132" s="226"/>
      <c r="DV132" s="226"/>
      <c r="DW132" s="226"/>
      <c r="DX132" s="226"/>
      <c r="DY132" s="226"/>
      <c r="DZ132" s="226"/>
      <c r="EA132" s="226"/>
      <c r="EB132" s="226"/>
      <c r="EC132" s="226"/>
      <c r="ED132" s="226"/>
      <c r="EE132" s="226"/>
      <c r="EF132" s="226"/>
      <c r="EG132" s="226"/>
      <c r="EH132" s="226"/>
      <c r="EI132" s="226"/>
      <c r="EJ132" s="226"/>
      <c r="EK132" s="226"/>
      <c r="EL132" s="226"/>
      <c r="EM132" s="226"/>
      <c r="EN132" s="226"/>
      <c r="EO132" s="226"/>
      <c r="EP132" s="226"/>
      <c r="EQ132" s="226"/>
      <c r="ER132" s="226"/>
      <c r="ES132" s="226"/>
      <c r="ET132" s="226"/>
      <c r="EU132" s="226"/>
      <c r="EV132" s="226"/>
      <c r="EW132" s="226"/>
      <c r="EX132" s="226"/>
      <c r="EY132" s="226"/>
      <c r="EZ132" s="226"/>
      <c r="FA132" s="226"/>
      <c r="FB132" s="226"/>
      <c r="FC132" s="226"/>
      <c r="FD132" s="226"/>
      <c r="FE132" s="226"/>
      <c r="FF132" s="226"/>
      <c r="FG132" s="226"/>
      <c r="FH132" s="226"/>
      <c r="FI132" s="226"/>
      <c r="FJ132" s="226"/>
      <c r="FK132" s="226"/>
      <c r="FL132" s="226"/>
      <c r="FM132" s="226"/>
      <c r="FN132" s="226"/>
      <c r="FO132" s="226"/>
      <c r="FP132" s="226"/>
      <c r="FQ132" s="226"/>
      <c r="FR132" s="226"/>
      <c r="FS132" s="226"/>
      <c r="FT132" s="226"/>
      <c r="FU132" s="226"/>
      <c r="FV132" s="226"/>
      <c r="FW132" s="226"/>
      <c r="FX132" s="226"/>
      <c r="FY132" s="226"/>
      <c r="FZ132" s="226"/>
      <c r="GA132" s="226"/>
      <c r="GB132" s="226"/>
      <c r="GC132" s="226"/>
      <c r="GD132" s="226"/>
      <c r="GE132" s="226"/>
      <c r="GF132" s="226"/>
      <c r="GG132" s="226"/>
      <c r="GH132" s="226"/>
      <c r="GI132" s="226"/>
      <c r="GJ132" s="226"/>
      <c r="GK132" s="226"/>
      <c r="GL132" s="226"/>
      <c r="GM132" s="226"/>
      <c r="GN132" s="226"/>
      <c r="GO132" s="226"/>
      <c r="GP132" s="226"/>
      <c r="GQ132" s="226"/>
      <c r="GR132" s="226"/>
      <c r="GS132" s="226"/>
      <c r="GT132" s="226"/>
      <c r="GU132" s="226"/>
      <c r="GV132" s="226"/>
      <c r="GW132" s="226"/>
      <c r="GX132" s="226"/>
      <c r="GY132" s="226"/>
      <c r="GZ132" s="226"/>
      <c r="HA132" s="226"/>
      <c r="HB132" s="226"/>
      <c r="HC132" s="226"/>
      <c r="HD132" s="226"/>
    </row>
    <row r="133" spans="1:212" ht="14.1" customHeight="1" x14ac:dyDescent="0.2">
      <c r="A133" s="226"/>
      <c r="B133" s="226"/>
      <c r="C133" s="226"/>
      <c r="D133" s="226"/>
      <c r="E133" s="226"/>
      <c r="F133" s="226"/>
      <c r="G133" s="226"/>
      <c r="H133" s="226"/>
      <c r="I133" s="226"/>
      <c r="J133" s="226"/>
      <c r="K133" s="226"/>
      <c r="L133" s="226"/>
      <c r="M133" s="226"/>
      <c r="N133" s="226"/>
      <c r="O133" s="226"/>
      <c r="P133" s="226"/>
      <c r="Q133" s="226"/>
      <c r="R133" s="226"/>
      <c r="S133" s="226"/>
      <c r="T133" s="226"/>
      <c r="U133" s="226"/>
      <c r="V133" s="226"/>
      <c r="W133" s="226"/>
      <c r="X133" s="226"/>
      <c r="Y133" s="226"/>
      <c r="Z133" s="226"/>
      <c r="AA133" s="226"/>
      <c r="AB133" s="226"/>
      <c r="AC133" s="226"/>
      <c r="AD133" s="226"/>
      <c r="AE133" s="226"/>
      <c r="AF133" s="226"/>
      <c r="AG133" s="226"/>
      <c r="AH133" s="226"/>
      <c r="AI133" s="226"/>
      <c r="AJ133" s="226"/>
      <c r="AK133" s="226"/>
      <c r="AL133" s="226"/>
      <c r="AM133" s="226"/>
      <c r="AN133" s="226"/>
      <c r="AO133" s="226"/>
      <c r="AP133" s="226"/>
      <c r="AQ133" s="226"/>
      <c r="AR133" s="226"/>
      <c r="AS133" s="226"/>
      <c r="AT133" s="226"/>
      <c r="AU133" s="226"/>
      <c r="AV133" s="226"/>
      <c r="AW133" s="226"/>
      <c r="AX133" s="226"/>
      <c r="AY133" s="226"/>
      <c r="AZ133" s="226"/>
      <c r="BA133" s="226"/>
      <c r="BB133" s="226"/>
      <c r="BC133" s="226"/>
      <c r="BD133" s="226"/>
      <c r="BE133" s="226"/>
      <c r="BF133" s="226"/>
      <c r="BG133" s="226"/>
      <c r="BH133" s="226"/>
      <c r="BI133" s="226"/>
      <c r="BJ133" s="226"/>
      <c r="BK133" s="226"/>
      <c r="BL133" s="226"/>
      <c r="BM133" s="226"/>
      <c r="BN133" s="226"/>
      <c r="BO133" s="226"/>
      <c r="BP133" s="226"/>
      <c r="BQ133" s="226"/>
      <c r="BR133" s="226"/>
      <c r="BS133" s="226"/>
      <c r="BT133" s="226"/>
      <c r="BU133" s="226"/>
      <c r="BV133" s="226"/>
      <c r="BW133" s="226"/>
      <c r="BX133" s="226"/>
      <c r="BY133" s="226"/>
      <c r="BZ133" s="226"/>
      <c r="CA133" s="226"/>
      <c r="CB133" s="226"/>
      <c r="CC133" s="226"/>
      <c r="CD133" s="226"/>
      <c r="CE133" s="226"/>
      <c r="CF133" s="226"/>
      <c r="CG133" s="226"/>
      <c r="CH133" s="226"/>
      <c r="CI133" s="226"/>
      <c r="CJ133" s="226"/>
      <c r="CK133" s="226"/>
      <c r="CL133" s="226"/>
      <c r="CM133" s="226"/>
      <c r="CN133" s="226"/>
      <c r="CO133" s="226"/>
      <c r="CP133" s="226"/>
      <c r="CQ133" s="226"/>
      <c r="CR133" s="226"/>
      <c r="CS133" s="226"/>
      <c r="CT133" s="226"/>
      <c r="CU133" s="226"/>
      <c r="CV133" s="226"/>
      <c r="CW133" s="226"/>
      <c r="CX133" s="226"/>
      <c r="CY133" s="226"/>
      <c r="CZ133" s="226"/>
      <c r="DA133" s="226"/>
      <c r="DB133" s="226"/>
      <c r="DC133" s="226"/>
      <c r="DD133" s="226"/>
      <c r="DE133" s="226"/>
      <c r="DF133" s="226"/>
      <c r="DG133" s="226"/>
      <c r="DH133" s="226"/>
      <c r="DI133" s="226"/>
      <c r="DJ133" s="226"/>
      <c r="DK133" s="226"/>
      <c r="DL133" s="226"/>
      <c r="DM133" s="226"/>
      <c r="DN133" s="226"/>
      <c r="DO133" s="226"/>
      <c r="DP133" s="226"/>
      <c r="DQ133" s="226"/>
      <c r="DR133" s="226"/>
      <c r="DS133" s="226"/>
      <c r="DT133" s="226"/>
      <c r="DU133" s="226"/>
      <c r="DV133" s="226"/>
      <c r="DW133" s="226"/>
      <c r="DX133" s="226"/>
      <c r="DY133" s="226"/>
      <c r="DZ133" s="226"/>
      <c r="EA133" s="226"/>
      <c r="EB133" s="226"/>
      <c r="EC133" s="226"/>
      <c r="ED133" s="226"/>
      <c r="EE133" s="226"/>
      <c r="EF133" s="226"/>
      <c r="EG133" s="226"/>
      <c r="EH133" s="226"/>
      <c r="EI133" s="226"/>
      <c r="EJ133" s="226"/>
      <c r="EK133" s="226"/>
      <c r="EL133" s="226"/>
      <c r="EM133" s="226"/>
      <c r="EN133" s="226"/>
      <c r="EO133" s="226"/>
      <c r="EP133" s="226"/>
      <c r="EQ133" s="226"/>
      <c r="ER133" s="226"/>
      <c r="ES133" s="226"/>
      <c r="ET133" s="226"/>
      <c r="EU133" s="226"/>
      <c r="EV133" s="226"/>
      <c r="EW133" s="226"/>
      <c r="EX133" s="226"/>
      <c r="EY133" s="226"/>
      <c r="EZ133" s="226"/>
      <c r="FA133" s="226"/>
      <c r="FB133" s="226"/>
      <c r="FC133" s="226"/>
      <c r="FD133" s="226"/>
      <c r="FE133" s="226"/>
      <c r="FF133" s="226"/>
      <c r="FG133" s="226"/>
      <c r="FH133" s="226"/>
      <c r="FI133" s="226"/>
      <c r="FJ133" s="226"/>
      <c r="FK133" s="226"/>
      <c r="FL133" s="226"/>
      <c r="FM133" s="226"/>
      <c r="FN133" s="226"/>
      <c r="FO133" s="226"/>
      <c r="FP133" s="226"/>
      <c r="FQ133" s="226"/>
      <c r="FR133" s="226"/>
      <c r="FS133" s="226"/>
      <c r="FT133" s="226"/>
      <c r="FU133" s="226"/>
      <c r="FV133" s="226"/>
      <c r="FW133" s="226"/>
      <c r="FX133" s="226"/>
      <c r="FY133" s="226"/>
      <c r="FZ133" s="226"/>
      <c r="GA133" s="226"/>
      <c r="GB133" s="226"/>
      <c r="GC133" s="226"/>
      <c r="GD133" s="226"/>
      <c r="GE133" s="226"/>
      <c r="GF133" s="226"/>
      <c r="GG133" s="226"/>
      <c r="GH133" s="226"/>
      <c r="GI133" s="226"/>
      <c r="GJ133" s="226"/>
      <c r="GK133" s="226"/>
      <c r="GL133" s="226"/>
      <c r="GM133" s="226"/>
      <c r="GN133" s="226"/>
      <c r="GO133" s="226"/>
      <c r="GP133" s="226"/>
      <c r="GQ133" s="226"/>
      <c r="GR133" s="226"/>
      <c r="GS133" s="226"/>
      <c r="GT133" s="226"/>
      <c r="GU133" s="226"/>
      <c r="GV133" s="226"/>
      <c r="GW133" s="226"/>
      <c r="GX133" s="226"/>
      <c r="GY133" s="226"/>
      <c r="GZ133" s="226"/>
      <c r="HA133" s="226"/>
      <c r="HB133" s="226"/>
      <c r="HC133" s="226"/>
      <c r="HD133" s="226"/>
    </row>
    <row r="134" spans="1:212" ht="14.1" customHeight="1" x14ac:dyDescent="0.2">
      <c r="A134" s="226"/>
      <c r="B134" s="226"/>
      <c r="C134" s="226"/>
      <c r="D134" s="226"/>
      <c r="E134" s="226"/>
      <c r="F134" s="226"/>
      <c r="G134" s="226"/>
      <c r="H134" s="226"/>
      <c r="I134" s="226"/>
      <c r="J134" s="226"/>
      <c r="K134" s="226"/>
      <c r="L134" s="226"/>
      <c r="M134" s="226"/>
      <c r="N134" s="226"/>
      <c r="O134" s="226"/>
      <c r="P134" s="226"/>
      <c r="Q134" s="226"/>
      <c r="R134" s="226"/>
      <c r="S134" s="226"/>
      <c r="T134" s="226"/>
      <c r="U134" s="226"/>
      <c r="V134" s="226"/>
      <c r="W134" s="226"/>
      <c r="X134" s="226"/>
      <c r="Y134" s="226"/>
      <c r="Z134" s="226"/>
      <c r="AA134" s="226"/>
      <c r="AB134" s="226"/>
      <c r="AC134" s="226"/>
      <c r="AD134" s="226"/>
      <c r="AE134" s="226"/>
      <c r="AF134" s="226"/>
      <c r="AG134" s="226"/>
      <c r="AH134" s="226"/>
      <c r="AI134" s="226"/>
      <c r="AJ134" s="226"/>
      <c r="AK134" s="226"/>
      <c r="AL134" s="226"/>
      <c r="AM134" s="226"/>
      <c r="AN134" s="226"/>
      <c r="AO134" s="226"/>
      <c r="AP134" s="226"/>
      <c r="AQ134" s="226"/>
      <c r="AR134" s="226"/>
      <c r="AS134" s="226"/>
      <c r="AT134" s="226"/>
      <c r="AU134" s="226"/>
      <c r="AV134" s="226"/>
      <c r="AW134" s="226"/>
      <c r="AX134" s="226"/>
      <c r="AY134" s="226"/>
      <c r="AZ134" s="226"/>
      <c r="BA134" s="226"/>
      <c r="BB134" s="226"/>
      <c r="BC134" s="226"/>
      <c r="BD134" s="226"/>
      <c r="BE134" s="226"/>
      <c r="BF134" s="226"/>
      <c r="BG134" s="226"/>
      <c r="BH134" s="226"/>
      <c r="BI134" s="226"/>
      <c r="BJ134" s="226"/>
      <c r="BK134" s="226"/>
      <c r="BL134" s="226"/>
      <c r="BM134" s="226"/>
      <c r="BN134" s="226"/>
      <c r="BO134" s="226"/>
      <c r="BP134" s="226"/>
      <c r="BQ134" s="226"/>
      <c r="BR134" s="226"/>
      <c r="BS134" s="226"/>
      <c r="BT134" s="226"/>
      <c r="BU134" s="226"/>
      <c r="BV134" s="226"/>
      <c r="BW134" s="226"/>
      <c r="BX134" s="226"/>
      <c r="BY134" s="226"/>
      <c r="BZ134" s="226"/>
      <c r="CA134" s="226"/>
      <c r="CB134" s="226"/>
      <c r="CC134" s="226"/>
      <c r="CD134" s="226"/>
      <c r="CE134" s="226"/>
      <c r="CF134" s="226"/>
      <c r="CG134" s="226"/>
      <c r="CH134" s="226"/>
      <c r="CI134" s="226"/>
      <c r="CJ134" s="226"/>
      <c r="CK134" s="226"/>
      <c r="CL134" s="226"/>
      <c r="CM134" s="226"/>
      <c r="CN134" s="226"/>
      <c r="CO134" s="226"/>
      <c r="CP134" s="226"/>
      <c r="CQ134" s="226"/>
      <c r="CR134" s="226"/>
      <c r="CS134" s="226"/>
      <c r="CT134" s="226"/>
      <c r="CU134" s="226"/>
      <c r="CV134" s="226"/>
      <c r="CW134" s="226"/>
      <c r="CX134" s="226"/>
      <c r="CY134" s="226"/>
      <c r="CZ134" s="226"/>
      <c r="DA134" s="226"/>
      <c r="DB134" s="226"/>
      <c r="DC134" s="226"/>
      <c r="DD134" s="226"/>
      <c r="DE134" s="226"/>
      <c r="DF134" s="226"/>
      <c r="DG134" s="226"/>
      <c r="DH134" s="226"/>
      <c r="DI134" s="226"/>
      <c r="DJ134" s="226"/>
      <c r="DK134" s="226"/>
      <c r="DL134" s="226"/>
      <c r="DM134" s="226"/>
      <c r="DN134" s="226"/>
      <c r="DO134" s="226"/>
      <c r="DP134" s="226"/>
      <c r="DQ134" s="226"/>
      <c r="DR134" s="226"/>
      <c r="DS134" s="226"/>
      <c r="DT134" s="226"/>
      <c r="DU134" s="226"/>
      <c r="DV134" s="226"/>
      <c r="DW134" s="226"/>
      <c r="DX134" s="226"/>
      <c r="DY134" s="226"/>
      <c r="DZ134" s="226"/>
      <c r="EA134" s="226"/>
      <c r="EB134" s="226"/>
      <c r="EC134" s="226"/>
      <c r="ED134" s="226"/>
      <c r="EE134" s="226"/>
      <c r="EF134" s="226"/>
      <c r="EG134" s="226"/>
      <c r="EH134" s="226"/>
      <c r="EI134" s="226"/>
      <c r="EJ134" s="226"/>
      <c r="EK134" s="226"/>
      <c r="EL134" s="226"/>
      <c r="EM134" s="226"/>
      <c r="EN134" s="226"/>
      <c r="EO134" s="226"/>
      <c r="EP134" s="226"/>
      <c r="EQ134" s="226"/>
      <c r="ER134" s="226"/>
      <c r="ES134" s="226"/>
      <c r="ET134" s="226"/>
      <c r="EU134" s="226"/>
      <c r="EV134" s="226"/>
      <c r="EW134" s="226"/>
      <c r="EX134" s="226"/>
      <c r="EY134" s="226"/>
      <c r="EZ134" s="226"/>
      <c r="FA134" s="226"/>
      <c r="FB134" s="226"/>
      <c r="FC134" s="226"/>
      <c r="FD134" s="226"/>
      <c r="FE134" s="226"/>
      <c r="FF134" s="226"/>
      <c r="FG134" s="226"/>
      <c r="FH134" s="226"/>
      <c r="FI134" s="226"/>
      <c r="FJ134" s="226"/>
      <c r="FK134" s="226"/>
      <c r="FL134" s="226"/>
      <c r="FM134" s="226"/>
      <c r="FN134" s="226"/>
      <c r="FO134" s="226"/>
      <c r="FP134" s="226"/>
      <c r="FQ134" s="226"/>
      <c r="FR134" s="226"/>
      <c r="FS134" s="226"/>
      <c r="FT134" s="226"/>
      <c r="FU134" s="226"/>
      <c r="FV134" s="226"/>
      <c r="FW134" s="226"/>
      <c r="FX134" s="226"/>
      <c r="FY134" s="226"/>
      <c r="FZ134" s="226"/>
      <c r="GA134" s="226"/>
      <c r="GB134" s="226"/>
      <c r="GC134" s="226"/>
      <c r="GD134" s="226"/>
      <c r="GE134" s="226"/>
      <c r="GF134" s="226"/>
      <c r="GG134" s="226"/>
      <c r="GH134" s="226"/>
      <c r="GI134" s="226"/>
      <c r="GJ134" s="226"/>
      <c r="GK134" s="226"/>
      <c r="GL134" s="226"/>
      <c r="GM134" s="226"/>
      <c r="GN134" s="226"/>
      <c r="GO134" s="226"/>
      <c r="GP134" s="226"/>
      <c r="GQ134" s="226"/>
      <c r="GR134" s="226"/>
      <c r="GS134" s="226"/>
      <c r="GT134" s="226"/>
      <c r="GU134" s="226"/>
      <c r="GV134" s="226"/>
      <c r="GW134" s="226"/>
      <c r="GX134" s="226"/>
      <c r="GY134" s="226"/>
      <c r="GZ134" s="226"/>
      <c r="HA134" s="226"/>
      <c r="HB134" s="226"/>
      <c r="HC134" s="226"/>
      <c r="HD134" s="226"/>
    </row>
    <row r="135" spans="1:212" ht="14.1" customHeight="1" x14ac:dyDescent="0.2">
      <c r="A135" s="226"/>
      <c r="B135" s="226"/>
      <c r="C135" s="226"/>
      <c r="D135" s="226"/>
      <c r="E135" s="226"/>
      <c r="F135" s="226"/>
      <c r="G135" s="226"/>
      <c r="H135" s="226"/>
      <c r="I135" s="226"/>
      <c r="J135" s="226"/>
      <c r="K135" s="226"/>
      <c r="L135" s="226"/>
      <c r="M135" s="226"/>
      <c r="N135" s="226"/>
      <c r="O135" s="226"/>
      <c r="P135" s="226"/>
      <c r="Q135" s="226"/>
      <c r="R135" s="226"/>
      <c r="S135" s="226"/>
      <c r="T135" s="226"/>
      <c r="U135" s="226"/>
      <c r="V135" s="226"/>
      <c r="W135" s="226"/>
      <c r="X135" s="226"/>
      <c r="Y135" s="226"/>
      <c r="Z135" s="226"/>
      <c r="AA135" s="226"/>
      <c r="AB135" s="226"/>
      <c r="AC135" s="226"/>
      <c r="AD135" s="226"/>
      <c r="AE135" s="226"/>
      <c r="AF135" s="226"/>
      <c r="AG135" s="226"/>
      <c r="AH135" s="226"/>
      <c r="AI135" s="226"/>
      <c r="AJ135" s="226"/>
      <c r="AK135" s="226"/>
      <c r="AL135" s="226"/>
      <c r="AM135" s="226"/>
      <c r="AN135" s="226"/>
      <c r="AO135" s="226"/>
      <c r="AP135" s="226"/>
      <c r="AQ135" s="226"/>
      <c r="AR135" s="226"/>
      <c r="AS135" s="226"/>
      <c r="AT135" s="226"/>
      <c r="AU135" s="226"/>
      <c r="AV135" s="226"/>
      <c r="AW135" s="226"/>
      <c r="AX135" s="226"/>
      <c r="AY135" s="226"/>
      <c r="AZ135" s="226"/>
      <c r="BA135" s="226"/>
      <c r="BB135" s="226"/>
      <c r="BC135" s="226"/>
      <c r="BD135" s="226"/>
      <c r="BE135" s="226"/>
      <c r="BF135" s="226"/>
      <c r="BG135" s="226"/>
      <c r="BH135" s="226"/>
      <c r="BI135" s="226"/>
      <c r="BJ135" s="226"/>
      <c r="BK135" s="226"/>
      <c r="BL135" s="226"/>
      <c r="BM135" s="226"/>
      <c r="BN135" s="226"/>
      <c r="BO135" s="226"/>
      <c r="BP135" s="226"/>
      <c r="BQ135" s="226"/>
      <c r="BR135" s="226"/>
      <c r="BS135" s="226"/>
      <c r="BT135" s="226"/>
      <c r="BU135" s="226"/>
      <c r="BV135" s="226"/>
      <c r="BW135" s="226"/>
      <c r="BX135" s="226"/>
      <c r="BY135" s="226"/>
      <c r="BZ135" s="226"/>
      <c r="CA135" s="226"/>
      <c r="CB135" s="226"/>
      <c r="CC135" s="226"/>
      <c r="CD135" s="226"/>
      <c r="CE135" s="226"/>
      <c r="CF135" s="226"/>
      <c r="CG135" s="226"/>
      <c r="CH135" s="226"/>
      <c r="CI135" s="226"/>
      <c r="CJ135" s="226"/>
      <c r="CK135" s="226"/>
      <c r="CL135" s="226"/>
      <c r="CM135" s="226"/>
      <c r="CN135" s="226"/>
      <c r="CO135" s="226"/>
      <c r="CP135" s="226"/>
      <c r="CQ135" s="226"/>
      <c r="CR135" s="226"/>
      <c r="CS135" s="226"/>
      <c r="CT135" s="226"/>
      <c r="CU135" s="226"/>
      <c r="CV135" s="226"/>
      <c r="CW135" s="226"/>
      <c r="CX135" s="226"/>
      <c r="CY135" s="226"/>
      <c r="CZ135" s="226"/>
      <c r="DA135" s="226"/>
      <c r="DB135" s="226"/>
      <c r="DC135" s="226"/>
      <c r="DD135" s="226"/>
      <c r="DE135" s="226"/>
      <c r="DF135" s="226"/>
      <c r="DG135" s="226"/>
      <c r="DH135" s="226"/>
      <c r="DI135" s="226"/>
      <c r="DJ135" s="226"/>
      <c r="DK135" s="226"/>
      <c r="DL135" s="226"/>
      <c r="DM135" s="226"/>
      <c r="DN135" s="226"/>
      <c r="DO135" s="226"/>
      <c r="DP135" s="226"/>
      <c r="DQ135" s="226"/>
      <c r="DR135" s="226"/>
      <c r="DS135" s="226"/>
      <c r="DT135" s="226"/>
      <c r="DU135" s="226"/>
      <c r="DV135" s="226"/>
      <c r="DW135" s="226"/>
      <c r="DX135" s="226"/>
      <c r="DY135" s="226"/>
      <c r="DZ135" s="226"/>
      <c r="EA135" s="226"/>
      <c r="EB135" s="226"/>
      <c r="EC135" s="226"/>
      <c r="ED135" s="226"/>
      <c r="EE135" s="226"/>
      <c r="EF135" s="226"/>
      <c r="EG135" s="226"/>
      <c r="EH135" s="226"/>
      <c r="EI135" s="226"/>
      <c r="EJ135" s="226"/>
      <c r="EK135" s="226"/>
      <c r="EL135" s="226"/>
      <c r="EM135" s="226"/>
      <c r="EN135" s="226"/>
      <c r="EO135" s="226"/>
      <c r="EP135" s="226"/>
      <c r="EQ135" s="226"/>
      <c r="ER135" s="226"/>
      <c r="ES135" s="226"/>
      <c r="ET135" s="226"/>
      <c r="EU135" s="226"/>
      <c r="EV135" s="226"/>
      <c r="EW135" s="226"/>
      <c r="EX135" s="226"/>
      <c r="EY135" s="226"/>
      <c r="EZ135" s="226"/>
      <c r="FA135" s="226"/>
      <c r="FB135" s="226"/>
      <c r="FC135" s="226"/>
      <c r="FD135" s="226"/>
      <c r="FE135" s="226"/>
      <c r="FF135" s="226"/>
      <c r="FG135" s="226"/>
      <c r="FH135" s="226"/>
      <c r="FI135" s="226"/>
      <c r="FJ135" s="226"/>
      <c r="FK135" s="226"/>
      <c r="FL135" s="226"/>
      <c r="FM135" s="226"/>
      <c r="FN135" s="226"/>
      <c r="FO135" s="226"/>
      <c r="FP135" s="226"/>
      <c r="FQ135" s="226"/>
      <c r="FR135" s="226"/>
      <c r="FS135" s="226"/>
      <c r="FT135" s="226"/>
      <c r="FU135" s="226"/>
      <c r="FV135" s="226"/>
      <c r="FW135" s="226"/>
      <c r="FX135" s="226"/>
      <c r="FY135" s="226"/>
      <c r="FZ135" s="226"/>
      <c r="GA135" s="226"/>
      <c r="GB135" s="226"/>
      <c r="GC135" s="226"/>
      <c r="GD135" s="226"/>
      <c r="GE135" s="226"/>
      <c r="GF135" s="226"/>
      <c r="GG135" s="226"/>
      <c r="GH135" s="226"/>
      <c r="GI135" s="226"/>
      <c r="GJ135" s="226"/>
      <c r="GK135" s="226"/>
      <c r="GL135" s="226"/>
      <c r="GM135" s="226"/>
      <c r="GN135" s="226"/>
      <c r="GO135" s="226"/>
      <c r="GP135" s="226"/>
      <c r="GQ135" s="226"/>
      <c r="GR135" s="226"/>
      <c r="GS135" s="226"/>
      <c r="GT135" s="226"/>
      <c r="GU135" s="226"/>
      <c r="GV135" s="226"/>
      <c r="GW135" s="226"/>
      <c r="GX135" s="226"/>
      <c r="GY135" s="226"/>
      <c r="GZ135" s="226"/>
      <c r="HA135" s="226"/>
      <c r="HB135" s="226"/>
      <c r="HC135" s="226"/>
      <c r="HD135" s="226"/>
    </row>
    <row r="136" spans="1:212" ht="14.1" customHeight="1" x14ac:dyDescent="0.2">
      <c r="A136" s="226"/>
      <c r="B136" s="226"/>
      <c r="C136" s="226"/>
      <c r="D136" s="226"/>
      <c r="E136" s="226"/>
      <c r="F136" s="226"/>
      <c r="G136" s="226"/>
      <c r="H136" s="226"/>
      <c r="I136" s="226"/>
      <c r="J136" s="226"/>
      <c r="K136" s="226"/>
      <c r="L136" s="226"/>
      <c r="M136" s="226"/>
      <c r="N136" s="226"/>
      <c r="O136" s="226"/>
      <c r="P136" s="226"/>
      <c r="Q136" s="226"/>
      <c r="R136" s="226"/>
      <c r="S136" s="226"/>
      <c r="T136" s="226"/>
      <c r="U136" s="226"/>
      <c r="V136" s="226"/>
      <c r="W136" s="226"/>
      <c r="X136" s="226"/>
      <c r="Y136" s="226"/>
      <c r="Z136" s="226"/>
      <c r="AA136" s="226"/>
      <c r="AB136" s="226"/>
      <c r="AC136" s="226"/>
      <c r="AD136" s="226"/>
      <c r="AE136" s="226"/>
      <c r="AF136" s="226"/>
      <c r="AG136" s="226"/>
      <c r="AH136" s="226"/>
      <c r="AI136" s="226"/>
      <c r="AJ136" s="226"/>
      <c r="AK136" s="226"/>
      <c r="AL136" s="226"/>
      <c r="AM136" s="226"/>
      <c r="AN136" s="226"/>
      <c r="AO136" s="226"/>
      <c r="AP136" s="226"/>
      <c r="AQ136" s="226"/>
      <c r="AR136" s="226"/>
      <c r="AS136" s="226"/>
      <c r="AT136" s="226"/>
      <c r="AU136" s="226"/>
      <c r="AV136" s="226"/>
      <c r="AW136" s="226"/>
      <c r="AX136" s="226"/>
      <c r="AY136" s="226"/>
      <c r="AZ136" s="226"/>
      <c r="BA136" s="226"/>
      <c r="BB136" s="226"/>
      <c r="BC136" s="226"/>
      <c r="BD136" s="226"/>
      <c r="BE136" s="226"/>
      <c r="BF136" s="226"/>
      <c r="BG136" s="226"/>
      <c r="BH136" s="226"/>
      <c r="BI136" s="226"/>
      <c r="BJ136" s="226"/>
      <c r="BK136" s="226"/>
      <c r="BL136" s="226"/>
      <c r="BM136" s="226"/>
      <c r="BN136" s="226"/>
      <c r="BO136" s="226"/>
      <c r="BP136" s="226"/>
      <c r="BQ136" s="226"/>
      <c r="BR136" s="226"/>
      <c r="BS136" s="226"/>
      <c r="BT136" s="226"/>
      <c r="BU136" s="226"/>
      <c r="BV136" s="226"/>
      <c r="BW136" s="226"/>
      <c r="BX136" s="226"/>
      <c r="BY136" s="226"/>
      <c r="BZ136" s="226"/>
      <c r="CA136" s="226"/>
      <c r="CB136" s="226"/>
      <c r="CC136" s="226"/>
      <c r="CD136" s="226"/>
      <c r="CE136" s="226"/>
      <c r="CF136" s="226"/>
      <c r="CG136" s="226"/>
      <c r="CH136" s="226"/>
      <c r="CI136" s="226"/>
      <c r="CJ136" s="226"/>
      <c r="CK136" s="226"/>
      <c r="CL136" s="226"/>
      <c r="CM136" s="226"/>
      <c r="CN136" s="226"/>
      <c r="CO136" s="226"/>
      <c r="CP136" s="226"/>
      <c r="CQ136" s="226"/>
      <c r="CR136" s="226"/>
      <c r="CS136" s="226"/>
      <c r="CT136" s="226"/>
      <c r="CU136" s="226"/>
      <c r="CV136" s="226"/>
      <c r="CW136" s="226"/>
      <c r="CX136" s="226"/>
      <c r="CY136" s="226"/>
      <c r="CZ136" s="226"/>
      <c r="DA136" s="226"/>
      <c r="DB136" s="226"/>
      <c r="DC136" s="226"/>
      <c r="DD136" s="226"/>
      <c r="DE136" s="226"/>
      <c r="DF136" s="226"/>
      <c r="DG136" s="226"/>
      <c r="DH136" s="226"/>
      <c r="DI136" s="226"/>
      <c r="DJ136" s="226"/>
      <c r="DK136" s="226"/>
      <c r="DL136" s="226"/>
      <c r="DM136" s="226"/>
      <c r="DN136" s="226"/>
      <c r="DO136" s="226"/>
      <c r="DP136" s="226"/>
      <c r="DQ136" s="226"/>
      <c r="DR136" s="226"/>
      <c r="DS136" s="226"/>
      <c r="DT136" s="226"/>
      <c r="DU136" s="226"/>
      <c r="DV136" s="226"/>
      <c r="DW136" s="226"/>
      <c r="DX136" s="226"/>
      <c r="DY136" s="226"/>
      <c r="DZ136" s="226"/>
      <c r="EA136" s="226"/>
      <c r="EB136" s="226"/>
      <c r="EC136" s="226"/>
      <c r="ED136" s="226"/>
      <c r="EE136" s="226"/>
      <c r="EF136" s="226"/>
      <c r="EG136" s="226"/>
      <c r="EH136" s="226"/>
      <c r="EI136" s="226"/>
      <c r="EJ136" s="226"/>
      <c r="EK136" s="226"/>
      <c r="EL136" s="226"/>
      <c r="EM136" s="226"/>
      <c r="EN136" s="226"/>
      <c r="EO136" s="226"/>
      <c r="EP136" s="226"/>
      <c r="EQ136" s="226"/>
      <c r="ER136" s="226"/>
      <c r="ES136" s="226"/>
      <c r="ET136" s="226"/>
      <c r="EU136" s="226"/>
      <c r="EV136" s="226"/>
      <c r="EW136" s="226"/>
      <c r="EX136" s="226"/>
      <c r="EY136" s="226"/>
      <c r="EZ136" s="226"/>
      <c r="FA136" s="226"/>
      <c r="FB136" s="226"/>
      <c r="FC136" s="226"/>
      <c r="FD136" s="226"/>
      <c r="FE136" s="226"/>
      <c r="FF136" s="226"/>
      <c r="FG136" s="226"/>
      <c r="FH136" s="226"/>
      <c r="FI136" s="226"/>
      <c r="FJ136" s="226"/>
      <c r="FK136" s="226"/>
      <c r="FL136" s="226"/>
      <c r="FM136" s="226"/>
      <c r="FN136" s="226"/>
      <c r="FO136" s="226"/>
      <c r="FP136" s="226"/>
      <c r="FQ136" s="226"/>
      <c r="FR136" s="226"/>
      <c r="FS136" s="226"/>
      <c r="FT136" s="226"/>
      <c r="FU136" s="226"/>
      <c r="FV136" s="226"/>
      <c r="FW136" s="226"/>
      <c r="FX136" s="226"/>
      <c r="FY136" s="226"/>
      <c r="FZ136" s="226"/>
      <c r="GA136" s="226"/>
      <c r="GB136" s="226"/>
      <c r="GC136" s="226"/>
      <c r="GD136" s="226"/>
      <c r="GE136" s="226"/>
      <c r="GF136" s="226"/>
      <c r="GG136" s="226"/>
      <c r="GH136" s="226"/>
      <c r="GI136" s="226"/>
      <c r="GJ136" s="226"/>
      <c r="GK136" s="226"/>
      <c r="GL136" s="226"/>
      <c r="GM136" s="226"/>
      <c r="GN136" s="226"/>
      <c r="GO136" s="226"/>
      <c r="GP136" s="226"/>
      <c r="GQ136" s="226"/>
      <c r="GR136" s="226"/>
      <c r="GS136" s="226"/>
      <c r="GT136" s="226"/>
      <c r="GU136" s="226"/>
      <c r="GV136" s="226"/>
      <c r="GW136" s="226"/>
      <c r="GX136" s="226"/>
      <c r="GY136" s="226"/>
      <c r="GZ136" s="226"/>
      <c r="HA136" s="226"/>
      <c r="HB136" s="226"/>
      <c r="HC136" s="226"/>
      <c r="HD136" s="226"/>
    </row>
    <row r="137" spans="1:212" ht="14.1" customHeight="1" x14ac:dyDescent="0.2">
      <c r="A137" s="226"/>
      <c r="B137" s="226"/>
      <c r="C137" s="226"/>
      <c r="D137" s="226"/>
      <c r="E137" s="226"/>
      <c r="F137" s="226"/>
      <c r="G137" s="226"/>
      <c r="H137" s="226"/>
      <c r="I137" s="226"/>
      <c r="J137" s="226"/>
      <c r="K137" s="226"/>
      <c r="L137" s="226"/>
      <c r="M137" s="226"/>
      <c r="N137" s="226"/>
      <c r="O137" s="226"/>
      <c r="P137" s="226"/>
      <c r="Q137" s="226"/>
      <c r="R137" s="226"/>
      <c r="S137" s="226"/>
      <c r="T137" s="226"/>
      <c r="U137" s="226"/>
      <c r="V137" s="226"/>
      <c r="W137" s="226"/>
      <c r="X137" s="226"/>
      <c r="Y137" s="226"/>
      <c r="Z137" s="226"/>
      <c r="AA137" s="226"/>
      <c r="AB137" s="226"/>
      <c r="AC137" s="226"/>
      <c r="AD137" s="226"/>
      <c r="AE137" s="226"/>
      <c r="AF137" s="226"/>
      <c r="AG137" s="226"/>
      <c r="AH137" s="226"/>
      <c r="AI137" s="226"/>
      <c r="AJ137" s="226"/>
      <c r="AK137" s="226"/>
      <c r="AL137" s="226"/>
      <c r="AM137" s="226"/>
      <c r="AN137" s="226"/>
      <c r="AO137" s="226"/>
      <c r="AP137" s="226"/>
      <c r="AQ137" s="226"/>
      <c r="AR137" s="226"/>
      <c r="AS137" s="226"/>
      <c r="AT137" s="226"/>
      <c r="AU137" s="226"/>
      <c r="AV137" s="226"/>
      <c r="AW137" s="226"/>
      <c r="AX137" s="226"/>
      <c r="AY137" s="226"/>
      <c r="AZ137" s="226"/>
      <c r="BA137" s="226"/>
      <c r="BB137" s="226"/>
      <c r="BC137" s="226"/>
      <c r="BD137" s="226"/>
      <c r="BE137" s="226"/>
      <c r="BF137" s="226"/>
      <c r="BG137" s="226"/>
      <c r="BH137" s="226"/>
      <c r="BI137" s="226"/>
      <c r="BJ137" s="226"/>
      <c r="BK137" s="226"/>
      <c r="BL137" s="226"/>
      <c r="BM137" s="226"/>
      <c r="BN137" s="226"/>
      <c r="BO137" s="226"/>
      <c r="BP137" s="226"/>
      <c r="BQ137" s="226"/>
      <c r="BR137" s="226"/>
      <c r="BS137" s="226"/>
      <c r="BT137" s="226"/>
      <c r="BU137" s="226"/>
      <c r="BV137" s="226"/>
      <c r="BW137" s="226"/>
      <c r="BX137" s="226"/>
      <c r="BY137" s="226"/>
      <c r="BZ137" s="226"/>
      <c r="CA137" s="226"/>
      <c r="CB137" s="226"/>
      <c r="CC137" s="226"/>
      <c r="CD137" s="226"/>
      <c r="CE137" s="226"/>
      <c r="CF137" s="226"/>
      <c r="CG137" s="226"/>
      <c r="CH137" s="226"/>
      <c r="CI137" s="226"/>
      <c r="CJ137" s="226"/>
      <c r="CK137" s="226"/>
      <c r="CL137" s="226"/>
      <c r="CM137" s="226"/>
      <c r="CN137" s="226"/>
      <c r="CO137" s="226"/>
      <c r="CP137" s="226"/>
      <c r="CQ137" s="226"/>
      <c r="CR137" s="226"/>
      <c r="CS137" s="226"/>
      <c r="CT137" s="226"/>
      <c r="CU137" s="226"/>
      <c r="CV137" s="226"/>
      <c r="CW137" s="226"/>
      <c r="CX137" s="226"/>
      <c r="CY137" s="226"/>
      <c r="CZ137" s="226"/>
      <c r="DA137" s="226"/>
      <c r="DB137" s="226"/>
      <c r="DC137" s="226"/>
      <c r="DD137" s="226"/>
      <c r="DE137" s="226"/>
      <c r="DF137" s="226"/>
      <c r="DG137" s="226"/>
      <c r="DH137" s="226"/>
      <c r="DI137" s="226"/>
      <c r="DJ137" s="226"/>
      <c r="DK137" s="226"/>
      <c r="DL137" s="226"/>
      <c r="DM137" s="226"/>
      <c r="DN137" s="226"/>
      <c r="DO137" s="226"/>
      <c r="DP137" s="226"/>
      <c r="DQ137" s="226"/>
      <c r="DR137" s="226"/>
      <c r="DS137" s="226"/>
      <c r="DT137" s="226"/>
      <c r="DU137" s="226"/>
      <c r="DV137" s="226"/>
      <c r="DW137" s="226"/>
      <c r="DX137" s="226"/>
      <c r="DY137" s="226"/>
      <c r="DZ137" s="226"/>
      <c r="EA137" s="226"/>
      <c r="EB137" s="226"/>
      <c r="EC137" s="226"/>
      <c r="ED137" s="226"/>
      <c r="EE137" s="226"/>
      <c r="EF137" s="226"/>
      <c r="EG137" s="226"/>
      <c r="EH137" s="226"/>
      <c r="EI137" s="226"/>
      <c r="EJ137" s="226"/>
      <c r="EK137" s="226"/>
      <c r="EL137" s="226"/>
      <c r="EM137" s="226"/>
      <c r="EN137" s="226"/>
      <c r="EO137" s="226"/>
      <c r="EP137" s="226"/>
      <c r="EQ137" s="226"/>
      <c r="ER137" s="226"/>
      <c r="ES137" s="226"/>
      <c r="ET137" s="226"/>
      <c r="EU137" s="226"/>
      <c r="EV137" s="226"/>
      <c r="EW137" s="226"/>
      <c r="EX137" s="226"/>
      <c r="EY137" s="226"/>
      <c r="EZ137" s="226"/>
      <c r="FA137" s="226"/>
      <c r="FB137" s="226"/>
      <c r="FC137" s="226"/>
      <c r="FD137" s="226"/>
      <c r="FE137" s="226"/>
      <c r="FF137" s="226"/>
      <c r="FG137" s="226"/>
      <c r="FH137" s="226"/>
      <c r="FI137" s="226"/>
      <c r="FJ137" s="226"/>
      <c r="FK137" s="226"/>
      <c r="FL137" s="226"/>
      <c r="FM137" s="226"/>
      <c r="FN137" s="226"/>
      <c r="FO137" s="226"/>
      <c r="FP137" s="226"/>
      <c r="FQ137" s="226"/>
      <c r="FR137" s="226"/>
      <c r="FS137" s="226"/>
      <c r="FT137" s="226"/>
      <c r="FU137" s="226"/>
      <c r="FV137" s="226"/>
      <c r="FW137" s="226"/>
      <c r="FX137" s="226"/>
      <c r="FY137" s="226"/>
      <c r="FZ137" s="226"/>
      <c r="GA137" s="226"/>
      <c r="GB137" s="226"/>
      <c r="GC137" s="226"/>
      <c r="GD137" s="226"/>
      <c r="GE137" s="226"/>
      <c r="GF137" s="226"/>
      <c r="GG137" s="226"/>
      <c r="GH137" s="226"/>
      <c r="GI137" s="226"/>
      <c r="GJ137" s="226"/>
      <c r="GK137" s="226"/>
      <c r="GL137" s="226"/>
      <c r="GM137" s="226"/>
      <c r="GN137" s="226"/>
      <c r="GO137" s="226"/>
      <c r="GP137" s="226"/>
      <c r="GQ137" s="226"/>
      <c r="GR137" s="226"/>
      <c r="GS137" s="226"/>
      <c r="GT137" s="226"/>
      <c r="GU137" s="226"/>
      <c r="GV137" s="226"/>
      <c r="GW137" s="226"/>
      <c r="GX137" s="226"/>
      <c r="GY137" s="226"/>
      <c r="GZ137" s="226"/>
      <c r="HA137" s="226"/>
      <c r="HB137" s="226"/>
      <c r="HC137" s="226"/>
      <c r="HD137" s="226"/>
    </row>
    <row r="138" spans="1:212" ht="14.1" customHeight="1" x14ac:dyDescent="0.2">
      <c r="A138" s="226"/>
      <c r="B138" s="226"/>
      <c r="C138" s="226"/>
      <c r="D138" s="226"/>
      <c r="E138" s="226"/>
      <c r="F138" s="226"/>
      <c r="G138" s="226"/>
      <c r="H138" s="226"/>
      <c r="I138" s="226"/>
      <c r="J138" s="226"/>
      <c r="K138" s="226"/>
      <c r="L138" s="226"/>
      <c r="M138" s="226"/>
      <c r="N138" s="226"/>
      <c r="O138" s="226"/>
      <c r="P138" s="226"/>
      <c r="Q138" s="226"/>
      <c r="R138" s="226"/>
      <c r="S138" s="226"/>
      <c r="T138" s="226"/>
      <c r="U138" s="226"/>
      <c r="V138" s="226"/>
      <c r="W138" s="226"/>
      <c r="X138" s="226"/>
      <c r="Y138" s="226"/>
      <c r="Z138" s="226"/>
      <c r="AA138" s="226"/>
      <c r="AB138" s="226"/>
      <c r="AC138" s="226"/>
      <c r="AD138" s="226"/>
      <c r="AE138" s="226"/>
      <c r="AF138" s="226"/>
      <c r="AG138" s="226"/>
      <c r="AH138" s="226"/>
      <c r="AI138" s="226"/>
      <c r="AJ138" s="226"/>
      <c r="AK138" s="226"/>
      <c r="AL138" s="226"/>
      <c r="AM138" s="226"/>
      <c r="AN138" s="226"/>
      <c r="AO138" s="226"/>
      <c r="AP138" s="226"/>
      <c r="AQ138" s="226"/>
      <c r="AR138" s="226"/>
      <c r="AS138" s="226"/>
      <c r="AT138" s="226"/>
      <c r="AU138" s="226"/>
      <c r="AV138" s="226"/>
      <c r="AW138" s="226"/>
      <c r="AX138" s="226"/>
      <c r="AY138" s="226"/>
      <c r="AZ138" s="226"/>
      <c r="BA138" s="226"/>
      <c r="BB138" s="226"/>
      <c r="BC138" s="226"/>
      <c r="BD138" s="226"/>
      <c r="BE138" s="226"/>
      <c r="BF138" s="226"/>
      <c r="BG138" s="226"/>
      <c r="BH138" s="226"/>
      <c r="BI138" s="226"/>
      <c r="BJ138" s="226"/>
      <c r="BK138" s="226"/>
      <c r="BL138" s="226"/>
      <c r="BM138" s="226"/>
      <c r="BN138" s="226"/>
      <c r="BO138" s="226"/>
      <c r="BP138" s="226"/>
      <c r="BQ138" s="226"/>
      <c r="BR138" s="226"/>
      <c r="BS138" s="226"/>
      <c r="BT138" s="226"/>
      <c r="BU138" s="226"/>
      <c r="BV138" s="226"/>
      <c r="BW138" s="226"/>
      <c r="BX138" s="226"/>
      <c r="BY138" s="226"/>
      <c r="BZ138" s="226"/>
      <c r="CA138" s="226"/>
      <c r="CB138" s="226"/>
      <c r="CC138" s="226"/>
      <c r="CD138" s="226"/>
      <c r="CE138" s="226"/>
      <c r="CF138" s="226"/>
      <c r="CG138" s="226"/>
      <c r="CH138" s="226"/>
      <c r="CI138" s="226"/>
      <c r="CJ138" s="226"/>
      <c r="CK138" s="226"/>
      <c r="CL138" s="226"/>
      <c r="CM138" s="226"/>
      <c r="CN138" s="226"/>
      <c r="CO138" s="226"/>
      <c r="CP138" s="226"/>
      <c r="CQ138" s="226"/>
      <c r="CR138" s="226"/>
      <c r="CS138" s="226"/>
      <c r="CT138" s="226"/>
      <c r="CU138" s="226"/>
      <c r="CV138" s="226"/>
      <c r="CW138" s="226"/>
      <c r="CX138" s="226"/>
      <c r="CY138" s="226"/>
      <c r="CZ138" s="226"/>
      <c r="DA138" s="226"/>
      <c r="DB138" s="226"/>
      <c r="DC138" s="226"/>
      <c r="DD138" s="226"/>
      <c r="DE138" s="226"/>
      <c r="DF138" s="226"/>
      <c r="DG138" s="226"/>
      <c r="DH138" s="226"/>
      <c r="DI138" s="226"/>
      <c r="DJ138" s="226"/>
      <c r="DK138" s="226"/>
      <c r="DL138" s="226"/>
      <c r="DM138" s="226"/>
      <c r="DN138" s="226"/>
      <c r="DO138" s="226"/>
      <c r="DP138" s="226"/>
      <c r="DQ138" s="226"/>
      <c r="DR138" s="226"/>
      <c r="DS138" s="226"/>
      <c r="DT138" s="226"/>
      <c r="DU138" s="226"/>
      <c r="DV138" s="226"/>
      <c r="DW138" s="226"/>
      <c r="DX138" s="226"/>
      <c r="DY138" s="226"/>
      <c r="DZ138" s="226"/>
      <c r="EA138" s="226"/>
      <c r="EB138" s="226"/>
      <c r="EC138" s="226"/>
      <c r="ED138" s="226"/>
      <c r="EE138" s="226"/>
      <c r="EF138" s="226"/>
      <c r="EG138" s="226"/>
      <c r="EH138" s="226"/>
      <c r="EI138" s="226"/>
      <c r="EJ138" s="226"/>
      <c r="EK138" s="226"/>
      <c r="EL138" s="226"/>
      <c r="EM138" s="226"/>
      <c r="EN138" s="226"/>
      <c r="EO138" s="226"/>
      <c r="EP138" s="226"/>
      <c r="EQ138" s="226"/>
      <c r="ER138" s="226"/>
      <c r="ES138" s="226"/>
      <c r="ET138" s="226"/>
      <c r="EU138" s="226"/>
      <c r="EV138" s="226"/>
      <c r="EW138" s="226"/>
      <c r="EX138" s="226"/>
      <c r="EY138" s="226"/>
      <c r="EZ138" s="226"/>
      <c r="FA138" s="226"/>
      <c r="FB138" s="226"/>
      <c r="FC138" s="226"/>
      <c r="FD138" s="226"/>
      <c r="FE138" s="226"/>
      <c r="FF138" s="226"/>
      <c r="FG138" s="226"/>
      <c r="FH138" s="226"/>
      <c r="FI138" s="226"/>
      <c r="FJ138" s="226"/>
      <c r="FK138" s="226"/>
      <c r="FL138" s="226"/>
      <c r="FM138" s="226"/>
      <c r="FN138" s="226"/>
      <c r="FO138" s="226"/>
      <c r="FP138" s="226"/>
      <c r="FQ138" s="226"/>
      <c r="FR138" s="226"/>
      <c r="FS138" s="226"/>
      <c r="FT138" s="226"/>
      <c r="FU138" s="226"/>
      <c r="FV138" s="226"/>
      <c r="FW138" s="226"/>
      <c r="FX138" s="226"/>
      <c r="FY138" s="226"/>
      <c r="FZ138" s="226"/>
      <c r="GA138" s="226"/>
      <c r="GB138" s="226"/>
      <c r="GC138" s="226"/>
      <c r="GD138" s="226"/>
      <c r="GE138" s="226"/>
      <c r="GF138" s="226"/>
      <c r="GG138" s="226"/>
      <c r="GH138" s="226"/>
      <c r="GI138" s="226"/>
      <c r="GJ138" s="226"/>
      <c r="GK138" s="226"/>
      <c r="GL138" s="226"/>
      <c r="GM138" s="226"/>
      <c r="GN138" s="226"/>
      <c r="GO138" s="226"/>
      <c r="GP138" s="226"/>
      <c r="GQ138" s="226"/>
      <c r="GR138" s="226"/>
      <c r="GS138" s="226"/>
      <c r="GT138" s="226"/>
      <c r="GU138" s="226"/>
      <c r="GV138" s="226"/>
      <c r="GW138" s="226"/>
      <c r="GX138" s="226"/>
      <c r="GY138" s="226"/>
      <c r="GZ138" s="226"/>
      <c r="HA138" s="226"/>
      <c r="HB138" s="226"/>
      <c r="HC138" s="226"/>
      <c r="HD138" s="226"/>
    </row>
    <row r="139" spans="1:212" ht="14.1" customHeight="1" x14ac:dyDescent="0.2">
      <c r="A139" s="226"/>
      <c r="B139" s="226"/>
      <c r="C139" s="226"/>
      <c r="D139" s="226"/>
      <c r="E139" s="226"/>
      <c r="F139" s="226"/>
      <c r="G139" s="226"/>
      <c r="H139" s="226"/>
      <c r="I139" s="226"/>
      <c r="J139" s="226"/>
      <c r="K139" s="226"/>
      <c r="L139" s="226"/>
      <c r="M139" s="226"/>
      <c r="N139" s="226"/>
      <c r="O139" s="226"/>
      <c r="P139" s="226"/>
      <c r="Q139" s="226"/>
      <c r="R139" s="226"/>
      <c r="S139" s="226"/>
      <c r="T139" s="226"/>
      <c r="U139" s="226"/>
      <c r="V139" s="226"/>
      <c r="W139" s="226"/>
      <c r="X139" s="226"/>
      <c r="Y139" s="226"/>
      <c r="Z139" s="226"/>
      <c r="AA139" s="226"/>
      <c r="AB139" s="226"/>
      <c r="AC139" s="226"/>
      <c r="AD139" s="226"/>
      <c r="AE139" s="226"/>
      <c r="AF139" s="226"/>
      <c r="AG139" s="226"/>
      <c r="AH139" s="226"/>
      <c r="AI139" s="226"/>
      <c r="AJ139" s="226"/>
      <c r="AK139" s="226"/>
      <c r="AL139" s="226"/>
      <c r="AM139" s="226"/>
      <c r="AN139" s="226"/>
      <c r="AO139" s="226"/>
      <c r="AP139" s="226"/>
      <c r="AQ139" s="226"/>
      <c r="AR139" s="226"/>
      <c r="AS139" s="226"/>
      <c r="AT139" s="226"/>
      <c r="AU139" s="226"/>
      <c r="AV139" s="226"/>
      <c r="AW139" s="226"/>
      <c r="AX139" s="226"/>
      <c r="AY139" s="226"/>
      <c r="AZ139" s="226"/>
      <c r="BA139" s="226"/>
      <c r="BB139" s="226"/>
      <c r="BC139" s="226"/>
      <c r="BD139" s="226"/>
      <c r="BE139" s="226"/>
      <c r="BF139" s="226"/>
      <c r="BG139" s="226"/>
      <c r="BH139" s="226"/>
      <c r="BI139" s="226"/>
      <c r="BJ139" s="226"/>
      <c r="BK139" s="226"/>
      <c r="BL139" s="226"/>
      <c r="BM139" s="226"/>
      <c r="BN139" s="226"/>
      <c r="BO139" s="226"/>
      <c r="BP139" s="226"/>
      <c r="BQ139" s="226"/>
      <c r="BR139" s="226"/>
      <c r="BS139" s="226"/>
      <c r="BT139" s="226"/>
      <c r="BU139" s="226"/>
      <c r="BV139" s="226"/>
      <c r="BW139" s="226"/>
      <c r="BX139" s="226"/>
      <c r="BY139" s="226"/>
      <c r="BZ139" s="226"/>
      <c r="CA139" s="226"/>
      <c r="CB139" s="226"/>
      <c r="CC139" s="226"/>
      <c r="CD139" s="226"/>
      <c r="CE139" s="226"/>
      <c r="CF139" s="226"/>
      <c r="CG139" s="226"/>
      <c r="CH139" s="226"/>
      <c r="CI139" s="226"/>
      <c r="CJ139" s="226"/>
      <c r="CK139" s="226"/>
      <c r="CL139" s="226"/>
      <c r="CM139" s="226"/>
      <c r="CN139" s="226"/>
      <c r="CO139" s="226"/>
      <c r="CP139" s="226"/>
      <c r="CQ139" s="226"/>
      <c r="CR139" s="226"/>
      <c r="CS139" s="226"/>
      <c r="CT139" s="226"/>
      <c r="CU139" s="226"/>
      <c r="CV139" s="226"/>
      <c r="CW139" s="226"/>
      <c r="CX139" s="226"/>
      <c r="CY139" s="226"/>
      <c r="CZ139" s="226"/>
      <c r="DA139" s="226"/>
      <c r="DB139" s="226"/>
      <c r="DC139" s="226"/>
      <c r="DD139" s="226"/>
      <c r="DE139" s="226"/>
      <c r="DF139" s="226"/>
      <c r="DG139" s="226"/>
      <c r="DH139" s="226"/>
      <c r="DI139" s="226"/>
      <c r="DJ139" s="226"/>
      <c r="DK139" s="226"/>
      <c r="DL139" s="226"/>
      <c r="DM139" s="226"/>
      <c r="DN139" s="226"/>
      <c r="DO139" s="226"/>
      <c r="DP139" s="226"/>
      <c r="DQ139" s="226"/>
      <c r="DR139" s="226"/>
      <c r="DS139" s="226"/>
      <c r="DT139" s="226"/>
      <c r="DU139" s="226"/>
      <c r="DV139" s="226"/>
      <c r="DW139" s="226"/>
      <c r="DX139" s="226"/>
      <c r="DY139" s="226"/>
      <c r="DZ139" s="226"/>
      <c r="EA139" s="226"/>
      <c r="EB139" s="226"/>
      <c r="EC139" s="226"/>
      <c r="ED139" s="226"/>
      <c r="EE139" s="226"/>
      <c r="EF139" s="226"/>
      <c r="EG139" s="226"/>
      <c r="EH139" s="226"/>
      <c r="EI139" s="226"/>
      <c r="EJ139" s="226"/>
      <c r="EK139" s="226"/>
      <c r="EL139" s="226"/>
      <c r="EM139" s="226"/>
      <c r="EN139" s="226"/>
      <c r="EO139" s="226"/>
      <c r="EP139" s="226"/>
      <c r="EQ139" s="226"/>
      <c r="ER139" s="226"/>
      <c r="ES139" s="226"/>
      <c r="ET139" s="226"/>
      <c r="EU139" s="226"/>
      <c r="EV139" s="226"/>
      <c r="EW139" s="226"/>
      <c r="EX139" s="226"/>
      <c r="EY139" s="226"/>
      <c r="EZ139" s="226"/>
      <c r="FA139" s="226"/>
      <c r="FB139" s="226"/>
      <c r="FC139" s="226"/>
      <c r="FD139" s="226"/>
      <c r="FE139" s="226"/>
      <c r="FF139" s="226"/>
      <c r="FG139" s="226"/>
      <c r="FH139" s="226"/>
      <c r="FI139" s="226"/>
      <c r="FJ139" s="226"/>
      <c r="FK139" s="226"/>
      <c r="FL139" s="226"/>
      <c r="FM139" s="226"/>
      <c r="FN139" s="226"/>
      <c r="FO139" s="226"/>
      <c r="FP139" s="226"/>
      <c r="FQ139" s="226"/>
      <c r="FR139" s="226"/>
      <c r="FS139" s="226"/>
      <c r="FT139" s="226"/>
      <c r="FU139" s="226"/>
      <c r="FV139" s="226"/>
      <c r="FW139" s="226"/>
      <c r="FX139" s="226"/>
      <c r="FY139" s="226"/>
      <c r="FZ139" s="226"/>
      <c r="GA139" s="226"/>
      <c r="GB139" s="226"/>
      <c r="GC139" s="226"/>
      <c r="GD139" s="226"/>
      <c r="GE139" s="226"/>
      <c r="GF139" s="226"/>
      <c r="GG139" s="226"/>
      <c r="GH139" s="226"/>
      <c r="GI139" s="226"/>
      <c r="GJ139" s="226"/>
      <c r="GK139" s="226"/>
      <c r="GL139" s="226"/>
      <c r="GM139" s="226"/>
      <c r="GN139" s="226"/>
      <c r="GO139" s="226"/>
      <c r="GP139" s="226"/>
      <c r="GQ139" s="226"/>
      <c r="GR139" s="226"/>
      <c r="GS139" s="226"/>
      <c r="GT139" s="226"/>
      <c r="GU139" s="226"/>
      <c r="GV139" s="226"/>
      <c r="GW139" s="226"/>
      <c r="GX139" s="226"/>
      <c r="GY139" s="226"/>
      <c r="GZ139" s="226"/>
      <c r="HA139" s="226"/>
      <c r="HB139" s="226"/>
      <c r="HC139" s="226"/>
      <c r="HD139" s="226"/>
    </row>
    <row r="140" spans="1:212" ht="14.1" customHeight="1" x14ac:dyDescent="0.2">
      <c r="A140" s="226"/>
      <c r="B140" s="226"/>
      <c r="C140" s="226"/>
      <c r="D140" s="226"/>
      <c r="E140" s="226"/>
      <c r="F140" s="226"/>
      <c r="G140" s="226"/>
      <c r="H140" s="226"/>
      <c r="I140" s="226"/>
      <c r="J140" s="226"/>
      <c r="K140" s="226"/>
      <c r="L140" s="226"/>
      <c r="M140" s="226"/>
      <c r="N140" s="226"/>
      <c r="O140" s="226"/>
      <c r="P140" s="226"/>
      <c r="Q140" s="226"/>
      <c r="R140" s="226"/>
      <c r="S140" s="226"/>
      <c r="T140" s="226"/>
      <c r="U140" s="226"/>
      <c r="V140" s="226"/>
      <c r="W140" s="226"/>
      <c r="X140" s="226"/>
      <c r="Y140" s="226"/>
      <c r="Z140" s="226"/>
      <c r="AA140" s="226"/>
      <c r="AB140" s="226"/>
      <c r="AC140" s="226"/>
      <c r="AD140" s="226"/>
      <c r="AE140" s="226"/>
      <c r="AF140" s="226"/>
      <c r="AG140" s="226"/>
      <c r="AH140" s="226"/>
      <c r="AI140" s="226"/>
      <c r="AJ140" s="226"/>
      <c r="AK140" s="226"/>
      <c r="AL140" s="226"/>
      <c r="AM140" s="226"/>
      <c r="AN140" s="226"/>
      <c r="AO140" s="226"/>
      <c r="AP140" s="226"/>
      <c r="AQ140" s="226"/>
      <c r="AR140" s="226"/>
      <c r="AS140" s="226"/>
      <c r="AT140" s="226"/>
      <c r="AU140" s="226"/>
      <c r="AV140" s="226"/>
      <c r="AW140" s="226"/>
      <c r="AX140" s="226"/>
      <c r="AY140" s="226"/>
      <c r="AZ140" s="226"/>
      <c r="BA140" s="226"/>
      <c r="BB140" s="226"/>
      <c r="BC140" s="226"/>
      <c r="BD140" s="226"/>
      <c r="BE140" s="226"/>
      <c r="BF140" s="226"/>
      <c r="BG140" s="226"/>
      <c r="BH140" s="226"/>
      <c r="BI140" s="226"/>
      <c r="BJ140" s="226"/>
      <c r="BK140" s="226"/>
      <c r="BL140" s="226"/>
      <c r="BM140" s="226"/>
      <c r="BN140" s="226"/>
      <c r="BO140" s="226"/>
      <c r="BP140" s="226"/>
      <c r="BQ140" s="226"/>
      <c r="BR140" s="226"/>
      <c r="BS140" s="226"/>
      <c r="BT140" s="226"/>
      <c r="BU140" s="226"/>
      <c r="BV140" s="226"/>
      <c r="BW140" s="226"/>
      <c r="BX140" s="226"/>
      <c r="BY140" s="226"/>
      <c r="BZ140" s="226"/>
      <c r="CA140" s="226"/>
      <c r="CB140" s="226"/>
      <c r="CC140" s="226"/>
      <c r="CD140" s="226"/>
      <c r="CE140" s="226"/>
      <c r="CF140" s="226"/>
      <c r="CG140" s="226"/>
      <c r="CH140" s="226"/>
      <c r="CI140" s="226"/>
      <c r="CJ140" s="226"/>
      <c r="CK140" s="226"/>
      <c r="CL140" s="226"/>
      <c r="CM140" s="226"/>
      <c r="CN140" s="226"/>
      <c r="CO140" s="226"/>
      <c r="CP140" s="226"/>
      <c r="CQ140" s="226"/>
      <c r="CR140" s="226"/>
      <c r="CS140" s="226"/>
      <c r="CT140" s="226"/>
      <c r="CU140" s="226"/>
      <c r="CV140" s="226"/>
      <c r="CW140" s="226"/>
      <c r="CX140" s="226"/>
      <c r="CY140" s="226"/>
      <c r="CZ140" s="226"/>
      <c r="DA140" s="226"/>
      <c r="DB140" s="226"/>
      <c r="DC140" s="226"/>
      <c r="DD140" s="226"/>
      <c r="DE140" s="226"/>
      <c r="DF140" s="226"/>
      <c r="DG140" s="226"/>
      <c r="DH140" s="226"/>
      <c r="DI140" s="226"/>
      <c r="DJ140" s="226"/>
      <c r="DK140" s="226"/>
      <c r="DL140" s="226"/>
      <c r="DM140" s="226"/>
      <c r="DN140" s="226"/>
      <c r="DO140" s="226"/>
      <c r="DP140" s="226"/>
      <c r="DQ140" s="226"/>
      <c r="DR140" s="226"/>
      <c r="DS140" s="226"/>
      <c r="DT140" s="226"/>
      <c r="DU140" s="226"/>
      <c r="DV140" s="226"/>
      <c r="DW140" s="226"/>
      <c r="DX140" s="226"/>
      <c r="DY140" s="226"/>
      <c r="DZ140" s="226"/>
      <c r="EA140" s="226"/>
      <c r="EB140" s="226"/>
      <c r="EC140" s="226"/>
      <c r="ED140" s="226"/>
      <c r="EE140" s="226"/>
      <c r="EF140" s="226"/>
      <c r="EG140" s="226"/>
      <c r="EH140" s="226"/>
      <c r="EI140" s="226"/>
      <c r="EJ140" s="226"/>
      <c r="EK140" s="226"/>
      <c r="EL140" s="226"/>
      <c r="EM140" s="226"/>
      <c r="EN140" s="226"/>
      <c r="EO140" s="226"/>
      <c r="EP140" s="226"/>
      <c r="EQ140" s="226"/>
      <c r="ER140" s="226"/>
      <c r="ES140" s="226"/>
      <c r="ET140" s="226"/>
      <c r="EU140" s="226"/>
      <c r="EV140" s="226"/>
      <c r="EW140" s="226"/>
      <c r="EX140" s="226"/>
      <c r="EY140" s="226"/>
      <c r="EZ140" s="226"/>
      <c r="FA140" s="226"/>
      <c r="FB140" s="226"/>
      <c r="FC140" s="226"/>
      <c r="FD140" s="226"/>
      <c r="FE140" s="226"/>
      <c r="FF140" s="226"/>
      <c r="FG140" s="226"/>
      <c r="FH140" s="226"/>
      <c r="FI140" s="226"/>
      <c r="FJ140" s="226"/>
      <c r="FK140" s="226"/>
      <c r="FL140" s="226"/>
      <c r="FM140" s="226"/>
      <c r="FN140" s="226"/>
      <c r="FO140" s="226"/>
      <c r="FP140" s="226"/>
      <c r="FQ140" s="226"/>
      <c r="FR140" s="226"/>
      <c r="FS140" s="226"/>
      <c r="FT140" s="226"/>
      <c r="FU140" s="226"/>
      <c r="FV140" s="226"/>
      <c r="FW140" s="226"/>
      <c r="FX140" s="226"/>
      <c r="FY140" s="226"/>
      <c r="FZ140" s="226"/>
      <c r="GA140" s="226"/>
      <c r="GB140" s="226"/>
      <c r="GC140" s="226"/>
      <c r="GD140" s="226"/>
      <c r="GE140" s="226"/>
      <c r="GF140" s="226"/>
      <c r="GG140" s="226"/>
      <c r="GH140" s="226"/>
      <c r="GI140" s="226"/>
      <c r="GJ140" s="226"/>
      <c r="GK140" s="226"/>
      <c r="GL140" s="226"/>
      <c r="GM140" s="226"/>
      <c r="GN140" s="226"/>
      <c r="GO140" s="226"/>
      <c r="GP140" s="226"/>
      <c r="GQ140" s="226"/>
      <c r="GR140" s="226"/>
      <c r="GS140" s="226"/>
      <c r="GT140" s="226"/>
      <c r="GU140" s="226"/>
      <c r="GV140" s="226"/>
      <c r="GW140" s="226"/>
      <c r="GX140" s="226"/>
      <c r="GY140" s="226"/>
      <c r="GZ140" s="226"/>
      <c r="HA140" s="226"/>
      <c r="HB140" s="226"/>
      <c r="HC140" s="226"/>
      <c r="HD140" s="226"/>
    </row>
    <row r="141" spans="1:212" ht="14.1" customHeight="1" x14ac:dyDescent="0.2">
      <c r="A141" s="226"/>
      <c r="B141" s="226"/>
      <c r="C141" s="226"/>
      <c r="D141" s="226"/>
      <c r="E141" s="226"/>
      <c r="F141" s="226"/>
      <c r="G141" s="226"/>
      <c r="H141" s="226"/>
      <c r="I141" s="226"/>
      <c r="J141" s="226"/>
      <c r="K141" s="226"/>
      <c r="L141" s="226"/>
      <c r="M141" s="226"/>
      <c r="N141" s="226"/>
      <c r="O141" s="226"/>
      <c r="P141" s="226"/>
      <c r="Q141" s="226"/>
      <c r="R141" s="226"/>
      <c r="S141" s="226"/>
      <c r="T141" s="226"/>
      <c r="U141" s="226"/>
      <c r="V141" s="226"/>
      <c r="W141" s="226"/>
      <c r="X141" s="226"/>
      <c r="Y141" s="226"/>
      <c r="Z141" s="226"/>
      <c r="AA141" s="226"/>
      <c r="AB141" s="226"/>
      <c r="AC141" s="226"/>
      <c r="AD141" s="226"/>
      <c r="AE141" s="226"/>
      <c r="AF141" s="226"/>
      <c r="AG141" s="226"/>
      <c r="AH141" s="226"/>
      <c r="AI141" s="226"/>
      <c r="AJ141" s="226"/>
      <c r="AK141" s="226"/>
      <c r="AL141" s="226"/>
      <c r="AM141" s="226"/>
      <c r="AN141" s="226"/>
      <c r="AO141" s="226"/>
      <c r="AP141" s="226"/>
      <c r="AQ141" s="226"/>
      <c r="AR141" s="226"/>
      <c r="AS141" s="226"/>
      <c r="AT141" s="226"/>
      <c r="AU141" s="226"/>
      <c r="AV141" s="226"/>
      <c r="AW141" s="226"/>
      <c r="AX141" s="226"/>
      <c r="AY141" s="226"/>
      <c r="AZ141" s="226"/>
      <c r="BA141" s="226"/>
      <c r="BB141" s="226"/>
      <c r="BC141" s="226"/>
      <c r="BD141" s="226"/>
      <c r="BE141" s="226"/>
      <c r="BF141" s="226"/>
      <c r="BG141" s="226"/>
      <c r="BH141" s="226"/>
      <c r="BI141" s="226"/>
      <c r="BJ141" s="226"/>
      <c r="BK141" s="226"/>
      <c r="BL141" s="226"/>
      <c r="BM141" s="226"/>
      <c r="BN141" s="226"/>
      <c r="BO141" s="226"/>
      <c r="BP141" s="226"/>
      <c r="BQ141" s="226"/>
      <c r="BR141" s="226"/>
      <c r="BS141" s="226"/>
      <c r="BT141" s="226"/>
      <c r="BU141" s="226"/>
      <c r="BV141" s="226"/>
      <c r="BW141" s="226"/>
      <c r="BX141" s="226"/>
      <c r="BY141" s="226"/>
      <c r="BZ141" s="226"/>
      <c r="CA141" s="226"/>
      <c r="CB141" s="226"/>
      <c r="CC141" s="226"/>
      <c r="CD141" s="226"/>
      <c r="CE141" s="226"/>
      <c r="CF141" s="226"/>
      <c r="CG141" s="226"/>
      <c r="CH141" s="226"/>
      <c r="CI141" s="226"/>
      <c r="CJ141" s="226"/>
      <c r="CK141" s="226"/>
      <c r="CL141" s="226"/>
      <c r="CM141" s="226"/>
      <c r="CN141" s="226"/>
      <c r="CO141" s="226"/>
      <c r="CP141" s="226"/>
      <c r="CQ141" s="226"/>
      <c r="CR141" s="226"/>
      <c r="CS141" s="226"/>
      <c r="CT141" s="226"/>
      <c r="CU141" s="226"/>
      <c r="CV141" s="226"/>
      <c r="CW141" s="226"/>
      <c r="CX141" s="226"/>
      <c r="CY141" s="226"/>
      <c r="CZ141" s="226"/>
      <c r="DA141" s="226"/>
      <c r="DB141" s="226"/>
      <c r="DC141" s="226"/>
      <c r="DD141" s="226"/>
      <c r="DE141" s="226"/>
      <c r="DF141" s="226"/>
      <c r="DG141" s="226"/>
      <c r="DH141" s="226"/>
      <c r="DI141" s="226"/>
      <c r="DJ141" s="226"/>
      <c r="DK141" s="226"/>
      <c r="DL141" s="226"/>
      <c r="DM141" s="226"/>
      <c r="DN141" s="226"/>
      <c r="DO141" s="226"/>
      <c r="DP141" s="226"/>
      <c r="DQ141" s="226"/>
      <c r="DR141" s="226"/>
      <c r="DS141" s="226"/>
      <c r="DT141" s="226"/>
      <c r="DU141" s="226"/>
      <c r="DV141" s="226"/>
      <c r="DW141" s="226"/>
      <c r="DX141" s="226"/>
      <c r="DY141" s="226"/>
      <c r="DZ141" s="226"/>
      <c r="EA141" s="226"/>
      <c r="EB141" s="226"/>
      <c r="EC141" s="226"/>
      <c r="ED141" s="226"/>
      <c r="EE141" s="226"/>
      <c r="EF141" s="226"/>
      <c r="EG141" s="226"/>
      <c r="EH141" s="226"/>
      <c r="EI141" s="226"/>
      <c r="EJ141" s="226"/>
      <c r="EK141" s="226"/>
      <c r="EL141" s="226"/>
      <c r="EM141" s="226"/>
      <c r="EN141" s="226"/>
      <c r="EO141" s="226"/>
      <c r="EP141" s="226"/>
      <c r="EQ141" s="226"/>
      <c r="ER141" s="226"/>
      <c r="ES141" s="226"/>
      <c r="ET141" s="226"/>
      <c r="EU141" s="226"/>
      <c r="EV141" s="226"/>
      <c r="EW141" s="226"/>
      <c r="EX141" s="226"/>
      <c r="EY141" s="226"/>
      <c r="EZ141" s="226"/>
      <c r="FA141" s="226"/>
      <c r="FB141" s="226"/>
      <c r="FC141" s="226"/>
      <c r="FD141" s="226"/>
      <c r="FE141" s="226"/>
      <c r="FF141" s="226"/>
      <c r="FG141" s="226"/>
      <c r="FH141" s="226"/>
      <c r="FI141" s="226"/>
      <c r="FJ141" s="226"/>
      <c r="FK141" s="226"/>
      <c r="FL141" s="226"/>
      <c r="FM141" s="226"/>
      <c r="FN141" s="226"/>
      <c r="FO141" s="226"/>
      <c r="FP141" s="226"/>
      <c r="FQ141" s="226"/>
      <c r="FR141" s="226"/>
      <c r="FS141" s="226"/>
      <c r="FT141" s="226"/>
      <c r="FU141" s="226"/>
      <c r="FV141" s="226"/>
      <c r="FW141" s="226"/>
      <c r="FX141" s="226"/>
      <c r="FY141" s="226"/>
      <c r="FZ141" s="226"/>
      <c r="GA141" s="226"/>
      <c r="GB141" s="226"/>
      <c r="GC141" s="226"/>
      <c r="GD141" s="226"/>
      <c r="GE141" s="226"/>
      <c r="GF141" s="226"/>
      <c r="GG141" s="226"/>
      <c r="GH141" s="226"/>
      <c r="GI141" s="226"/>
      <c r="GJ141" s="226"/>
      <c r="GK141" s="226"/>
      <c r="GL141" s="226"/>
      <c r="GM141" s="226"/>
      <c r="GN141" s="226"/>
      <c r="GO141" s="226"/>
      <c r="GP141" s="226"/>
      <c r="GQ141" s="226"/>
      <c r="GR141" s="226"/>
      <c r="GS141" s="226"/>
      <c r="GT141" s="226"/>
      <c r="GU141" s="226"/>
      <c r="GV141" s="226"/>
      <c r="GW141" s="226"/>
      <c r="GX141" s="226"/>
      <c r="GY141" s="226"/>
      <c r="GZ141" s="226"/>
      <c r="HA141" s="226"/>
      <c r="HB141" s="226"/>
      <c r="HC141" s="226"/>
      <c r="HD141" s="226"/>
    </row>
    <row r="142" spans="1:212" ht="14.1" customHeight="1" x14ac:dyDescent="0.2">
      <c r="A142" s="226"/>
      <c r="B142" s="226"/>
      <c r="C142" s="226"/>
      <c r="D142" s="226"/>
      <c r="E142" s="226"/>
      <c r="F142" s="226"/>
      <c r="G142" s="226"/>
      <c r="H142" s="226"/>
      <c r="I142" s="226"/>
      <c r="J142" s="226"/>
      <c r="K142" s="226"/>
      <c r="L142" s="226"/>
      <c r="M142" s="226"/>
      <c r="N142" s="226"/>
      <c r="O142" s="226"/>
      <c r="P142" s="226"/>
      <c r="Q142" s="226"/>
      <c r="R142" s="226"/>
      <c r="S142" s="226"/>
      <c r="T142" s="226"/>
      <c r="U142" s="226"/>
      <c r="V142" s="226"/>
      <c r="W142" s="226"/>
      <c r="X142" s="226"/>
      <c r="Y142" s="226"/>
      <c r="Z142" s="226"/>
      <c r="AA142" s="226"/>
      <c r="AB142" s="226"/>
      <c r="AC142" s="226"/>
      <c r="AD142" s="226"/>
      <c r="AE142" s="226"/>
      <c r="AF142" s="226"/>
      <c r="AG142" s="226"/>
      <c r="AH142" s="226"/>
      <c r="AI142" s="226"/>
      <c r="AJ142" s="226"/>
      <c r="AK142" s="226"/>
      <c r="AL142" s="226"/>
      <c r="AM142" s="226"/>
      <c r="AN142" s="226"/>
      <c r="AO142" s="226"/>
      <c r="AP142" s="226"/>
      <c r="AQ142" s="226"/>
      <c r="AR142" s="226"/>
      <c r="AS142" s="226"/>
      <c r="AT142" s="226"/>
      <c r="AU142" s="226"/>
      <c r="AV142" s="226"/>
      <c r="AW142" s="226"/>
      <c r="AX142" s="226"/>
      <c r="AY142" s="226"/>
      <c r="AZ142" s="226"/>
      <c r="BA142" s="226"/>
      <c r="BB142" s="226"/>
      <c r="BC142" s="226"/>
      <c r="BD142" s="226"/>
      <c r="BE142" s="226"/>
      <c r="BF142" s="226"/>
      <c r="BG142" s="226"/>
      <c r="BH142" s="226"/>
      <c r="BI142" s="226"/>
      <c r="BJ142" s="226"/>
      <c r="BK142" s="226"/>
      <c r="BL142" s="226"/>
      <c r="BM142" s="226"/>
      <c r="BN142" s="226"/>
      <c r="BO142" s="226"/>
      <c r="BP142" s="226"/>
      <c r="BQ142" s="226"/>
      <c r="BR142" s="226"/>
      <c r="BS142" s="226"/>
      <c r="BT142" s="226"/>
      <c r="BU142" s="226"/>
      <c r="BV142" s="226"/>
      <c r="BW142" s="226"/>
      <c r="BX142" s="226"/>
      <c r="BY142" s="226"/>
      <c r="BZ142" s="226"/>
      <c r="CA142" s="226"/>
      <c r="CB142" s="226"/>
      <c r="CC142" s="226"/>
      <c r="CD142" s="226"/>
      <c r="CE142" s="226"/>
      <c r="CF142" s="226"/>
      <c r="CG142" s="226"/>
      <c r="CH142" s="226"/>
      <c r="CI142" s="226"/>
      <c r="CJ142" s="226"/>
      <c r="CK142" s="226"/>
      <c r="CL142" s="226"/>
      <c r="CM142" s="226"/>
      <c r="CN142" s="226"/>
      <c r="CO142" s="226"/>
      <c r="CP142" s="226"/>
      <c r="CQ142" s="226"/>
      <c r="CR142" s="226"/>
      <c r="CS142" s="226"/>
      <c r="CT142" s="226"/>
      <c r="CU142" s="226"/>
      <c r="CV142" s="226"/>
      <c r="CW142" s="226"/>
      <c r="CX142" s="226"/>
      <c r="CY142" s="226"/>
      <c r="CZ142" s="226"/>
      <c r="DA142" s="226"/>
      <c r="DB142" s="226"/>
      <c r="DC142" s="226"/>
      <c r="DD142" s="226"/>
      <c r="DE142" s="226"/>
      <c r="DF142" s="226"/>
      <c r="DG142" s="226"/>
      <c r="DH142" s="226"/>
      <c r="DI142" s="226"/>
      <c r="DJ142" s="226"/>
      <c r="DK142" s="226"/>
      <c r="DL142" s="226"/>
      <c r="DM142" s="226"/>
      <c r="DN142" s="226"/>
      <c r="DO142" s="226"/>
      <c r="DP142" s="226"/>
      <c r="DQ142" s="226"/>
      <c r="DR142" s="226"/>
      <c r="DS142" s="226"/>
      <c r="DT142" s="226"/>
      <c r="DU142" s="226"/>
      <c r="DV142" s="226"/>
      <c r="DW142" s="226"/>
      <c r="DX142" s="226"/>
      <c r="DY142" s="226"/>
      <c r="DZ142" s="226"/>
      <c r="EA142" s="226"/>
      <c r="EB142" s="226"/>
      <c r="EC142" s="226"/>
      <c r="ED142" s="226"/>
      <c r="EE142" s="226"/>
      <c r="EF142" s="226"/>
      <c r="EG142" s="226"/>
      <c r="EH142" s="226"/>
      <c r="EI142" s="226"/>
      <c r="EJ142" s="226"/>
      <c r="EK142" s="226"/>
      <c r="EL142" s="226"/>
      <c r="EM142" s="226"/>
      <c r="EN142" s="226"/>
      <c r="EO142" s="226"/>
      <c r="EP142" s="226"/>
      <c r="EQ142" s="226"/>
      <c r="ER142" s="226"/>
      <c r="ES142" s="226"/>
      <c r="ET142" s="226"/>
      <c r="EU142" s="226"/>
      <c r="EV142" s="226"/>
      <c r="EW142" s="226"/>
      <c r="EX142" s="226"/>
      <c r="EY142" s="226"/>
      <c r="EZ142" s="226"/>
      <c r="FA142" s="226"/>
      <c r="FB142" s="226"/>
      <c r="FC142" s="226"/>
      <c r="FD142" s="226"/>
      <c r="FE142" s="226"/>
      <c r="FF142" s="226"/>
      <c r="FG142" s="226"/>
      <c r="FH142" s="226"/>
      <c r="FI142" s="226"/>
      <c r="FJ142" s="226"/>
      <c r="FK142" s="226"/>
      <c r="FL142" s="226"/>
      <c r="FM142" s="226"/>
      <c r="FN142" s="226"/>
      <c r="FO142" s="226"/>
      <c r="FP142" s="226"/>
      <c r="FQ142" s="226"/>
      <c r="FR142" s="226"/>
      <c r="FS142" s="226"/>
      <c r="FT142" s="226"/>
      <c r="FU142" s="226"/>
      <c r="FV142" s="226"/>
      <c r="FW142" s="226"/>
      <c r="FX142" s="226"/>
      <c r="FY142" s="226"/>
      <c r="FZ142" s="226"/>
      <c r="GA142" s="226"/>
      <c r="GB142" s="226"/>
      <c r="GC142" s="226"/>
      <c r="GD142" s="226"/>
      <c r="GE142" s="226"/>
      <c r="GF142" s="226"/>
      <c r="GG142" s="226"/>
      <c r="GH142" s="226"/>
      <c r="GI142" s="226"/>
      <c r="GJ142" s="226"/>
      <c r="GK142" s="226"/>
      <c r="GL142" s="226"/>
      <c r="GM142" s="226"/>
      <c r="GN142" s="226"/>
      <c r="GO142" s="226"/>
      <c r="GP142" s="226"/>
      <c r="GQ142" s="226"/>
      <c r="GR142" s="226"/>
      <c r="GS142" s="226"/>
      <c r="GT142" s="226"/>
      <c r="GU142" s="226"/>
      <c r="GV142" s="226"/>
      <c r="GW142" s="226"/>
      <c r="GX142" s="226"/>
      <c r="GY142" s="226"/>
      <c r="GZ142" s="226"/>
      <c r="HA142" s="226"/>
      <c r="HB142" s="226"/>
      <c r="HC142" s="226"/>
      <c r="HD142" s="226"/>
    </row>
    <row r="143" spans="1:212" ht="14.1" customHeight="1" x14ac:dyDescent="0.2">
      <c r="A143" s="226"/>
      <c r="B143" s="226"/>
      <c r="C143" s="226"/>
      <c r="D143" s="226"/>
      <c r="E143" s="226"/>
      <c r="F143" s="226"/>
      <c r="G143" s="226"/>
      <c r="H143" s="226"/>
      <c r="I143" s="226"/>
      <c r="J143" s="226"/>
      <c r="K143" s="226"/>
      <c r="L143" s="226"/>
      <c r="M143" s="226"/>
      <c r="N143" s="226"/>
      <c r="O143" s="226"/>
      <c r="P143" s="226"/>
      <c r="Q143" s="226"/>
      <c r="R143" s="226"/>
      <c r="S143" s="226"/>
      <c r="T143" s="226"/>
      <c r="U143" s="226"/>
      <c r="V143" s="226"/>
      <c r="W143" s="226"/>
      <c r="X143" s="226"/>
      <c r="Y143" s="226"/>
      <c r="Z143" s="226"/>
      <c r="AA143" s="226"/>
      <c r="AB143" s="226"/>
      <c r="AC143" s="226"/>
      <c r="AD143" s="226"/>
      <c r="AE143" s="226"/>
      <c r="AF143" s="226"/>
      <c r="AG143" s="226"/>
      <c r="AH143" s="226"/>
      <c r="AI143" s="226"/>
      <c r="AJ143" s="226"/>
      <c r="AK143" s="226"/>
      <c r="AL143" s="226"/>
      <c r="AM143" s="226"/>
      <c r="AN143" s="226"/>
      <c r="AO143" s="226"/>
      <c r="AP143" s="226"/>
      <c r="AQ143" s="226"/>
      <c r="AR143" s="226"/>
      <c r="AS143" s="226"/>
      <c r="AT143" s="226"/>
      <c r="AU143" s="226"/>
      <c r="AV143" s="226"/>
      <c r="AW143" s="226"/>
      <c r="AX143" s="226"/>
      <c r="AY143" s="226"/>
      <c r="AZ143" s="226"/>
      <c r="BA143" s="226"/>
      <c r="BB143" s="226"/>
      <c r="BC143" s="226"/>
      <c r="BD143" s="226"/>
      <c r="BE143" s="226"/>
      <c r="BF143" s="226"/>
      <c r="BG143" s="226"/>
      <c r="BH143" s="226"/>
      <c r="BI143" s="226"/>
      <c r="BJ143" s="226"/>
      <c r="BK143" s="226"/>
      <c r="BL143" s="226"/>
      <c r="BM143" s="226"/>
      <c r="BN143" s="226"/>
      <c r="BO143" s="226"/>
      <c r="BP143" s="226"/>
      <c r="BQ143" s="226"/>
      <c r="BR143" s="226"/>
      <c r="BS143" s="226"/>
      <c r="BT143" s="226"/>
      <c r="BU143" s="226"/>
      <c r="BV143" s="226"/>
      <c r="BW143" s="226"/>
      <c r="BX143" s="226"/>
      <c r="BY143" s="226"/>
      <c r="BZ143" s="226"/>
      <c r="CA143" s="226"/>
      <c r="CB143" s="226"/>
      <c r="CC143" s="226"/>
      <c r="CD143" s="226"/>
      <c r="CE143" s="226"/>
      <c r="CF143" s="226"/>
      <c r="CG143" s="226"/>
      <c r="CH143" s="226"/>
      <c r="CI143" s="226"/>
      <c r="CJ143" s="226"/>
      <c r="CK143" s="226"/>
      <c r="CL143" s="226"/>
      <c r="CM143" s="226"/>
      <c r="CN143" s="226"/>
      <c r="CO143" s="226"/>
      <c r="CP143" s="226"/>
      <c r="CQ143" s="226"/>
      <c r="CR143" s="226"/>
      <c r="CS143" s="226"/>
      <c r="CT143" s="226"/>
      <c r="CU143" s="226"/>
      <c r="CV143" s="226"/>
      <c r="CW143" s="226"/>
      <c r="CX143" s="226"/>
      <c r="CY143" s="226"/>
      <c r="CZ143" s="226"/>
      <c r="DA143" s="226"/>
      <c r="DB143" s="226"/>
      <c r="DC143" s="226"/>
      <c r="DD143" s="226"/>
      <c r="DE143" s="226"/>
      <c r="DF143" s="226"/>
      <c r="DG143" s="226"/>
      <c r="DH143" s="226"/>
      <c r="DI143" s="226"/>
      <c r="DJ143" s="226"/>
      <c r="DK143" s="226"/>
      <c r="DL143" s="226"/>
      <c r="DM143" s="226"/>
      <c r="DN143" s="226"/>
      <c r="DO143" s="226"/>
      <c r="DP143" s="226"/>
      <c r="DQ143" s="226"/>
      <c r="DR143" s="226"/>
      <c r="DS143" s="226"/>
      <c r="DT143" s="226"/>
      <c r="DU143" s="226"/>
      <c r="DV143" s="226"/>
      <c r="DW143" s="226"/>
      <c r="DX143" s="226"/>
      <c r="DY143" s="226"/>
      <c r="DZ143" s="226"/>
      <c r="EA143" s="226"/>
      <c r="EB143" s="226"/>
      <c r="EC143" s="226"/>
      <c r="ED143" s="226"/>
      <c r="EE143" s="226"/>
      <c r="EF143" s="226"/>
      <c r="EG143" s="226"/>
      <c r="EH143" s="226"/>
      <c r="EI143" s="226"/>
      <c r="EJ143" s="226"/>
      <c r="EK143" s="226"/>
      <c r="EL143" s="226"/>
      <c r="EM143" s="226"/>
      <c r="EN143" s="226"/>
      <c r="EO143" s="226"/>
      <c r="EP143" s="226"/>
      <c r="EQ143" s="226"/>
      <c r="ER143" s="226"/>
      <c r="ES143" s="226"/>
      <c r="ET143" s="226"/>
      <c r="EU143" s="226"/>
      <c r="EV143" s="226"/>
      <c r="EW143" s="226"/>
      <c r="EX143" s="226"/>
      <c r="EY143" s="226"/>
      <c r="EZ143" s="226"/>
      <c r="FA143" s="226"/>
      <c r="FB143" s="226"/>
      <c r="FC143" s="226"/>
      <c r="FD143" s="226"/>
      <c r="FE143" s="226"/>
      <c r="FF143" s="226"/>
      <c r="FG143" s="226"/>
      <c r="FH143" s="226"/>
      <c r="FI143" s="226"/>
      <c r="FJ143" s="226"/>
      <c r="FK143" s="226"/>
      <c r="FL143" s="226"/>
      <c r="FM143" s="226"/>
      <c r="FN143" s="226"/>
      <c r="FO143" s="226"/>
      <c r="FP143" s="226"/>
      <c r="FQ143" s="226"/>
      <c r="FR143" s="226"/>
      <c r="FS143" s="226"/>
      <c r="FT143" s="226"/>
      <c r="FU143" s="226"/>
      <c r="FV143" s="226"/>
      <c r="FW143" s="226"/>
      <c r="FX143" s="226"/>
      <c r="FY143" s="226"/>
      <c r="FZ143" s="226"/>
      <c r="GA143" s="226"/>
      <c r="GB143" s="226"/>
      <c r="GC143" s="226"/>
      <c r="GD143" s="226"/>
      <c r="GE143" s="226"/>
      <c r="GF143" s="226"/>
      <c r="GG143" s="226"/>
      <c r="GH143" s="226"/>
      <c r="GI143" s="226"/>
      <c r="GJ143" s="226"/>
      <c r="GK143" s="226"/>
      <c r="GL143" s="226"/>
      <c r="GM143" s="226"/>
      <c r="GN143" s="226"/>
      <c r="GO143" s="226"/>
      <c r="GP143" s="226"/>
      <c r="GQ143" s="226"/>
      <c r="GR143" s="226"/>
      <c r="GS143" s="226"/>
      <c r="GT143" s="226"/>
      <c r="GU143" s="226"/>
      <c r="GV143" s="226"/>
      <c r="GW143" s="226"/>
      <c r="GX143" s="226"/>
      <c r="GY143" s="226"/>
      <c r="GZ143" s="226"/>
      <c r="HA143" s="226"/>
      <c r="HB143" s="226"/>
      <c r="HC143" s="226"/>
      <c r="HD143" s="226"/>
    </row>
    <row r="144" spans="1:212" ht="14.1" customHeight="1" x14ac:dyDescent="0.2">
      <c r="A144" s="226"/>
      <c r="B144" s="226"/>
      <c r="C144" s="226"/>
      <c r="D144" s="226"/>
      <c r="E144" s="226"/>
      <c r="F144" s="226"/>
      <c r="G144" s="226"/>
      <c r="H144" s="226"/>
      <c r="I144" s="226"/>
      <c r="J144" s="226"/>
      <c r="K144" s="226"/>
      <c r="L144" s="226"/>
      <c r="M144" s="226"/>
      <c r="N144" s="226"/>
      <c r="O144" s="226"/>
      <c r="P144" s="226"/>
      <c r="Q144" s="226"/>
      <c r="R144" s="226"/>
      <c r="S144" s="226"/>
      <c r="T144" s="226"/>
      <c r="U144" s="226"/>
      <c r="V144" s="226"/>
      <c r="W144" s="226"/>
      <c r="X144" s="226"/>
      <c r="Y144" s="226"/>
      <c r="Z144" s="226"/>
      <c r="AA144" s="226"/>
      <c r="AB144" s="226"/>
      <c r="AC144" s="226"/>
      <c r="AD144" s="226"/>
      <c r="AE144" s="226"/>
      <c r="AF144" s="226"/>
      <c r="AG144" s="226"/>
      <c r="AH144" s="226"/>
      <c r="AI144" s="226"/>
      <c r="AJ144" s="226"/>
      <c r="AK144" s="226"/>
      <c r="AL144" s="226"/>
      <c r="AM144" s="226"/>
      <c r="AN144" s="226"/>
      <c r="AO144" s="226"/>
      <c r="AP144" s="226"/>
      <c r="AQ144" s="226"/>
      <c r="AR144" s="226"/>
      <c r="AS144" s="226"/>
      <c r="AT144" s="226"/>
      <c r="AU144" s="226"/>
      <c r="AV144" s="226"/>
      <c r="AW144" s="226"/>
      <c r="AX144" s="226"/>
      <c r="AY144" s="226"/>
      <c r="AZ144" s="226"/>
      <c r="BA144" s="226"/>
      <c r="BB144" s="226"/>
      <c r="BC144" s="226"/>
      <c r="BD144" s="226"/>
      <c r="BE144" s="226"/>
      <c r="BF144" s="226"/>
      <c r="BG144" s="226"/>
      <c r="BH144" s="226"/>
      <c r="BI144" s="226"/>
      <c r="BJ144" s="226"/>
      <c r="BK144" s="226"/>
      <c r="BL144" s="226"/>
      <c r="BM144" s="226"/>
      <c r="BN144" s="226"/>
      <c r="BO144" s="226"/>
      <c r="BP144" s="226"/>
      <c r="BQ144" s="226"/>
      <c r="BR144" s="226"/>
      <c r="BS144" s="226"/>
      <c r="BT144" s="226"/>
      <c r="BU144" s="226"/>
      <c r="BV144" s="226"/>
      <c r="BW144" s="226"/>
      <c r="BX144" s="226"/>
      <c r="BY144" s="226"/>
      <c r="BZ144" s="226"/>
      <c r="CA144" s="226"/>
      <c r="CB144" s="226"/>
      <c r="CC144" s="226"/>
      <c r="CD144" s="226"/>
      <c r="CE144" s="226"/>
      <c r="CF144" s="226"/>
      <c r="CG144" s="226"/>
      <c r="CH144" s="226"/>
      <c r="CI144" s="226"/>
      <c r="CJ144" s="226"/>
      <c r="CK144" s="226"/>
      <c r="CL144" s="226"/>
      <c r="CM144" s="226"/>
      <c r="CN144" s="226"/>
      <c r="CO144" s="226"/>
      <c r="CP144" s="226"/>
      <c r="CQ144" s="226"/>
      <c r="CR144" s="226"/>
      <c r="CS144" s="226"/>
      <c r="CT144" s="226"/>
      <c r="CU144" s="226"/>
      <c r="CV144" s="226"/>
      <c r="CW144" s="226"/>
      <c r="CX144" s="226"/>
      <c r="CY144" s="226"/>
      <c r="CZ144" s="226"/>
      <c r="DA144" s="226"/>
      <c r="DB144" s="226"/>
      <c r="DC144" s="226"/>
      <c r="DD144" s="226"/>
      <c r="DE144" s="226"/>
      <c r="DF144" s="226"/>
      <c r="DG144" s="226"/>
      <c r="DH144" s="226"/>
      <c r="DI144" s="226"/>
      <c r="DJ144" s="226"/>
      <c r="DK144" s="226"/>
      <c r="DL144" s="226"/>
      <c r="DM144" s="226"/>
      <c r="DN144" s="226"/>
      <c r="DO144" s="226"/>
      <c r="DP144" s="226"/>
      <c r="DQ144" s="226"/>
      <c r="DR144" s="226"/>
      <c r="DS144" s="226"/>
      <c r="DT144" s="226"/>
      <c r="DU144" s="226"/>
      <c r="DV144" s="226"/>
      <c r="DW144" s="226"/>
      <c r="DX144" s="226"/>
      <c r="DY144" s="226"/>
      <c r="DZ144" s="226"/>
      <c r="EA144" s="226"/>
      <c r="EB144" s="226"/>
      <c r="EC144" s="226"/>
      <c r="ED144" s="226"/>
      <c r="EE144" s="226"/>
      <c r="EF144" s="226"/>
      <c r="EG144" s="226"/>
      <c r="EH144" s="226"/>
      <c r="EI144" s="226"/>
      <c r="EJ144" s="226"/>
      <c r="EK144" s="226"/>
      <c r="EL144" s="226"/>
      <c r="EM144" s="226"/>
      <c r="EN144" s="226"/>
      <c r="EO144" s="226"/>
      <c r="EP144" s="226"/>
      <c r="EQ144" s="226"/>
      <c r="ER144" s="226"/>
      <c r="ES144" s="226"/>
      <c r="ET144" s="226"/>
      <c r="EU144" s="226"/>
      <c r="EV144" s="226"/>
      <c r="EW144" s="226"/>
      <c r="EX144" s="226"/>
      <c r="EY144" s="226"/>
      <c r="EZ144" s="226"/>
      <c r="FA144" s="226"/>
      <c r="FB144" s="226"/>
      <c r="FC144" s="226"/>
      <c r="FD144" s="226"/>
      <c r="FE144" s="226"/>
      <c r="FF144" s="226"/>
      <c r="FG144" s="226"/>
      <c r="FH144" s="226"/>
      <c r="FI144" s="226"/>
      <c r="FJ144" s="226"/>
      <c r="FK144" s="226"/>
      <c r="FL144" s="226"/>
      <c r="FM144" s="226"/>
      <c r="FN144" s="226"/>
      <c r="FO144" s="226"/>
      <c r="FP144" s="226"/>
      <c r="FQ144" s="226"/>
      <c r="FR144" s="226"/>
      <c r="FS144" s="226"/>
      <c r="FT144" s="226"/>
      <c r="FU144" s="226"/>
      <c r="FV144" s="226"/>
      <c r="FW144" s="226"/>
      <c r="FX144" s="226"/>
      <c r="FY144" s="226"/>
      <c r="FZ144" s="226"/>
      <c r="GA144" s="226"/>
      <c r="GB144" s="226"/>
      <c r="GC144" s="226"/>
      <c r="GD144" s="226"/>
      <c r="GE144" s="226"/>
      <c r="GF144" s="226"/>
      <c r="GG144" s="226"/>
      <c r="GH144" s="226"/>
      <c r="GI144" s="226"/>
      <c r="GJ144" s="226"/>
      <c r="GK144" s="226"/>
      <c r="GL144" s="226"/>
      <c r="GM144" s="226"/>
      <c r="GN144" s="226"/>
      <c r="GO144" s="226"/>
      <c r="GP144" s="226"/>
      <c r="GQ144" s="226"/>
      <c r="GR144" s="226"/>
      <c r="GS144" s="226"/>
      <c r="GT144" s="226"/>
      <c r="GU144" s="226"/>
      <c r="GV144" s="226"/>
      <c r="GW144" s="226"/>
      <c r="GX144" s="226"/>
      <c r="GY144" s="226"/>
      <c r="GZ144" s="226"/>
      <c r="HA144" s="226"/>
      <c r="HB144" s="226"/>
      <c r="HC144" s="226"/>
      <c r="HD144" s="226"/>
    </row>
    <row r="145" spans="1:212" ht="14.1" customHeight="1" x14ac:dyDescent="0.2">
      <c r="A145" s="226"/>
      <c r="B145" s="226"/>
      <c r="C145" s="226"/>
      <c r="D145" s="226"/>
      <c r="E145" s="226"/>
      <c r="F145" s="226"/>
      <c r="G145" s="226"/>
      <c r="H145" s="226"/>
      <c r="I145" s="226"/>
      <c r="J145" s="226"/>
      <c r="K145" s="226"/>
      <c r="L145" s="226"/>
      <c r="M145" s="226"/>
      <c r="N145" s="226"/>
      <c r="O145" s="226"/>
      <c r="P145" s="226"/>
      <c r="Q145" s="226"/>
      <c r="R145" s="226"/>
      <c r="S145" s="226"/>
      <c r="T145" s="226"/>
      <c r="U145" s="226"/>
      <c r="V145" s="226"/>
      <c r="W145" s="226"/>
      <c r="X145" s="226"/>
      <c r="Y145" s="226"/>
      <c r="Z145" s="226"/>
      <c r="AA145" s="226"/>
      <c r="AB145" s="226"/>
      <c r="AC145" s="226"/>
      <c r="AD145" s="226"/>
      <c r="AE145" s="226"/>
      <c r="AF145" s="226"/>
      <c r="AG145" s="226"/>
      <c r="AH145" s="226"/>
      <c r="AI145" s="226"/>
      <c r="AJ145" s="226"/>
      <c r="AK145" s="226"/>
      <c r="AL145" s="226"/>
      <c r="AM145" s="226"/>
      <c r="AN145" s="226"/>
      <c r="AO145" s="226"/>
      <c r="AP145" s="226"/>
      <c r="AQ145" s="226"/>
      <c r="AR145" s="226"/>
      <c r="AS145" s="226"/>
      <c r="AT145" s="226"/>
      <c r="AU145" s="226"/>
      <c r="AV145" s="226"/>
      <c r="AW145" s="226"/>
      <c r="AX145" s="226"/>
      <c r="AY145" s="226"/>
      <c r="AZ145" s="226"/>
      <c r="BA145" s="226"/>
      <c r="BB145" s="226"/>
      <c r="BC145" s="226"/>
      <c r="BD145" s="226"/>
      <c r="BE145" s="226"/>
      <c r="BF145" s="226"/>
      <c r="BG145" s="226"/>
      <c r="BH145" s="226"/>
      <c r="BI145" s="226"/>
      <c r="BJ145" s="226"/>
      <c r="BK145" s="226"/>
      <c r="BL145" s="226"/>
      <c r="BM145" s="226"/>
      <c r="BN145" s="226"/>
      <c r="BO145" s="226"/>
      <c r="BP145" s="226"/>
      <c r="BQ145" s="226"/>
      <c r="BR145" s="226"/>
      <c r="BS145" s="226"/>
      <c r="BT145" s="226"/>
      <c r="BU145" s="226"/>
      <c r="BV145" s="226"/>
      <c r="BW145" s="226"/>
      <c r="BX145" s="226"/>
      <c r="BY145" s="226"/>
      <c r="BZ145" s="226"/>
      <c r="CA145" s="226"/>
      <c r="CB145" s="226"/>
      <c r="CC145" s="226"/>
      <c r="CD145" s="226"/>
      <c r="CE145" s="226"/>
      <c r="CF145" s="226"/>
      <c r="CG145" s="226"/>
      <c r="CH145" s="226"/>
      <c r="CI145" s="226"/>
      <c r="CJ145" s="226"/>
      <c r="CK145" s="226"/>
      <c r="CL145" s="226"/>
      <c r="CM145" s="226"/>
      <c r="CN145" s="226"/>
      <c r="CO145" s="226"/>
      <c r="CP145" s="226"/>
      <c r="CQ145" s="226"/>
      <c r="CR145" s="226"/>
      <c r="CS145" s="226"/>
      <c r="CT145" s="226"/>
      <c r="CU145" s="226"/>
      <c r="CV145" s="226"/>
      <c r="CW145" s="226"/>
      <c r="CX145" s="226"/>
      <c r="CY145" s="226"/>
      <c r="CZ145" s="226"/>
      <c r="DA145" s="226"/>
      <c r="DB145" s="226"/>
      <c r="DC145" s="226"/>
      <c r="DD145" s="226"/>
      <c r="DE145" s="226"/>
      <c r="DF145" s="226"/>
      <c r="DG145" s="226"/>
      <c r="DH145" s="226"/>
      <c r="DI145" s="226"/>
      <c r="DJ145" s="226"/>
      <c r="DK145" s="226"/>
      <c r="DL145" s="226"/>
      <c r="DM145" s="226"/>
      <c r="DN145" s="226"/>
      <c r="DO145" s="226"/>
      <c r="DP145" s="226"/>
      <c r="DQ145" s="226"/>
      <c r="DR145" s="226"/>
      <c r="DS145" s="226"/>
      <c r="DT145" s="226"/>
      <c r="DU145" s="226"/>
      <c r="DV145" s="226"/>
      <c r="DW145" s="226"/>
      <c r="DX145" s="226"/>
      <c r="DY145" s="226"/>
      <c r="DZ145" s="226"/>
      <c r="EA145" s="226"/>
      <c r="EB145" s="226"/>
      <c r="EC145" s="226"/>
      <c r="ED145" s="226"/>
      <c r="EE145" s="226"/>
      <c r="EF145" s="226"/>
      <c r="EG145" s="226"/>
      <c r="EH145" s="226"/>
      <c r="EI145" s="226"/>
      <c r="EJ145" s="226"/>
      <c r="EK145" s="226"/>
      <c r="EL145" s="226"/>
      <c r="EM145" s="226"/>
      <c r="EN145" s="226"/>
      <c r="EO145" s="226"/>
      <c r="EP145" s="226"/>
      <c r="EQ145" s="226"/>
      <c r="ER145" s="226"/>
      <c r="ES145" s="226"/>
      <c r="ET145" s="226"/>
      <c r="EU145" s="226"/>
      <c r="EV145" s="226"/>
      <c r="EW145" s="226"/>
      <c r="EX145" s="226"/>
      <c r="EY145" s="226"/>
      <c r="EZ145" s="226"/>
      <c r="FA145" s="226"/>
      <c r="FB145" s="226"/>
      <c r="FC145" s="226"/>
      <c r="FD145" s="226"/>
      <c r="FE145" s="226"/>
      <c r="FF145" s="226"/>
      <c r="FG145" s="226"/>
      <c r="FH145" s="226"/>
      <c r="FI145" s="226"/>
      <c r="FJ145" s="226"/>
      <c r="FK145" s="226"/>
      <c r="FL145" s="226"/>
      <c r="FM145" s="226"/>
      <c r="FN145" s="226"/>
      <c r="FO145" s="226"/>
      <c r="FP145" s="226"/>
      <c r="FQ145" s="226"/>
      <c r="FR145" s="226"/>
      <c r="FS145" s="226"/>
      <c r="FT145" s="226"/>
      <c r="FU145" s="226"/>
      <c r="FV145" s="226"/>
      <c r="FW145" s="226"/>
      <c r="FX145" s="226"/>
      <c r="FY145" s="226"/>
      <c r="FZ145" s="226"/>
      <c r="GA145" s="226"/>
      <c r="GB145" s="226"/>
      <c r="GC145" s="226"/>
      <c r="GD145" s="226"/>
      <c r="GE145" s="226"/>
      <c r="GF145" s="226"/>
      <c r="GG145" s="226"/>
      <c r="GH145" s="226"/>
      <c r="GI145" s="226"/>
      <c r="GJ145" s="226"/>
      <c r="GK145" s="226"/>
      <c r="GL145" s="226"/>
      <c r="GM145" s="226"/>
      <c r="GN145" s="226"/>
      <c r="GO145" s="226"/>
      <c r="GP145" s="226"/>
      <c r="GQ145" s="226"/>
      <c r="GR145" s="226"/>
      <c r="GS145" s="226"/>
      <c r="GT145" s="226"/>
      <c r="GU145" s="226"/>
      <c r="GV145" s="226"/>
      <c r="GW145" s="226"/>
      <c r="GX145" s="226"/>
      <c r="GY145" s="226"/>
      <c r="GZ145" s="226"/>
      <c r="HA145" s="226"/>
      <c r="HB145" s="226"/>
      <c r="HC145" s="226"/>
      <c r="HD145" s="226"/>
    </row>
    <row r="146" spans="1:212" ht="14.1" customHeight="1" x14ac:dyDescent="0.2">
      <c r="A146" s="226"/>
      <c r="B146" s="226"/>
      <c r="C146" s="226"/>
      <c r="D146" s="226"/>
      <c r="E146" s="226"/>
      <c r="F146" s="226"/>
      <c r="G146" s="226"/>
      <c r="H146" s="226"/>
      <c r="I146" s="226"/>
      <c r="J146" s="226"/>
      <c r="K146" s="226"/>
      <c r="L146" s="226"/>
      <c r="M146" s="226"/>
      <c r="N146" s="226"/>
      <c r="O146" s="226"/>
      <c r="P146" s="226"/>
      <c r="Q146" s="226"/>
      <c r="R146" s="226"/>
      <c r="S146" s="226"/>
      <c r="T146" s="226"/>
      <c r="U146" s="226"/>
      <c r="V146" s="226"/>
      <c r="W146" s="226"/>
      <c r="X146" s="226"/>
      <c r="Y146" s="226"/>
      <c r="Z146" s="226"/>
      <c r="AA146" s="226"/>
      <c r="AB146" s="226"/>
      <c r="AC146" s="226"/>
      <c r="AD146" s="226"/>
      <c r="AE146" s="226"/>
      <c r="AF146" s="226"/>
      <c r="AG146" s="226"/>
      <c r="AH146" s="226"/>
      <c r="AI146" s="226"/>
      <c r="AJ146" s="226"/>
      <c r="AK146" s="226"/>
      <c r="AL146" s="226"/>
      <c r="AM146" s="226"/>
      <c r="AN146" s="226"/>
      <c r="AO146" s="226"/>
      <c r="AP146" s="226"/>
      <c r="AQ146" s="226"/>
      <c r="AR146" s="226"/>
      <c r="AS146" s="226"/>
      <c r="AT146" s="226"/>
      <c r="AU146" s="226"/>
      <c r="AV146" s="226"/>
      <c r="AW146" s="226"/>
      <c r="AX146" s="226"/>
      <c r="AY146" s="226"/>
      <c r="AZ146" s="226"/>
      <c r="BA146" s="226"/>
      <c r="BB146" s="226"/>
      <c r="BC146" s="226"/>
      <c r="BD146" s="226"/>
      <c r="BE146" s="226"/>
      <c r="BF146" s="226"/>
      <c r="BG146" s="226"/>
      <c r="BH146" s="226"/>
      <c r="BI146" s="226"/>
      <c r="BJ146" s="226"/>
      <c r="BK146" s="226"/>
      <c r="BL146" s="226"/>
      <c r="BM146" s="226"/>
      <c r="BN146" s="226"/>
      <c r="BO146" s="226"/>
      <c r="BP146" s="226"/>
      <c r="BQ146" s="226"/>
      <c r="BR146" s="226"/>
      <c r="BS146" s="226"/>
      <c r="BT146" s="226"/>
      <c r="BU146" s="226"/>
      <c r="BV146" s="226"/>
      <c r="BW146" s="226"/>
      <c r="BX146" s="226"/>
      <c r="BY146" s="226"/>
      <c r="BZ146" s="226"/>
      <c r="CA146" s="226"/>
      <c r="CB146" s="226"/>
      <c r="CC146" s="226"/>
      <c r="CD146" s="226"/>
      <c r="CE146" s="226"/>
      <c r="CF146" s="226"/>
      <c r="CG146" s="226"/>
      <c r="CH146" s="226"/>
      <c r="CI146" s="226"/>
      <c r="CJ146" s="226"/>
      <c r="CK146" s="226"/>
      <c r="CL146" s="226"/>
      <c r="CM146" s="226"/>
      <c r="CN146" s="226"/>
      <c r="CO146" s="226"/>
      <c r="CP146" s="226"/>
      <c r="CQ146" s="226"/>
      <c r="CR146" s="226"/>
      <c r="CS146" s="226"/>
      <c r="CT146" s="226"/>
      <c r="CU146" s="226"/>
      <c r="CV146" s="226"/>
      <c r="CW146" s="226"/>
      <c r="CX146" s="226"/>
      <c r="CY146" s="226"/>
      <c r="CZ146" s="226"/>
      <c r="DA146" s="226"/>
      <c r="DB146" s="226"/>
      <c r="DC146" s="226"/>
      <c r="DD146" s="226"/>
      <c r="DE146" s="226"/>
      <c r="DF146" s="226"/>
      <c r="DG146" s="226"/>
      <c r="DH146" s="226"/>
      <c r="DI146" s="226"/>
      <c r="DJ146" s="226"/>
      <c r="DK146" s="226"/>
      <c r="DL146" s="226"/>
      <c r="DM146" s="226"/>
      <c r="DN146" s="226"/>
      <c r="DO146" s="226"/>
      <c r="DP146" s="226"/>
      <c r="DQ146" s="226"/>
      <c r="DR146" s="226"/>
      <c r="DS146" s="226"/>
      <c r="DT146" s="226"/>
      <c r="DU146" s="226"/>
      <c r="DV146" s="226"/>
      <c r="DW146" s="226"/>
      <c r="DX146" s="226"/>
      <c r="DY146" s="226"/>
      <c r="DZ146" s="226"/>
      <c r="EA146" s="226"/>
      <c r="EB146" s="226"/>
      <c r="EC146" s="226"/>
      <c r="ED146" s="226"/>
      <c r="EE146" s="226"/>
      <c r="EF146" s="226"/>
      <c r="EG146" s="226"/>
      <c r="EH146" s="226"/>
      <c r="EI146" s="226"/>
      <c r="EJ146" s="226"/>
      <c r="EK146" s="226"/>
      <c r="EL146" s="226"/>
      <c r="EM146" s="226"/>
      <c r="EN146" s="226"/>
      <c r="EO146" s="226"/>
      <c r="EP146" s="226"/>
      <c r="EQ146" s="226"/>
      <c r="ER146" s="226"/>
      <c r="ES146" s="226"/>
      <c r="ET146" s="226"/>
      <c r="EU146" s="226"/>
      <c r="EV146" s="226"/>
      <c r="EW146" s="226"/>
      <c r="EX146" s="226"/>
      <c r="EY146" s="226"/>
      <c r="EZ146" s="226"/>
      <c r="FA146" s="226"/>
      <c r="FB146" s="226"/>
      <c r="FC146" s="226"/>
      <c r="FD146" s="226"/>
      <c r="FE146" s="226"/>
      <c r="FF146" s="226"/>
      <c r="FG146" s="226"/>
      <c r="FH146" s="226"/>
      <c r="FI146" s="226"/>
      <c r="FJ146" s="226"/>
      <c r="FK146" s="226"/>
      <c r="FL146" s="226"/>
      <c r="FM146" s="226"/>
      <c r="FN146" s="226"/>
      <c r="FO146" s="226"/>
      <c r="FP146" s="226"/>
      <c r="FQ146" s="226"/>
      <c r="FR146" s="226"/>
      <c r="FS146" s="226"/>
      <c r="FT146" s="226"/>
      <c r="FU146" s="226"/>
      <c r="FV146" s="226"/>
      <c r="FW146" s="226"/>
      <c r="FX146" s="226"/>
      <c r="FY146" s="226"/>
      <c r="FZ146" s="226"/>
      <c r="GA146" s="226"/>
      <c r="GB146" s="226"/>
      <c r="GC146" s="226"/>
      <c r="GD146" s="226"/>
      <c r="GE146" s="226"/>
      <c r="GF146" s="226"/>
      <c r="GG146" s="226"/>
      <c r="GH146" s="226"/>
      <c r="GI146" s="226"/>
      <c r="GJ146" s="226"/>
      <c r="GK146" s="226"/>
      <c r="GL146" s="226"/>
      <c r="GM146" s="226"/>
      <c r="GN146" s="226"/>
      <c r="GO146" s="226"/>
      <c r="GP146" s="226"/>
      <c r="GQ146" s="226"/>
      <c r="GR146" s="226"/>
      <c r="GS146" s="226"/>
      <c r="GT146" s="226"/>
      <c r="GU146" s="226"/>
      <c r="GV146" s="226"/>
      <c r="GW146" s="226"/>
      <c r="GX146" s="226"/>
      <c r="GY146" s="226"/>
      <c r="GZ146" s="226"/>
      <c r="HA146" s="226"/>
      <c r="HB146" s="226"/>
      <c r="HC146" s="226"/>
      <c r="HD146" s="226"/>
    </row>
    <row r="147" spans="1:212" ht="14.1" customHeight="1" x14ac:dyDescent="0.2">
      <c r="A147" s="226"/>
      <c r="B147" s="226"/>
      <c r="C147" s="226"/>
      <c r="D147" s="226"/>
      <c r="E147" s="226"/>
      <c r="F147" s="226"/>
      <c r="G147" s="226"/>
      <c r="H147" s="226"/>
      <c r="I147" s="226"/>
      <c r="J147" s="226"/>
      <c r="K147" s="226"/>
      <c r="L147" s="226"/>
      <c r="M147" s="226"/>
      <c r="N147" s="226"/>
      <c r="O147" s="226"/>
      <c r="P147" s="226"/>
      <c r="Q147" s="226"/>
      <c r="R147" s="226"/>
      <c r="S147" s="226"/>
      <c r="T147" s="226"/>
      <c r="U147" s="226"/>
      <c r="V147" s="226"/>
      <c r="W147" s="226"/>
      <c r="X147" s="226"/>
      <c r="Y147" s="226"/>
      <c r="Z147" s="226"/>
      <c r="AA147" s="226"/>
      <c r="AB147" s="226"/>
      <c r="AC147" s="226"/>
      <c r="AD147" s="226"/>
      <c r="AE147" s="226"/>
      <c r="AF147" s="226"/>
      <c r="AG147" s="226"/>
      <c r="AH147" s="226"/>
      <c r="AI147" s="226"/>
      <c r="AJ147" s="226"/>
      <c r="AK147" s="226"/>
      <c r="AL147" s="226"/>
      <c r="AM147" s="226"/>
      <c r="AN147" s="226"/>
      <c r="AO147" s="226"/>
      <c r="AP147" s="226"/>
      <c r="AQ147" s="226"/>
      <c r="AR147" s="226"/>
      <c r="AS147" s="226"/>
      <c r="AT147" s="226"/>
      <c r="AU147" s="226"/>
      <c r="AV147" s="226"/>
      <c r="AW147" s="226"/>
      <c r="AX147" s="226"/>
      <c r="AY147" s="226"/>
      <c r="AZ147" s="226"/>
      <c r="BA147" s="226"/>
      <c r="BB147" s="226"/>
      <c r="BC147" s="226"/>
      <c r="BD147" s="226"/>
      <c r="BE147" s="226"/>
      <c r="BF147" s="226"/>
      <c r="BG147" s="226"/>
      <c r="BH147" s="226"/>
      <c r="BI147" s="226"/>
      <c r="BJ147" s="226"/>
      <c r="BK147" s="226"/>
      <c r="BL147" s="226"/>
      <c r="BM147" s="226"/>
      <c r="BN147" s="226"/>
      <c r="BO147" s="226"/>
      <c r="BP147" s="226"/>
      <c r="BQ147" s="226"/>
      <c r="BR147" s="226"/>
      <c r="BS147" s="226"/>
      <c r="BT147" s="226"/>
      <c r="BU147" s="226"/>
      <c r="BV147" s="226"/>
      <c r="BW147" s="226"/>
      <c r="BX147" s="226"/>
      <c r="BY147" s="226"/>
      <c r="BZ147" s="226"/>
      <c r="CA147" s="226"/>
      <c r="CB147" s="226"/>
      <c r="CC147" s="226"/>
      <c r="CD147" s="226"/>
      <c r="CE147" s="226"/>
      <c r="CF147" s="226"/>
      <c r="CG147" s="226"/>
      <c r="CH147" s="226"/>
      <c r="CI147" s="226"/>
      <c r="CJ147" s="226"/>
      <c r="CK147" s="226"/>
      <c r="CL147" s="226"/>
      <c r="CM147" s="226"/>
      <c r="CN147" s="226"/>
      <c r="CO147" s="226"/>
      <c r="CP147" s="226"/>
      <c r="CQ147" s="226"/>
      <c r="CR147" s="226"/>
      <c r="CS147" s="226"/>
      <c r="CT147" s="226"/>
      <c r="CU147" s="226"/>
      <c r="CV147" s="226"/>
      <c r="CW147" s="226"/>
      <c r="CX147" s="226"/>
      <c r="CY147" s="226"/>
      <c r="CZ147" s="226"/>
      <c r="DA147" s="226"/>
      <c r="DB147" s="226"/>
      <c r="DC147" s="226"/>
      <c r="DD147" s="226"/>
      <c r="DE147" s="226"/>
      <c r="DF147" s="226"/>
      <c r="DG147" s="226"/>
      <c r="DH147" s="226"/>
      <c r="DI147" s="226"/>
      <c r="DJ147" s="226"/>
      <c r="DK147" s="226"/>
      <c r="DL147" s="226"/>
      <c r="DM147" s="226"/>
      <c r="DN147" s="226"/>
      <c r="DO147" s="226"/>
      <c r="DP147" s="226"/>
      <c r="DQ147" s="226"/>
      <c r="DR147" s="226"/>
      <c r="DS147" s="226"/>
      <c r="DT147" s="226"/>
      <c r="DU147" s="226"/>
      <c r="DV147" s="226"/>
      <c r="DW147" s="226"/>
      <c r="DX147" s="226"/>
      <c r="DY147" s="226"/>
      <c r="DZ147" s="226"/>
      <c r="EA147" s="226"/>
      <c r="EB147" s="226"/>
      <c r="EC147" s="226"/>
      <c r="ED147" s="226"/>
      <c r="EE147" s="226"/>
      <c r="EF147" s="226"/>
      <c r="EG147" s="226"/>
      <c r="EH147" s="226"/>
      <c r="EI147" s="226"/>
      <c r="EJ147" s="226"/>
      <c r="EK147" s="226"/>
      <c r="EL147" s="226"/>
      <c r="EM147" s="226"/>
      <c r="EN147" s="226"/>
      <c r="EO147" s="226"/>
      <c r="EP147" s="226"/>
      <c r="EQ147" s="226"/>
      <c r="ER147" s="226"/>
      <c r="ES147" s="226"/>
      <c r="ET147" s="226"/>
      <c r="EU147" s="226"/>
      <c r="EV147" s="226"/>
      <c r="EW147" s="226"/>
      <c r="EX147" s="226"/>
      <c r="EY147" s="226"/>
      <c r="EZ147" s="226"/>
      <c r="FA147" s="226"/>
      <c r="FB147" s="226"/>
      <c r="FC147" s="226"/>
      <c r="FD147" s="226"/>
      <c r="FE147" s="226"/>
      <c r="FF147" s="226"/>
      <c r="FG147" s="226"/>
      <c r="FH147" s="226"/>
      <c r="FI147" s="226"/>
      <c r="FJ147" s="226"/>
      <c r="FK147" s="226"/>
      <c r="FL147" s="226"/>
      <c r="FM147" s="226"/>
      <c r="FN147" s="226"/>
      <c r="FO147" s="226"/>
      <c r="FP147" s="226"/>
      <c r="FQ147" s="226"/>
      <c r="FR147" s="226"/>
      <c r="FS147" s="226"/>
      <c r="FT147" s="226"/>
      <c r="FU147" s="226"/>
      <c r="FV147" s="226"/>
      <c r="FW147" s="226"/>
      <c r="FX147" s="226"/>
      <c r="FY147" s="226"/>
      <c r="FZ147" s="226"/>
      <c r="GA147" s="226"/>
      <c r="GB147" s="226"/>
      <c r="GC147" s="226"/>
      <c r="GD147" s="226"/>
      <c r="GE147" s="226"/>
      <c r="GF147" s="226"/>
      <c r="GG147" s="226"/>
      <c r="GH147" s="226"/>
      <c r="GI147" s="226"/>
      <c r="GJ147" s="226"/>
      <c r="GK147" s="226"/>
      <c r="GL147" s="226"/>
      <c r="GM147" s="226"/>
      <c r="GN147" s="226"/>
      <c r="GO147" s="226"/>
      <c r="GP147" s="226"/>
      <c r="GQ147" s="226"/>
      <c r="GR147" s="226"/>
      <c r="GS147" s="226"/>
      <c r="GT147" s="226"/>
      <c r="GU147" s="226"/>
      <c r="GV147" s="226"/>
      <c r="GW147" s="226"/>
      <c r="GX147" s="226"/>
      <c r="GY147" s="226"/>
      <c r="GZ147" s="226"/>
      <c r="HA147" s="226"/>
      <c r="HB147" s="226"/>
      <c r="HC147" s="226"/>
      <c r="HD147" s="226"/>
    </row>
    <row r="148" spans="1:212" ht="14.1" customHeight="1" x14ac:dyDescent="0.2">
      <c r="A148" s="226"/>
      <c r="B148" s="226"/>
      <c r="C148" s="226"/>
      <c r="D148" s="226"/>
      <c r="E148" s="226"/>
      <c r="F148" s="226"/>
      <c r="G148" s="226"/>
      <c r="H148" s="226"/>
      <c r="I148" s="226"/>
      <c r="J148" s="226"/>
      <c r="K148" s="226"/>
      <c r="L148" s="226"/>
      <c r="M148" s="226"/>
      <c r="N148" s="226"/>
      <c r="O148" s="226"/>
      <c r="P148" s="226"/>
      <c r="Q148" s="226"/>
      <c r="R148" s="226"/>
      <c r="S148" s="226"/>
      <c r="T148" s="226"/>
      <c r="U148" s="226"/>
      <c r="V148" s="226"/>
      <c r="W148" s="226"/>
      <c r="X148" s="226"/>
      <c r="Y148" s="226"/>
      <c r="Z148" s="226"/>
      <c r="AA148" s="226"/>
      <c r="AB148" s="226"/>
      <c r="AC148" s="226"/>
      <c r="AD148" s="226"/>
      <c r="AE148" s="226"/>
      <c r="AF148" s="226"/>
      <c r="AG148" s="226"/>
      <c r="AH148" s="226"/>
      <c r="AI148" s="226"/>
      <c r="AJ148" s="226"/>
      <c r="AK148" s="226"/>
      <c r="AL148" s="226"/>
      <c r="AM148" s="226"/>
      <c r="AN148" s="226"/>
      <c r="AO148" s="226"/>
      <c r="AP148" s="226"/>
      <c r="AQ148" s="226"/>
      <c r="AR148" s="226"/>
      <c r="AS148" s="226"/>
      <c r="AT148" s="226"/>
      <c r="AU148" s="226"/>
      <c r="AV148" s="226"/>
      <c r="AW148" s="226"/>
      <c r="AX148" s="226"/>
      <c r="AY148" s="226"/>
      <c r="AZ148" s="226"/>
      <c r="BA148" s="226"/>
      <c r="BB148" s="226"/>
      <c r="BC148" s="226"/>
      <c r="BD148" s="226"/>
      <c r="BE148" s="226"/>
      <c r="BF148" s="226"/>
      <c r="BG148" s="226"/>
      <c r="BH148" s="226"/>
      <c r="BI148" s="226"/>
      <c r="BJ148" s="226"/>
      <c r="BK148" s="226"/>
      <c r="BL148" s="226"/>
      <c r="BM148" s="226"/>
      <c r="BN148" s="226"/>
      <c r="BO148" s="226"/>
      <c r="BP148" s="226"/>
      <c r="BQ148" s="226"/>
      <c r="BR148" s="226"/>
      <c r="BS148" s="226"/>
      <c r="BT148" s="226"/>
      <c r="BU148" s="226"/>
      <c r="BV148" s="226"/>
      <c r="BW148" s="226"/>
      <c r="BX148" s="226"/>
      <c r="BY148" s="226"/>
      <c r="BZ148" s="226"/>
      <c r="CA148" s="226"/>
      <c r="CB148" s="226"/>
      <c r="CC148" s="226"/>
      <c r="CD148" s="226"/>
      <c r="CE148" s="226"/>
      <c r="CF148" s="226"/>
      <c r="CG148" s="226"/>
      <c r="CH148" s="226"/>
      <c r="CI148" s="226"/>
      <c r="CJ148" s="226"/>
      <c r="CK148" s="226"/>
      <c r="CL148" s="226"/>
      <c r="CM148" s="226"/>
      <c r="CN148" s="226"/>
      <c r="CO148" s="226"/>
      <c r="CP148" s="226"/>
      <c r="CQ148" s="226"/>
      <c r="CR148" s="226"/>
      <c r="CS148" s="226"/>
      <c r="CT148" s="226"/>
      <c r="CU148" s="226"/>
      <c r="CV148" s="226"/>
      <c r="CW148" s="226"/>
      <c r="CX148" s="226"/>
      <c r="CY148" s="226"/>
      <c r="CZ148" s="226"/>
      <c r="DA148" s="226"/>
      <c r="DB148" s="226"/>
      <c r="DC148" s="226"/>
      <c r="DD148" s="226"/>
      <c r="DE148" s="226"/>
      <c r="DF148" s="226"/>
      <c r="DG148" s="226"/>
      <c r="DH148" s="226"/>
      <c r="DI148" s="226"/>
      <c r="DJ148" s="226"/>
      <c r="DK148" s="226"/>
      <c r="DL148" s="226"/>
      <c r="DM148" s="226"/>
      <c r="DN148" s="226"/>
      <c r="DO148" s="226"/>
      <c r="DP148" s="226"/>
      <c r="DQ148" s="226"/>
      <c r="DR148" s="226"/>
      <c r="DS148" s="226"/>
      <c r="DT148" s="226"/>
      <c r="DU148" s="226"/>
      <c r="DV148" s="226"/>
      <c r="DW148" s="226"/>
      <c r="DX148" s="226"/>
      <c r="DY148" s="226"/>
      <c r="DZ148" s="226"/>
      <c r="EA148" s="226"/>
      <c r="EB148" s="226"/>
      <c r="EC148" s="226"/>
      <c r="ED148" s="226"/>
      <c r="EE148" s="226"/>
      <c r="EF148" s="226"/>
      <c r="EG148" s="226"/>
      <c r="EH148" s="226"/>
      <c r="EI148" s="226"/>
      <c r="EJ148" s="226"/>
      <c r="EK148" s="226"/>
      <c r="EL148" s="226"/>
      <c r="EM148" s="226"/>
      <c r="EN148" s="226"/>
      <c r="EO148" s="226"/>
      <c r="EP148" s="226"/>
      <c r="EQ148" s="226"/>
      <c r="ER148" s="226"/>
      <c r="ES148" s="226"/>
      <c r="ET148" s="226"/>
      <c r="EU148" s="226"/>
      <c r="EV148" s="226"/>
      <c r="EW148" s="226"/>
      <c r="EX148" s="226"/>
      <c r="EY148" s="226"/>
      <c r="EZ148" s="226"/>
      <c r="FA148" s="226"/>
      <c r="FB148" s="226"/>
      <c r="FC148" s="226"/>
      <c r="FD148" s="226"/>
      <c r="FE148" s="226"/>
      <c r="FF148" s="226"/>
      <c r="FG148" s="226"/>
      <c r="FH148" s="226"/>
      <c r="FI148" s="226"/>
      <c r="FJ148" s="226"/>
      <c r="FK148" s="226"/>
      <c r="FL148" s="226"/>
      <c r="FM148" s="226"/>
      <c r="FN148" s="226"/>
      <c r="FO148" s="226"/>
      <c r="FP148" s="226"/>
      <c r="FQ148" s="226"/>
      <c r="FR148" s="226"/>
      <c r="FS148" s="226"/>
      <c r="FT148" s="226"/>
      <c r="FU148" s="226"/>
      <c r="FV148" s="226"/>
      <c r="FW148" s="226"/>
      <c r="FX148" s="226"/>
      <c r="FY148" s="226"/>
      <c r="FZ148" s="226"/>
      <c r="GA148" s="226"/>
      <c r="GB148" s="226"/>
      <c r="GC148" s="226"/>
      <c r="GD148" s="226"/>
      <c r="GE148" s="226"/>
      <c r="GF148" s="226"/>
      <c r="GG148" s="226"/>
      <c r="GH148" s="226"/>
      <c r="GI148" s="226"/>
      <c r="GJ148" s="226"/>
      <c r="GK148" s="226"/>
      <c r="GL148" s="226"/>
      <c r="GM148" s="226"/>
      <c r="GN148" s="226"/>
      <c r="GO148" s="226"/>
      <c r="GP148" s="226"/>
      <c r="GQ148" s="226"/>
      <c r="GR148" s="226"/>
      <c r="GS148" s="226"/>
      <c r="GT148" s="226"/>
      <c r="GU148" s="226"/>
      <c r="GV148" s="226"/>
      <c r="GW148" s="226"/>
      <c r="GX148" s="226"/>
      <c r="GY148" s="226"/>
      <c r="GZ148" s="226"/>
      <c r="HA148" s="226"/>
      <c r="HB148" s="226"/>
      <c r="HC148" s="226"/>
      <c r="HD148" s="226"/>
    </row>
    <row r="149" spans="1:212" ht="14.1" customHeight="1" x14ac:dyDescent="0.2">
      <c r="A149" s="226"/>
      <c r="B149" s="226"/>
      <c r="C149" s="226"/>
      <c r="D149" s="226"/>
      <c r="E149" s="226"/>
      <c r="F149" s="226"/>
      <c r="G149" s="226"/>
      <c r="H149" s="226"/>
      <c r="I149" s="226"/>
      <c r="J149" s="226"/>
      <c r="K149" s="226"/>
      <c r="L149" s="226"/>
      <c r="M149" s="226"/>
      <c r="N149" s="226"/>
      <c r="O149" s="226"/>
      <c r="P149" s="226"/>
      <c r="Q149" s="226"/>
      <c r="R149" s="226"/>
      <c r="S149" s="226"/>
      <c r="T149" s="226"/>
      <c r="U149" s="226"/>
      <c r="V149" s="226"/>
      <c r="W149" s="226"/>
      <c r="X149" s="226"/>
      <c r="Y149" s="226"/>
      <c r="Z149" s="226"/>
      <c r="AA149" s="226"/>
      <c r="AB149" s="226"/>
      <c r="AC149" s="226"/>
      <c r="AD149" s="226"/>
      <c r="AE149" s="226"/>
      <c r="AF149" s="226"/>
      <c r="AG149" s="226"/>
      <c r="AH149" s="226"/>
      <c r="AI149" s="226"/>
      <c r="AJ149" s="226"/>
      <c r="AK149" s="226"/>
      <c r="AL149" s="226"/>
      <c r="AM149" s="226"/>
      <c r="AN149" s="226"/>
      <c r="AO149" s="226"/>
      <c r="AP149" s="226"/>
      <c r="AQ149" s="226"/>
      <c r="AR149" s="226"/>
      <c r="AS149" s="226"/>
      <c r="AT149" s="226"/>
      <c r="AU149" s="226"/>
      <c r="AV149" s="226"/>
      <c r="AW149" s="226"/>
      <c r="AX149" s="226"/>
      <c r="AY149" s="226"/>
      <c r="AZ149" s="226"/>
      <c r="BA149" s="226"/>
      <c r="BB149" s="226"/>
      <c r="BC149" s="226"/>
      <c r="BD149" s="226"/>
      <c r="BE149" s="226"/>
      <c r="BF149" s="226"/>
      <c r="BG149" s="226"/>
      <c r="BH149" s="226"/>
      <c r="BI149" s="226"/>
      <c r="BJ149" s="226"/>
      <c r="BK149" s="226"/>
      <c r="BL149" s="226"/>
      <c r="BM149" s="226"/>
      <c r="BN149" s="226"/>
      <c r="BO149" s="226"/>
      <c r="BP149" s="226"/>
      <c r="BQ149" s="226"/>
      <c r="BR149" s="226"/>
      <c r="BS149" s="226"/>
      <c r="BT149" s="226"/>
      <c r="BU149" s="226"/>
      <c r="BV149" s="226"/>
      <c r="BW149" s="226"/>
      <c r="BX149" s="226"/>
      <c r="BY149" s="226"/>
      <c r="BZ149" s="226"/>
      <c r="CA149" s="226"/>
      <c r="CB149" s="226"/>
      <c r="CC149" s="226"/>
      <c r="CD149" s="226"/>
      <c r="CE149" s="226"/>
      <c r="CF149" s="226"/>
      <c r="CG149" s="226"/>
      <c r="CH149" s="226"/>
      <c r="CI149" s="226"/>
      <c r="CJ149" s="226"/>
      <c r="CK149" s="226"/>
      <c r="CL149" s="226"/>
      <c r="CM149" s="226"/>
      <c r="CN149" s="226"/>
      <c r="CO149" s="226"/>
      <c r="CP149" s="226"/>
      <c r="CQ149" s="226"/>
      <c r="CR149" s="226"/>
      <c r="CS149" s="226"/>
      <c r="CT149" s="226"/>
      <c r="CU149" s="226"/>
      <c r="CV149" s="226"/>
      <c r="CW149" s="226"/>
      <c r="CX149" s="226"/>
      <c r="CY149" s="226"/>
      <c r="CZ149" s="226"/>
      <c r="DA149" s="226"/>
      <c r="DB149" s="226"/>
      <c r="DC149" s="226"/>
      <c r="DD149" s="226"/>
      <c r="DE149" s="226"/>
      <c r="DF149" s="226"/>
      <c r="DG149" s="226"/>
      <c r="DH149" s="226"/>
      <c r="DI149" s="226"/>
      <c r="DJ149" s="226"/>
      <c r="DK149" s="226"/>
      <c r="DL149" s="226"/>
      <c r="DM149" s="226"/>
      <c r="DN149" s="226"/>
      <c r="DO149" s="226"/>
      <c r="DP149" s="226"/>
      <c r="DQ149" s="226"/>
      <c r="DR149" s="226"/>
      <c r="DS149" s="226"/>
      <c r="DT149" s="226"/>
      <c r="DU149" s="226"/>
      <c r="DV149" s="226"/>
      <c r="DW149" s="226"/>
      <c r="DX149" s="226"/>
      <c r="DY149" s="226"/>
      <c r="DZ149" s="226"/>
      <c r="EA149" s="226"/>
      <c r="EB149" s="226"/>
      <c r="EC149" s="226"/>
      <c r="ED149" s="226"/>
      <c r="EE149" s="226"/>
      <c r="EF149" s="226"/>
      <c r="EG149" s="226"/>
      <c r="EH149" s="226"/>
      <c r="EI149" s="226"/>
      <c r="EJ149" s="226"/>
      <c r="EK149" s="226"/>
      <c r="EL149" s="226"/>
      <c r="EM149" s="226"/>
      <c r="EN149" s="226"/>
      <c r="EO149" s="226"/>
      <c r="EP149" s="226"/>
      <c r="EQ149" s="226"/>
      <c r="ER149" s="226"/>
      <c r="ES149" s="226"/>
      <c r="ET149" s="226"/>
      <c r="EU149" s="226"/>
      <c r="EV149" s="226"/>
      <c r="EW149" s="226"/>
      <c r="EX149" s="226"/>
      <c r="EY149" s="226"/>
      <c r="EZ149" s="226"/>
      <c r="FA149" s="226"/>
      <c r="FB149" s="226"/>
      <c r="FC149" s="226"/>
      <c r="FD149" s="226"/>
      <c r="FE149" s="226"/>
      <c r="FF149" s="226"/>
      <c r="FG149" s="226"/>
      <c r="FH149" s="226"/>
      <c r="FI149" s="226"/>
      <c r="FJ149" s="226"/>
      <c r="FK149" s="226"/>
      <c r="FL149" s="226"/>
      <c r="FM149" s="226"/>
      <c r="FN149" s="226"/>
      <c r="FO149" s="226"/>
      <c r="FP149" s="226"/>
      <c r="FQ149" s="226"/>
      <c r="FR149" s="226"/>
      <c r="FS149" s="226"/>
      <c r="FT149" s="226"/>
      <c r="FU149" s="226"/>
      <c r="FV149" s="226"/>
      <c r="FW149" s="226"/>
      <c r="FX149" s="226"/>
      <c r="FY149" s="226"/>
      <c r="FZ149" s="226"/>
      <c r="GA149" s="226"/>
      <c r="GB149" s="226"/>
      <c r="GC149" s="226"/>
      <c r="GD149" s="226"/>
      <c r="GE149" s="226"/>
      <c r="GF149" s="226"/>
      <c r="GG149" s="226"/>
      <c r="GH149" s="226"/>
      <c r="GI149" s="226"/>
      <c r="GJ149" s="226"/>
      <c r="GK149" s="226"/>
      <c r="GL149" s="226"/>
      <c r="GM149" s="226"/>
      <c r="GN149" s="226"/>
      <c r="GO149" s="226"/>
      <c r="GP149" s="226"/>
      <c r="GQ149" s="226"/>
      <c r="GR149" s="226"/>
      <c r="GS149" s="226"/>
      <c r="GT149" s="226"/>
      <c r="GU149" s="226"/>
      <c r="GV149" s="226"/>
      <c r="GW149" s="226"/>
      <c r="GX149" s="226"/>
      <c r="GY149" s="226"/>
      <c r="GZ149" s="226"/>
      <c r="HA149" s="226"/>
      <c r="HB149" s="226"/>
      <c r="HC149" s="226"/>
      <c r="HD149" s="226"/>
    </row>
    <row r="150" spans="1:212" ht="14.1" customHeight="1" x14ac:dyDescent="0.2">
      <c r="A150" s="226"/>
      <c r="B150" s="226"/>
      <c r="C150" s="226"/>
      <c r="D150" s="226"/>
      <c r="E150" s="226"/>
      <c r="F150" s="226"/>
      <c r="G150" s="226"/>
      <c r="H150" s="226"/>
      <c r="I150" s="226"/>
      <c r="J150" s="226"/>
      <c r="K150" s="226"/>
      <c r="L150" s="226"/>
      <c r="M150" s="226"/>
      <c r="N150" s="226"/>
      <c r="O150" s="226"/>
      <c r="P150" s="226"/>
      <c r="Q150" s="226"/>
      <c r="R150" s="226"/>
      <c r="S150" s="226"/>
      <c r="T150" s="226"/>
      <c r="U150" s="226"/>
      <c r="V150" s="226"/>
      <c r="W150" s="226"/>
      <c r="X150" s="226"/>
      <c r="Y150" s="226"/>
      <c r="Z150" s="226"/>
      <c r="AA150" s="226"/>
      <c r="AB150" s="226"/>
      <c r="AC150" s="226"/>
      <c r="AD150" s="226"/>
      <c r="AE150" s="226"/>
      <c r="AF150" s="226"/>
      <c r="AG150" s="226"/>
      <c r="AH150" s="226"/>
      <c r="AI150" s="226"/>
      <c r="AJ150" s="226"/>
      <c r="AK150" s="226"/>
      <c r="AL150" s="226"/>
      <c r="AM150" s="226"/>
      <c r="AN150" s="226"/>
      <c r="AO150" s="226"/>
      <c r="AP150" s="226"/>
      <c r="AQ150" s="226"/>
      <c r="AR150" s="226"/>
      <c r="AS150" s="226"/>
      <c r="AT150" s="226"/>
      <c r="AU150" s="226"/>
      <c r="AV150" s="226"/>
      <c r="AW150" s="226"/>
      <c r="AX150" s="226"/>
      <c r="AY150" s="226"/>
      <c r="AZ150" s="226"/>
      <c r="BA150" s="226"/>
      <c r="BB150" s="226"/>
      <c r="BC150" s="226"/>
      <c r="BD150" s="226"/>
      <c r="BE150" s="226"/>
      <c r="BF150" s="226"/>
      <c r="BG150" s="226"/>
      <c r="BH150" s="226"/>
      <c r="BI150" s="226"/>
      <c r="BJ150" s="226"/>
      <c r="BK150" s="226"/>
      <c r="BL150" s="226"/>
      <c r="BM150" s="226"/>
      <c r="BN150" s="226"/>
      <c r="BO150" s="226"/>
      <c r="BP150" s="226"/>
      <c r="BQ150" s="226"/>
      <c r="BR150" s="226"/>
      <c r="BS150" s="226"/>
      <c r="BT150" s="226"/>
      <c r="BU150" s="226"/>
      <c r="BV150" s="226"/>
      <c r="BW150" s="226"/>
      <c r="BX150" s="226"/>
      <c r="BY150" s="226"/>
      <c r="BZ150" s="226"/>
      <c r="CA150" s="226"/>
      <c r="CB150" s="226"/>
      <c r="CC150" s="226"/>
      <c r="CD150" s="226"/>
      <c r="CE150" s="226"/>
      <c r="CF150" s="226"/>
      <c r="CG150" s="226"/>
      <c r="CH150" s="226"/>
      <c r="CI150" s="226"/>
      <c r="CJ150" s="226"/>
      <c r="CK150" s="226"/>
      <c r="CL150" s="226"/>
      <c r="CM150" s="226"/>
      <c r="CN150" s="226"/>
      <c r="CO150" s="226"/>
      <c r="CP150" s="226"/>
      <c r="CQ150" s="226"/>
      <c r="CR150" s="226"/>
      <c r="CS150" s="226"/>
      <c r="CT150" s="226"/>
      <c r="CU150" s="226"/>
      <c r="CV150" s="226"/>
      <c r="CW150" s="226"/>
      <c r="CX150" s="226"/>
      <c r="CY150" s="226"/>
      <c r="CZ150" s="226"/>
      <c r="DA150" s="226"/>
      <c r="DB150" s="226"/>
      <c r="DC150" s="226"/>
      <c r="DD150" s="226"/>
      <c r="DE150" s="226"/>
      <c r="DF150" s="226"/>
      <c r="DG150" s="226"/>
      <c r="DH150" s="226"/>
      <c r="DI150" s="226"/>
      <c r="DJ150" s="226"/>
      <c r="DK150" s="226"/>
      <c r="DL150" s="226"/>
      <c r="DM150" s="226"/>
      <c r="DN150" s="226"/>
      <c r="DO150" s="226"/>
      <c r="DP150" s="226"/>
      <c r="DQ150" s="226"/>
      <c r="DR150" s="226"/>
      <c r="DS150" s="226"/>
      <c r="DT150" s="226"/>
      <c r="DU150" s="226"/>
      <c r="DV150" s="226"/>
      <c r="DW150" s="226"/>
      <c r="DX150" s="226"/>
      <c r="DY150" s="226"/>
      <c r="DZ150" s="226"/>
      <c r="EA150" s="226"/>
      <c r="EB150" s="226"/>
      <c r="EC150" s="226"/>
      <c r="ED150" s="226"/>
      <c r="EE150" s="226"/>
      <c r="EF150" s="226"/>
      <c r="EG150" s="226"/>
      <c r="EH150" s="226"/>
      <c r="EI150" s="226"/>
      <c r="EJ150" s="226"/>
      <c r="EK150" s="226"/>
      <c r="EL150" s="226"/>
      <c r="EM150" s="226"/>
      <c r="EN150" s="226"/>
      <c r="EO150" s="226"/>
      <c r="EP150" s="226"/>
      <c r="EQ150" s="226"/>
      <c r="ER150" s="226"/>
      <c r="ES150" s="226"/>
      <c r="ET150" s="226"/>
      <c r="EU150" s="226"/>
      <c r="EV150" s="226"/>
      <c r="EW150" s="226"/>
      <c r="EX150" s="226"/>
      <c r="EY150" s="226"/>
      <c r="EZ150" s="226"/>
      <c r="FA150" s="226"/>
      <c r="FB150" s="226"/>
      <c r="FC150" s="226"/>
      <c r="FD150" s="226"/>
      <c r="FE150" s="226"/>
      <c r="FF150" s="226"/>
      <c r="FG150" s="226"/>
      <c r="FH150" s="226"/>
      <c r="FI150" s="226"/>
      <c r="FJ150" s="226"/>
      <c r="FK150" s="226"/>
      <c r="FL150" s="226"/>
      <c r="FM150" s="226"/>
      <c r="FN150" s="226"/>
      <c r="FO150" s="226"/>
      <c r="FP150" s="226"/>
      <c r="FQ150" s="226"/>
      <c r="FR150" s="226"/>
      <c r="FS150" s="226"/>
      <c r="FT150" s="226"/>
      <c r="FU150" s="226"/>
      <c r="FV150" s="226"/>
      <c r="FW150" s="226"/>
      <c r="FX150" s="226"/>
      <c r="FY150" s="226"/>
      <c r="FZ150" s="226"/>
      <c r="GA150" s="226"/>
      <c r="GB150" s="226"/>
      <c r="GC150" s="226"/>
      <c r="GD150" s="226"/>
      <c r="GE150" s="226"/>
      <c r="GF150" s="226"/>
      <c r="GG150" s="226"/>
      <c r="GH150" s="226"/>
      <c r="GI150" s="226"/>
      <c r="GJ150" s="226"/>
      <c r="GK150" s="226"/>
      <c r="GL150" s="226"/>
      <c r="GM150" s="226"/>
      <c r="GN150" s="226"/>
      <c r="GO150" s="226"/>
      <c r="GP150" s="226"/>
      <c r="GQ150" s="226"/>
      <c r="GR150" s="226"/>
      <c r="GS150" s="226"/>
      <c r="GT150" s="226"/>
      <c r="GU150" s="226"/>
      <c r="GV150" s="226"/>
      <c r="GW150" s="226"/>
      <c r="GX150" s="226"/>
      <c r="GY150" s="226"/>
      <c r="GZ150" s="226"/>
      <c r="HA150" s="226"/>
      <c r="HB150" s="226"/>
      <c r="HC150" s="226"/>
      <c r="HD150" s="226"/>
    </row>
    <row r="151" spans="1:212" ht="14.1" customHeight="1" x14ac:dyDescent="0.2">
      <c r="A151" s="226"/>
      <c r="B151" s="226"/>
      <c r="C151" s="226"/>
      <c r="D151" s="226"/>
      <c r="E151" s="226"/>
      <c r="F151" s="226"/>
      <c r="G151" s="226"/>
      <c r="H151" s="226"/>
      <c r="I151" s="226"/>
      <c r="J151" s="226"/>
      <c r="K151" s="226"/>
      <c r="L151" s="226"/>
      <c r="M151" s="226"/>
      <c r="N151" s="226"/>
      <c r="O151" s="226"/>
      <c r="P151" s="226"/>
      <c r="Q151" s="226"/>
      <c r="R151" s="226"/>
      <c r="S151" s="226"/>
      <c r="T151" s="226"/>
      <c r="U151" s="226"/>
      <c r="V151" s="226"/>
      <c r="W151" s="226"/>
      <c r="X151" s="226"/>
      <c r="Y151" s="226"/>
      <c r="Z151" s="226"/>
      <c r="AA151" s="226"/>
      <c r="AB151" s="226"/>
      <c r="AC151" s="226"/>
      <c r="AD151" s="226"/>
      <c r="AE151" s="226"/>
      <c r="AF151" s="226"/>
      <c r="AG151" s="226"/>
      <c r="AH151" s="226"/>
      <c r="AI151" s="226"/>
      <c r="AJ151" s="226"/>
      <c r="AK151" s="226"/>
      <c r="AL151" s="226"/>
      <c r="AM151" s="226"/>
      <c r="AN151" s="226"/>
      <c r="AO151" s="226"/>
      <c r="AP151" s="226"/>
      <c r="AQ151" s="226"/>
      <c r="AR151" s="226"/>
      <c r="AS151" s="226"/>
      <c r="AT151" s="226"/>
      <c r="AU151" s="226"/>
      <c r="AV151" s="226"/>
      <c r="AW151" s="226"/>
      <c r="AX151" s="226"/>
      <c r="AY151" s="226"/>
      <c r="AZ151" s="226"/>
      <c r="BA151" s="226"/>
      <c r="BB151" s="226"/>
      <c r="BC151" s="226"/>
      <c r="BD151" s="226"/>
      <c r="BE151" s="226"/>
      <c r="BF151" s="226"/>
      <c r="BG151" s="226"/>
      <c r="BH151" s="226"/>
      <c r="BI151" s="226"/>
      <c r="BJ151" s="226"/>
      <c r="BK151" s="226"/>
      <c r="BL151" s="226"/>
      <c r="BM151" s="226"/>
      <c r="BN151" s="226"/>
      <c r="BO151" s="226"/>
      <c r="BP151" s="226"/>
      <c r="BQ151" s="226"/>
      <c r="BR151" s="226"/>
      <c r="BS151" s="226"/>
      <c r="BT151" s="226"/>
      <c r="BU151" s="226"/>
      <c r="BV151" s="226"/>
      <c r="BW151" s="226"/>
      <c r="BX151" s="226"/>
      <c r="BY151" s="226"/>
      <c r="BZ151" s="226"/>
      <c r="CA151" s="226"/>
      <c r="CB151" s="226"/>
      <c r="CC151" s="226"/>
      <c r="CD151" s="226"/>
      <c r="CE151" s="226"/>
      <c r="CF151" s="226"/>
      <c r="CG151" s="226"/>
      <c r="CH151" s="226"/>
      <c r="CI151" s="226"/>
      <c r="CJ151" s="226"/>
      <c r="CK151" s="226"/>
      <c r="CL151" s="226"/>
      <c r="CM151" s="226"/>
      <c r="CN151" s="226"/>
      <c r="CO151" s="226"/>
      <c r="CP151" s="226"/>
      <c r="CQ151" s="226"/>
      <c r="CR151" s="226"/>
      <c r="CS151" s="226"/>
      <c r="CT151" s="226"/>
      <c r="CU151" s="226"/>
      <c r="CV151" s="226"/>
      <c r="CW151" s="226"/>
      <c r="CX151" s="226"/>
      <c r="CY151" s="226"/>
      <c r="CZ151" s="226"/>
      <c r="DA151" s="226"/>
      <c r="DB151" s="226"/>
      <c r="DC151" s="226"/>
      <c r="DD151" s="226"/>
      <c r="DE151" s="226"/>
      <c r="DF151" s="226"/>
      <c r="DG151" s="226"/>
      <c r="DH151" s="226"/>
      <c r="DI151" s="226"/>
      <c r="DJ151" s="226"/>
      <c r="DK151" s="226"/>
      <c r="DL151" s="226"/>
      <c r="DM151" s="226"/>
      <c r="DN151" s="226"/>
      <c r="DO151" s="226"/>
      <c r="DP151" s="226"/>
      <c r="DQ151" s="226"/>
      <c r="DR151" s="226"/>
      <c r="DS151" s="226"/>
      <c r="DT151" s="226"/>
      <c r="DU151" s="226"/>
      <c r="DV151" s="226"/>
      <c r="DW151" s="226"/>
      <c r="DX151" s="226"/>
      <c r="DY151" s="226"/>
      <c r="DZ151" s="226"/>
      <c r="EA151" s="226"/>
      <c r="EB151" s="226"/>
      <c r="EC151" s="226"/>
      <c r="ED151" s="226"/>
      <c r="EE151" s="226"/>
      <c r="EF151" s="226"/>
      <c r="EG151" s="226"/>
      <c r="EH151" s="226"/>
      <c r="EI151" s="226"/>
      <c r="EJ151" s="226"/>
      <c r="EK151" s="226"/>
      <c r="EL151" s="226"/>
      <c r="EM151" s="226"/>
      <c r="EN151" s="226"/>
      <c r="EO151" s="226"/>
      <c r="EP151" s="226"/>
      <c r="EQ151" s="226"/>
      <c r="ER151" s="226"/>
      <c r="ES151" s="226"/>
      <c r="ET151" s="226"/>
      <c r="EU151" s="226"/>
      <c r="EV151" s="226"/>
      <c r="EW151" s="226"/>
      <c r="EX151" s="226"/>
      <c r="EY151" s="226"/>
      <c r="EZ151" s="226"/>
      <c r="FA151" s="226"/>
      <c r="FB151" s="226"/>
      <c r="FC151" s="226"/>
      <c r="FD151" s="226"/>
      <c r="FE151" s="226"/>
      <c r="FF151" s="226"/>
      <c r="FG151" s="226"/>
      <c r="FH151" s="226"/>
      <c r="FI151" s="226"/>
      <c r="FJ151" s="226"/>
      <c r="FK151" s="226"/>
      <c r="FL151" s="226"/>
      <c r="FM151" s="226"/>
      <c r="FN151" s="226"/>
      <c r="FO151" s="226"/>
      <c r="FP151" s="226"/>
      <c r="FQ151" s="226"/>
      <c r="FR151" s="226"/>
      <c r="FS151" s="226"/>
      <c r="FT151" s="226"/>
      <c r="FU151" s="226"/>
      <c r="FV151" s="226"/>
      <c r="FW151" s="226"/>
      <c r="FX151" s="226"/>
      <c r="FY151" s="226"/>
      <c r="FZ151" s="226"/>
      <c r="GA151" s="226"/>
      <c r="GB151" s="226"/>
      <c r="GC151" s="226"/>
      <c r="GD151" s="226"/>
      <c r="GE151" s="226"/>
      <c r="GF151" s="226"/>
      <c r="GG151" s="226"/>
      <c r="GH151" s="226"/>
      <c r="GI151" s="226"/>
      <c r="GJ151" s="226"/>
      <c r="GK151" s="226"/>
      <c r="GL151" s="226"/>
      <c r="GM151" s="226"/>
      <c r="GN151" s="226"/>
      <c r="GO151" s="226"/>
      <c r="GP151" s="226"/>
      <c r="GQ151" s="226"/>
      <c r="GR151" s="226"/>
      <c r="GS151" s="226"/>
      <c r="GT151" s="226"/>
      <c r="GU151" s="226"/>
      <c r="GV151" s="226"/>
      <c r="GW151" s="226"/>
      <c r="GX151" s="226"/>
      <c r="GY151" s="226"/>
      <c r="GZ151" s="226"/>
      <c r="HA151" s="226"/>
      <c r="HB151" s="226"/>
      <c r="HC151" s="226"/>
      <c r="HD151" s="226"/>
    </row>
    <row r="152" spans="1:212" ht="14.1" customHeight="1" x14ac:dyDescent="0.2">
      <c r="A152" s="226"/>
      <c r="B152" s="226"/>
      <c r="C152" s="226"/>
      <c r="D152" s="226"/>
      <c r="E152" s="226"/>
      <c r="F152" s="226"/>
      <c r="G152" s="226"/>
      <c r="H152" s="226"/>
      <c r="I152" s="226"/>
      <c r="J152" s="226"/>
      <c r="K152" s="226"/>
      <c r="L152" s="226"/>
      <c r="M152" s="226"/>
      <c r="N152" s="226"/>
      <c r="O152" s="226"/>
      <c r="P152" s="226"/>
      <c r="Q152" s="226"/>
      <c r="R152" s="226"/>
      <c r="S152" s="226"/>
      <c r="T152" s="226"/>
      <c r="U152" s="226"/>
      <c r="V152" s="226"/>
      <c r="W152" s="226"/>
      <c r="X152" s="226"/>
      <c r="Y152" s="226"/>
      <c r="Z152" s="226"/>
      <c r="AA152" s="226"/>
      <c r="AB152" s="226"/>
      <c r="AC152" s="226"/>
      <c r="AD152" s="226"/>
      <c r="AE152" s="226"/>
      <c r="AF152" s="226"/>
      <c r="AG152" s="226"/>
      <c r="AH152" s="226"/>
      <c r="AI152" s="226"/>
      <c r="AJ152" s="226"/>
      <c r="AK152" s="226"/>
      <c r="AL152" s="226"/>
      <c r="AM152" s="226"/>
      <c r="AN152" s="226"/>
      <c r="AO152" s="226"/>
      <c r="AP152" s="226"/>
      <c r="AQ152" s="226"/>
      <c r="AR152" s="226"/>
      <c r="AS152" s="226"/>
      <c r="AT152" s="226"/>
      <c r="AU152" s="226"/>
      <c r="AV152" s="226"/>
      <c r="AW152" s="226"/>
      <c r="AX152" s="226"/>
      <c r="AY152" s="226"/>
      <c r="AZ152" s="226"/>
      <c r="BA152" s="226"/>
      <c r="BB152" s="226"/>
      <c r="BC152" s="226"/>
      <c r="BD152" s="226"/>
      <c r="BE152" s="226"/>
      <c r="BF152" s="226"/>
      <c r="BG152" s="226"/>
      <c r="BH152" s="226"/>
      <c r="BI152" s="226"/>
      <c r="BJ152" s="226"/>
      <c r="BK152" s="226"/>
      <c r="BL152" s="226"/>
      <c r="BM152" s="226"/>
      <c r="BN152" s="226"/>
      <c r="BO152" s="226"/>
      <c r="BP152" s="226"/>
      <c r="BQ152" s="226"/>
      <c r="BR152" s="226"/>
      <c r="BS152" s="226"/>
      <c r="BT152" s="226"/>
      <c r="BU152" s="226"/>
      <c r="BV152" s="226"/>
      <c r="BW152" s="226"/>
      <c r="BX152" s="226"/>
      <c r="BY152" s="226"/>
      <c r="BZ152" s="226"/>
      <c r="CA152" s="226"/>
      <c r="CB152" s="226"/>
      <c r="CC152" s="226"/>
      <c r="CD152" s="226"/>
      <c r="CE152" s="226"/>
      <c r="CF152" s="226"/>
      <c r="CG152" s="226"/>
      <c r="CH152" s="226"/>
      <c r="CI152" s="226"/>
      <c r="CJ152" s="226"/>
      <c r="CK152" s="226"/>
      <c r="CL152" s="226"/>
      <c r="CM152" s="226"/>
      <c r="CN152" s="226"/>
      <c r="CO152" s="226"/>
      <c r="CP152" s="226"/>
      <c r="CQ152" s="226"/>
      <c r="CR152" s="226"/>
      <c r="CS152" s="226"/>
      <c r="CT152" s="226"/>
      <c r="CU152" s="226"/>
      <c r="CV152" s="226"/>
      <c r="CW152" s="226"/>
      <c r="CX152" s="226"/>
      <c r="CY152" s="226"/>
      <c r="CZ152" s="226"/>
      <c r="DA152" s="226"/>
      <c r="DB152" s="226"/>
      <c r="DC152" s="226"/>
      <c r="DD152" s="226"/>
      <c r="DE152" s="226"/>
      <c r="DF152" s="226"/>
      <c r="DG152" s="226"/>
      <c r="DH152" s="226"/>
      <c r="DI152" s="226"/>
      <c r="DJ152" s="226"/>
      <c r="DK152" s="226"/>
      <c r="DL152" s="226"/>
      <c r="DM152" s="226"/>
      <c r="DN152" s="226"/>
      <c r="DO152" s="226"/>
      <c r="DP152" s="226"/>
      <c r="DQ152" s="226"/>
      <c r="DR152" s="226"/>
      <c r="DS152" s="226"/>
      <c r="DT152" s="226"/>
      <c r="DU152" s="226"/>
      <c r="DV152" s="226"/>
      <c r="DW152" s="226"/>
      <c r="DX152" s="226"/>
      <c r="DY152" s="226"/>
      <c r="DZ152" s="226"/>
      <c r="EA152" s="226"/>
      <c r="EB152" s="226"/>
      <c r="EC152" s="226"/>
      <c r="ED152" s="226"/>
      <c r="EE152" s="226"/>
      <c r="EF152" s="226"/>
      <c r="EG152" s="226"/>
      <c r="EH152" s="226"/>
      <c r="EI152" s="226"/>
      <c r="EJ152" s="226"/>
      <c r="EK152" s="226"/>
      <c r="EL152" s="226"/>
      <c r="EM152" s="226"/>
      <c r="EN152" s="226"/>
      <c r="EO152" s="226"/>
      <c r="EP152" s="226"/>
      <c r="EQ152" s="226"/>
      <c r="ER152" s="226"/>
      <c r="ES152" s="226"/>
      <c r="ET152" s="226"/>
      <c r="EU152" s="226"/>
      <c r="EV152" s="226"/>
      <c r="EW152" s="226"/>
      <c r="EX152" s="226"/>
      <c r="EY152" s="226"/>
      <c r="EZ152" s="226"/>
      <c r="FA152" s="226"/>
      <c r="FB152" s="226"/>
      <c r="FC152" s="226"/>
      <c r="FD152" s="226"/>
      <c r="FE152" s="226"/>
      <c r="FF152" s="226"/>
      <c r="FG152" s="226"/>
      <c r="FH152" s="226"/>
      <c r="FI152" s="226"/>
      <c r="FJ152" s="226"/>
      <c r="FK152" s="226"/>
      <c r="FL152" s="226"/>
      <c r="FM152" s="226"/>
      <c r="FN152" s="226"/>
      <c r="FO152" s="226"/>
      <c r="FP152" s="226"/>
      <c r="FQ152" s="226"/>
      <c r="FR152" s="226"/>
      <c r="FS152" s="226"/>
      <c r="FT152" s="226"/>
      <c r="FU152" s="226"/>
      <c r="FV152" s="226"/>
      <c r="FW152" s="226"/>
      <c r="FX152" s="226"/>
      <c r="FY152" s="226"/>
      <c r="FZ152" s="226"/>
      <c r="GA152" s="226"/>
      <c r="GB152" s="226"/>
      <c r="GC152" s="226"/>
      <c r="GD152" s="226"/>
      <c r="GE152" s="226"/>
      <c r="GF152" s="226"/>
      <c r="GG152" s="226"/>
      <c r="GH152" s="226"/>
      <c r="GI152" s="226"/>
      <c r="GJ152" s="226"/>
      <c r="GK152" s="226"/>
      <c r="GL152" s="226"/>
      <c r="GM152" s="226"/>
      <c r="GN152" s="226"/>
      <c r="GO152" s="226"/>
      <c r="GP152" s="226"/>
      <c r="GQ152" s="226"/>
      <c r="GR152" s="226"/>
      <c r="GS152" s="226"/>
      <c r="GT152" s="226"/>
      <c r="GU152" s="226"/>
      <c r="GV152" s="226"/>
      <c r="GW152" s="226"/>
      <c r="GX152" s="226"/>
      <c r="GY152" s="226"/>
      <c r="GZ152" s="226"/>
      <c r="HA152" s="226"/>
      <c r="HB152" s="226"/>
      <c r="HC152" s="226"/>
      <c r="HD152" s="226"/>
    </row>
    <row r="153" spans="1:212" ht="14.1" customHeight="1" x14ac:dyDescent="0.2">
      <c r="A153" s="226"/>
      <c r="B153" s="226"/>
      <c r="C153" s="226"/>
      <c r="D153" s="226"/>
      <c r="E153" s="226"/>
      <c r="F153" s="226"/>
      <c r="G153" s="226"/>
      <c r="H153" s="226"/>
      <c r="I153" s="226"/>
      <c r="J153" s="226"/>
      <c r="K153" s="226"/>
      <c r="L153" s="226"/>
      <c r="M153" s="226"/>
      <c r="N153" s="226"/>
      <c r="O153" s="226"/>
      <c r="P153" s="226"/>
      <c r="Q153" s="226"/>
      <c r="R153" s="226"/>
      <c r="S153" s="226"/>
      <c r="T153" s="226"/>
      <c r="U153" s="226"/>
      <c r="V153" s="226"/>
      <c r="W153" s="226"/>
      <c r="X153" s="226"/>
      <c r="Y153" s="226"/>
      <c r="Z153" s="226"/>
      <c r="AA153" s="226"/>
      <c r="AB153" s="226"/>
      <c r="AC153" s="226"/>
      <c r="AD153" s="226"/>
      <c r="AE153" s="226"/>
      <c r="AF153" s="226"/>
      <c r="AG153" s="226"/>
      <c r="AH153" s="226"/>
      <c r="AI153" s="226"/>
      <c r="AJ153" s="226"/>
      <c r="AK153" s="226"/>
      <c r="AL153" s="226"/>
      <c r="AM153" s="226"/>
      <c r="AN153" s="226"/>
      <c r="AO153" s="226"/>
      <c r="AP153" s="226"/>
      <c r="AQ153" s="226"/>
      <c r="AR153" s="226"/>
      <c r="AS153" s="226"/>
      <c r="AT153" s="226"/>
      <c r="AU153" s="226"/>
      <c r="AV153" s="226"/>
      <c r="AW153" s="226"/>
      <c r="AX153" s="226"/>
      <c r="AY153" s="226"/>
      <c r="AZ153" s="226"/>
      <c r="BA153" s="226"/>
      <c r="BB153" s="226"/>
      <c r="BC153" s="226"/>
      <c r="BD153" s="226"/>
      <c r="BE153" s="226"/>
      <c r="BF153" s="226"/>
      <c r="BG153" s="226"/>
      <c r="BH153" s="226"/>
      <c r="BI153" s="226"/>
      <c r="BJ153" s="226"/>
      <c r="BK153" s="226"/>
      <c r="BL153" s="226"/>
      <c r="BM153" s="226"/>
      <c r="BN153" s="226"/>
      <c r="BO153" s="226"/>
      <c r="BP153" s="226"/>
      <c r="BQ153" s="226"/>
      <c r="BR153" s="226"/>
      <c r="BS153" s="226"/>
      <c r="BT153" s="226"/>
      <c r="BU153" s="226"/>
      <c r="BV153" s="226"/>
      <c r="BW153" s="226"/>
      <c r="BX153" s="226"/>
      <c r="BY153" s="226"/>
      <c r="BZ153" s="226"/>
      <c r="CA153" s="226"/>
      <c r="CB153" s="226"/>
      <c r="CC153" s="226"/>
      <c r="CD153" s="226"/>
      <c r="CE153" s="226"/>
      <c r="CF153" s="226"/>
      <c r="CG153" s="226"/>
      <c r="CH153" s="226"/>
      <c r="CI153" s="226"/>
      <c r="CJ153" s="226"/>
      <c r="CK153" s="226"/>
      <c r="CL153" s="226"/>
      <c r="CM153" s="226"/>
      <c r="CN153" s="226"/>
      <c r="CO153" s="226"/>
      <c r="CP153" s="226"/>
      <c r="CQ153" s="226"/>
      <c r="CR153" s="226"/>
      <c r="CS153" s="226"/>
      <c r="CT153" s="226"/>
      <c r="CU153" s="226"/>
      <c r="CV153" s="226"/>
      <c r="CW153" s="226"/>
      <c r="CX153" s="226"/>
      <c r="CY153" s="226"/>
      <c r="CZ153" s="226"/>
      <c r="DA153" s="226"/>
      <c r="DB153" s="226"/>
      <c r="DC153" s="226"/>
      <c r="DD153" s="226"/>
      <c r="DE153" s="226"/>
      <c r="DF153" s="226"/>
      <c r="DG153" s="226"/>
      <c r="DH153" s="226"/>
      <c r="DI153" s="226"/>
      <c r="DJ153" s="226"/>
      <c r="DK153" s="226"/>
      <c r="DL153" s="226"/>
      <c r="DM153" s="226"/>
      <c r="DN153" s="226"/>
      <c r="DO153" s="226"/>
      <c r="DP153" s="226"/>
      <c r="DQ153" s="226"/>
      <c r="DR153" s="226"/>
      <c r="DS153" s="226"/>
      <c r="DT153" s="226"/>
      <c r="DU153" s="226"/>
      <c r="DV153" s="226"/>
      <c r="DW153" s="226"/>
      <c r="DX153" s="226"/>
      <c r="DY153" s="226"/>
      <c r="DZ153" s="226"/>
      <c r="EA153" s="226"/>
      <c r="EB153" s="226"/>
      <c r="EC153" s="226"/>
      <c r="ED153" s="226"/>
      <c r="EE153" s="226"/>
      <c r="EF153" s="226"/>
      <c r="EG153" s="226"/>
      <c r="EH153" s="226"/>
      <c r="EI153" s="226"/>
      <c r="EJ153" s="226"/>
      <c r="EK153" s="226"/>
      <c r="EL153" s="226"/>
      <c r="EM153" s="226"/>
      <c r="EN153" s="226"/>
      <c r="EO153" s="226"/>
      <c r="EP153" s="226"/>
      <c r="EQ153" s="226"/>
      <c r="ER153" s="226"/>
      <c r="ES153" s="226"/>
      <c r="ET153" s="226"/>
      <c r="EU153" s="226"/>
      <c r="EV153" s="226"/>
      <c r="EW153" s="226"/>
      <c r="EX153" s="226"/>
      <c r="EY153" s="226"/>
      <c r="EZ153" s="226"/>
      <c r="FA153" s="226"/>
      <c r="FB153" s="226"/>
      <c r="FC153" s="226"/>
      <c r="FD153" s="226"/>
      <c r="FE153" s="226"/>
      <c r="FF153" s="226"/>
      <c r="FG153" s="226"/>
      <c r="FH153" s="226"/>
      <c r="FI153" s="226"/>
      <c r="FJ153" s="226"/>
      <c r="FK153" s="226"/>
      <c r="FL153" s="226"/>
      <c r="FM153" s="226"/>
      <c r="FN153" s="226"/>
      <c r="FO153" s="226"/>
      <c r="FP153" s="226"/>
      <c r="FQ153" s="226"/>
      <c r="FR153" s="226"/>
      <c r="FS153" s="226"/>
      <c r="FT153" s="226"/>
      <c r="FU153" s="226"/>
      <c r="FV153" s="226"/>
      <c r="FW153" s="226"/>
      <c r="FX153" s="226"/>
      <c r="FY153" s="226"/>
      <c r="FZ153" s="226"/>
      <c r="GA153" s="226"/>
      <c r="GB153" s="226"/>
      <c r="GC153" s="226"/>
      <c r="GD153" s="226"/>
      <c r="GE153" s="226"/>
      <c r="GF153" s="226"/>
      <c r="GG153" s="226"/>
      <c r="GH153" s="226"/>
      <c r="GI153" s="226"/>
      <c r="GJ153" s="226"/>
      <c r="GK153" s="226"/>
      <c r="GL153" s="226"/>
      <c r="GM153" s="226"/>
      <c r="GN153" s="226"/>
      <c r="GO153" s="226"/>
      <c r="GP153" s="226"/>
      <c r="GQ153" s="226"/>
      <c r="GR153" s="226"/>
      <c r="GS153" s="226"/>
      <c r="GT153" s="226"/>
      <c r="GU153" s="226"/>
      <c r="GV153" s="226"/>
      <c r="GW153" s="226"/>
      <c r="GX153" s="226"/>
      <c r="GY153" s="226"/>
      <c r="GZ153" s="226"/>
      <c r="HA153" s="226"/>
      <c r="HB153" s="226"/>
      <c r="HC153" s="226"/>
      <c r="HD153" s="226"/>
    </row>
    <row r="154" spans="1:212" ht="14.1" customHeight="1" x14ac:dyDescent="0.2">
      <c r="A154" s="226"/>
      <c r="B154" s="226"/>
      <c r="C154" s="226"/>
      <c r="D154" s="226"/>
      <c r="E154" s="226"/>
      <c r="F154" s="226"/>
      <c r="G154" s="226"/>
      <c r="H154" s="226"/>
      <c r="I154" s="226"/>
      <c r="J154" s="226"/>
      <c r="K154" s="226"/>
      <c r="L154" s="226"/>
      <c r="M154" s="226"/>
      <c r="N154" s="226"/>
      <c r="O154" s="226"/>
      <c r="P154" s="226"/>
      <c r="Q154" s="226"/>
      <c r="R154" s="226"/>
      <c r="S154" s="226"/>
      <c r="T154" s="226"/>
      <c r="U154" s="226"/>
      <c r="V154" s="226"/>
      <c r="W154" s="226"/>
      <c r="X154" s="226"/>
      <c r="Y154" s="226"/>
      <c r="Z154" s="226"/>
      <c r="AA154" s="226"/>
      <c r="AB154" s="226"/>
      <c r="AC154" s="226"/>
      <c r="AD154" s="226"/>
      <c r="AE154" s="226"/>
      <c r="AF154" s="226"/>
      <c r="AG154" s="226"/>
      <c r="AH154" s="226"/>
      <c r="AI154" s="226"/>
      <c r="AJ154" s="226"/>
      <c r="AK154" s="226"/>
      <c r="AL154" s="226"/>
      <c r="AM154" s="226"/>
      <c r="AN154" s="226"/>
      <c r="AO154" s="226"/>
      <c r="AP154" s="226"/>
      <c r="AQ154" s="226"/>
      <c r="AR154" s="226"/>
      <c r="AS154" s="226"/>
      <c r="AT154" s="226"/>
      <c r="AU154" s="226"/>
      <c r="AV154" s="226"/>
      <c r="AW154" s="226"/>
      <c r="AX154" s="226"/>
      <c r="AY154" s="226"/>
      <c r="AZ154" s="226"/>
      <c r="BA154" s="226"/>
      <c r="BB154" s="226"/>
      <c r="BC154" s="226"/>
      <c r="BD154" s="226"/>
      <c r="BE154" s="226"/>
      <c r="BF154" s="226"/>
      <c r="BG154" s="226"/>
      <c r="BH154" s="226"/>
      <c r="BI154" s="226"/>
      <c r="BJ154" s="226"/>
      <c r="BK154" s="226"/>
      <c r="BL154" s="226"/>
      <c r="BM154" s="226"/>
      <c r="BN154" s="226"/>
      <c r="BO154" s="226"/>
      <c r="BP154" s="226"/>
      <c r="BQ154" s="226"/>
      <c r="BR154" s="226"/>
      <c r="BS154" s="226"/>
      <c r="BT154" s="226"/>
      <c r="BU154" s="226"/>
      <c r="BV154" s="226"/>
      <c r="BW154" s="226"/>
      <c r="BX154" s="226"/>
      <c r="BY154" s="226"/>
      <c r="BZ154" s="226"/>
      <c r="CA154" s="226"/>
      <c r="CB154" s="226"/>
      <c r="CC154" s="226"/>
      <c r="CD154" s="226"/>
      <c r="CE154" s="226"/>
      <c r="CF154" s="226"/>
      <c r="CG154" s="226"/>
      <c r="CH154" s="226"/>
      <c r="CI154" s="226"/>
      <c r="CJ154" s="226"/>
      <c r="CK154" s="226"/>
      <c r="CL154" s="226"/>
      <c r="CM154" s="226"/>
      <c r="CN154" s="226"/>
      <c r="CO154" s="226"/>
      <c r="CP154" s="226"/>
      <c r="CQ154" s="226"/>
      <c r="CR154" s="226"/>
      <c r="CS154" s="226"/>
      <c r="CT154" s="226"/>
      <c r="CU154" s="226"/>
      <c r="CV154" s="226"/>
      <c r="CW154" s="226"/>
      <c r="CX154" s="226"/>
      <c r="CY154" s="226"/>
      <c r="CZ154" s="226"/>
      <c r="DA154" s="226"/>
      <c r="DB154" s="226"/>
      <c r="DC154" s="226"/>
      <c r="DD154" s="226"/>
      <c r="DE154" s="226"/>
      <c r="DF154" s="226"/>
      <c r="DG154" s="226"/>
      <c r="DH154" s="226"/>
      <c r="DI154" s="226"/>
      <c r="DJ154" s="226"/>
      <c r="DK154" s="226"/>
      <c r="DL154" s="226"/>
      <c r="DM154" s="226"/>
      <c r="DN154" s="226"/>
      <c r="DO154" s="226"/>
      <c r="DP154" s="226"/>
      <c r="DQ154" s="226"/>
      <c r="DR154" s="226"/>
      <c r="DS154" s="226"/>
      <c r="DT154" s="226"/>
      <c r="DU154" s="226"/>
      <c r="DV154" s="226"/>
      <c r="DW154" s="226"/>
      <c r="DX154" s="226"/>
      <c r="DY154" s="226"/>
      <c r="DZ154" s="226"/>
      <c r="EA154" s="226"/>
      <c r="EB154" s="226"/>
      <c r="EC154" s="226"/>
      <c r="ED154" s="226"/>
      <c r="EE154" s="226"/>
      <c r="EF154" s="226"/>
      <c r="EG154" s="226"/>
      <c r="EH154" s="226"/>
      <c r="EI154" s="226"/>
      <c r="EJ154" s="226"/>
      <c r="EK154" s="226"/>
      <c r="EL154" s="226"/>
      <c r="EM154" s="226"/>
      <c r="EN154" s="226"/>
      <c r="EO154" s="226"/>
      <c r="EP154" s="226"/>
      <c r="EQ154" s="226"/>
      <c r="ER154" s="226"/>
      <c r="ES154" s="226"/>
      <c r="ET154" s="226"/>
      <c r="EU154" s="226"/>
      <c r="EV154" s="226"/>
      <c r="EW154" s="226"/>
      <c r="EX154" s="226"/>
      <c r="EY154" s="226"/>
      <c r="EZ154" s="226"/>
      <c r="FA154" s="226"/>
      <c r="FB154" s="226"/>
      <c r="FC154" s="226"/>
      <c r="FD154" s="226"/>
      <c r="FE154" s="226"/>
      <c r="FF154" s="226"/>
      <c r="FG154" s="226"/>
      <c r="FH154" s="226"/>
      <c r="FI154" s="226"/>
      <c r="FJ154" s="226"/>
      <c r="FK154" s="226"/>
      <c r="FL154" s="226"/>
      <c r="FM154" s="226"/>
      <c r="FN154" s="226"/>
      <c r="FO154" s="226"/>
      <c r="FP154" s="226"/>
      <c r="FQ154" s="226"/>
      <c r="FR154" s="226"/>
      <c r="FS154" s="226"/>
      <c r="FT154" s="226"/>
      <c r="FU154" s="226"/>
      <c r="FV154" s="226"/>
      <c r="FW154" s="226"/>
      <c r="FX154" s="226"/>
      <c r="FY154" s="226"/>
      <c r="FZ154" s="226"/>
      <c r="GA154" s="226"/>
      <c r="GB154" s="226"/>
      <c r="GC154" s="226"/>
      <c r="GD154" s="226"/>
      <c r="GE154" s="226"/>
      <c r="GF154" s="226"/>
      <c r="GG154" s="226"/>
      <c r="GH154" s="226"/>
      <c r="GI154" s="226"/>
      <c r="GJ154" s="226"/>
      <c r="GK154" s="226"/>
      <c r="GL154" s="226"/>
      <c r="GM154" s="226"/>
      <c r="GN154" s="226"/>
      <c r="GO154" s="226"/>
      <c r="GP154" s="226"/>
      <c r="GQ154" s="226"/>
      <c r="GR154" s="226"/>
      <c r="GS154" s="226"/>
      <c r="GT154" s="226"/>
      <c r="GU154" s="226"/>
      <c r="GV154" s="226"/>
      <c r="GW154" s="226"/>
      <c r="GX154" s="226"/>
      <c r="GY154" s="226"/>
      <c r="GZ154" s="226"/>
      <c r="HA154" s="226"/>
      <c r="HB154" s="226"/>
      <c r="HC154" s="226"/>
      <c r="HD154" s="226"/>
    </row>
    <row r="155" spans="1:212" ht="14.1" customHeight="1" x14ac:dyDescent="0.2">
      <c r="A155" s="226"/>
      <c r="B155" s="226"/>
      <c r="C155" s="226"/>
      <c r="D155" s="226"/>
      <c r="E155" s="226"/>
      <c r="F155" s="226"/>
      <c r="G155" s="226"/>
      <c r="H155" s="226"/>
      <c r="I155" s="226"/>
      <c r="J155" s="226"/>
      <c r="K155" s="226"/>
      <c r="L155" s="226"/>
      <c r="M155" s="226"/>
      <c r="N155" s="226"/>
      <c r="O155" s="226"/>
      <c r="P155" s="226"/>
      <c r="Q155" s="226"/>
      <c r="R155" s="226"/>
      <c r="S155" s="226"/>
      <c r="T155" s="226"/>
      <c r="U155" s="226"/>
      <c r="V155" s="226"/>
      <c r="W155" s="226"/>
      <c r="X155" s="226"/>
      <c r="Y155" s="226"/>
      <c r="Z155" s="226"/>
      <c r="AA155" s="226"/>
      <c r="AB155" s="226"/>
      <c r="AC155" s="226"/>
      <c r="AD155" s="226"/>
      <c r="AE155" s="226"/>
      <c r="AF155" s="226"/>
      <c r="AG155" s="226"/>
      <c r="AH155" s="226"/>
      <c r="AI155" s="226"/>
      <c r="AJ155" s="226"/>
      <c r="AK155" s="226"/>
      <c r="AL155" s="226"/>
      <c r="AM155" s="226"/>
      <c r="AN155" s="226"/>
      <c r="AO155" s="226"/>
      <c r="AP155" s="226"/>
      <c r="AQ155" s="226"/>
      <c r="AR155" s="226"/>
      <c r="AS155" s="226"/>
      <c r="AT155" s="226"/>
      <c r="AU155" s="226"/>
      <c r="AV155" s="226"/>
      <c r="AW155" s="226"/>
      <c r="AX155" s="226"/>
      <c r="AY155" s="226"/>
      <c r="AZ155" s="226"/>
      <c r="BA155" s="226"/>
      <c r="BB155" s="226"/>
      <c r="BC155" s="226"/>
      <c r="BD155" s="226"/>
      <c r="BE155" s="226"/>
      <c r="BF155" s="226"/>
      <c r="BG155" s="226"/>
      <c r="BH155" s="226"/>
      <c r="BI155" s="226"/>
      <c r="BJ155" s="226"/>
      <c r="BK155" s="226"/>
      <c r="BL155" s="226"/>
      <c r="BM155" s="226"/>
      <c r="BN155" s="226"/>
      <c r="BO155" s="226"/>
      <c r="BP155" s="226"/>
      <c r="BQ155" s="226"/>
      <c r="BR155" s="226"/>
      <c r="BS155" s="226"/>
      <c r="BT155" s="226"/>
      <c r="BU155" s="226"/>
      <c r="BV155" s="226"/>
      <c r="BW155" s="226"/>
      <c r="BX155" s="226"/>
      <c r="BY155" s="226"/>
      <c r="BZ155" s="226"/>
      <c r="CA155" s="226"/>
      <c r="CB155" s="226"/>
      <c r="CC155" s="226"/>
      <c r="CD155" s="226"/>
      <c r="CE155" s="226"/>
      <c r="CF155" s="226"/>
      <c r="CG155" s="226"/>
      <c r="CH155" s="226"/>
      <c r="CI155" s="226"/>
      <c r="CJ155" s="226"/>
      <c r="CK155" s="226"/>
      <c r="CL155" s="226"/>
      <c r="CM155" s="226"/>
      <c r="CN155" s="226"/>
      <c r="CO155" s="226"/>
      <c r="CP155" s="226"/>
      <c r="CQ155" s="226"/>
      <c r="CR155" s="226"/>
      <c r="CS155" s="226"/>
      <c r="CT155" s="226"/>
      <c r="CU155" s="226"/>
      <c r="CV155" s="226"/>
      <c r="CW155" s="226"/>
      <c r="CX155" s="226"/>
      <c r="CY155" s="226"/>
      <c r="CZ155" s="226"/>
      <c r="DA155" s="226"/>
      <c r="DB155" s="226"/>
      <c r="DC155" s="226"/>
      <c r="DD155" s="226"/>
      <c r="DE155" s="226"/>
      <c r="DF155" s="226"/>
      <c r="DG155" s="226"/>
      <c r="DH155" s="226"/>
      <c r="DI155" s="226"/>
      <c r="DJ155" s="226"/>
      <c r="DK155" s="226"/>
      <c r="DL155" s="226"/>
      <c r="DM155" s="226"/>
      <c r="DN155" s="226"/>
      <c r="DO155" s="226"/>
      <c r="DP155" s="226"/>
      <c r="DQ155" s="226"/>
      <c r="DR155" s="226"/>
      <c r="DS155" s="226"/>
      <c r="DT155" s="226"/>
      <c r="DU155" s="226"/>
      <c r="DV155" s="226"/>
      <c r="DW155" s="226"/>
      <c r="DX155" s="226"/>
      <c r="DY155" s="226"/>
      <c r="DZ155" s="226"/>
      <c r="EA155" s="226"/>
      <c r="EB155" s="226"/>
      <c r="EC155" s="226"/>
      <c r="ED155" s="226"/>
      <c r="EE155" s="226"/>
      <c r="EF155" s="226"/>
      <c r="EG155" s="226"/>
      <c r="EH155" s="226"/>
      <c r="EI155" s="226"/>
      <c r="EJ155" s="226"/>
      <c r="EK155" s="226"/>
      <c r="EL155" s="226"/>
      <c r="EM155" s="226"/>
      <c r="EN155" s="226"/>
      <c r="EO155" s="226"/>
      <c r="EP155" s="226"/>
      <c r="EQ155" s="226"/>
      <c r="ER155" s="226"/>
      <c r="ES155" s="226"/>
      <c r="ET155" s="226"/>
      <c r="EU155" s="226"/>
      <c r="EV155" s="226"/>
      <c r="EW155" s="226"/>
      <c r="EX155" s="226"/>
      <c r="EY155" s="226"/>
      <c r="EZ155" s="226"/>
      <c r="FA155" s="226"/>
      <c r="FB155" s="226"/>
      <c r="FC155" s="226"/>
      <c r="FD155" s="226"/>
      <c r="FE155" s="226"/>
      <c r="FF155" s="226"/>
      <c r="FG155" s="226"/>
      <c r="FH155" s="226"/>
      <c r="FI155" s="226"/>
      <c r="FJ155" s="226"/>
      <c r="FK155" s="226"/>
      <c r="FL155" s="226"/>
      <c r="FM155" s="226"/>
      <c r="FN155" s="226"/>
      <c r="FO155" s="226"/>
      <c r="FP155" s="226"/>
      <c r="FQ155" s="226"/>
      <c r="FR155" s="226"/>
      <c r="FS155" s="226"/>
      <c r="FT155" s="226"/>
      <c r="FU155" s="226"/>
      <c r="FV155" s="226"/>
      <c r="FW155" s="226"/>
      <c r="FX155" s="226"/>
      <c r="FY155" s="226"/>
      <c r="FZ155" s="226"/>
      <c r="GA155" s="226"/>
      <c r="GB155" s="226"/>
      <c r="GC155" s="226"/>
      <c r="GD155" s="226"/>
      <c r="GE155" s="226"/>
      <c r="GF155" s="226"/>
      <c r="GG155" s="226"/>
      <c r="GH155" s="226"/>
      <c r="GI155" s="226"/>
      <c r="GJ155" s="226"/>
      <c r="GK155" s="226"/>
      <c r="GL155" s="226"/>
      <c r="GM155" s="226"/>
      <c r="GN155" s="226"/>
      <c r="GO155" s="226"/>
      <c r="GP155" s="226"/>
      <c r="GQ155" s="226"/>
      <c r="GR155" s="226"/>
      <c r="GS155" s="226"/>
      <c r="GT155" s="226"/>
      <c r="GU155" s="226"/>
      <c r="GV155" s="226"/>
      <c r="GW155" s="226"/>
      <c r="GX155" s="226"/>
      <c r="GY155" s="226"/>
      <c r="GZ155" s="226"/>
      <c r="HA155" s="226"/>
      <c r="HB155" s="226"/>
      <c r="HC155" s="226"/>
      <c r="HD155" s="226"/>
    </row>
    <row r="156" spans="1:212" ht="14.1" customHeight="1" x14ac:dyDescent="0.2">
      <c r="A156" s="226"/>
      <c r="B156" s="226"/>
      <c r="C156" s="226"/>
      <c r="D156" s="226"/>
      <c r="E156" s="226"/>
      <c r="F156" s="226"/>
      <c r="G156" s="226"/>
      <c r="H156" s="226"/>
      <c r="I156" s="226"/>
      <c r="J156" s="226"/>
      <c r="K156" s="226"/>
      <c r="L156" s="226"/>
      <c r="M156" s="226"/>
      <c r="N156" s="226"/>
      <c r="O156" s="226"/>
      <c r="P156" s="226"/>
      <c r="Q156" s="226"/>
      <c r="R156" s="226"/>
      <c r="S156" s="226"/>
      <c r="T156" s="226"/>
      <c r="U156" s="226"/>
      <c r="V156" s="226"/>
      <c r="W156" s="226"/>
      <c r="X156" s="226"/>
      <c r="Y156" s="226"/>
      <c r="Z156" s="226"/>
      <c r="AA156" s="226"/>
      <c r="AB156" s="226"/>
      <c r="AC156" s="226"/>
      <c r="AD156" s="226"/>
      <c r="AE156" s="226"/>
      <c r="AF156" s="226"/>
      <c r="AG156" s="226"/>
      <c r="AH156" s="226"/>
      <c r="AI156" s="226"/>
      <c r="AJ156" s="226"/>
      <c r="AK156" s="226"/>
      <c r="AL156" s="226"/>
      <c r="AM156" s="226"/>
      <c r="AN156" s="226"/>
      <c r="AO156" s="226"/>
      <c r="AP156" s="226"/>
      <c r="AQ156" s="226"/>
      <c r="AR156" s="226"/>
      <c r="AS156" s="226"/>
      <c r="AT156" s="226"/>
      <c r="AU156" s="226"/>
      <c r="AV156" s="226"/>
      <c r="AW156" s="226"/>
      <c r="AX156" s="226"/>
      <c r="AY156" s="226"/>
      <c r="AZ156" s="226"/>
      <c r="BA156" s="226"/>
      <c r="BB156" s="226"/>
      <c r="BC156" s="226"/>
      <c r="BD156" s="226"/>
      <c r="BE156" s="226"/>
      <c r="BF156" s="226"/>
      <c r="BG156" s="226"/>
      <c r="BH156" s="226"/>
      <c r="BI156" s="226"/>
      <c r="BJ156" s="226"/>
      <c r="BK156" s="226"/>
      <c r="BL156" s="226"/>
      <c r="BM156" s="226"/>
      <c r="BN156" s="226"/>
      <c r="BO156" s="226"/>
      <c r="BP156" s="226"/>
      <c r="BQ156" s="226"/>
      <c r="BR156" s="226"/>
      <c r="BS156" s="226"/>
      <c r="BT156" s="226"/>
      <c r="BU156" s="226"/>
      <c r="BV156" s="226"/>
      <c r="BW156" s="226"/>
      <c r="BX156" s="226"/>
      <c r="BY156" s="226"/>
      <c r="BZ156" s="226"/>
      <c r="CA156" s="226"/>
      <c r="CB156" s="226"/>
      <c r="CC156" s="226"/>
      <c r="CD156" s="226"/>
      <c r="CE156" s="226"/>
      <c r="CF156" s="226"/>
      <c r="CG156" s="226"/>
      <c r="CH156" s="226"/>
      <c r="CI156" s="226"/>
      <c r="CJ156" s="226"/>
      <c r="CK156" s="226"/>
      <c r="CL156" s="226"/>
      <c r="CM156" s="226"/>
      <c r="CN156" s="226"/>
      <c r="CO156" s="226"/>
      <c r="CP156" s="226"/>
      <c r="CQ156" s="226"/>
      <c r="CR156" s="226"/>
      <c r="CS156" s="226"/>
      <c r="CT156" s="226"/>
      <c r="CU156" s="226"/>
      <c r="CV156" s="226"/>
      <c r="CW156" s="226"/>
      <c r="CX156" s="226"/>
      <c r="CY156" s="226"/>
      <c r="CZ156" s="226"/>
      <c r="DA156" s="226"/>
      <c r="DB156" s="226"/>
      <c r="DC156" s="226"/>
      <c r="DD156" s="226"/>
      <c r="DE156" s="226"/>
      <c r="DF156" s="226"/>
      <c r="DG156" s="226"/>
      <c r="DH156" s="226"/>
      <c r="DI156" s="226"/>
      <c r="DJ156" s="226"/>
      <c r="DK156" s="226"/>
      <c r="DL156" s="226"/>
      <c r="DM156" s="226"/>
      <c r="DN156" s="226"/>
      <c r="DO156" s="226"/>
      <c r="DP156" s="226"/>
      <c r="DQ156" s="226"/>
      <c r="DR156" s="226"/>
      <c r="DS156" s="226"/>
      <c r="DT156" s="226"/>
      <c r="DU156" s="226"/>
      <c r="DV156" s="226"/>
      <c r="DW156" s="226"/>
      <c r="DX156" s="226"/>
      <c r="DY156" s="226"/>
      <c r="DZ156" s="226"/>
      <c r="EA156" s="226"/>
      <c r="EB156" s="226"/>
      <c r="EC156" s="226"/>
      <c r="ED156" s="226"/>
      <c r="EE156" s="226"/>
      <c r="EF156" s="226"/>
      <c r="EG156" s="226"/>
      <c r="EH156" s="226"/>
      <c r="EI156" s="226"/>
      <c r="EJ156" s="226"/>
      <c r="EK156" s="226"/>
      <c r="EL156" s="226"/>
      <c r="EM156" s="226"/>
      <c r="EN156" s="226"/>
      <c r="EO156" s="226"/>
      <c r="EP156" s="226"/>
      <c r="EQ156" s="226"/>
      <c r="ER156" s="226"/>
      <c r="ES156" s="226"/>
      <c r="ET156" s="226"/>
      <c r="EU156" s="226"/>
      <c r="EV156" s="226"/>
      <c r="EW156" s="226"/>
      <c r="EX156" s="226"/>
      <c r="EY156" s="226"/>
      <c r="EZ156" s="226"/>
      <c r="FA156" s="226"/>
      <c r="FB156" s="226"/>
      <c r="FC156" s="226"/>
      <c r="FD156" s="226"/>
      <c r="FE156" s="226"/>
      <c r="FF156" s="226"/>
      <c r="FG156" s="226"/>
      <c r="FH156" s="226"/>
      <c r="FI156" s="226"/>
      <c r="FJ156" s="226"/>
      <c r="FK156" s="226"/>
      <c r="FL156" s="226"/>
      <c r="FM156" s="226"/>
      <c r="FN156" s="226"/>
      <c r="FO156" s="226"/>
      <c r="FP156" s="226"/>
      <c r="FQ156" s="226"/>
      <c r="FR156" s="226"/>
      <c r="FS156" s="226"/>
      <c r="FT156" s="226"/>
      <c r="FU156" s="226"/>
      <c r="FV156" s="226"/>
      <c r="FW156" s="226"/>
      <c r="FX156" s="226"/>
      <c r="FY156" s="226"/>
      <c r="FZ156" s="226"/>
      <c r="GA156" s="226"/>
      <c r="GB156" s="226"/>
      <c r="GC156" s="226"/>
      <c r="GD156" s="226"/>
      <c r="GE156" s="226"/>
      <c r="GF156" s="226"/>
      <c r="GG156" s="226"/>
      <c r="GH156" s="226"/>
      <c r="GI156" s="226"/>
      <c r="GJ156" s="226"/>
      <c r="GK156" s="226"/>
      <c r="GL156" s="226"/>
      <c r="GM156" s="226"/>
      <c r="GN156" s="226"/>
      <c r="GO156" s="226"/>
      <c r="GP156" s="226"/>
      <c r="GQ156" s="226"/>
      <c r="GR156" s="226"/>
      <c r="GS156" s="226"/>
      <c r="GT156" s="226"/>
      <c r="GU156" s="226"/>
      <c r="GV156" s="226"/>
      <c r="GW156" s="226"/>
      <c r="GX156" s="226"/>
      <c r="GY156" s="226"/>
      <c r="GZ156" s="226"/>
      <c r="HA156" s="226"/>
      <c r="HB156" s="226"/>
      <c r="HC156" s="226"/>
      <c r="HD156" s="226"/>
    </row>
    <row r="157" spans="1:212" ht="14.1" customHeight="1" x14ac:dyDescent="0.2">
      <c r="A157" s="226"/>
      <c r="B157" s="226"/>
      <c r="C157" s="226"/>
      <c r="D157" s="226"/>
      <c r="E157" s="226"/>
      <c r="F157" s="226"/>
      <c r="G157" s="226"/>
      <c r="H157" s="226"/>
      <c r="I157" s="226"/>
      <c r="J157" s="226"/>
      <c r="K157" s="226"/>
      <c r="L157" s="226"/>
      <c r="M157" s="226"/>
      <c r="N157" s="226"/>
      <c r="O157" s="226"/>
      <c r="P157" s="226"/>
      <c r="Q157" s="226"/>
      <c r="R157" s="226"/>
      <c r="S157" s="226"/>
      <c r="T157" s="226"/>
      <c r="U157" s="226"/>
      <c r="V157" s="226"/>
      <c r="W157" s="226"/>
      <c r="X157" s="226"/>
      <c r="Y157" s="226"/>
      <c r="Z157" s="226"/>
      <c r="AA157" s="226"/>
      <c r="AB157" s="226"/>
      <c r="AC157" s="226"/>
      <c r="AD157" s="226"/>
      <c r="AE157" s="226"/>
      <c r="AF157" s="226"/>
      <c r="AG157" s="226"/>
      <c r="AH157" s="226"/>
      <c r="AI157" s="226"/>
      <c r="AJ157" s="226"/>
      <c r="AK157" s="226"/>
      <c r="AL157" s="226"/>
      <c r="AM157" s="226"/>
      <c r="AN157" s="226"/>
      <c r="AO157" s="226"/>
      <c r="AP157" s="226"/>
      <c r="AQ157" s="226"/>
      <c r="AR157" s="226"/>
      <c r="AS157" s="226"/>
      <c r="AT157" s="226"/>
      <c r="AU157" s="226"/>
      <c r="AV157" s="226"/>
      <c r="AW157" s="226"/>
      <c r="AX157" s="226"/>
      <c r="AY157" s="226"/>
      <c r="AZ157" s="226"/>
      <c r="BA157" s="226"/>
      <c r="BB157" s="226"/>
      <c r="BC157" s="226"/>
      <c r="BD157" s="226"/>
      <c r="BE157" s="226"/>
      <c r="BF157" s="226"/>
      <c r="BG157" s="226"/>
      <c r="BH157" s="226"/>
      <c r="BI157" s="226"/>
      <c r="BJ157" s="226"/>
      <c r="BK157" s="226"/>
      <c r="BL157" s="226"/>
      <c r="BM157" s="226"/>
      <c r="BN157" s="226"/>
      <c r="BO157" s="226"/>
      <c r="BP157" s="226"/>
      <c r="BQ157" s="226"/>
      <c r="BR157" s="226"/>
      <c r="BS157" s="226"/>
      <c r="BT157" s="226"/>
      <c r="BU157" s="226"/>
      <c r="BV157" s="226"/>
      <c r="BW157" s="226"/>
      <c r="BX157" s="226"/>
      <c r="BY157" s="226"/>
      <c r="BZ157" s="226"/>
      <c r="CA157" s="226"/>
      <c r="CB157" s="226"/>
      <c r="CC157" s="226"/>
      <c r="CD157" s="226"/>
      <c r="CE157" s="226"/>
      <c r="CF157" s="226"/>
      <c r="CG157" s="226"/>
      <c r="CH157" s="226"/>
      <c r="CI157" s="226"/>
      <c r="CJ157" s="226"/>
      <c r="CK157" s="226"/>
      <c r="CL157" s="226"/>
      <c r="CM157" s="226"/>
      <c r="CN157" s="226"/>
      <c r="CO157" s="226"/>
      <c r="CP157" s="226"/>
      <c r="CQ157" s="226"/>
      <c r="CR157" s="226"/>
      <c r="CS157" s="226"/>
      <c r="CT157" s="226"/>
      <c r="CU157" s="226"/>
      <c r="CV157" s="226"/>
      <c r="CW157" s="226"/>
      <c r="CX157" s="226"/>
      <c r="CY157" s="226"/>
      <c r="CZ157" s="226"/>
      <c r="DA157" s="226"/>
      <c r="DB157" s="226"/>
      <c r="DC157" s="226"/>
      <c r="DD157" s="226"/>
      <c r="DE157" s="226"/>
      <c r="DF157" s="226"/>
      <c r="DG157" s="226"/>
      <c r="DH157" s="226"/>
      <c r="DI157" s="226"/>
      <c r="DJ157" s="226"/>
      <c r="DK157" s="226"/>
      <c r="DL157" s="226"/>
      <c r="DM157" s="226"/>
      <c r="DN157" s="226"/>
      <c r="DO157" s="226"/>
      <c r="DP157" s="226"/>
      <c r="DQ157" s="226"/>
      <c r="DR157" s="226"/>
      <c r="DS157" s="226"/>
      <c r="DT157" s="226"/>
      <c r="DU157" s="226"/>
      <c r="DV157" s="226"/>
      <c r="DW157" s="226"/>
      <c r="DX157" s="226"/>
      <c r="DY157" s="226"/>
      <c r="DZ157" s="226"/>
      <c r="EA157" s="226"/>
      <c r="EB157" s="226"/>
      <c r="EC157" s="226"/>
      <c r="ED157" s="226"/>
      <c r="EE157" s="226"/>
      <c r="EF157" s="226"/>
      <c r="EG157" s="226"/>
      <c r="EH157" s="226"/>
      <c r="EI157" s="226"/>
      <c r="EJ157" s="226"/>
      <c r="EK157" s="226"/>
      <c r="EL157" s="226"/>
      <c r="EM157" s="226"/>
      <c r="EN157" s="226"/>
      <c r="EO157" s="226"/>
      <c r="EP157" s="226"/>
      <c r="EQ157" s="226"/>
      <c r="ER157" s="226"/>
      <c r="ES157" s="226"/>
      <c r="ET157" s="226"/>
      <c r="EU157" s="226"/>
      <c r="EV157" s="226"/>
      <c r="EW157" s="226"/>
      <c r="EX157" s="226"/>
      <c r="EY157" s="226"/>
      <c r="EZ157" s="226"/>
      <c r="FA157" s="226"/>
      <c r="FB157" s="226"/>
      <c r="FC157" s="226"/>
      <c r="FD157" s="226"/>
      <c r="FE157" s="226"/>
      <c r="FF157" s="226"/>
      <c r="FG157" s="226"/>
      <c r="FH157" s="226"/>
      <c r="FI157" s="226"/>
      <c r="FJ157" s="226"/>
      <c r="FK157" s="226"/>
      <c r="FL157" s="226"/>
      <c r="FM157" s="226"/>
      <c r="FN157" s="226"/>
      <c r="FO157" s="226"/>
      <c r="FP157" s="226"/>
      <c r="FQ157" s="226"/>
      <c r="FR157" s="226"/>
      <c r="FS157" s="226"/>
      <c r="FT157" s="226"/>
      <c r="FU157" s="226"/>
      <c r="FV157" s="226"/>
      <c r="FW157" s="226"/>
      <c r="FX157" s="226"/>
      <c r="FY157" s="226"/>
      <c r="FZ157" s="226"/>
      <c r="GA157" s="226"/>
      <c r="GB157" s="226"/>
      <c r="GC157" s="226"/>
      <c r="GD157" s="226"/>
      <c r="GE157" s="226"/>
      <c r="GF157" s="226"/>
      <c r="GG157" s="226"/>
      <c r="GH157" s="226"/>
      <c r="GI157" s="226"/>
      <c r="GJ157" s="226"/>
      <c r="GK157" s="226"/>
      <c r="GL157" s="226"/>
      <c r="GM157" s="226"/>
      <c r="GN157" s="226"/>
      <c r="GO157" s="226"/>
      <c r="GP157" s="226"/>
      <c r="GQ157" s="226"/>
      <c r="GR157" s="226"/>
      <c r="GS157" s="226"/>
      <c r="GT157" s="226"/>
      <c r="GU157" s="226"/>
      <c r="GV157" s="226"/>
      <c r="GW157" s="226"/>
      <c r="GX157" s="226"/>
      <c r="GY157" s="226"/>
      <c r="GZ157" s="226"/>
      <c r="HA157" s="226"/>
      <c r="HB157" s="226"/>
      <c r="HC157" s="226"/>
      <c r="HD157" s="226"/>
    </row>
    <row r="158" spans="1:212" ht="14.1" customHeight="1" x14ac:dyDescent="0.2">
      <c r="A158" s="226"/>
      <c r="B158" s="226"/>
      <c r="C158" s="226"/>
      <c r="D158" s="226"/>
      <c r="E158" s="226"/>
      <c r="F158" s="226"/>
      <c r="G158" s="226"/>
      <c r="H158" s="226"/>
      <c r="I158" s="226"/>
      <c r="J158" s="226"/>
      <c r="K158" s="226"/>
      <c r="L158" s="226"/>
      <c r="M158" s="226"/>
      <c r="N158" s="226"/>
      <c r="O158" s="226"/>
      <c r="P158" s="226"/>
      <c r="Q158" s="226"/>
      <c r="R158" s="226"/>
      <c r="S158" s="226"/>
      <c r="T158" s="226"/>
      <c r="U158" s="226"/>
      <c r="V158" s="226"/>
      <c r="W158" s="226"/>
      <c r="X158" s="226"/>
      <c r="Y158" s="226"/>
      <c r="Z158" s="226"/>
      <c r="AA158" s="226"/>
      <c r="AB158" s="226"/>
      <c r="AC158" s="226"/>
      <c r="AD158" s="226"/>
      <c r="AE158" s="226"/>
      <c r="AF158" s="226"/>
      <c r="AG158" s="226"/>
      <c r="AH158" s="226"/>
      <c r="AI158" s="226"/>
      <c r="AJ158" s="226"/>
      <c r="AK158" s="226"/>
      <c r="AL158" s="226"/>
      <c r="AM158" s="226"/>
      <c r="AN158" s="226"/>
      <c r="AO158" s="226"/>
      <c r="AP158" s="226"/>
      <c r="AQ158" s="226"/>
      <c r="AR158" s="226"/>
      <c r="AS158" s="226"/>
      <c r="AT158" s="226"/>
      <c r="AU158" s="226"/>
      <c r="AV158" s="226"/>
      <c r="AW158" s="226"/>
      <c r="AX158" s="226"/>
      <c r="AY158" s="226"/>
      <c r="AZ158" s="226"/>
      <c r="BA158" s="226"/>
      <c r="BB158" s="226"/>
      <c r="BC158" s="226"/>
      <c r="BD158" s="226"/>
      <c r="BE158" s="226"/>
      <c r="BF158" s="226"/>
      <c r="BG158" s="226"/>
      <c r="BH158" s="226"/>
      <c r="BI158" s="226"/>
      <c r="BJ158" s="226"/>
      <c r="BK158" s="226"/>
      <c r="BL158" s="226"/>
      <c r="BM158" s="226"/>
      <c r="BN158" s="226"/>
      <c r="BO158" s="226"/>
      <c r="BP158" s="226"/>
      <c r="BQ158" s="226"/>
      <c r="BR158" s="226"/>
      <c r="BS158" s="226"/>
      <c r="BT158" s="226"/>
      <c r="BU158" s="226"/>
      <c r="BV158" s="226"/>
      <c r="BW158" s="226"/>
      <c r="BX158" s="226"/>
      <c r="BY158" s="226"/>
      <c r="BZ158" s="226"/>
      <c r="CA158" s="226"/>
      <c r="CB158" s="226"/>
      <c r="CC158" s="226"/>
      <c r="CD158" s="226"/>
      <c r="CE158" s="226"/>
      <c r="CF158" s="226"/>
      <c r="CG158" s="226"/>
      <c r="CH158" s="226"/>
      <c r="CI158" s="226"/>
      <c r="CJ158" s="226"/>
      <c r="CK158" s="226"/>
      <c r="CL158" s="226"/>
      <c r="CM158" s="226"/>
      <c r="CN158" s="226"/>
      <c r="CO158" s="226"/>
      <c r="CP158" s="226"/>
      <c r="CQ158" s="226"/>
      <c r="CR158" s="226"/>
      <c r="CS158" s="226"/>
      <c r="CT158" s="226"/>
      <c r="CU158" s="226"/>
      <c r="CV158" s="226"/>
      <c r="CW158" s="226"/>
      <c r="CX158" s="226"/>
      <c r="CY158" s="226"/>
      <c r="CZ158" s="226"/>
      <c r="DA158" s="226"/>
      <c r="DB158" s="226"/>
      <c r="DC158" s="226"/>
      <c r="DD158" s="226"/>
      <c r="DE158" s="226"/>
      <c r="DF158" s="226"/>
      <c r="DG158" s="226"/>
      <c r="DH158" s="226"/>
      <c r="DI158" s="226"/>
      <c r="DJ158" s="226"/>
      <c r="DK158" s="226"/>
      <c r="DL158" s="226"/>
      <c r="DM158" s="226"/>
      <c r="DN158" s="226"/>
      <c r="DO158" s="226"/>
      <c r="DP158" s="226"/>
      <c r="DQ158" s="226"/>
      <c r="DR158" s="226"/>
      <c r="DS158" s="226"/>
      <c r="DT158" s="226"/>
      <c r="DU158" s="226"/>
      <c r="DV158" s="226"/>
      <c r="DW158" s="226"/>
      <c r="DX158" s="226"/>
      <c r="DY158" s="226"/>
      <c r="DZ158" s="226"/>
      <c r="EA158" s="226"/>
      <c r="EB158" s="226"/>
      <c r="EC158" s="226"/>
      <c r="ED158" s="226"/>
      <c r="EE158" s="226"/>
      <c r="EF158" s="226"/>
      <c r="EG158" s="226"/>
      <c r="EH158" s="226"/>
      <c r="EI158" s="226"/>
      <c r="EJ158" s="226"/>
      <c r="EK158" s="226"/>
      <c r="EL158" s="226"/>
      <c r="EM158" s="226"/>
      <c r="EN158" s="226"/>
      <c r="EO158" s="226"/>
      <c r="EP158" s="226"/>
      <c r="EQ158" s="226"/>
      <c r="ER158" s="226"/>
      <c r="ES158" s="226"/>
      <c r="ET158" s="226"/>
      <c r="EU158" s="226"/>
      <c r="EV158" s="226"/>
      <c r="EW158" s="226"/>
      <c r="EX158" s="226"/>
      <c r="EY158" s="226"/>
      <c r="EZ158" s="226"/>
      <c r="FA158" s="226"/>
      <c r="FB158" s="226"/>
      <c r="FC158" s="226"/>
      <c r="FD158" s="226"/>
      <c r="FE158" s="226"/>
      <c r="FF158" s="226"/>
      <c r="FG158" s="226"/>
      <c r="FH158" s="226"/>
      <c r="FI158" s="226"/>
      <c r="FJ158" s="226"/>
      <c r="FK158" s="226"/>
      <c r="FL158" s="226"/>
      <c r="FM158" s="226"/>
      <c r="FN158" s="226"/>
      <c r="FO158" s="226"/>
      <c r="FP158" s="226"/>
      <c r="FQ158" s="226"/>
      <c r="FR158" s="226"/>
      <c r="FS158" s="226"/>
      <c r="FT158" s="226"/>
      <c r="FU158" s="226"/>
      <c r="FV158" s="226"/>
      <c r="FW158" s="226"/>
      <c r="FX158" s="226"/>
      <c r="FY158" s="226"/>
      <c r="FZ158" s="226"/>
      <c r="GA158" s="226"/>
      <c r="GB158" s="226"/>
      <c r="GC158" s="226"/>
      <c r="GD158" s="226"/>
      <c r="GE158" s="226"/>
      <c r="GF158" s="226"/>
      <c r="GG158" s="226"/>
      <c r="GH158" s="226"/>
      <c r="GI158" s="226"/>
      <c r="GJ158" s="226"/>
      <c r="GK158" s="226"/>
      <c r="GL158" s="226"/>
      <c r="GM158" s="226"/>
      <c r="GN158" s="226"/>
      <c r="GO158" s="226"/>
      <c r="GP158" s="226"/>
      <c r="GQ158" s="226"/>
      <c r="GR158" s="226"/>
      <c r="GS158" s="226"/>
      <c r="GT158" s="226"/>
      <c r="GU158" s="226"/>
      <c r="GV158" s="226"/>
      <c r="GW158" s="226"/>
      <c r="GX158" s="226"/>
      <c r="GY158" s="226"/>
      <c r="GZ158" s="226"/>
      <c r="HA158" s="226"/>
      <c r="HB158" s="226"/>
      <c r="HC158" s="226"/>
      <c r="HD158" s="226"/>
    </row>
    <row r="159" spans="1:212" ht="14.1" customHeight="1" x14ac:dyDescent="0.2">
      <c r="A159" s="226"/>
      <c r="B159" s="226"/>
      <c r="C159" s="226"/>
      <c r="D159" s="226"/>
      <c r="E159" s="226"/>
      <c r="F159" s="226"/>
      <c r="G159" s="226"/>
      <c r="H159" s="226"/>
      <c r="I159" s="226"/>
      <c r="J159" s="226"/>
      <c r="K159" s="226"/>
      <c r="L159" s="226"/>
      <c r="M159" s="226"/>
      <c r="N159" s="226"/>
      <c r="O159" s="226"/>
      <c r="P159" s="226"/>
      <c r="Q159" s="226"/>
      <c r="R159" s="226"/>
      <c r="S159" s="226"/>
      <c r="T159" s="226"/>
      <c r="U159" s="226"/>
      <c r="V159" s="226"/>
      <c r="W159" s="226"/>
      <c r="X159" s="226"/>
      <c r="Y159" s="226"/>
      <c r="Z159" s="226"/>
      <c r="AA159" s="226"/>
      <c r="AB159" s="226"/>
      <c r="AC159" s="226"/>
      <c r="AD159" s="226"/>
      <c r="AE159" s="226"/>
      <c r="AF159" s="226"/>
      <c r="AG159" s="226"/>
      <c r="AH159" s="226"/>
      <c r="AI159" s="226"/>
      <c r="AJ159" s="226"/>
      <c r="AK159" s="226"/>
      <c r="AL159" s="226"/>
      <c r="AM159" s="226"/>
      <c r="AN159" s="226"/>
      <c r="AO159" s="226"/>
      <c r="AP159" s="226"/>
      <c r="AQ159" s="226"/>
      <c r="AR159" s="226"/>
      <c r="AS159" s="226"/>
      <c r="AT159" s="226"/>
      <c r="AU159" s="226"/>
      <c r="AV159" s="226"/>
      <c r="AW159" s="226"/>
      <c r="AX159" s="226"/>
      <c r="AY159" s="226"/>
      <c r="AZ159" s="226"/>
      <c r="BA159" s="226"/>
      <c r="BB159" s="226"/>
      <c r="BC159" s="226"/>
      <c r="BD159" s="226"/>
      <c r="BE159" s="226"/>
      <c r="BF159" s="226"/>
      <c r="BG159" s="226"/>
      <c r="BH159" s="226"/>
      <c r="BI159" s="226"/>
      <c r="BJ159" s="226"/>
      <c r="BK159" s="226"/>
      <c r="BL159" s="226"/>
      <c r="BM159" s="226"/>
      <c r="BN159" s="226"/>
      <c r="BO159" s="226"/>
      <c r="BP159" s="226"/>
      <c r="BQ159" s="226"/>
      <c r="BR159" s="226"/>
      <c r="BS159" s="226"/>
      <c r="BT159" s="226"/>
      <c r="BU159" s="226"/>
      <c r="BV159" s="226"/>
      <c r="BW159" s="226"/>
      <c r="BX159" s="226"/>
      <c r="BY159" s="226"/>
      <c r="BZ159" s="226"/>
      <c r="CA159" s="226"/>
      <c r="CB159" s="226"/>
      <c r="CC159" s="226"/>
      <c r="CD159" s="226"/>
      <c r="CE159" s="226"/>
      <c r="CF159" s="226"/>
      <c r="CG159" s="226"/>
      <c r="CH159" s="226"/>
      <c r="CI159" s="226"/>
      <c r="CJ159" s="226"/>
      <c r="CK159" s="226"/>
      <c r="CL159" s="226"/>
      <c r="CM159" s="226"/>
      <c r="CN159" s="226"/>
      <c r="CO159" s="226"/>
      <c r="CP159" s="226"/>
      <c r="CQ159" s="226"/>
      <c r="CR159" s="226"/>
      <c r="CS159" s="226"/>
      <c r="CT159" s="226"/>
      <c r="CU159" s="226"/>
      <c r="CV159" s="226"/>
      <c r="CW159" s="226"/>
      <c r="CX159" s="226"/>
      <c r="CY159" s="226"/>
      <c r="CZ159" s="226"/>
      <c r="DA159" s="226"/>
      <c r="DB159" s="226"/>
      <c r="DC159" s="226"/>
      <c r="DD159" s="226"/>
      <c r="DE159" s="226"/>
      <c r="DF159" s="226"/>
      <c r="DG159" s="226"/>
      <c r="DH159" s="226"/>
      <c r="DI159" s="226"/>
      <c r="DJ159" s="226"/>
      <c r="DK159" s="226"/>
      <c r="DL159" s="226"/>
      <c r="DM159" s="226"/>
      <c r="DN159" s="226"/>
      <c r="DO159" s="226"/>
      <c r="DP159" s="226"/>
      <c r="DQ159" s="226"/>
      <c r="DR159" s="226"/>
      <c r="DS159" s="226"/>
      <c r="DT159" s="226"/>
      <c r="DU159" s="226"/>
      <c r="DV159" s="226"/>
      <c r="DW159" s="226"/>
      <c r="DX159" s="226"/>
      <c r="DY159" s="226"/>
      <c r="DZ159" s="226"/>
      <c r="EA159" s="226"/>
      <c r="EB159" s="226"/>
      <c r="EC159" s="226"/>
      <c r="ED159" s="226"/>
      <c r="EE159" s="226"/>
      <c r="EF159" s="226"/>
      <c r="EG159" s="226"/>
      <c r="EH159" s="226"/>
      <c r="EI159" s="226"/>
      <c r="EJ159" s="226"/>
      <c r="EK159" s="226"/>
      <c r="EL159" s="226"/>
      <c r="EM159" s="226"/>
      <c r="EN159" s="226"/>
      <c r="EO159" s="226"/>
      <c r="EP159" s="226"/>
      <c r="EQ159" s="226"/>
      <c r="ER159" s="226"/>
      <c r="ES159" s="226"/>
      <c r="ET159" s="226"/>
      <c r="EU159" s="226"/>
      <c r="EV159" s="226"/>
      <c r="EW159" s="226"/>
      <c r="EX159" s="226"/>
      <c r="EY159" s="226"/>
      <c r="EZ159" s="226"/>
      <c r="FA159" s="226"/>
      <c r="FB159" s="226"/>
      <c r="FC159" s="226"/>
      <c r="FD159" s="226"/>
      <c r="FE159" s="226"/>
      <c r="FF159" s="226"/>
      <c r="FG159" s="226"/>
      <c r="FH159" s="226"/>
      <c r="FI159" s="226"/>
      <c r="FJ159" s="226"/>
      <c r="FK159" s="226"/>
      <c r="FL159" s="226"/>
      <c r="FM159" s="226"/>
      <c r="FN159" s="226"/>
      <c r="FO159" s="226"/>
      <c r="FP159" s="226"/>
      <c r="FQ159" s="226"/>
      <c r="FR159" s="226"/>
      <c r="FS159" s="226"/>
      <c r="FT159" s="226"/>
      <c r="FU159" s="226"/>
      <c r="FV159" s="226"/>
      <c r="FW159" s="226"/>
      <c r="FX159" s="226"/>
      <c r="FY159" s="226"/>
      <c r="FZ159" s="226"/>
      <c r="GA159" s="226"/>
      <c r="GB159" s="226"/>
      <c r="GC159" s="226"/>
      <c r="GD159" s="226"/>
      <c r="GE159" s="226"/>
      <c r="GF159" s="226"/>
      <c r="GG159" s="226"/>
      <c r="GH159" s="226"/>
      <c r="GI159" s="226"/>
      <c r="GJ159" s="226"/>
      <c r="GK159" s="226"/>
      <c r="GL159" s="226"/>
      <c r="GM159" s="226"/>
      <c r="GN159" s="226"/>
      <c r="GO159" s="226"/>
      <c r="GP159" s="226"/>
      <c r="GQ159" s="226"/>
      <c r="GR159" s="226"/>
      <c r="GS159" s="226"/>
      <c r="GT159" s="226"/>
      <c r="GU159" s="226"/>
      <c r="GV159" s="226"/>
      <c r="GW159" s="226"/>
      <c r="GX159" s="226"/>
      <c r="GY159" s="226"/>
      <c r="GZ159" s="226"/>
      <c r="HA159" s="226"/>
      <c r="HB159" s="226"/>
      <c r="HC159" s="226"/>
      <c r="HD159" s="226"/>
    </row>
    <row r="160" spans="1:212" ht="14.1" customHeight="1" x14ac:dyDescent="0.2">
      <c r="A160" s="226"/>
      <c r="B160" s="226"/>
      <c r="C160" s="226"/>
      <c r="D160" s="226"/>
      <c r="E160" s="226"/>
      <c r="F160" s="226"/>
      <c r="G160" s="226"/>
      <c r="H160" s="226"/>
      <c r="I160" s="226"/>
      <c r="J160" s="226"/>
      <c r="K160" s="226"/>
      <c r="L160" s="226"/>
      <c r="M160" s="226"/>
      <c r="N160" s="226"/>
      <c r="O160" s="226"/>
      <c r="P160" s="226"/>
      <c r="Q160" s="226"/>
      <c r="R160" s="226"/>
      <c r="S160" s="226"/>
      <c r="T160" s="226"/>
      <c r="U160" s="226"/>
      <c r="V160" s="226"/>
      <c r="W160" s="226"/>
      <c r="X160" s="226"/>
      <c r="Y160" s="226"/>
      <c r="Z160" s="226"/>
      <c r="AA160" s="226"/>
      <c r="AB160" s="226"/>
      <c r="AC160" s="226"/>
      <c r="AD160" s="226"/>
      <c r="AE160" s="226"/>
      <c r="AF160" s="226"/>
      <c r="AG160" s="226"/>
      <c r="AH160" s="226"/>
      <c r="AI160" s="226"/>
      <c r="AJ160" s="226"/>
      <c r="AK160" s="226"/>
      <c r="AL160" s="226"/>
      <c r="AM160" s="226"/>
      <c r="AN160" s="226"/>
      <c r="AO160" s="226"/>
      <c r="AP160" s="226"/>
      <c r="AQ160" s="226"/>
      <c r="AR160" s="226"/>
      <c r="AS160" s="226"/>
      <c r="AT160" s="226"/>
      <c r="AU160" s="226"/>
      <c r="AV160" s="226"/>
      <c r="AW160" s="226"/>
      <c r="AX160" s="226"/>
      <c r="AY160" s="226"/>
      <c r="AZ160" s="226"/>
      <c r="BA160" s="226"/>
      <c r="BB160" s="226"/>
      <c r="BC160" s="226"/>
      <c r="BD160" s="226"/>
      <c r="BE160" s="226"/>
      <c r="BF160" s="226"/>
      <c r="BG160" s="226"/>
      <c r="BH160" s="226"/>
      <c r="BI160" s="226"/>
      <c r="BJ160" s="226"/>
      <c r="BK160" s="226"/>
      <c r="BL160" s="226"/>
      <c r="BM160" s="226"/>
      <c r="BN160" s="226"/>
      <c r="BO160" s="226"/>
      <c r="BP160" s="226"/>
      <c r="BQ160" s="226"/>
      <c r="BR160" s="226"/>
      <c r="BS160" s="226"/>
      <c r="BT160" s="226"/>
      <c r="BU160" s="226"/>
      <c r="BV160" s="226"/>
      <c r="BW160" s="226"/>
      <c r="BX160" s="226"/>
      <c r="BY160" s="226"/>
      <c r="BZ160" s="226"/>
      <c r="CA160" s="226"/>
      <c r="CB160" s="226"/>
      <c r="CC160" s="226"/>
      <c r="CD160" s="226"/>
      <c r="CE160" s="226"/>
      <c r="CF160" s="226"/>
      <c r="CG160" s="226"/>
      <c r="CH160" s="226"/>
      <c r="CI160" s="226"/>
      <c r="CJ160" s="226"/>
      <c r="CK160" s="226"/>
      <c r="CL160" s="226"/>
      <c r="CM160" s="226"/>
      <c r="CN160" s="226"/>
      <c r="CO160" s="226"/>
      <c r="CP160" s="226"/>
      <c r="CQ160" s="226"/>
      <c r="CR160" s="226"/>
      <c r="CS160" s="226"/>
      <c r="CT160" s="226"/>
      <c r="CU160" s="226"/>
      <c r="CV160" s="226"/>
      <c r="CW160" s="226"/>
      <c r="CX160" s="226"/>
      <c r="CY160" s="226"/>
      <c r="CZ160" s="226"/>
      <c r="DA160" s="226"/>
      <c r="DB160" s="226"/>
      <c r="DC160" s="226"/>
      <c r="DD160" s="226"/>
      <c r="DE160" s="226"/>
      <c r="DF160" s="226"/>
      <c r="DG160" s="226"/>
      <c r="DH160" s="226"/>
      <c r="DI160" s="226"/>
      <c r="DJ160" s="226"/>
      <c r="DK160" s="226"/>
      <c r="DL160" s="226"/>
      <c r="DM160" s="226"/>
      <c r="DN160" s="226"/>
      <c r="DO160" s="226"/>
      <c r="DP160" s="226"/>
      <c r="DQ160" s="226"/>
      <c r="DR160" s="226"/>
      <c r="DS160" s="226"/>
      <c r="DT160" s="226"/>
      <c r="DU160" s="226"/>
      <c r="DV160" s="226"/>
      <c r="DW160" s="226"/>
      <c r="DX160" s="226"/>
      <c r="DY160" s="226"/>
      <c r="DZ160" s="226"/>
      <c r="EA160" s="226"/>
      <c r="EB160" s="226"/>
      <c r="EC160" s="226"/>
      <c r="ED160" s="226"/>
      <c r="EE160" s="226"/>
      <c r="EF160" s="226"/>
      <c r="EG160" s="226"/>
      <c r="EH160" s="226"/>
      <c r="EI160" s="226"/>
      <c r="EJ160" s="226"/>
      <c r="EK160" s="226"/>
      <c r="EL160" s="226"/>
      <c r="EM160" s="226"/>
      <c r="EN160" s="226"/>
      <c r="EO160" s="226"/>
      <c r="EP160" s="226"/>
      <c r="EQ160" s="226"/>
      <c r="ER160" s="226"/>
      <c r="ES160" s="226"/>
      <c r="ET160" s="226"/>
      <c r="EU160" s="226"/>
      <c r="EV160" s="226"/>
      <c r="EW160" s="226"/>
      <c r="EX160" s="226"/>
      <c r="EY160" s="226"/>
      <c r="EZ160" s="226"/>
      <c r="FA160" s="226"/>
      <c r="FB160" s="226"/>
      <c r="FC160" s="226"/>
      <c r="FD160" s="226"/>
      <c r="FE160" s="226"/>
      <c r="FF160" s="226"/>
      <c r="FG160" s="226"/>
      <c r="FH160" s="226"/>
      <c r="FI160" s="226"/>
      <c r="FJ160" s="226"/>
      <c r="FK160" s="226"/>
      <c r="FL160" s="226"/>
      <c r="FM160" s="226"/>
      <c r="FN160" s="226"/>
      <c r="FO160" s="226"/>
      <c r="FP160" s="226"/>
      <c r="FQ160" s="226"/>
      <c r="FR160" s="226"/>
      <c r="FS160" s="226"/>
      <c r="FT160" s="226"/>
      <c r="FU160" s="226"/>
      <c r="FV160" s="226"/>
      <c r="FW160" s="226"/>
      <c r="FX160" s="226"/>
      <c r="FY160" s="226"/>
      <c r="FZ160" s="226"/>
      <c r="GA160" s="226"/>
      <c r="GB160" s="226"/>
      <c r="GC160" s="226"/>
      <c r="GD160" s="226"/>
      <c r="GE160" s="226"/>
      <c r="GF160" s="226"/>
      <c r="GG160" s="226"/>
      <c r="GH160" s="226"/>
      <c r="GI160" s="226"/>
      <c r="GJ160" s="226"/>
      <c r="GK160" s="226"/>
      <c r="GL160" s="226"/>
      <c r="GM160" s="226"/>
      <c r="GN160" s="226"/>
      <c r="GO160" s="226"/>
      <c r="GP160" s="226"/>
      <c r="GQ160" s="226"/>
      <c r="GR160" s="226"/>
      <c r="GS160" s="226"/>
      <c r="GT160" s="226"/>
      <c r="GU160" s="226"/>
      <c r="GV160" s="226"/>
      <c r="GW160" s="226"/>
      <c r="GX160" s="226"/>
      <c r="GY160" s="226"/>
      <c r="GZ160" s="226"/>
      <c r="HA160" s="226"/>
      <c r="HB160" s="226"/>
      <c r="HC160" s="226"/>
      <c r="HD160" s="226"/>
    </row>
    <row r="161" spans="1:212" ht="14.1" customHeight="1" x14ac:dyDescent="0.2">
      <c r="A161" s="226"/>
      <c r="B161" s="226"/>
      <c r="C161" s="226"/>
      <c r="D161" s="226"/>
      <c r="E161" s="226"/>
      <c r="F161" s="226"/>
      <c r="G161" s="226"/>
      <c r="H161" s="226"/>
      <c r="I161" s="226"/>
      <c r="J161" s="226"/>
      <c r="K161" s="226"/>
      <c r="L161" s="226"/>
      <c r="M161" s="226"/>
      <c r="N161" s="226"/>
      <c r="O161" s="226"/>
      <c r="P161" s="226"/>
      <c r="Q161" s="226"/>
      <c r="R161" s="226"/>
      <c r="S161" s="226"/>
      <c r="T161" s="226"/>
      <c r="U161" s="226"/>
      <c r="V161" s="226"/>
      <c r="W161" s="226"/>
      <c r="X161" s="226"/>
      <c r="Y161" s="226"/>
      <c r="Z161" s="226"/>
      <c r="AA161" s="226"/>
      <c r="AB161" s="226"/>
      <c r="AC161" s="226"/>
      <c r="AD161" s="226"/>
      <c r="AE161" s="226"/>
      <c r="AF161" s="226"/>
      <c r="AG161" s="226"/>
      <c r="AH161" s="226"/>
      <c r="AI161" s="226"/>
      <c r="AJ161" s="226"/>
      <c r="AK161" s="226"/>
      <c r="AL161" s="226"/>
      <c r="AM161" s="226"/>
      <c r="AN161" s="226"/>
      <c r="AO161" s="226"/>
      <c r="AP161" s="226"/>
      <c r="AQ161" s="226"/>
      <c r="AR161" s="226"/>
      <c r="AS161" s="226"/>
      <c r="AT161" s="226"/>
      <c r="AU161" s="226"/>
      <c r="AV161" s="226"/>
      <c r="AW161" s="226"/>
      <c r="AX161" s="226"/>
      <c r="AY161" s="226"/>
      <c r="AZ161" s="226"/>
      <c r="BA161" s="226"/>
      <c r="BB161" s="226"/>
      <c r="BC161" s="226"/>
      <c r="BD161" s="226"/>
      <c r="BE161" s="226"/>
      <c r="BF161" s="226"/>
      <c r="BG161" s="226"/>
      <c r="BH161" s="226"/>
      <c r="BI161" s="226"/>
      <c r="BJ161" s="226"/>
      <c r="BK161" s="226"/>
      <c r="BL161" s="226"/>
      <c r="BM161" s="226"/>
      <c r="BN161" s="226"/>
      <c r="BO161" s="226"/>
      <c r="BP161" s="226"/>
      <c r="BQ161" s="226"/>
      <c r="BR161" s="226"/>
      <c r="BS161" s="226"/>
      <c r="BT161" s="226"/>
      <c r="BU161" s="226"/>
      <c r="BV161" s="226"/>
      <c r="BW161" s="226"/>
      <c r="BX161" s="226"/>
      <c r="BY161" s="226"/>
      <c r="BZ161" s="226"/>
      <c r="CA161" s="226"/>
      <c r="CB161" s="226"/>
      <c r="CC161" s="226"/>
      <c r="CD161" s="226"/>
      <c r="CE161" s="226"/>
      <c r="CF161" s="226"/>
      <c r="CG161" s="226"/>
      <c r="CH161" s="226"/>
      <c r="CI161" s="226"/>
      <c r="CJ161" s="226"/>
      <c r="CK161" s="226"/>
      <c r="CL161" s="226"/>
      <c r="CM161" s="226"/>
      <c r="CN161" s="226"/>
      <c r="CO161" s="226"/>
      <c r="CP161" s="226"/>
      <c r="CQ161" s="226"/>
      <c r="CR161" s="226"/>
      <c r="CS161" s="226"/>
      <c r="CT161" s="226"/>
      <c r="CU161" s="226"/>
      <c r="CV161" s="226"/>
      <c r="CW161" s="226"/>
      <c r="CX161" s="226"/>
      <c r="CY161" s="226"/>
      <c r="CZ161" s="226"/>
      <c r="DA161" s="226"/>
      <c r="DB161" s="226"/>
      <c r="DC161" s="226"/>
      <c r="DD161" s="226"/>
      <c r="DE161" s="226"/>
      <c r="DF161" s="226"/>
      <c r="DG161" s="226"/>
      <c r="DH161" s="226"/>
      <c r="DI161" s="226"/>
      <c r="DJ161" s="226"/>
      <c r="DK161" s="226"/>
      <c r="DL161" s="226"/>
      <c r="DM161" s="226"/>
      <c r="DN161" s="226"/>
      <c r="DO161" s="226"/>
      <c r="DP161" s="226"/>
      <c r="DQ161" s="226"/>
      <c r="DR161" s="226"/>
      <c r="DS161" s="226"/>
      <c r="DT161" s="226"/>
      <c r="DU161" s="226"/>
      <c r="DV161" s="226"/>
      <c r="DW161" s="226"/>
      <c r="DX161" s="226"/>
      <c r="DY161" s="226"/>
      <c r="DZ161" s="226"/>
      <c r="EA161" s="226"/>
      <c r="EB161" s="226"/>
      <c r="EC161" s="226"/>
      <c r="ED161" s="226"/>
      <c r="EE161" s="226"/>
      <c r="EF161" s="226"/>
      <c r="EG161" s="226"/>
      <c r="EH161" s="226"/>
      <c r="EI161" s="226"/>
      <c r="EJ161" s="226"/>
      <c r="EK161" s="226"/>
      <c r="EL161" s="226"/>
      <c r="EM161" s="226"/>
      <c r="EN161" s="226"/>
      <c r="EO161" s="226"/>
      <c r="EP161" s="226"/>
      <c r="EQ161" s="226"/>
      <c r="ER161" s="226"/>
      <c r="ES161" s="226"/>
      <c r="ET161" s="226"/>
      <c r="EU161" s="226"/>
      <c r="EV161" s="226"/>
      <c r="EW161" s="226"/>
      <c r="EX161" s="226"/>
      <c r="EY161" s="226"/>
      <c r="EZ161" s="226"/>
      <c r="FA161" s="226"/>
      <c r="FB161" s="226"/>
      <c r="FC161" s="226"/>
      <c r="FD161" s="226"/>
      <c r="FE161" s="226"/>
      <c r="FF161" s="226"/>
      <c r="FG161" s="226"/>
      <c r="FH161" s="226"/>
      <c r="FI161" s="226"/>
      <c r="FJ161" s="226"/>
      <c r="FK161" s="226"/>
      <c r="FL161" s="226"/>
      <c r="FM161" s="226"/>
      <c r="FN161" s="226"/>
      <c r="FO161" s="226"/>
      <c r="FP161" s="226"/>
      <c r="FQ161" s="226"/>
      <c r="FR161" s="226"/>
      <c r="FS161" s="226"/>
      <c r="FT161" s="226"/>
      <c r="FU161" s="226"/>
      <c r="FV161" s="226"/>
      <c r="FW161" s="226"/>
      <c r="FX161" s="226"/>
      <c r="FY161" s="226"/>
      <c r="FZ161" s="226"/>
      <c r="GA161" s="226"/>
      <c r="GB161" s="226"/>
      <c r="GC161" s="226"/>
      <c r="GD161" s="226"/>
      <c r="GE161" s="226"/>
      <c r="GF161" s="226"/>
      <c r="GG161" s="226"/>
      <c r="GH161" s="226"/>
      <c r="GI161" s="226"/>
      <c r="GJ161" s="226"/>
      <c r="GK161" s="226"/>
      <c r="GL161" s="226"/>
      <c r="GM161" s="226"/>
      <c r="GN161" s="226"/>
      <c r="GO161" s="226"/>
      <c r="GP161" s="226"/>
      <c r="GQ161" s="226"/>
      <c r="GR161" s="226"/>
      <c r="GS161" s="226"/>
      <c r="GT161" s="226"/>
      <c r="GU161" s="226"/>
      <c r="GV161" s="226"/>
      <c r="GW161" s="226"/>
      <c r="GX161" s="226"/>
      <c r="GY161" s="226"/>
      <c r="GZ161" s="226"/>
      <c r="HA161" s="226"/>
      <c r="HB161" s="226"/>
      <c r="HC161" s="226"/>
      <c r="HD161" s="226"/>
    </row>
    <row r="162" spans="1:212" ht="14.1" customHeight="1" x14ac:dyDescent="0.2">
      <c r="A162" s="226"/>
      <c r="B162" s="226"/>
      <c r="C162" s="226"/>
      <c r="D162" s="226"/>
      <c r="E162" s="226"/>
      <c r="F162" s="226"/>
      <c r="G162" s="226"/>
      <c r="H162" s="226"/>
      <c r="I162" s="226"/>
      <c r="J162" s="226"/>
      <c r="K162" s="226"/>
      <c r="L162" s="226"/>
      <c r="M162" s="226"/>
      <c r="N162" s="226"/>
      <c r="O162" s="226"/>
      <c r="P162" s="226"/>
      <c r="Q162" s="226"/>
      <c r="R162" s="226"/>
      <c r="S162" s="226"/>
      <c r="T162" s="226"/>
      <c r="U162" s="226"/>
      <c r="V162" s="226"/>
      <c r="W162" s="226"/>
      <c r="X162" s="226"/>
      <c r="Y162" s="226"/>
      <c r="Z162" s="226"/>
      <c r="AA162" s="226"/>
      <c r="AB162" s="226"/>
      <c r="AC162" s="226"/>
      <c r="AD162" s="226"/>
      <c r="AE162" s="226"/>
      <c r="AF162" s="226"/>
      <c r="AG162" s="226"/>
      <c r="AH162" s="226"/>
      <c r="AI162" s="226"/>
      <c r="AJ162" s="226"/>
      <c r="AK162" s="226"/>
      <c r="AL162" s="226"/>
      <c r="AM162" s="226"/>
      <c r="AN162" s="226"/>
      <c r="AO162" s="226"/>
      <c r="AP162" s="226"/>
      <c r="AQ162" s="226"/>
      <c r="AR162" s="226"/>
      <c r="AS162" s="226"/>
      <c r="AT162" s="226"/>
      <c r="AU162" s="226"/>
      <c r="AV162" s="226"/>
      <c r="AW162" s="226"/>
      <c r="AX162" s="226"/>
      <c r="AY162" s="226"/>
      <c r="AZ162" s="226"/>
      <c r="BA162" s="226"/>
      <c r="BB162" s="226"/>
      <c r="BC162" s="226"/>
      <c r="BD162" s="226"/>
      <c r="BE162" s="226"/>
      <c r="BF162" s="226"/>
      <c r="BG162" s="226"/>
      <c r="BH162" s="226"/>
      <c r="BI162" s="226"/>
      <c r="BJ162" s="226"/>
      <c r="BK162" s="226"/>
      <c r="BL162" s="226"/>
      <c r="BM162" s="226"/>
      <c r="BN162" s="226"/>
      <c r="BO162" s="226"/>
      <c r="BP162" s="226"/>
      <c r="BQ162" s="226"/>
      <c r="BR162" s="226"/>
      <c r="BS162" s="226"/>
      <c r="BT162" s="226"/>
      <c r="BU162" s="226"/>
      <c r="BV162" s="226"/>
      <c r="BW162" s="226"/>
      <c r="BX162" s="226"/>
      <c r="BY162" s="226"/>
      <c r="BZ162" s="226"/>
      <c r="CA162" s="226"/>
      <c r="CB162" s="226"/>
      <c r="CC162" s="226"/>
      <c r="CD162" s="226"/>
      <c r="CE162" s="226"/>
      <c r="CF162" s="226"/>
      <c r="CG162" s="226"/>
      <c r="CH162" s="226"/>
      <c r="CI162" s="226"/>
      <c r="CJ162" s="226"/>
      <c r="CK162" s="226"/>
      <c r="CL162" s="226"/>
      <c r="CM162" s="226"/>
      <c r="CN162" s="226"/>
      <c r="CO162" s="226"/>
      <c r="CP162" s="226"/>
      <c r="CQ162" s="226"/>
      <c r="CR162" s="226"/>
      <c r="CS162" s="226"/>
      <c r="CT162" s="226"/>
      <c r="CU162" s="226"/>
      <c r="CV162" s="226"/>
      <c r="CW162" s="226"/>
      <c r="CX162" s="226"/>
      <c r="CY162" s="226"/>
      <c r="CZ162" s="226"/>
      <c r="DA162" s="226"/>
      <c r="DB162" s="226"/>
      <c r="DC162" s="226"/>
      <c r="DD162" s="226"/>
      <c r="DE162" s="226"/>
      <c r="DF162" s="226"/>
      <c r="DG162" s="226"/>
      <c r="DH162" s="226"/>
      <c r="DI162" s="226"/>
      <c r="DJ162" s="226"/>
      <c r="DK162" s="226"/>
      <c r="DL162" s="226"/>
      <c r="DM162" s="226"/>
      <c r="DN162" s="226"/>
      <c r="DO162" s="226"/>
      <c r="DP162" s="226"/>
      <c r="DQ162" s="226"/>
      <c r="DR162" s="226"/>
      <c r="DS162" s="226"/>
      <c r="DT162" s="226"/>
      <c r="DU162" s="226"/>
      <c r="DV162" s="226"/>
      <c r="DW162" s="226"/>
      <c r="DX162" s="226"/>
      <c r="DY162" s="226"/>
      <c r="DZ162" s="226"/>
      <c r="EA162" s="226"/>
      <c r="EB162" s="226"/>
      <c r="EC162" s="226"/>
      <c r="ED162" s="226"/>
      <c r="EE162" s="226"/>
      <c r="EF162" s="226"/>
      <c r="EG162" s="226"/>
      <c r="EH162" s="226"/>
      <c r="EI162" s="226"/>
      <c r="EJ162" s="226"/>
      <c r="EK162" s="226"/>
      <c r="EL162" s="226"/>
      <c r="EM162" s="226"/>
      <c r="EN162" s="226"/>
      <c r="EO162" s="226"/>
      <c r="EP162" s="226"/>
      <c r="EQ162" s="226"/>
      <c r="ER162" s="226"/>
      <c r="ES162" s="226"/>
      <c r="ET162" s="226"/>
      <c r="EU162" s="226"/>
      <c r="EV162" s="226"/>
      <c r="EW162" s="226"/>
      <c r="EX162" s="226"/>
      <c r="EY162" s="226"/>
      <c r="EZ162" s="226"/>
      <c r="FA162" s="226"/>
      <c r="FB162" s="226"/>
      <c r="FC162" s="226"/>
      <c r="FD162" s="226"/>
      <c r="FE162" s="226"/>
      <c r="FF162" s="226"/>
      <c r="FG162" s="226"/>
      <c r="FH162" s="226"/>
      <c r="FI162" s="226"/>
      <c r="FJ162" s="226"/>
      <c r="FK162" s="226"/>
      <c r="FL162" s="226"/>
      <c r="FM162" s="226"/>
      <c r="FN162" s="226"/>
      <c r="FO162" s="226"/>
      <c r="FP162" s="226"/>
      <c r="FQ162" s="226"/>
      <c r="FR162" s="226"/>
      <c r="FS162" s="226"/>
      <c r="FT162" s="226"/>
      <c r="FU162" s="226"/>
      <c r="FV162" s="226"/>
      <c r="FW162" s="226"/>
      <c r="FX162" s="226"/>
      <c r="FY162" s="226"/>
      <c r="FZ162" s="226"/>
      <c r="GA162" s="226"/>
      <c r="GB162" s="226"/>
      <c r="GC162" s="226"/>
      <c r="GD162" s="226"/>
      <c r="GE162" s="226"/>
      <c r="GF162" s="226"/>
      <c r="GG162" s="226"/>
      <c r="GH162" s="226"/>
      <c r="GI162" s="226"/>
      <c r="GJ162" s="226"/>
      <c r="GK162" s="226"/>
      <c r="GL162" s="226"/>
      <c r="GM162" s="226"/>
      <c r="GN162" s="226"/>
      <c r="GO162" s="226"/>
      <c r="GP162" s="226"/>
      <c r="GQ162" s="226"/>
      <c r="GR162" s="226"/>
      <c r="GS162" s="226"/>
      <c r="GT162" s="226"/>
      <c r="GU162" s="226"/>
      <c r="GV162" s="226"/>
      <c r="GW162" s="226"/>
      <c r="GX162" s="226"/>
      <c r="GY162" s="226"/>
      <c r="GZ162" s="226"/>
      <c r="HA162" s="226"/>
      <c r="HB162" s="226"/>
      <c r="HC162" s="226"/>
      <c r="HD162" s="226"/>
    </row>
    <row r="163" spans="1:212" ht="14.1" customHeight="1" x14ac:dyDescent="0.2">
      <c r="A163" s="226"/>
      <c r="B163" s="226"/>
      <c r="C163" s="226"/>
      <c r="D163" s="226"/>
      <c r="E163" s="226"/>
      <c r="F163" s="226"/>
      <c r="G163" s="226"/>
      <c r="H163" s="226"/>
      <c r="I163" s="226"/>
      <c r="J163" s="226"/>
      <c r="K163" s="226"/>
      <c r="L163" s="226"/>
      <c r="M163" s="226"/>
      <c r="N163" s="226"/>
      <c r="O163" s="226"/>
      <c r="P163" s="226"/>
      <c r="Q163" s="226"/>
      <c r="R163" s="226"/>
      <c r="S163" s="226"/>
      <c r="T163" s="226"/>
      <c r="U163" s="226"/>
      <c r="V163" s="226"/>
      <c r="W163" s="226"/>
      <c r="X163" s="226"/>
      <c r="Y163" s="226"/>
      <c r="Z163" s="226"/>
      <c r="AA163" s="226"/>
      <c r="AB163" s="226"/>
      <c r="AC163" s="226"/>
      <c r="AD163" s="226"/>
      <c r="AE163" s="226"/>
      <c r="AF163" s="226"/>
      <c r="AG163" s="226"/>
      <c r="AH163" s="226"/>
      <c r="AI163" s="226"/>
      <c r="AJ163" s="226"/>
      <c r="AK163" s="226"/>
      <c r="AL163" s="226"/>
      <c r="AM163" s="226"/>
      <c r="AN163" s="226"/>
      <c r="AO163" s="226"/>
      <c r="AP163" s="226"/>
      <c r="AQ163" s="226"/>
      <c r="AR163" s="226"/>
      <c r="AS163" s="226"/>
      <c r="AT163" s="226"/>
      <c r="AU163" s="226"/>
      <c r="AV163" s="226"/>
      <c r="AW163" s="226"/>
      <c r="AX163" s="226"/>
      <c r="AY163" s="226"/>
      <c r="AZ163" s="226"/>
      <c r="BA163" s="226"/>
      <c r="BB163" s="226"/>
      <c r="BC163" s="226"/>
      <c r="BD163" s="226"/>
      <c r="BE163" s="226"/>
      <c r="BF163" s="226"/>
      <c r="BG163" s="226"/>
      <c r="BH163" s="226"/>
      <c r="BI163" s="226"/>
      <c r="BJ163" s="226"/>
      <c r="BK163" s="226"/>
      <c r="BL163" s="226"/>
      <c r="BM163" s="226"/>
      <c r="BN163" s="226"/>
      <c r="BO163" s="226"/>
      <c r="BP163" s="226"/>
      <c r="BQ163" s="226"/>
      <c r="BR163" s="226"/>
      <c r="BS163" s="226"/>
      <c r="BT163" s="226"/>
      <c r="BU163" s="226"/>
      <c r="BV163" s="226"/>
      <c r="BW163" s="226"/>
      <c r="BX163" s="226"/>
      <c r="BY163" s="226"/>
      <c r="BZ163" s="226"/>
      <c r="CA163" s="226"/>
      <c r="CB163" s="226"/>
      <c r="CC163" s="226"/>
      <c r="CD163" s="226"/>
      <c r="CE163" s="226"/>
      <c r="CF163" s="226"/>
      <c r="CG163" s="226"/>
      <c r="CH163" s="226"/>
      <c r="CI163" s="226"/>
      <c r="CJ163" s="226"/>
      <c r="CK163" s="226"/>
      <c r="CL163" s="226"/>
      <c r="CM163" s="226"/>
      <c r="CN163" s="226"/>
      <c r="CO163" s="226"/>
      <c r="CP163" s="226"/>
      <c r="CQ163" s="226"/>
      <c r="CR163" s="226"/>
      <c r="CS163" s="226"/>
      <c r="CT163" s="226"/>
      <c r="CU163" s="226"/>
      <c r="CV163" s="226"/>
      <c r="CW163" s="226"/>
      <c r="CX163" s="226"/>
      <c r="CY163" s="226"/>
      <c r="CZ163" s="226"/>
      <c r="DA163" s="226"/>
      <c r="DB163" s="226"/>
      <c r="DC163" s="226"/>
      <c r="DD163" s="226"/>
      <c r="DE163" s="226"/>
      <c r="DF163" s="226"/>
      <c r="DG163" s="226"/>
      <c r="DH163" s="226"/>
      <c r="DI163" s="226"/>
      <c r="DJ163" s="226"/>
      <c r="DK163" s="226"/>
      <c r="DL163" s="226"/>
      <c r="DM163" s="226"/>
      <c r="DN163" s="226"/>
      <c r="DO163" s="226"/>
      <c r="DP163" s="226"/>
      <c r="DQ163" s="226"/>
      <c r="DR163" s="226"/>
      <c r="DS163" s="226"/>
      <c r="DT163" s="226"/>
      <c r="DU163" s="226"/>
      <c r="DV163" s="226"/>
      <c r="DW163" s="226"/>
      <c r="DX163" s="226"/>
      <c r="DY163" s="226"/>
      <c r="DZ163" s="226"/>
      <c r="EA163" s="226"/>
      <c r="EB163" s="226"/>
      <c r="EC163" s="226"/>
      <c r="ED163" s="226"/>
      <c r="EE163" s="226"/>
      <c r="EF163" s="226"/>
      <c r="EG163" s="226"/>
      <c r="EH163" s="226"/>
      <c r="EI163" s="226"/>
      <c r="EJ163" s="226"/>
      <c r="EK163" s="226"/>
      <c r="EL163" s="226"/>
      <c r="EM163" s="226"/>
      <c r="EN163" s="226"/>
      <c r="EO163" s="226"/>
      <c r="EP163" s="226"/>
      <c r="EQ163" s="226"/>
      <c r="ER163" s="226"/>
      <c r="ES163" s="226"/>
      <c r="ET163" s="226"/>
      <c r="EU163" s="226"/>
      <c r="EV163" s="226"/>
      <c r="EW163" s="226"/>
      <c r="EX163" s="226"/>
      <c r="EY163" s="226"/>
      <c r="EZ163" s="226"/>
      <c r="FA163" s="226"/>
      <c r="FB163" s="226"/>
      <c r="FC163" s="226"/>
      <c r="FD163" s="226"/>
      <c r="FE163" s="226"/>
      <c r="FF163" s="226"/>
      <c r="FG163" s="226"/>
      <c r="FH163" s="226"/>
      <c r="FI163" s="226"/>
      <c r="FJ163" s="226"/>
      <c r="FK163" s="226"/>
      <c r="FL163" s="226"/>
      <c r="FM163" s="226"/>
      <c r="FN163" s="226"/>
      <c r="FO163" s="226"/>
      <c r="FP163" s="226"/>
      <c r="FQ163" s="226"/>
      <c r="FR163" s="226"/>
      <c r="FS163" s="226"/>
      <c r="FT163" s="226"/>
      <c r="FU163" s="226"/>
      <c r="FV163" s="226"/>
      <c r="FW163" s="226"/>
      <c r="FX163" s="226"/>
      <c r="FY163" s="226"/>
      <c r="FZ163" s="226"/>
      <c r="GA163" s="226"/>
      <c r="GB163" s="226"/>
      <c r="GC163" s="226"/>
      <c r="GD163" s="226"/>
      <c r="GE163" s="226"/>
      <c r="GF163" s="226"/>
      <c r="GG163" s="226"/>
      <c r="GH163" s="226"/>
      <c r="GI163" s="226"/>
      <c r="GJ163" s="226"/>
      <c r="GK163" s="226"/>
      <c r="GL163" s="226"/>
      <c r="GM163" s="226"/>
      <c r="GN163" s="226"/>
      <c r="GO163" s="226"/>
      <c r="GP163" s="226"/>
      <c r="GQ163" s="226"/>
      <c r="GR163" s="226"/>
      <c r="GS163" s="226"/>
      <c r="GT163" s="226"/>
      <c r="GU163" s="226"/>
      <c r="GV163" s="226"/>
      <c r="GW163" s="226"/>
      <c r="GX163" s="226"/>
      <c r="GY163" s="226"/>
      <c r="GZ163" s="226"/>
      <c r="HA163" s="226"/>
      <c r="HB163" s="226"/>
      <c r="HC163" s="226"/>
      <c r="HD163" s="226"/>
    </row>
    <row r="164" spans="1:212" ht="14.1" customHeight="1" x14ac:dyDescent="0.2">
      <c r="A164" s="226"/>
      <c r="B164" s="226"/>
      <c r="C164" s="226"/>
      <c r="D164" s="226"/>
      <c r="E164" s="226"/>
      <c r="F164" s="226"/>
      <c r="G164" s="226"/>
      <c r="H164" s="226"/>
      <c r="I164" s="226"/>
      <c r="J164" s="226"/>
      <c r="K164" s="226"/>
      <c r="L164" s="226"/>
      <c r="M164" s="226"/>
      <c r="N164" s="226"/>
      <c r="O164" s="226"/>
      <c r="P164" s="226"/>
      <c r="Q164" s="226"/>
      <c r="R164" s="226"/>
      <c r="S164" s="226"/>
      <c r="T164" s="226"/>
      <c r="U164" s="226"/>
      <c r="V164" s="226"/>
      <c r="W164" s="226"/>
      <c r="X164" s="226"/>
      <c r="Y164" s="226"/>
      <c r="Z164" s="226"/>
      <c r="AA164" s="226"/>
      <c r="AB164" s="226"/>
      <c r="AC164" s="226"/>
      <c r="AD164" s="226"/>
      <c r="AE164" s="226"/>
      <c r="AF164" s="226"/>
      <c r="AG164" s="226"/>
      <c r="AH164" s="226"/>
      <c r="AI164" s="226"/>
      <c r="AJ164" s="226"/>
      <c r="AK164" s="226"/>
      <c r="AL164" s="226"/>
      <c r="AM164" s="226"/>
      <c r="AN164" s="226"/>
      <c r="AO164" s="226"/>
      <c r="AP164" s="226"/>
      <c r="AQ164" s="226"/>
      <c r="AR164" s="226"/>
      <c r="AS164" s="226"/>
      <c r="AT164" s="226"/>
      <c r="AU164" s="226"/>
      <c r="AV164" s="226"/>
      <c r="AW164" s="226"/>
      <c r="AX164" s="226"/>
      <c r="AY164" s="226"/>
      <c r="AZ164" s="226"/>
      <c r="BA164" s="226"/>
      <c r="BB164" s="226"/>
      <c r="BC164" s="226"/>
      <c r="BD164" s="226"/>
      <c r="BE164" s="226"/>
      <c r="BF164" s="226"/>
      <c r="BG164" s="226"/>
      <c r="BH164" s="226"/>
      <c r="BI164" s="226"/>
      <c r="BJ164" s="226"/>
      <c r="BK164" s="226"/>
      <c r="BL164" s="226"/>
      <c r="BM164" s="226"/>
      <c r="BN164" s="226"/>
      <c r="BO164" s="226"/>
      <c r="BP164" s="226"/>
      <c r="BQ164" s="226"/>
      <c r="BR164" s="226"/>
      <c r="BS164" s="226"/>
      <c r="BT164" s="226"/>
      <c r="BU164" s="226"/>
      <c r="BV164" s="226"/>
      <c r="BW164" s="226"/>
      <c r="BX164" s="226"/>
      <c r="BY164" s="226"/>
      <c r="BZ164" s="226"/>
      <c r="CA164" s="226"/>
      <c r="CB164" s="226"/>
      <c r="CC164" s="226"/>
      <c r="CD164" s="226"/>
      <c r="CE164" s="226"/>
      <c r="CF164" s="226"/>
      <c r="CG164" s="226"/>
      <c r="CH164" s="226"/>
      <c r="CI164" s="226"/>
      <c r="CJ164" s="226"/>
      <c r="CK164" s="226"/>
      <c r="CL164" s="226"/>
      <c r="CM164" s="226"/>
      <c r="CN164" s="226"/>
      <c r="CO164" s="226"/>
      <c r="CP164" s="226"/>
      <c r="CQ164" s="226"/>
      <c r="CR164" s="226"/>
      <c r="CS164" s="226"/>
      <c r="CT164" s="226"/>
      <c r="CU164" s="226"/>
      <c r="CV164" s="226"/>
      <c r="CW164" s="226"/>
      <c r="CX164" s="226"/>
      <c r="CY164" s="226"/>
      <c r="CZ164" s="226"/>
      <c r="DA164" s="226"/>
      <c r="DB164" s="226"/>
      <c r="DC164" s="226"/>
      <c r="DD164" s="226"/>
      <c r="DE164" s="226"/>
      <c r="DF164" s="226"/>
      <c r="DG164" s="226"/>
      <c r="DH164" s="226"/>
      <c r="DI164" s="226"/>
      <c r="DJ164" s="226"/>
      <c r="DK164" s="226"/>
      <c r="DL164" s="226"/>
      <c r="DM164" s="226"/>
      <c r="DN164" s="226"/>
      <c r="DO164" s="226"/>
      <c r="DP164" s="226"/>
      <c r="DQ164" s="226"/>
      <c r="DR164" s="226"/>
      <c r="DS164" s="226"/>
      <c r="DT164" s="226"/>
      <c r="DU164" s="226"/>
      <c r="DV164" s="226"/>
      <c r="DW164" s="226"/>
      <c r="DX164" s="226"/>
      <c r="DY164" s="226"/>
      <c r="DZ164" s="226"/>
      <c r="EA164" s="226"/>
      <c r="EB164" s="226"/>
      <c r="EC164" s="226"/>
      <c r="ED164" s="226"/>
      <c r="EE164" s="226"/>
      <c r="EF164" s="226"/>
      <c r="EG164" s="226"/>
      <c r="EH164" s="226"/>
      <c r="EI164" s="226"/>
      <c r="EJ164" s="226"/>
      <c r="EK164" s="226"/>
      <c r="EL164" s="226"/>
      <c r="EM164" s="226"/>
      <c r="EN164" s="226"/>
      <c r="EO164" s="226"/>
      <c r="EP164" s="226"/>
      <c r="EQ164" s="226"/>
      <c r="ER164" s="226"/>
      <c r="ES164" s="226"/>
      <c r="ET164" s="226"/>
      <c r="EU164" s="226"/>
      <c r="EV164" s="226"/>
      <c r="EW164" s="226"/>
      <c r="EX164" s="226"/>
      <c r="EY164" s="226"/>
      <c r="EZ164" s="226"/>
      <c r="FA164" s="226"/>
      <c r="FB164" s="226"/>
      <c r="FC164" s="226"/>
      <c r="FD164" s="226"/>
      <c r="FE164" s="226"/>
      <c r="FF164" s="226"/>
      <c r="FG164" s="226"/>
      <c r="FH164" s="226"/>
      <c r="FI164" s="226"/>
      <c r="FJ164" s="226"/>
      <c r="FK164" s="226"/>
      <c r="FL164" s="226"/>
      <c r="FM164" s="226"/>
      <c r="FN164" s="226"/>
      <c r="FO164" s="226"/>
      <c r="FP164" s="226"/>
      <c r="FQ164" s="226"/>
      <c r="FR164" s="226"/>
      <c r="FS164" s="226"/>
      <c r="FT164" s="226"/>
      <c r="FU164" s="226"/>
      <c r="FV164" s="226"/>
      <c r="FW164" s="226"/>
      <c r="FX164" s="226"/>
      <c r="FY164" s="226"/>
      <c r="FZ164" s="226"/>
      <c r="GA164" s="226"/>
      <c r="GB164" s="226"/>
      <c r="GC164" s="226"/>
      <c r="GD164" s="226"/>
      <c r="GE164" s="226"/>
      <c r="GF164" s="226"/>
      <c r="GG164" s="226"/>
      <c r="GH164" s="226"/>
      <c r="GI164" s="226"/>
      <c r="GJ164" s="226"/>
      <c r="GK164" s="226"/>
      <c r="GL164" s="226"/>
      <c r="GM164" s="226"/>
      <c r="GN164" s="226"/>
      <c r="GO164" s="226"/>
      <c r="GP164" s="226"/>
      <c r="GQ164" s="226"/>
      <c r="GR164" s="226"/>
      <c r="GS164" s="226"/>
      <c r="GT164" s="226"/>
      <c r="GU164" s="226"/>
      <c r="GV164" s="226"/>
      <c r="GW164" s="226"/>
      <c r="GX164" s="226"/>
      <c r="GY164" s="226"/>
      <c r="GZ164" s="226"/>
      <c r="HA164" s="226"/>
      <c r="HB164" s="226"/>
      <c r="HC164" s="226"/>
      <c r="HD164" s="226"/>
    </row>
    <row r="165" spans="1:212" ht="14.1" customHeight="1" x14ac:dyDescent="0.2">
      <c r="A165" s="226"/>
      <c r="B165" s="226"/>
      <c r="C165" s="226"/>
      <c r="D165" s="226"/>
      <c r="E165" s="226"/>
      <c r="F165" s="226"/>
      <c r="G165" s="226"/>
      <c r="H165" s="226"/>
      <c r="I165" s="226"/>
      <c r="J165" s="226"/>
      <c r="K165" s="226"/>
      <c r="L165" s="226"/>
      <c r="M165" s="226"/>
      <c r="N165" s="226"/>
      <c r="O165" s="226"/>
      <c r="P165" s="226"/>
      <c r="Q165" s="226"/>
      <c r="R165" s="226"/>
      <c r="S165" s="226"/>
      <c r="T165" s="226"/>
      <c r="U165" s="226"/>
      <c r="V165" s="226"/>
      <c r="W165" s="226"/>
      <c r="X165" s="226"/>
      <c r="Y165" s="226"/>
      <c r="Z165" s="226"/>
      <c r="AA165" s="226"/>
      <c r="AB165" s="226"/>
      <c r="AC165" s="226"/>
      <c r="AD165" s="226"/>
      <c r="AE165" s="226"/>
      <c r="AF165" s="226"/>
      <c r="AG165" s="226"/>
      <c r="AH165" s="226"/>
      <c r="AI165" s="226"/>
      <c r="AJ165" s="226"/>
      <c r="AK165" s="226"/>
      <c r="AL165" s="226"/>
      <c r="AM165" s="226"/>
      <c r="AN165" s="226"/>
      <c r="AO165" s="226"/>
      <c r="AP165" s="226"/>
      <c r="AQ165" s="226"/>
      <c r="AR165" s="226"/>
      <c r="AS165" s="226"/>
      <c r="AT165" s="226"/>
      <c r="AU165" s="226"/>
      <c r="AV165" s="226"/>
      <c r="AW165" s="226"/>
      <c r="AX165" s="226"/>
      <c r="AY165" s="226"/>
      <c r="AZ165" s="226"/>
      <c r="BA165" s="226"/>
      <c r="BB165" s="226"/>
      <c r="BC165" s="226"/>
      <c r="BD165" s="226"/>
      <c r="BE165" s="226"/>
      <c r="BF165" s="226"/>
      <c r="BG165" s="226"/>
      <c r="BH165" s="226"/>
      <c r="BI165" s="226"/>
      <c r="BJ165" s="226"/>
      <c r="BK165" s="226"/>
      <c r="BL165" s="226"/>
      <c r="BM165" s="226"/>
      <c r="BN165" s="226"/>
      <c r="BO165" s="226"/>
      <c r="BP165" s="226"/>
      <c r="BQ165" s="226"/>
      <c r="BR165" s="226"/>
      <c r="BS165" s="226"/>
      <c r="BT165" s="226"/>
      <c r="BU165" s="226"/>
      <c r="BV165" s="226"/>
      <c r="BW165" s="226"/>
      <c r="BX165" s="226"/>
      <c r="BY165" s="226"/>
      <c r="BZ165" s="226"/>
      <c r="CA165" s="226"/>
      <c r="CB165" s="226"/>
      <c r="CC165" s="226"/>
      <c r="CD165" s="226"/>
      <c r="CE165" s="226"/>
      <c r="CF165" s="226"/>
      <c r="CG165" s="226"/>
      <c r="CH165" s="226"/>
      <c r="CI165" s="226"/>
      <c r="CJ165" s="226"/>
      <c r="CK165" s="226"/>
      <c r="CL165" s="226"/>
      <c r="CM165" s="226"/>
      <c r="CN165" s="226"/>
      <c r="CO165" s="226"/>
      <c r="CP165" s="226"/>
      <c r="CQ165" s="226"/>
      <c r="CR165" s="226"/>
      <c r="CS165" s="226"/>
      <c r="CT165" s="226"/>
      <c r="CU165" s="226"/>
      <c r="CV165" s="226"/>
      <c r="CW165" s="226"/>
      <c r="CX165" s="226"/>
      <c r="CY165" s="226"/>
      <c r="CZ165" s="226"/>
      <c r="DA165" s="226"/>
      <c r="DB165" s="226"/>
      <c r="DC165" s="226"/>
      <c r="DD165" s="226"/>
      <c r="DE165" s="226"/>
      <c r="DF165" s="226"/>
      <c r="DG165" s="226"/>
      <c r="DH165" s="226"/>
      <c r="DI165" s="226"/>
      <c r="DJ165" s="226"/>
      <c r="DK165" s="226"/>
      <c r="DL165" s="226"/>
      <c r="DM165" s="226"/>
      <c r="DN165" s="226"/>
      <c r="DO165" s="226"/>
      <c r="DP165" s="226"/>
      <c r="DQ165" s="226"/>
      <c r="DR165" s="226"/>
      <c r="DS165" s="226"/>
      <c r="DT165" s="226"/>
      <c r="DU165" s="226"/>
      <c r="DV165" s="226"/>
      <c r="DW165" s="226"/>
      <c r="DX165" s="226"/>
      <c r="DY165" s="226"/>
      <c r="DZ165" s="226"/>
      <c r="EA165" s="226"/>
      <c r="EB165" s="226"/>
      <c r="EC165" s="226"/>
      <c r="ED165" s="226"/>
      <c r="EE165" s="226"/>
      <c r="EF165" s="226"/>
      <c r="EG165" s="226"/>
      <c r="EH165" s="226"/>
      <c r="EI165" s="226"/>
      <c r="EJ165" s="226"/>
      <c r="EK165" s="226"/>
      <c r="EL165" s="226"/>
      <c r="EM165" s="226"/>
      <c r="EN165" s="226"/>
      <c r="EO165" s="226"/>
      <c r="EP165" s="226"/>
      <c r="EQ165" s="226"/>
      <c r="ER165" s="226"/>
      <c r="ES165" s="226"/>
      <c r="ET165" s="226"/>
      <c r="EU165" s="226"/>
      <c r="EV165" s="226"/>
      <c r="EW165" s="226"/>
      <c r="EX165" s="226"/>
      <c r="EY165" s="226"/>
      <c r="EZ165" s="226"/>
      <c r="FA165" s="226"/>
      <c r="FB165" s="226"/>
      <c r="FC165" s="226"/>
      <c r="FD165" s="226"/>
      <c r="FE165" s="226"/>
      <c r="FF165" s="226"/>
      <c r="FG165" s="226"/>
      <c r="FH165" s="226"/>
      <c r="FI165" s="226"/>
      <c r="FJ165" s="226"/>
      <c r="FK165" s="226"/>
      <c r="FL165" s="226"/>
      <c r="FM165" s="226"/>
      <c r="FN165" s="226"/>
      <c r="FO165" s="226"/>
      <c r="FP165" s="226"/>
      <c r="FQ165" s="226"/>
      <c r="FR165" s="226"/>
      <c r="FS165" s="226"/>
      <c r="FT165" s="226"/>
      <c r="FU165" s="226"/>
      <c r="FV165" s="226"/>
      <c r="FW165" s="226"/>
      <c r="FX165" s="226"/>
      <c r="FY165" s="226"/>
      <c r="FZ165" s="226"/>
      <c r="GA165" s="226"/>
      <c r="GB165" s="226"/>
      <c r="GC165" s="226"/>
      <c r="GD165" s="226"/>
      <c r="GE165" s="226"/>
      <c r="GF165" s="226"/>
      <c r="GG165" s="226"/>
      <c r="GH165" s="226"/>
      <c r="GI165" s="226"/>
      <c r="GJ165" s="226"/>
      <c r="GK165" s="226"/>
      <c r="GL165" s="226"/>
      <c r="GM165" s="226"/>
      <c r="GN165" s="226"/>
      <c r="GO165" s="226"/>
      <c r="GP165" s="226"/>
      <c r="GQ165" s="226"/>
      <c r="GR165" s="226"/>
      <c r="GS165" s="226"/>
      <c r="GT165" s="226"/>
      <c r="GU165" s="226"/>
      <c r="GV165" s="226"/>
      <c r="GW165" s="226"/>
      <c r="GX165" s="226"/>
      <c r="GY165" s="226"/>
      <c r="GZ165" s="226"/>
      <c r="HA165" s="226"/>
      <c r="HB165" s="226"/>
      <c r="HC165" s="226"/>
      <c r="HD165" s="226"/>
    </row>
    <row r="166" spans="1:212" ht="14.1" customHeight="1" x14ac:dyDescent="0.2">
      <c r="A166" s="226"/>
      <c r="B166" s="226"/>
      <c r="C166" s="226"/>
      <c r="D166" s="226"/>
      <c r="E166" s="226"/>
      <c r="F166" s="226"/>
      <c r="G166" s="226"/>
      <c r="H166" s="226"/>
      <c r="I166" s="226"/>
      <c r="J166" s="226"/>
      <c r="K166" s="226"/>
      <c r="L166" s="226"/>
      <c r="M166" s="226"/>
      <c r="N166" s="226"/>
      <c r="O166" s="226"/>
      <c r="P166" s="226"/>
      <c r="Q166" s="226"/>
      <c r="R166" s="226"/>
      <c r="S166" s="226"/>
      <c r="T166" s="226"/>
      <c r="U166" s="226"/>
      <c r="V166" s="226"/>
      <c r="W166" s="226"/>
      <c r="X166" s="226"/>
      <c r="Y166" s="226"/>
      <c r="Z166" s="226"/>
      <c r="AA166" s="226"/>
      <c r="AB166" s="226"/>
      <c r="AC166" s="226"/>
      <c r="AD166" s="226"/>
      <c r="AE166" s="226"/>
      <c r="AF166" s="226"/>
      <c r="AG166" s="226"/>
      <c r="AH166" s="226"/>
      <c r="AI166" s="226"/>
      <c r="AJ166" s="226"/>
      <c r="AK166" s="226"/>
      <c r="AL166" s="226"/>
      <c r="AM166" s="226"/>
      <c r="AN166" s="226"/>
      <c r="AO166" s="226"/>
      <c r="AP166" s="226"/>
      <c r="AQ166" s="226"/>
      <c r="AR166" s="226"/>
      <c r="AS166" s="226"/>
      <c r="AT166" s="226"/>
      <c r="AU166" s="226"/>
      <c r="AV166" s="226"/>
      <c r="AW166" s="226"/>
      <c r="AX166" s="226"/>
      <c r="AY166" s="226"/>
      <c r="AZ166" s="226"/>
      <c r="BA166" s="226"/>
      <c r="BB166" s="226"/>
      <c r="BC166" s="226"/>
      <c r="BD166" s="226"/>
      <c r="BE166" s="226"/>
      <c r="BF166" s="226"/>
      <c r="BG166" s="226"/>
      <c r="BH166" s="226"/>
      <c r="BI166" s="226"/>
      <c r="BJ166" s="226"/>
      <c r="BK166" s="226"/>
      <c r="BL166" s="226"/>
      <c r="BM166" s="226"/>
      <c r="BN166" s="226"/>
      <c r="BO166" s="226"/>
      <c r="BP166" s="226"/>
      <c r="BQ166" s="226"/>
      <c r="BR166" s="226"/>
      <c r="BS166" s="226"/>
      <c r="BT166" s="226"/>
      <c r="BU166" s="226"/>
      <c r="BV166" s="226"/>
      <c r="BW166" s="226"/>
      <c r="BX166" s="226"/>
      <c r="BY166" s="226"/>
      <c r="BZ166" s="226"/>
      <c r="CA166" s="226"/>
      <c r="CB166" s="226"/>
      <c r="CC166" s="226"/>
      <c r="CD166" s="226"/>
      <c r="CE166" s="226"/>
      <c r="CF166" s="226"/>
      <c r="CG166" s="226"/>
      <c r="CH166" s="226"/>
      <c r="CI166" s="226"/>
      <c r="CJ166" s="226"/>
      <c r="CK166" s="226"/>
      <c r="CL166" s="226"/>
      <c r="CM166" s="226"/>
      <c r="CN166" s="226"/>
      <c r="CO166" s="226"/>
      <c r="CP166" s="226"/>
      <c r="CQ166" s="226"/>
      <c r="CR166" s="226"/>
      <c r="CS166" s="226"/>
      <c r="CT166" s="226"/>
      <c r="CU166" s="226"/>
      <c r="CV166" s="226"/>
      <c r="CW166" s="226"/>
      <c r="CX166" s="226"/>
      <c r="CY166" s="226"/>
      <c r="CZ166" s="226"/>
      <c r="DA166" s="226"/>
      <c r="DB166" s="226"/>
      <c r="DC166" s="226"/>
      <c r="DD166" s="226"/>
      <c r="DE166" s="226"/>
      <c r="DF166" s="226"/>
      <c r="DG166" s="226"/>
      <c r="DH166" s="226"/>
      <c r="DI166" s="226"/>
      <c r="DJ166" s="226"/>
      <c r="DK166" s="226"/>
      <c r="DL166" s="226"/>
      <c r="DM166" s="226"/>
      <c r="DN166" s="226"/>
      <c r="DO166" s="226"/>
      <c r="DP166" s="226"/>
      <c r="DQ166" s="226"/>
      <c r="DR166" s="226"/>
      <c r="DS166" s="226"/>
      <c r="DT166" s="226"/>
      <c r="DU166" s="226"/>
      <c r="DV166" s="226"/>
      <c r="DW166" s="226"/>
      <c r="DX166" s="226"/>
      <c r="DY166" s="226"/>
      <c r="DZ166" s="226"/>
      <c r="EA166" s="226"/>
      <c r="EB166" s="226"/>
      <c r="EC166" s="226"/>
      <c r="ED166" s="226"/>
      <c r="EE166" s="226"/>
      <c r="EF166" s="226"/>
      <c r="EG166" s="226"/>
      <c r="EH166" s="226"/>
      <c r="EI166" s="226"/>
      <c r="EJ166" s="226"/>
      <c r="EK166" s="226"/>
      <c r="EL166" s="226"/>
      <c r="EM166" s="226"/>
      <c r="EN166" s="226"/>
      <c r="EO166" s="226"/>
      <c r="EP166" s="226"/>
      <c r="EQ166" s="226"/>
      <c r="ER166" s="226"/>
      <c r="ES166" s="226"/>
      <c r="ET166" s="226"/>
      <c r="EU166" s="226"/>
      <c r="EV166" s="226"/>
      <c r="EW166" s="226"/>
      <c r="EX166" s="226"/>
      <c r="EY166" s="226"/>
      <c r="EZ166" s="226"/>
      <c r="FA166" s="226"/>
      <c r="FB166" s="226"/>
      <c r="FC166" s="226"/>
      <c r="FD166" s="226"/>
      <c r="FE166" s="226"/>
      <c r="FF166" s="226"/>
      <c r="FG166" s="226"/>
      <c r="FH166" s="226"/>
      <c r="FI166" s="226"/>
      <c r="FJ166" s="226"/>
      <c r="FK166" s="226"/>
      <c r="FL166" s="226"/>
      <c r="FM166" s="226"/>
      <c r="FN166" s="226"/>
      <c r="FO166" s="226"/>
      <c r="FP166" s="226"/>
      <c r="FQ166" s="226"/>
      <c r="FR166" s="226"/>
      <c r="FS166" s="226"/>
      <c r="FT166" s="226"/>
      <c r="FU166" s="226"/>
      <c r="FV166" s="226"/>
      <c r="FW166" s="226"/>
      <c r="FX166" s="226"/>
      <c r="FY166" s="226"/>
      <c r="FZ166" s="226"/>
      <c r="GA166" s="226"/>
      <c r="GB166" s="226"/>
      <c r="GC166" s="226"/>
      <c r="GD166" s="226"/>
      <c r="GE166" s="226"/>
      <c r="GF166" s="226"/>
      <c r="GG166" s="226"/>
      <c r="GH166" s="226"/>
      <c r="GI166" s="226"/>
      <c r="GJ166" s="226"/>
      <c r="GK166" s="226"/>
      <c r="GL166" s="226"/>
      <c r="GM166" s="226"/>
      <c r="GN166" s="226"/>
      <c r="GO166" s="226"/>
      <c r="GP166" s="226"/>
      <c r="GQ166" s="226"/>
      <c r="GR166" s="226"/>
      <c r="GS166" s="226"/>
      <c r="GT166" s="226"/>
      <c r="GU166" s="226"/>
      <c r="GV166" s="226"/>
      <c r="GW166" s="226"/>
      <c r="GX166" s="226"/>
      <c r="GY166" s="226"/>
      <c r="GZ166" s="226"/>
      <c r="HA166" s="226"/>
      <c r="HB166" s="226"/>
      <c r="HC166" s="226"/>
      <c r="HD166" s="226"/>
    </row>
    <row r="167" spans="1:212" ht="14.1" customHeight="1" x14ac:dyDescent="0.2">
      <c r="A167" s="226"/>
      <c r="B167" s="226"/>
      <c r="C167" s="226"/>
      <c r="D167" s="226"/>
      <c r="E167" s="226"/>
      <c r="F167" s="226"/>
      <c r="G167" s="226"/>
      <c r="H167" s="226"/>
      <c r="I167" s="226"/>
      <c r="J167" s="226"/>
      <c r="K167" s="226"/>
      <c r="L167" s="226"/>
      <c r="M167" s="226"/>
      <c r="N167" s="226"/>
      <c r="O167" s="226"/>
      <c r="P167" s="226"/>
      <c r="Q167" s="226"/>
      <c r="R167" s="226"/>
      <c r="S167" s="226"/>
      <c r="T167" s="226"/>
      <c r="U167" s="226"/>
      <c r="V167" s="226"/>
      <c r="W167" s="226"/>
      <c r="X167" s="226"/>
      <c r="Y167" s="226"/>
      <c r="Z167" s="226"/>
      <c r="AA167" s="226"/>
      <c r="AB167" s="226"/>
      <c r="AC167" s="226"/>
      <c r="AD167" s="226"/>
      <c r="AE167" s="226"/>
      <c r="AF167" s="226"/>
      <c r="AG167" s="226"/>
      <c r="AH167" s="226"/>
      <c r="AI167" s="226"/>
      <c r="AJ167" s="226"/>
      <c r="AK167" s="226"/>
      <c r="AL167" s="226"/>
      <c r="AM167" s="226"/>
      <c r="AN167" s="226"/>
      <c r="AO167" s="226"/>
      <c r="AP167" s="226"/>
      <c r="AQ167" s="226"/>
      <c r="AR167" s="226"/>
      <c r="AS167" s="226"/>
      <c r="AT167" s="226"/>
      <c r="AU167" s="226"/>
      <c r="AV167" s="226"/>
      <c r="AW167" s="226"/>
      <c r="AX167" s="226"/>
      <c r="AY167" s="226"/>
      <c r="AZ167" s="226"/>
      <c r="BA167" s="226"/>
      <c r="BB167" s="226"/>
      <c r="BC167" s="226"/>
      <c r="BD167" s="226"/>
      <c r="BE167" s="226"/>
      <c r="BF167" s="226"/>
      <c r="BG167" s="226"/>
      <c r="BH167" s="226"/>
      <c r="BI167" s="226"/>
      <c r="BJ167" s="226"/>
      <c r="BK167" s="226"/>
      <c r="BL167" s="226"/>
      <c r="BM167" s="226"/>
      <c r="BN167" s="226"/>
      <c r="BO167" s="226"/>
      <c r="BP167" s="226"/>
      <c r="BQ167" s="226"/>
      <c r="BR167" s="226"/>
      <c r="BS167" s="226"/>
      <c r="BT167" s="226"/>
      <c r="BU167" s="226"/>
      <c r="BV167" s="226"/>
      <c r="BW167" s="226"/>
      <c r="BX167" s="226"/>
      <c r="BY167" s="226"/>
      <c r="BZ167" s="226"/>
      <c r="CA167" s="226"/>
      <c r="CB167" s="226"/>
      <c r="CC167" s="226"/>
      <c r="CD167" s="226"/>
      <c r="CE167" s="226"/>
      <c r="CF167" s="226"/>
      <c r="CG167" s="226"/>
      <c r="CH167" s="226"/>
      <c r="CI167" s="226"/>
      <c r="CJ167" s="226"/>
      <c r="CK167" s="226"/>
      <c r="CL167" s="226"/>
      <c r="CM167" s="226"/>
      <c r="CN167" s="226"/>
      <c r="CO167" s="226"/>
      <c r="CP167" s="226"/>
      <c r="CQ167" s="226"/>
      <c r="CR167" s="226"/>
      <c r="CS167" s="226"/>
      <c r="CT167" s="226"/>
      <c r="CU167" s="226"/>
      <c r="CV167" s="226"/>
      <c r="CW167" s="226"/>
      <c r="CX167" s="226"/>
      <c r="CY167" s="226"/>
      <c r="CZ167" s="226"/>
      <c r="DA167" s="226"/>
      <c r="DB167" s="226"/>
      <c r="DC167" s="226"/>
      <c r="DD167" s="226"/>
      <c r="DE167" s="226"/>
      <c r="DF167" s="226"/>
      <c r="DG167" s="226"/>
      <c r="DH167" s="226"/>
      <c r="DI167" s="226"/>
      <c r="DJ167" s="226"/>
      <c r="DK167" s="226"/>
      <c r="DL167" s="226"/>
      <c r="DM167" s="226"/>
      <c r="DN167" s="226"/>
      <c r="DO167" s="226"/>
      <c r="DP167" s="226"/>
      <c r="DQ167" s="226"/>
      <c r="DR167" s="226"/>
      <c r="DS167" s="226"/>
      <c r="DT167" s="226"/>
      <c r="DU167" s="226"/>
      <c r="DV167" s="226"/>
      <c r="DW167" s="226"/>
      <c r="DX167" s="226"/>
      <c r="DY167" s="226"/>
      <c r="DZ167" s="226"/>
      <c r="EA167" s="226"/>
      <c r="EB167" s="226"/>
      <c r="EC167" s="226"/>
      <c r="ED167" s="226"/>
      <c r="EE167" s="226"/>
      <c r="EF167" s="226"/>
      <c r="EG167" s="226"/>
      <c r="EH167" s="226"/>
      <c r="EI167" s="226"/>
      <c r="EJ167" s="226"/>
      <c r="EK167" s="226"/>
      <c r="EL167" s="226"/>
      <c r="EM167" s="226"/>
      <c r="EN167" s="226"/>
      <c r="EO167" s="226"/>
      <c r="EP167" s="226"/>
      <c r="EQ167" s="226"/>
      <c r="ER167" s="226"/>
      <c r="ES167" s="226"/>
      <c r="ET167" s="226"/>
      <c r="EU167" s="226"/>
      <c r="EV167" s="226"/>
      <c r="EW167" s="226"/>
      <c r="EX167" s="226"/>
      <c r="EY167" s="226"/>
      <c r="EZ167" s="226"/>
      <c r="FA167" s="226"/>
      <c r="FB167" s="226"/>
      <c r="FC167" s="226"/>
      <c r="FD167" s="226"/>
      <c r="FE167" s="226"/>
      <c r="FF167" s="226"/>
      <c r="FG167" s="226"/>
      <c r="FH167" s="226"/>
      <c r="FI167" s="226"/>
      <c r="FJ167" s="226"/>
      <c r="FK167" s="226"/>
      <c r="FL167" s="226"/>
      <c r="FM167" s="226"/>
      <c r="FN167" s="226"/>
      <c r="FO167" s="226"/>
      <c r="FP167" s="226"/>
      <c r="FQ167" s="226"/>
      <c r="FR167" s="226"/>
      <c r="FS167" s="226"/>
      <c r="FT167" s="226"/>
      <c r="FU167" s="226"/>
      <c r="FV167" s="226"/>
      <c r="FW167" s="226"/>
      <c r="FX167" s="226"/>
      <c r="FY167" s="226"/>
      <c r="FZ167" s="226"/>
      <c r="GA167" s="226"/>
      <c r="GB167" s="226"/>
      <c r="GC167" s="226"/>
      <c r="GD167" s="226"/>
      <c r="GE167" s="226"/>
      <c r="GF167" s="226"/>
      <c r="GG167" s="226"/>
      <c r="GH167" s="226"/>
      <c r="GI167" s="226"/>
      <c r="GJ167" s="226"/>
      <c r="GK167" s="226"/>
      <c r="GL167" s="226"/>
      <c r="GM167" s="226"/>
      <c r="GN167" s="226"/>
      <c r="GO167" s="226"/>
      <c r="GP167" s="226"/>
      <c r="GQ167" s="226"/>
      <c r="GR167" s="226"/>
      <c r="GS167" s="226"/>
      <c r="GT167" s="226"/>
      <c r="GU167" s="226"/>
      <c r="GV167" s="226"/>
      <c r="GW167" s="226"/>
      <c r="GX167" s="226"/>
      <c r="GY167" s="226"/>
      <c r="GZ167" s="226"/>
      <c r="HA167" s="226"/>
      <c r="HB167" s="226"/>
      <c r="HC167" s="226"/>
      <c r="HD167" s="226"/>
    </row>
    <row r="168" spans="1:212" ht="14.1" customHeight="1" x14ac:dyDescent="0.2">
      <c r="A168" s="226"/>
      <c r="B168" s="226"/>
      <c r="C168" s="226"/>
      <c r="D168" s="226"/>
      <c r="E168" s="226"/>
      <c r="F168" s="226"/>
      <c r="G168" s="226"/>
      <c r="H168" s="226"/>
      <c r="I168" s="226"/>
      <c r="J168" s="226"/>
      <c r="K168" s="226"/>
      <c r="L168" s="226"/>
      <c r="M168" s="226"/>
      <c r="N168" s="226"/>
      <c r="O168" s="226"/>
      <c r="P168" s="226"/>
      <c r="Q168" s="226"/>
      <c r="R168" s="226"/>
      <c r="S168" s="226"/>
      <c r="T168" s="226"/>
      <c r="U168" s="226"/>
      <c r="V168" s="226"/>
      <c r="W168" s="226"/>
      <c r="X168" s="226"/>
      <c r="Y168" s="226"/>
      <c r="Z168" s="226"/>
      <c r="AA168" s="226"/>
      <c r="AB168" s="226"/>
      <c r="AC168" s="226"/>
      <c r="AD168" s="226"/>
      <c r="AE168" s="226"/>
      <c r="AF168" s="226"/>
      <c r="AG168" s="226"/>
      <c r="AH168" s="226"/>
      <c r="AI168" s="226"/>
      <c r="AJ168" s="226"/>
      <c r="AK168" s="226"/>
      <c r="AL168" s="226"/>
      <c r="AM168" s="226"/>
      <c r="AN168" s="226"/>
      <c r="AO168" s="226"/>
      <c r="AP168" s="226"/>
      <c r="AQ168" s="226"/>
      <c r="AR168" s="226"/>
      <c r="AS168" s="226"/>
      <c r="AT168" s="226"/>
      <c r="AU168" s="226"/>
      <c r="AV168" s="226"/>
      <c r="AW168" s="226"/>
      <c r="AX168" s="226"/>
      <c r="AY168" s="226"/>
      <c r="AZ168" s="226"/>
      <c r="BA168" s="226"/>
      <c r="BB168" s="226"/>
      <c r="BC168" s="226"/>
      <c r="BD168" s="226"/>
      <c r="BE168" s="226"/>
      <c r="BF168" s="226"/>
      <c r="BG168" s="226"/>
      <c r="BH168" s="226"/>
      <c r="BI168" s="226"/>
      <c r="BJ168" s="226"/>
      <c r="BK168" s="226"/>
      <c r="BL168" s="226"/>
      <c r="BM168" s="226"/>
      <c r="BN168" s="226"/>
      <c r="BO168" s="226"/>
      <c r="BP168" s="226"/>
      <c r="BQ168" s="226"/>
      <c r="BR168" s="226"/>
      <c r="BS168" s="226"/>
      <c r="BT168" s="226"/>
      <c r="BU168" s="226"/>
      <c r="BV168" s="226"/>
      <c r="BW168" s="226"/>
      <c r="BX168" s="226"/>
      <c r="BY168" s="226"/>
      <c r="BZ168" s="226"/>
      <c r="CA168" s="226"/>
      <c r="CB168" s="226"/>
      <c r="CC168" s="226"/>
      <c r="CD168" s="226"/>
      <c r="CE168" s="226"/>
      <c r="CF168" s="226"/>
      <c r="CG168" s="226"/>
      <c r="CH168" s="226"/>
      <c r="CI168" s="226"/>
      <c r="CJ168" s="226"/>
      <c r="CK168" s="226"/>
      <c r="CL168" s="226"/>
      <c r="CM168" s="226"/>
      <c r="CN168" s="226"/>
      <c r="CO168" s="226"/>
      <c r="CP168" s="226"/>
      <c r="CQ168" s="226"/>
      <c r="CR168" s="226"/>
      <c r="CS168" s="226"/>
      <c r="CT168" s="226"/>
      <c r="CU168" s="226"/>
      <c r="CV168" s="226"/>
      <c r="CW168" s="226"/>
      <c r="CX168" s="226"/>
      <c r="CY168" s="226"/>
      <c r="CZ168" s="226"/>
      <c r="DA168" s="226"/>
      <c r="DB168" s="226"/>
      <c r="DC168" s="226"/>
      <c r="DD168" s="226"/>
      <c r="DE168" s="226"/>
      <c r="DF168" s="226"/>
      <c r="DG168" s="226"/>
      <c r="DH168" s="226"/>
      <c r="DI168" s="226"/>
      <c r="DJ168" s="226"/>
      <c r="DK168" s="226"/>
      <c r="DL168" s="226"/>
      <c r="DM168" s="226"/>
      <c r="DN168" s="226"/>
      <c r="DO168" s="226"/>
      <c r="DP168" s="226"/>
      <c r="DQ168" s="226"/>
      <c r="DR168" s="226"/>
      <c r="DS168" s="226"/>
      <c r="DT168" s="226"/>
      <c r="DU168" s="226"/>
      <c r="DV168" s="226"/>
      <c r="DW168" s="226"/>
      <c r="DX168" s="226"/>
      <c r="DY168" s="226"/>
      <c r="DZ168" s="226"/>
      <c r="EA168" s="226"/>
      <c r="EB168" s="226"/>
      <c r="EC168" s="226"/>
      <c r="ED168" s="226"/>
      <c r="EE168" s="226"/>
      <c r="EF168" s="226"/>
      <c r="EG168" s="226"/>
      <c r="EH168" s="226"/>
      <c r="EI168" s="226"/>
      <c r="EJ168" s="226"/>
      <c r="EK168" s="226"/>
      <c r="EL168" s="226"/>
      <c r="EM168" s="226"/>
      <c r="EN168" s="226"/>
      <c r="EO168" s="226"/>
      <c r="EP168" s="226"/>
      <c r="EQ168" s="226"/>
      <c r="ER168" s="226"/>
      <c r="ES168" s="226"/>
      <c r="ET168" s="226"/>
      <c r="EU168" s="226"/>
      <c r="EV168" s="226"/>
      <c r="EW168" s="226"/>
      <c r="EX168" s="226"/>
      <c r="EY168" s="226"/>
      <c r="EZ168" s="226"/>
      <c r="FA168" s="226"/>
      <c r="FB168" s="226"/>
      <c r="FC168" s="226"/>
      <c r="FD168" s="226"/>
      <c r="FE168" s="226"/>
      <c r="FF168" s="226"/>
      <c r="FG168" s="226"/>
      <c r="FH168" s="226"/>
      <c r="FI168" s="226"/>
      <c r="FJ168" s="226"/>
      <c r="FK168" s="226"/>
      <c r="FL168" s="226"/>
      <c r="FM168" s="226"/>
      <c r="FN168" s="226"/>
      <c r="FO168" s="226"/>
      <c r="FP168" s="226"/>
      <c r="FQ168" s="226"/>
      <c r="FR168" s="226"/>
      <c r="FS168" s="226"/>
      <c r="FT168" s="226"/>
      <c r="FU168" s="226"/>
      <c r="FV168" s="226"/>
      <c r="FW168" s="226"/>
      <c r="FX168" s="226"/>
      <c r="FY168" s="226"/>
      <c r="FZ168" s="226"/>
      <c r="GA168" s="226"/>
      <c r="GB168" s="226"/>
      <c r="GC168" s="226"/>
      <c r="GD168" s="226"/>
      <c r="GE168" s="226"/>
      <c r="GF168" s="226"/>
      <c r="GG168" s="226"/>
      <c r="GH168" s="226"/>
      <c r="GI168" s="226"/>
      <c r="GJ168" s="226"/>
      <c r="GK168" s="226"/>
      <c r="GL168" s="226"/>
      <c r="GM168" s="226"/>
      <c r="GN168" s="226"/>
      <c r="GO168" s="226"/>
      <c r="GP168" s="226"/>
      <c r="GQ168" s="226"/>
      <c r="GR168" s="226"/>
      <c r="GS168" s="226"/>
      <c r="GT168" s="226"/>
      <c r="GU168" s="226"/>
      <c r="GV168" s="226"/>
      <c r="GW168" s="226"/>
      <c r="GX168" s="226"/>
      <c r="GY168" s="226"/>
      <c r="GZ168" s="226"/>
      <c r="HA168" s="226"/>
      <c r="HB168" s="226"/>
      <c r="HC168" s="226"/>
      <c r="HD168" s="226"/>
    </row>
    <row r="169" spans="1:212" ht="14.1" customHeight="1" x14ac:dyDescent="0.2">
      <c r="A169" s="226"/>
      <c r="B169" s="226"/>
      <c r="C169" s="226"/>
      <c r="D169" s="226"/>
      <c r="E169" s="226"/>
      <c r="F169" s="226"/>
      <c r="G169" s="226"/>
      <c r="H169" s="226"/>
      <c r="I169" s="226"/>
      <c r="J169" s="226"/>
      <c r="K169" s="226"/>
      <c r="L169" s="226"/>
      <c r="M169" s="226"/>
      <c r="N169" s="226"/>
      <c r="O169" s="226"/>
      <c r="P169" s="226"/>
      <c r="Q169" s="226"/>
      <c r="R169" s="226"/>
      <c r="S169" s="226"/>
      <c r="T169" s="226"/>
      <c r="U169" s="226"/>
      <c r="V169" s="226"/>
      <c r="W169" s="226"/>
      <c r="X169" s="226"/>
      <c r="Y169" s="226"/>
      <c r="Z169" s="226"/>
      <c r="AA169" s="226"/>
      <c r="AB169" s="226"/>
      <c r="AC169" s="226"/>
      <c r="AD169" s="226"/>
      <c r="AE169" s="226"/>
      <c r="AF169" s="226"/>
      <c r="AG169" s="226"/>
      <c r="AH169" s="226"/>
      <c r="AI169" s="226"/>
      <c r="AJ169" s="226"/>
      <c r="AK169" s="226"/>
      <c r="AL169" s="226"/>
      <c r="AM169" s="226"/>
      <c r="AN169" s="226"/>
      <c r="AO169" s="226"/>
      <c r="AP169" s="226"/>
      <c r="AQ169" s="226"/>
      <c r="AR169" s="226"/>
      <c r="AS169" s="226"/>
      <c r="AT169" s="226"/>
      <c r="AU169" s="226"/>
      <c r="AV169" s="226"/>
      <c r="AW169" s="226"/>
      <c r="AX169" s="226"/>
      <c r="AY169" s="226"/>
      <c r="AZ169" s="226"/>
      <c r="BA169" s="226"/>
      <c r="BB169" s="226"/>
      <c r="BC169" s="226"/>
      <c r="BD169" s="226"/>
      <c r="BE169" s="226"/>
      <c r="BF169" s="226"/>
      <c r="BG169" s="226"/>
      <c r="BH169" s="226"/>
      <c r="BI169" s="226"/>
      <c r="BJ169" s="226"/>
      <c r="BK169" s="226"/>
      <c r="BL169" s="226"/>
      <c r="BM169" s="226"/>
      <c r="BN169" s="226"/>
      <c r="BO169" s="226"/>
      <c r="BP169" s="226"/>
      <c r="BQ169" s="226"/>
      <c r="BR169" s="226"/>
      <c r="BS169" s="226"/>
      <c r="BT169" s="226"/>
      <c r="BU169" s="226"/>
      <c r="BV169" s="226"/>
      <c r="BW169" s="226"/>
      <c r="BX169" s="226"/>
      <c r="BY169" s="226"/>
      <c r="BZ169" s="226"/>
      <c r="CA169" s="226"/>
      <c r="CB169" s="226"/>
      <c r="CC169" s="226"/>
      <c r="CD169" s="226"/>
      <c r="CE169" s="226"/>
      <c r="CF169" s="226"/>
      <c r="CG169" s="226"/>
      <c r="CH169" s="226"/>
      <c r="CI169" s="226"/>
      <c r="CJ169" s="226"/>
      <c r="CK169" s="226"/>
      <c r="CL169" s="226"/>
      <c r="CM169" s="226"/>
      <c r="CN169" s="226"/>
      <c r="CO169" s="226"/>
      <c r="CP169" s="226"/>
      <c r="CQ169" s="226"/>
      <c r="CR169" s="226"/>
      <c r="CS169" s="226"/>
      <c r="CT169" s="226"/>
      <c r="CU169" s="226"/>
      <c r="CV169" s="226"/>
      <c r="CW169" s="226"/>
      <c r="CX169" s="226"/>
      <c r="CY169" s="226"/>
      <c r="CZ169" s="226"/>
      <c r="DA169" s="226"/>
      <c r="DB169" s="226"/>
      <c r="DC169" s="226"/>
      <c r="DD169" s="226"/>
      <c r="DE169" s="226"/>
      <c r="DF169" s="226"/>
      <c r="DG169" s="226"/>
      <c r="DH169" s="226"/>
      <c r="DI169" s="226"/>
      <c r="DJ169" s="226"/>
      <c r="DK169" s="226"/>
      <c r="DL169" s="226"/>
      <c r="DM169" s="226"/>
      <c r="DN169" s="226"/>
      <c r="DO169" s="226"/>
      <c r="DP169" s="226"/>
      <c r="DQ169" s="226"/>
      <c r="DR169" s="226"/>
      <c r="DS169" s="226"/>
      <c r="DT169" s="226"/>
      <c r="DU169" s="226"/>
      <c r="DV169" s="226"/>
      <c r="DW169" s="226"/>
      <c r="DX169" s="226"/>
      <c r="DY169" s="226"/>
      <c r="DZ169" s="226"/>
      <c r="EA169" s="226"/>
      <c r="EB169" s="226"/>
      <c r="EC169" s="226"/>
      <c r="ED169" s="226"/>
      <c r="EE169" s="226"/>
      <c r="EF169" s="226"/>
      <c r="EG169" s="226"/>
      <c r="EH169" s="226"/>
      <c r="EI169" s="226"/>
      <c r="EJ169" s="226"/>
      <c r="EK169" s="226"/>
      <c r="EL169" s="226"/>
      <c r="EM169" s="226"/>
      <c r="EN169" s="226"/>
      <c r="EO169" s="226"/>
      <c r="EP169" s="226"/>
      <c r="EQ169" s="226"/>
      <c r="ER169" s="226"/>
      <c r="ES169" s="226"/>
      <c r="ET169" s="226"/>
      <c r="EU169" s="226"/>
      <c r="EV169" s="226"/>
      <c r="EW169" s="226"/>
      <c r="EX169" s="226"/>
      <c r="EY169" s="226"/>
      <c r="EZ169" s="226"/>
      <c r="FA169" s="226"/>
      <c r="FB169" s="226"/>
      <c r="FC169" s="226"/>
      <c r="FD169" s="226"/>
      <c r="FE169" s="226"/>
      <c r="FF169" s="226"/>
      <c r="FG169" s="226"/>
      <c r="FH169" s="226"/>
      <c r="FI169" s="226"/>
      <c r="FJ169" s="226"/>
      <c r="FK169" s="226"/>
      <c r="FL169" s="226"/>
      <c r="FM169" s="226"/>
      <c r="FN169" s="226"/>
      <c r="FO169" s="226"/>
      <c r="FP169" s="226"/>
      <c r="FQ169" s="226"/>
      <c r="FR169" s="226"/>
      <c r="FS169" s="226"/>
      <c r="FT169" s="226"/>
      <c r="FU169" s="226"/>
      <c r="FV169" s="226"/>
      <c r="FW169" s="226"/>
      <c r="FX169" s="226"/>
      <c r="FY169" s="226"/>
      <c r="FZ169" s="226"/>
      <c r="GA169" s="226"/>
      <c r="GB169" s="226"/>
      <c r="GC169" s="226"/>
      <c r="GD169" s="226"/>
      <c r="GE169" s="226"/>
      <c r="GF169" s="226"/>
      <c r="GG169" s="226"/>
      <c r="GH169" s="226"/>
      <c r="GI169" s="226"/>
      <c r="GJ169" s="226"/>
      <c r="GK169" s="226"/>
      <c r="GL169" s="226"/>
      <c r="GM169" s="226"/>
      <c r="GN169" s="226"/>
      <c r="GO169" s="226"/>
      <c r="GP169" s="226"/>
      <c r="GQ169" s="226"/>
      <c r="GR169" s="226"/>
      <c r="GS169" s="226"/>
      <c r="GT169" s="226"/>
      <c r="GU169" s="226"/>
      <c r="GV169" s="226"/>
      <c r="GW169" s="226"/>
      <c r="GX169" s="226"/>
      <c r="GY169" s="226"/>
      <c r="GZ169" s="226"/>
      <c r="HA169" s="226"/>
      <c r="HB169" s="226"/>
      <c r="HC169" s="226"/>
      <c r="HD169" s="226"/>
    </row>
    <row r="170" spans="1:212" ht="14.1" customHeight="1" x14ac:dyDescent="0.2">
      <c r="A170" s="226"/>
      <c r="B170" s="226"/>
      <c r="C170" s="226"/>
      <c r="D170" s="226"/>
      <c r="E170" s="226"/>
      <c r="F170" s="226"/>
      <c r="G170" s="226"/>
      <c r="H170" s="226"/>
      <c r="I170" s="226"/>
      <c r="J170" s="226"/>
      <c r="K170" s="226"/>
      <c r="L170" s="226"/>
      <c r="M170" s="226"/>
      <c r="N170" s="226"/>
      <c r="O170" s="226"/>
      <c r="P170" s="226"/>
      <c r="Q170" s="226"/>
      <c r="R170" s="226"/>
      <c r="S170" s="226"/>
      <c r="T170" s="226"/>
      <c r="U170" s="226"/>
      <c r="V170" s="226"/>
      <c r="W170" s="226"/>
      <c r="X170" s="226"/>
      <c r="Y170" s="226"/>
      <c r="Z170" s="226"/>
      <c r="AA170" s="226"/>
      <c r="AB170" s="226"/>
      <c r="AC170" s="226"/>
      <c r="AD170" s="226"/>
      <c r="AE170" s="226"/>
      <c r="AF170" s="226"/>
      <c r="AG170" s="226"/>
      <c r="AH170" s="226"/>
      <c r="AI170" s="226"/>
      <c r="AJ170" s="226"/>
      <c r="AK170" s="226"/>
      <c r="AL170" s="226"/>
      <c r="AM170" s="226"/>
      <c r="AN170" s="226"/>
      <c r="AO170" s="226"/>
      <c r="AP170" s="226"/>
      <c r="AQ170" s="226"/>
      <c r="AR170" s="226"/>
      <c r="AS170" s="226"/>
      <c r="AT170" s="226"/>
      <c r="AU170" s="226"/>
      <c r="AV170" s="226"/>
      <c r="AW170" s="226"/>
      <c r="AX170" s="226"/>
      <c r="AY170" s="226"/>
      <c r="AZ170" s="226"/>
      <c r="BA170" s="226"/>
      <c r="BB170" s="226"/>
      <c r="BC170" s="226"/>
      <c r="BD170" s="226"/>
      <c r="BE170" s="226"/>
      <c r="BF170" s="226"/>
      <c r="BG170" s="226"/>
      <c r="BH170" s="226"/>
      <c r="BI170" s="226"/>
      <c r="BJ170" s="226"/>
      <c r="BK170" s="226"/>
      <c r="BL170" s="226"/>
      <c r="BM170" s="226"/>
      <c r="BN170" s="226"/>
      <c r="BO170" s="226"/>
      <c r="BP170" s="226"/>
      <c r="BQ170" s="226"/>
      <c r="BR170" s="226"/>
      <c r="BS170" s="226"/>
      <c r="BT170" s="226"/>
      <c r="BU170" s="226"/>
      <c r="BV170" s="226"/>
      <c r="BW170" s="226"/>
      <c r="BX170" s="226"/>
      <c r="BY170" s="226"/>
      <c r="BZ170" s="226"/>
      <c r="CA170" s="226"/>
      <c r="CB170" s="226"/>
      <c r="CC170" s="226"/>
      <c r="CD170" s="226"/>
      <c r="CE170" s="226"/>
      <c r="CF170" s="226"/>
      <c r="CG170" s="226"/>
      <c r="CH170" s="226"/>
      <c r="CI170" s="226"/>
      <c r="CJ170" s="226"/>
      <c r="CK170" s="226"/>
      <c r="CL170" s="226"/>
      <c r="CM170" s="226"/>
      <c r="CN170" s="226"/>
      <c r="CO170" s="226"/>
      <c r="CP170" s="226"/>
      <c r="CQ170" s="226"/>
      <c r="CR170" s="226"/>
      <c r="CS170" s="226"/>
      <c r="CT170" s="226"/>
      <c r="CU170" s="226"/>
      <c r="CV170" s="226"/>
      <c r="CW170" s="226"/>
      <c r="CX170" s="226"/>
      <c r="CY170" s="226"/>
      <c r="CZ170" s="226"/>
      <c r="DA170" s="226"/>
      <c r="DB170" s="226"/>
      <c r="DC170" s="226"/>
      <c r="DD170" s="226"/>
      <c r="DE170" s="226"/>
      <c r="DF170" s="226"/>
      <c r="DG170" s="226"/>
      <c r="DH170" s="226"/>
      <c r="DI170" s="226"/>
      <c r="DJ170" s="226"/>
      <c r="DK170" s="226"/>
      <c r="DL170" s="226"/>
      <c r="DM170" s="226"/>
      <c r="DN170" s="226"/>
      <c r="DO170" s="226"/>
      <c r="DP170" s="226"/>
      <c r="DQ170" s="226"/>
      <c r="DR170" s="226"/>
      <c r="DS170" s="226"/>
      <c r="DT170" s="226"/>
      <c r="DU170" s="226"/>
      <c r="DV170" s="226"/>
      <c r="DW170" s="226"/>
      <c r="DX170" s="226"/>
      <c r="DY170" s="226"/>
      <c r="DZ170" s="226"/>
      <c r="EA170" s="226"/>
      <c r="EB170" s="226"/>
      <c r="EC170" s="226"/>
      <c r="ED170" s="226"/>
      <c r="EE170" s="226"/>
      <c r="EF170" s="226"/>
      <c r="EG170" s="226"/>
      <c r="EH170" s="226"/>
      <c r="EI170" s="226"/>
      <c r="EJ170" s="226"/>
      <c r="EK170" s="226"/>
      <c r="EL170" s="226"/>
      <c r="EM170" s="226"/>
      <c r="EN170" s="226"/>
      <c r="EO170" s="226"/>
      <c r="EP170" s="226"/>
      <c r="EQ170" s="226"/>
      <c r="ER170" s="226"/>
      <c r="ES170" s="226"/>
      <c r="ET170" s="226"/>
      <c r="EU170" s="226"/>
      <c r="EV170" s="226"/>
      <c r="EW170" s="226"/>
      <c r="EX170" s="226"/>
      <c r="EY170" s="226"/>
      <c r="EZ170" s="226"/>
      <c r="FA170" s="226"/>
      <c r="FB170" s="226"/>
      <c r="FC170" s="226"/>
      <c r="FD170" s="226"/>
      <c r="FE170" s="226"/>
      <c r="FF170" s="226"/>
      <c r="FG170" s="226"/>
      <c r="FH170" s="226"/>
      <c r="FI170" s="226"/>
      <c r="FJ170" s="226"/>
      <c r="FK170" s="226"/>
      <c r="FL170" s="226"/>
      <c r="FM170" s="226"/>
      <c r="FN170" s="226"/>
      <c r="FO170" s="226"/>
      <c r="FP170" s="226"/>
      <c r="FQ170" s="226"/>
      <c r="FR170" s="226"/>
      <c r="FS170" s="226"/>
      <c r="FT170" s="226"/>
      <c r="FU170" s="226"/>
      <c r="FV170" s="226"/>
      <c r="FW170" s="226"/>
      <c r="FX170" s="226"/>
      <c r="FY170" s="226"/>
      <c r="FZ170" s="226"/>
      <c r="GA170" s="226"/>
      <c r="GB170" s="226"/>
      <c r="GC170" s="226"/>
      <c r="GD170" s="226"/>
      <c r="GE170" s="226"/>
      <c r="GF170" s="226"/>
      <c r="GG170" s="226"/>
      <c r="GH170" s="226"/>
      <c r="GI170" s="226"/>
      <c r="GJ170" s="226"/>
      <c r="GK170" s="226"/>
      <c r="GL170" s="226"/>
      <c r="GM170" s="226"/>
      <c r="GN170" s="226"/>
      <c r="GO170" s="226"/>
      <c r="GP170" s="226"/>
      <c r="GQ170" s="226"/>
      <c r="GR170" s="226"/>
      <c r="GS170" s="226"/>
      <c r="GT170" s="226"/>
      <c r="GU170" s="226"/>
      <c r="GV170" s="226"/>
      <c r="GW170" s="226"/>
      <c r="GX170" s="226"/>
      <c r="GY170" s="226"/>
      <c r="GZ170" s="226"/>
      <c r="HA170" s="226"/>
      <c r="HB170" s="226"/>
      <c r="HC170" s="226"/>
      <c r="HD170" s="226"/>
    </row>
    <row r="171" spans="1:212" ht="14.1" customHeight="1" x14ac:dyDescent="0.2">
      <c r="A171" s="226"/>
      <c r="B171" s="226"/>
      <c r="C171" s="226"/>
      <c r="D171" s="226"/>
      <c r="E171" s="226"/>
      <c r="F171" s="226"/>
      <c r="G171" s="226"/>
      <c r="H171" s="226"/>
      <c r="I171" s="226"/>
      <c r="J171" s="226"/>
      <c r="K171" s="226"/>
      <c r="L171" s="226"/>
      <c r="M171" s="226"/>
      <c r="N171" s="226"/>
      <c r="O171" s="226"/>
      <c r="P171" s="226"/>
      <c r="Q171" s="226"/>
      <c r="R171" s="226"/>
      <c r="S171" s="226"/>
      <c r="T171" s="226"/>
      <c r="U171" s="226"/>
      <c r="V171" s="226"/>
      <c r="W171" s="226"/>
      <c r="X171" s="226"/>
      <c r="Y171" s="226"/>
      <c r="Z171" s="226"/>
      <c r="AA171" s="226"/>
      <c r="AB171" s="226"/>
      <c r="AC171" s="226"/>
      <c r="AD171" s="226"/>
      <c r="AE171" s="226"/>
      <c r="AF171" s="226"/>
      <c r="AG171" s="226"/>
      <c r="AH171" s="226"/>
      <c r="AI171" s="226"/>
      <c r="AJ171" s="226"/>
      <c r="AK171" s="226"/>
      <c r="AL171" s="226"/>
      <c r="AM171" s="226"/>
      <c r="AN171" s="226"/>
      <c r="AO171" s="226"/>
      <c r="AP171" s="226"/>
      <c r="AQ171" s="226"/>
      <c r="AR171" s="226"/>
      <c r="AS171" s="226"/>
      <c r="AT171" s="226"/>
      <c r="AU171" s="226"/>
      <c r="AV171" s="226"/>
      <c r="AW171" s="226"/>
      <c r="AX171" s="226"/>
      <c r="AY171" s="226"/>
      <c r="AZ171" s="226"/>
      <c r="BA171" s="226"/>
      <c r="BB171" s="226"/>
      <c r="BC171" s="226"/>
      <c r="BD171" s="226"/>
      <c r="BE171" s="226"/>
      <c r="BF171" s="226"/>
      <c r="BG171" s="226"/>
      <c r="BH171" s="226"/>
      <c r="BI171" s="226"/>
      <c r="BJ171" s="226"/>
      <c r="BK171" s="226"/>
      <c r="BL171" s="226"/>
      <c r="BM171" s="226"/>
      <c r="BN171" s="226"/>
      <c r="BO171" s="226"/>
      <c r="BP171" s="226"/>
      <c r="BQ171" s="226"/>
      <c r="BR171" s="226"/>
      <c r="BS171" s="226"/>
      <c r="BT171" s="226"/>
      <c r="BU171" s="226"/>
      <c r="BV171" s="226"/>
      <c r="BW171" s="226"/>
      <c r="BX171" s="226"/>
      <c r="BY171" s="226"/>
      <c r="BZ171" s="226"/>
      <c r="CA171" s="226"/>
      <c r="CB171" s="226"/>
      <c r="CC171" s="226"/>
      <c r="CD171" s="226"/>
      <c r="CE171" s="226"/>
      <c r="CF171" s="226"/>
      <c r="CG171" s="226"/>
      <c r="CH171" s="226"/>
      <c r="CI171" s="226"/>
      <c r="CJ171" s="226"/>
      <c r="CK171" s="226"/>
      <c r="CL171" s="226"/>
      <c r="CM171" s="226"/>
      <c r="CN171" s="226"/>
      <c r="CO171" s="226"/>
      <c r="CP171" s="226"/>
      <c r="CQ171" s="226"/>
      <c r="CR171" s="226"/>
      <c r="CS171" s="226"/>
      <c r="CT171" s="226"/>
      <c r="CU171" s="226"/>
      <c r="CV171" s="226"/>
      <c r="CW171" s="226"/>
      <c r="CX171" s="226"/>
      <c r="CY171" s="226"/>
      <c r="CZ171" s="226"/>
      <c r="DA171" s="226"/>
      <c r="DB171" s="226"/>
      <c r="DC171" s="226"/>
      <c r="DD171" s="226"/>
      <c r="DE171" s="226"/>
      <c r="DF171" s="226"/>
      <c r="DG171" s="226"/>
      <c r="DH171" s="226"/>
      <c r="DI171" s="226"/>
      <c r="DJ171" s="226"/>
      <c r="DK171" s="226"/>
      <c r="DL171" s="226"/>
      <c r="DM171" s="226"/>
      <c r="DN171" s="226"/>
      <c r="DO171" s="226"/>
      <c r="DP171" s="226"/>
      <c r="DQ171" s="226"/>
      <c r="DR171" s="226"/>
      <c r="DS171" s="226"/>
      <c r="DT171" s="226"/>
      <c r="DU171" s="226"/>
      <c r="DV171" s="226"/>
      <c r="DW171" s="226"/>
      <c r="DX171" s="226"/>
      <c r="DY171" s="226"/>
      <c r="DZ171" s="226"/>
      <c r="EA171" s="226"/>
      <c r="EB171" s="226"/>
      <c r="EC171" s="226"/>
      <c r="ED171" s="226"/>
      <c r="EE171" s="226"/>
      <c r="EF171" s="226"/>
      <c r="EG171" s="226"/>
      <c r="EH171" s="226"/>
      <c r="EI171" s="226"/>
      <c r="EJ171" s="226"/>
      <c r="EK171" s="226"/>
      <c r="EL171" s="226"/>
      <c r="EM171" s="226"/>
      <c r="EN171" s="226"/>
      <c r="EO171" s="226"/>
      <c r="EP171" s="226"/>
      <c r="EQ171" s="226"/>
      <c r="ER171" s="226"/>
      <c r="ES171" s="226"/>
      <c r="ET171" s="226"/>
      <c r="EU171" s="226"/>
      <c r="EV171" s="226"/>
      <c r="EW171" s="226"/>
      <c r="EX171" s="226"/>
      <c r="EY171" s="226"/>
      <c r="EZ171" s="226"/>
      <c r="FA171" s="226"/>
      <c r="FB171" s="226"/>
      <c r="FC171" s="226"/>
      <c r="FD171" s="226"/>
      <c r="FE171" s="226"/>
      <c r="FF171" s="226"/>
      <c r="FG171" s="226"/>
      <c r="FH171" s="226"/>
      <c r="FI171" s="226"/>
      <c r="FJ171" s="226"/>
      <c r="FK171" s="226"/>
      <c r="FL171" s="226"/>
      <c r="FM171" s="226"/>
      <c r="FN171" s="226"/>
      <c r="FO171" s="226"/>
      <c r="FP171" s="226"/>
      <c r="FQ171" s="226"/>
      <c r="FR171" s="226"/>
      <c r="FS171" s="226"/>
      <c r="FT171" s="226"/>
      <c r="FU171" s="226"/>
      <c r="FV171" s="226"/>
      <c r="FW171" s="226"/>
      <c r="FX171" s="226"/>
      <c r="FY171" s="226"/>
      <c r="FZ171" s="226"/>
      <c r="GA171" s="226"/>
      <c r="GB171" s="226"/>
      <c r="GC171" s="226"/>
      <c r="GD171" s="226"/>
      <c r="GE171" s="226"/>
      <c r="GF171" s="226"/>
      <c r="GG171" s="226"/>
      <c r="GH171" s="226"/>
      <c r="GI171" s="226"/>
      <c r="GJ171" s="226"/>
      <c r="GK171" s="226"/>
      <c r="GL171" s="226"/>
      <c r="GM171" s="226"/>
      <c r="GN171" s="226"/>
      <c r="GO171" s="226"/>
      <c r="GP171" s="226"/>
      <c r="GQ171" s="226"/>
      <c r="GR171" s="226"/>
      <c r="GS171" s="226"/>
      <c r="GT171" s="226"/>
      <c r="GU171" s="226"/>
      <c r="GV171" s="226"/>
      <c r="GW171" s="226"/>
      <c r="GX171" s="226"/>
      <c r="GY171" s="226"/>
      <c r="GZ171" s="226"/>
      <c r="HA171" s="226"/>
      <c r="HB171" s="226"/>
      <c r="HC171" s="226"/>
      <c r="HD171" s="226"/>
    </row>
    <row r="172" spans="1:212" ht="14.1" customHeight="1" x14ac:dyDescent="0.2">
      <c r="A172" s="226"/>
      <c r="B172" s="226"/>
      <c r="C172" s="226"/>
      <c r="D172" s="226"/>
      <c r="E172" s="226"/>
      <c r="F172" s="226"/>
      <c r="G172" s="226"/>
      <c r="H172" s="226"/>
      <c r="I172" s="226"/>
      <c r="J172" s="226"/>
      <c r="K172" s="226"/>
      <c r="L172" s="226"/>
      <c r="M172" s="226"/>
      <c r="N172" s="226"/>
      <c r="O172" s="226"/>
      <c r="P172" s="226"/>
      <c r="Q172" s="226"/>
      <c r="R172" s="226"/>
      <c r="S172" s="226"/>
      <c r="T172" s="226"/>
      <c r="U172" s="226"/>
      <c r="V172" s="226"/>
      <c r="W172" s="226"/>
      <c r="X172" s="226"/>
      <c r="Y172" s="226"/>
      <c r="Z172" s="226"/>
      <c r="AA172" s="226"/>
      <c r="AB172" s="226"/>
      <c r="AC172" s="226"/>
      <c r="AD172" s="226"/>
      <c r="AE172" s="226"/>
      <c r="AF172" s="226"/>
      <c r="AG172" s="226"/>
      <c r="AH172" s="226"/>
      <c r="AI172" s="226"/>
      <c r="AJ172" s="226"/>
      <c r="AK172" s="226"/>
      <c r="AL172" s="226"/>
      <c r="AM172" s="226"/>
      <c r="AN172" s="226"/>
      <c r="AO172" s="226"/>
      <c r="AP172" s="226"/>
      <c r="AQ172" s="226"/>
      <c r="AR172" s="226"/>
      <c r="AS172" s="226"/>
      <c r="AT172" s="226"/>
      <c r="AU172" s="226"/>
      <c r="AV172" s="226"/>
      <c r="AW172" s="226"/>
      <c r="AX172" s="226"/>
      <c r="AY172" s="226"/>
      <c r="AZ172" s="226"/>
      <c r="BA172" s="226"/>
      <c r="BB172" s="226"/>
      <c r="BC172" s="226"/>
      <c r="BD172" s="226"/>
      <c r="BE172" s="226"/>
      <c r="BF172" s="226"/>
      <c r="BG172" s="226"/>
      <c r="BH172" s="226"/>
      <c r="BI172" s="226"/>
      <c r="BJ172" s="226"/>
      <c r="BK172" s="226"/>
      <c r="BL172" s="226"/>
      <c r="BM172" s="226"/>
      <c r="BN172" s="226"/>
      <c r="BO172" s="226"/>
      <c r="BP172" s="226"/>
      <c r="BQ172" s="226"/>
      <c r="BR172" s="226"/>
      <c r="BS172" s="226"/>
      <c r="BT172" s="226"/>
      <c r="BU172" s="226"/>
      <c r="BV172" s="226"/>
      <c r="BW172" s="226"/>
      <c r="BX172" s="226"/>
      <c r="BY172" s="226"/>
      <c r="BZ172" s="226"/>
      <c r="CA172" s="226"/>
      <c r="CB172" s="226"/>
      <c r="CC172" s="226"/>
      <c r="CD172" s="226"/>
      <c r="CE172" s="226"/>
      <c r="CF172" s="226"/>
      <c r="CG172" s="226"/>
      <c r="CH172" s="226"/>
      <c r="CI172" s="226"/>
      <c r="CJ172" s="226"/>
      <c r="CK172" s="226"/>
      <c r="CL172" s="226"/>
      <c r="CM172" s="226"/>
      <c r="CN172" s="226"/>
      <c r="CO172" s="226"/>
      <c r="CP172" s="226"/>
      <c r="CQ172" s="226"/>
      <c r="CR172" s="226"/>
      <c r="CS172" s="226"/>
      <c r="CT172" s="226"/>
      <c r="CU172" s="226"/>
      <c r="CV172" s="226"/>
      <c r="CW172" s="226"/>
      <c r="CX172" s="226"/>
      <c r="CY172" s="226"/>
      <c r="CZ172" s="226"/>
      <c r="DA172" s="226"/>
      <c r="DB172" s="226"/>
      <c r="DC172" s="226"/>
      <c r="DD172" s="226"/>
      <c r="DE172" s="226"/>
      <c r="DF172" s="226"/>
      <c r="DG172" s="226"/>
      <c r="DH172" s="226"/>
      <c r="DI172" s="226"/>
      <c r="DJ172" s="226"/>
      <c r="DK172" s="226"/>
      <c r="DL172" s="226"/>
      <c r="DM172" s="226"/>
      <c r="DN172" s="226"/>
      <c r="DO172" s="226"/>
      <c r="DP172" s="226"/>
      <c r="DQ172" s="226"/>
      <c r="DR172" s="226"/>
      <c r="DS172" s="226"/>
      <c r="DT172" s="226"/>
      <c r="DU172" s="226"/>
      <c r="DV172" s="226"/>
      <c r="DW172" s="226"/>
      <c r="DX172" s="226"/>
      <c r="DY172" s="226"/>
      <c r="DZ172" s="226"/>
      <c r="EA172" s="226"/>
      <c r="EB172" s="226"/>
      <c r="EC172" s="226"/>
      <c r="ED172" s="226"/>
      <c r="EE172" s="226"/>
      <c r="EF172" s="226"/>
      <c r="EG172" s="226"/>
      <c r="EH172" s="226"/>
      <c r="EI172" s="226"/>
      <c r="EJ172" s="226"/>
      <c r="EK172" s="226"/>
      <c r="EL172" s="226"/>
      <c r="EM172" s="226"/>
      <c r="EN172" s="226"/>
      <c r="EO172" s="226"/>
      <c r="EP172" s="226"/>
      <c r="EQ172" s="226"/>
      <c r="ER172" s="226"/>
      <c r="ES172" s="226"/>
      <c r="ET172" s="226"/>
      <c r="EU172" s="226"/>
      <c r="EV172" s="226"/>
      <c r="EW172" s="226"/>
      <c r="EX172" s="226"/>
      <c r="EY172" s="226"/>
      <c r="EZ172" s="226"/>
      <c r="FA172" s="226"/>
      <c r="FB172" s="226"/>
      <c r="FC172" s="226"/>
      <c r="FD172" s="226"/>
      <c r="FE172" s="226"/>
      <c r="FF172" s="226"/>
      <c r="FG172" s="226"/>
      <c r="FH172" s="226"/>
      <c r="FI172" s="226"/>
      <c r="FJ172" s="226"/>
      <c r="FK172" s="226"/>
      <c r="FL172" s="226"/>
      <c r="FM172" s="226"/>
      <c r="FN172" s="226"/>
      <c r="FO172" s="226"/>
      <c r="FP172" s="226"/>
      <c r="FQ172" s="226"/>
      <c r="FR172" s="226"/>
      <c r="FS172" s="226"/>
      <c r="FT172" s="226"/>
      <c r="FU172" s="226"/>
      <c r="FV172" s="226"/>
      <c r="FW172" s="226"/>
      <c r="FX172" s="226"/>
      <c r="FY172" s="226"/>
      <c r="FZ172" s="226"/>
      <c r="GA172" s="226"/>
      <c r="GB172" s="226"/>
      <c r="GC172" s="226"/>
      <c r="GD172" s="226"/>
      <c r="GE172" s="226"/>
      <c r="GF172" s="226"/>
      <c r="GG172" s="226"/>
      <c r="GH172" s="226"/>
      <c r="GI172" s="226"/>
      <c r="GJ172" s="226"/>
      <c r="GK172" s="226"/>
      <c r="GL172" s="226"/>
      <c r="GM172" s="226"/>
      <c r="GN172" s="226"/>
      <c r="GO172" s="226"/>
      <c r="GP172" s="226"/>
      <c r="GQ172" s="226"/>
      <c r="GR172" s="226"/>
      <c r="GS172" s="226"/>
      <c r="GT172" s="226"/>
      <c r="GU172" s="226"/>
      <c r="GV172" s="226"/>
      <c r="GW172" s="226"/>
      <c r="GX172" s="226"/>
      <c r="GY172" s="226"/>
      <c r="GZ172" s="226"/>
      <c r="HA172" s="226"/>
      <c r="HB172" s="226"/>
      <c r="HC172" s="226"/>
      <c r="HD172" s="226"/>
    </row>
    <row r="173" spans="1:212" ht="14.1" customHeight="1" x14ac:dyDescent="0.2">
      <c r="A173" s="226"/>
      <c r="B173" s="226"/>
      <c r="C173" s="226"/>
      <c r="D173" s="226"/>
      <c r="E173" s="226"/>
      <c r="F173" s="226"/>
      <c r="G173" s="226"/>
      <c r="H173" s="226"/>
      <c r="I173" s="226"/>
      <c r="J173" s="226"/>
      <c r="K173" s="226"/>
      <c r="L173" s="226"/>
      <c r="M173" s="226"/>
      <c r="N173" s="226"/>
      <c r="O173" s="226"/>
      <c r="P173" s="226"/>
      <c r="Q173" s="226"/>
      <c r="R173" s="226"/>
      <c r="S173" s="226"/>
      <c r="T173" s="226"/>
      <c r="U173" s="226"/>
      <c r="V173" s="226"/>
      <c r="W173" s="226"/>
      <c r="X173" s="226"/>
      <c r="Y173" s="226"/>
      <c r="Z173" s="226"/>
      <c r="AA173" s="226"/>
      <c r="AB173" s="226"/>
      <c r="AC173" s="226"/>
      <c r="AD173" s="226"/>
      <c r="AE173" s="226"/>
      <c r="AF173" s="226"/>
      <c r="AG173" s="226"/>
      <c r="AH173" s="226"/>
      <c r="AI173" s="226"/>
      <c r="AJ173" s="226"/>
      <c r="AK173" s="226"/>
      <c r="AL173" s="226"/>
      <c r="AM173" s="226"/>
      <c r="AN173" s="226"/>
      <c r="AO173" s="226"/>
      <c r="AP173" s="226"/>
      <c r="AQ173" s="226"/>
      <c r="AR173" s="226"/>
      <c r="AS173" s="226"/>
      <c r="AT173" s="226"/>
      <c r="AU173" s="226"/>
      <c r="AV173" s="226"/>
      <c r="AW173" s="226"/>
      <c r="AX173" s="226"/>
      <c r="AY173" s="226"/>
      <c r="AZ173" s="226"/>
      <c r="BA173" s="226"/>
      <c r="BB173" s="226"/>
      <c r="BC173" s="226"/>
      <c r="BD173" s="226"/>
      <c r="BE173" s="226"/>
      <c r="BF173" s="226"/>
      <c r="BG173" s="226"/>
      <c r="BH173" s="226"/>
      <c r="BI173" s="226"/>
      <c r="BJ173" s="226"/>
      <c r="BK173" s="226"/>
      <c r="BL173" s="226"/>
      <c r="BM173" s="226"/>
      <c r="BN173" s="226"/>
      <c r="BO173" s="226"/>
      <c r="BP173" s="226"/>
      <c r="BQ173" s="226"/>
      <c r="BR173" s="226"/>
      <c r="BS173" s="226"/>
      <c r="BT173" s="226"/>
      <c r="BU173" s="226"/>
      <c r="BV173" s="226"/>
      <c r="BW173" s="226"/>
      <c r="BX173" s="226"/>
      <c r="BY173" s="226"/>
      <c r="BZ173" s="226"/>
      <c r="CA173" s="226"/>
      <c r="CB173" s="226"/>
      <c r="CC173" s="226"/>
      <c r="CD173" s="226"/>
      <c r="CE173" s="226"/>
      <c r="CF173" s="226"/>
      <c r="CG173" s="226"/>
      <c r="CH173" s="226"/>
      <c r="CI173" s="226"/>
      <c r="CJ173" s="226"/>
      <c r="CK173" s="226"/>
      <c r="CL173" s="226"/>
      <c r="CM173" s="226"/>
      <c r="CN173" s="226"/>
      <c r="CO173" s="226"/>
      <c r="CP173" s="226"/>
      <c r="CQ173" s="226"/>
      <c r="CR173" s="226"/>
      <c r="CS173" s="226"/>
      <c r="CT173" s="226"/>
      <c r="CU173" s="226"/>
      <c r="CV173" s="226"/>
      <c r="CW173" s="226"/>
      <c r="CX173" s="226"/>
      <c r="CY173" s="226"/>
      <c r="CZ173" s="226"/>
      <c r="DA173" s="226"/>
      <c r="DB173" s="226"/>
      <c r="DC173" s="226"/>
      <c r="DD173" s="226"/>
      <c r="DE173" s="226"/>
      <c r="DF173" s="226"/>
      <c r="DG173" s="226"/>
      <c r="DH173" s="226"/>
      <c r="DI173" s="226"/>
      <c r="DJ173" s="226"/>
      <c r="DK173" s="226"/>
      <c r="DL173" s="226"/>
      <c r="DM173" s="226"/>
      <c r="DN173" s="226"/>
      <c r="DO173" s="226"/>
      <c r="DP173" s="226"/>
      <c r="DQ173" s="226"/>
      <c r="DR173" s="226"/>
      <c r="DS173" s="226"/>
      <c r="DT173" s="226"/>
      <c r="DU173" s="226"/>
      <c r="DV173" s="226"/>
      <c r="DW173" s="226"/>
      <c r="DX173" s="226"/>
      <c r="DY173" s="226"/>
      <c r="DZ173" s="226"/>
      <c r="EA173" s="226"/>
      <c r="EB173" s="226"/>
      <c r="EC173" s="226"/>
      <c r="ED173" s="226"/>
      <c r="EE173" s="226"/>
      <c r="EF173" s="226"/>
      <c r="EG173" s="226"/>
      <c r="EH173" s="226"/>
      <c r="EI173" s="226"/>
      <c r="EJ173" s="226"/>
      <c r="EK173" s="226"/>
      <c r="EL173" s="226"/>
      <c r="EM173" s="226"/>
      <c r="EN173" s="226"/>
      <c r="EO173" s="226"/>
      <c r="EP173" s="226"/>
      <c r="EQ173" s="226"/>
      <c r="ER173" s="226"/>
      <c r="ES173" s="226"/>
      <c r="ET173" s="226"/>
      <c r="EU173" s="226"/>
      <c r="EV173" s="226"/>
      <c r="EW173" s="226"/>
      <c r="EX173" s="226"/>
      <c r="EY173" s="226"/>
      <c r="EZ173" s="226"/>
      <c r="FA173" s="226"/>
      <c r="FB173" s="226"/>
      <c r="FC173" s="226"/>
      <c r="FD173" s="226"/>
      <c r="FE173" s="226"/>
      <c r="FF173" s="226"/>
      <c r="FG173" s="226"/>
      <c r="FH173" s="226"/>
      <c r="FI173" s="226"/>
      <c r="FJ173" s="226"/>
      <c r="FK173" s="226"/>
      <c r="FL173" s="226"/>
      <c r="FM173" s="226"/>
      <c r="FN173" s="226"/>
      <c r="FO173" s="226"/>
      <c r="FP173" s="226"/>
      <c r="FQ173" s="226"/>
      <c r="FR173" s="226"/>
      <c r="FS173" s="226"/>
      <c r="FT173" s="226"/>
      <c r="FU173" s="226"/>
      <c r="FV173" s="226"/>
      <c r="FW173" s="226"/>
      <c r="FX173" s="226"/>
      <c r="FY173" s="226"/>
      <c r="FZ173" s="226"/>
      <c r="GA173" s="226"/>
      <c r="GB173" s="226"/>
      <c r="GC173" s="226"/>
      <c r="GD173" s="226"/>
      <c r="GE173" s="226"/>
      <c r="GF173" s="226"/>
      <c r="GG173" s="226"/>
      <c r="GH173" s="226"/>
      <c r="GI173" s="226"/>
      <c r="GJ173" s="226"/>
      <c r="GK173" s="226"/>
      <c r="GL173" s="226"/>
      <c r="GM173" s="226"/>
      <c r="GN173" s="226"/>
      <c r="GO173" s="226"/>
      <c r="GP173" s="226"/>
      <c r="GQ173" s="226"/>
      <c r="GR173" s="226"/>
      <c r="GS173" s="226"/>
      <c r="GT173" s="226"/>
      <c r="GU173" s="226"/>
      <c r="GV173" s="226"/>
      <c r="GW173" s="226"/>
      <c r="GX173" s="226"/>
      <c r="GY173" s="226"/>
      <c r="GZ173" s="226"/>
      <c r="HA173" s="226"/>
      <c r="HB173" s="226"/>
      <c r="HC173" s="226"/>
      <c r="HD173" s="226"/>
    </row>
    <row r="174" spans="1:212" ht="14.1" customHeight="1" x14ac:dyDescent="0.2">
      <c r="A174" s="226"/>
      <c r="B174" s="226"/>
      <c r="C174" s="226"/>
      <c r="D174" s="226"/>
      <c r="E174" s="226"/>
      <c r="F174" s="226"/>
      <c r="G174" s="226"/>
      <c r="H174" s="226"/>
      <c r="I174" s="226"/>
      <c r="J174" s="226"/>
      <c r="K174" s="226"/>
      <c r="L174" s="226"/>
      <c r="M174" s="226"/>
      <c r="N174" s="226"/>
      <c r="O174" s="226"/>
      <c r="P174" s="226"/>
      <c r="Q174" s="226"/>
      <c r="R174" s="226"/>
      <c r="S174" s="226"/>
      <c r="T174" s="226"/>
      <c r="U174" s="226"/>
      <c r="V174" s="226"/>
      <c r="W174" s="226"/>
      <c r="X174" s="226"/>
      <c r="Y174" s="226"/>
      <c r="Z174" s="226"/>
      <c r="AA174" s="226"/>
      <c r="AB174" s="226"/>
      <c r="AC174" s="226"/>
      <c r="AD174" s="226"/>
      <c r="AE174" s="226"/>
      <c r="AF174" s="226"/>
      <c r="AG174" s="226"/>
      <c r="AH174" s="226"/>
      <c r="AI174" s="226"/>
      <c r="AJ174" s="226"/>
      <c r="AK174" s="226"/>
      <c r="AL174" s="226"/>
      <c r="AM174" s="226"/>
      <c r="AN174" s="226"/>
      <c r="AO174" s="226"/>
      <c r="AP174" s="226"/>
      <c r="AQ174" s="226"/>
      <c r="AR174" s="226"/>
      <c r="AS174" s="226"/>
      <c r="AT174" s="226"/>
      <c r="AU174" s="226"/>
      <c r="AV174" s="226"/>
      <c r="AW174" s="226"/>
      <c r="AX174" s="226"/>
      <c r="AY174" s="226"/>
      <c r="AZ174" s="226"/>
      <c r="BA174" s="226"/>
      <c r="BB174" s="226"/>
      <c r="BC174" s="226"/>
      <c r="BD174" s="226"/>
      <c r="BE174" s="226"/>
      <c r="BF174" s="226"/>
      <c r="BG174" s="226"/>
      <c r="BH174" s="226"/>
      <c r="BI174" s="226"/>
      <c r="BJ174" s="226"/>
      <c r="BK174" s="226"/>
      <c r="BL174" s="226"/>
      <c r="BM174" s="226"/>
      <c r="BN174" s="226"/>
      <c r="BO174" s="226"/>
      <c r="BP174" s="226"/>
      <c r="BQ174" s="226"/>
      <c r="BR174" s="226"/>
      <c r="BS174" s="226"/>
      <c r="BT174" s="226"/>
      <c r="BU174" s="226"/>
      <c r="BV174" s="226"/>
      <c r="BW174" s="226"/>
      <c r="BX174" s="226"/>
      <c r="BY174" s="226"/>
      <c r="BZ174" s="226"/>
      <c r="CA174" s="226"/>
      <c r="CB174" s="226"/>
      <c r="CC174" s="226"/>
      <c r="CD174" s="226"/>
      <c r="CE174" s="226"/>
      <c r="CF174" s="226"/>
      <c r="CG174" s="226"/>
      <c r="CH174" s="226"/>
      <c r="CI174" s="226"/>
      <c r="CJ174" s="226"/>
      <c r="CK174" s="226"/>
      <c r="CL174" s="226"/>
      <c r="CM174" s="226"/>
      <c r="CN174" s="226"/>
      <c r="CO174" s="226"/>
      <c r="CP174" s="226"/>
      <c r="CQ174" s="226"/>
      <c r="CR174" s="226"/>
      <c r="CS174" s="226"/>
      <c r="CT174" s="226"/>
      <c r="CU174" s="226"/>
      <c r="CV174" s="226"/>
      <c r="CW174" s="226"/>
      <c r="CX174" s="226"/>
      <c r="CY174" s="226"/>
      <c r="CZ174" s="226"/>
      <c r="DA174" s="226"/>
      <c r="DB174" s="226"/>
      <c r="DC174" s="226"/>
      <c r="DD174" s="226"/>
      <c r="DE174" s="226"/>
      <c r="DF174" s="226"/>
      <c r="DG174" s="226"/>
      <c r="DH174" s="226"/>
      <c r="DI174" s="226"/>
      <c r="DJ174" s="226"/>
      <c r="DK174" s="226"/>
      <c r="DL174" s="226"/>
      <c r="DM174" s="226"/>
      <c r="DN174" s="226"/>
      <c r="DO174" s="226"/>
      <c r="DP174" s="226"/>
      <c r="DQ174" s="226"/>
      <c r="DR174" s="226"/>
      <c r="DS174" s="226"/>
      <c r="DT174" s="226"/>
      <c r="DU174" s="226"/>
      <c r="DV174" s="226"/>
      <c r="DW174" s="226"/>
      <c r="DX174" s="226"/>
      <c r="DY174" s="226"/>
      <c r="DZ174" s="226"/>
      <c r="EA174" s="226"/>
      <c r="EB174" s="226"/>
      <c r="EC174" s="226"/>
      <c r="ED174" s="226"/>
      <c r="EE174" s="226"/>
      <c r="EF174" s="226"/>
      <c r="EG174" s="226"/>
      <c r="EH174" s="226"/>
      <c r="EI174" s="226"/>
      <c r="EJ174" s="226"/>
      <c r="EK174" s="226"/>
      <c r="EL174" s="226"/>
      <c r="EM174" s="226"/>
      <c r="EN174" s="226"/>
      <c r="EO174" s="226"/>
      <c r="EP174" s="226"/>
      <c r="EQ174" s="226"/>
      <c r="ER174" s="226"/>
      <c r="ES174" s="226"/>
      <c r="ET174" s="226"/>
      <c r="EU174" s="226"/>
      <c r="EV174" s="226"/>
      <c r="EW174" s="226"/>
      <c r="EX174" s="226"/>
      <c r="EY174" s="226"/>
      <c r="EZ174" s="226"/>
      <c r="FA174" s="226"/>
      <c r="FB174" s="226"/>
      <c r="FC174" s="226"/>
      <c r="FD174" s="226"/>
      <c r="FE174" s="226"/>
      <c r="FF174" s="226"/>
      <c r="FG174" s="226"/>
      <c r="FH174" s="226"/>
      <c r="FI174" s="226"/>
      <c r="FJ174" s="226"/>
      <c r="FK174" s="226"/>
      <c r="FL174" s="226"/>
      <c r="FM174" s="226"/>
      <c r="FN174" s="226"/>
      <c r="FO174" s="226"/>
      <c r="FP174" s="226"/>
      <c r="FQ174" s="226"/>
      <c r="FR174" s="226"/>
      <c r="FS174" s="226"/>
      <c r="FT174" s="226"/>
      <c r="FU174" s="226"/>
      <c r="FV174" s="226"/>
      <c r="FW174" s="226"/>
      <c r="FX174" s="226"/>
      <c r="FY174" s="226"/>
      <c r="FZ174" s="226"/>
      <c r="GA174" s="226"/>
      <c r="GB174" s="226"/>
      <c r="GC174" s="226"/>
      <c r="GD174" s="226"/>
      <c r="GE174" s="226"/>
      <c r="GF174" s="226"/>
      <c r="GG174" s="226"/>
      <c r="GH174" s="226"/>
      <c r="GI174" s="226"/>
      <c r="GJ174" s="226"/>
      <c r="GK174" s="226"/>
      <c r="GL174" s="226"/>
      <c r="GM174" s="226"/>
      <c r="GN174" s="226"/>
      <c r="GO174" s="226"/>
      <c r="GP174" s="226"/>
      <c r="GQ174" s="226"/>
      <c r="GR174" s="226"/>
      <c r="GS174" s="226"/>
      <c r="GT174" s="226"/>
      <c r="GU174" s="226"/>
      <c r="GV174" s="226"/>
      <c r="GW174" s="226"/>
      <c r="GX174" s="226"/>
      <c r="GY174" s="226"/>
      <c r="GZ174" s="226"/>
      <c r="HA174" s="226"/>
      <c r="HB174" s="226"/>
      <c r="HC174" s="226"/>
      <c r="HD174" s="226"/>
    </row>
    <row r="175" spans="1:212" ht="14.1" customHeight="1" x14ac:dyDescent="0.2">
      <c r="A175" s="226"/>
      <c r="B175" s="226"/>
      <c r="C175" s="226"/>
      <c r="D175" s="226"/>
      <c r="E175" s="226"/>
      <c r="F175" s="226"/>
      <c r="G175" s="226"/>
      <c r="H175" s="226"/>
      <c r="I175" s="226"/>
      <c r="J175" s="226"/>
      <c r="K175" s="226"/>
      <c r="L175" s="226"/>
      <c r="M175" s="226"/>
      <c r="N175" s="226"/>
      <c r="O175" s="226"/>
      <c r="P175" s="226"/>
      <c r="Q175" s="226"/>
      <c r="R175" s="226"/>
      <c r="S175" s="226"/>
      <c r="T175" s="226"/>
      <c r="U175" s="226"/>
      <c r="V175" s="226"/>
      <c r="W175" s="226"/>
      <c r="X175" s="226"/>
      <c r="Y175" s="226"/>
      <c r="Z175" s="226"/>
      <c r="AA175" s="226"/>
      <c r="AB175" s="226"/>
      <c r="AC175" s="226"/>
      <c r="AD175" s="226"/>
      <c r="AE175" s="226"/>
      <c r="AF175" s="226"/>
      <c r="AG175" s="226"/>
      <c r="AH175" s="226"/>
      <c r="AI175" s="226"/>
      <c r="AJ175" s="226"/>
      <c r="AK175" s="226"/>
      <c r="AL175" s="226"/>
      <c r="AM175" s="226"/>
      <c r="AN175" s="226"/>
      <c r="AO175" s="226"/>
      <c r="AP175" s="226"/>
      <c r="AQ175" s="226"/>
      <c r="AR175" s="226"/>
      <c r="AS175" s="226"/>
      <c r="AT175" s="226"/>
      <c r="AU175" s="226"/>
      <c r="AV175" s="226"/>
      <c r="AW175" s="226"/>
      <c r="AX175" s="226"/>
      <c r="AY175" s="226"/>
      <c r="AZ175" s="226"/>
      <c r="BA175" s="226"/>
      <c r="BB175" s="226"/>
      <c r="BC175" s="226"/>
      <c r="BD175" s="226"/>
      <c r="BE175" s="226"/>
      <c r="BF175" s="226"/>
      <c r="BG175" s="226"/>
      <c r="BH175" s="226"/>
      <c r="BI175" s="226"/>
      <c r="BJ175" s="226"/>
      <c r="BK175" s="226"/>
      <c r="BL175" s="226"/>
      <c r="BM175" s="226"/>
      <c r="BN175" s="226"/>
      <c r="BO175" s="226"/>
      <c r="BP175" s="226"/>
      <c r="BQ175" s="226"/>
      <c r="BR175" s="226"/>
      <c r="BS175" s="226"/>
      <c r="BT175" s="226"/>
      <c r="BU175" s="226"/>
      <c r="BV175" s="226"/>
      <c r="BW175" s="226"/>
      <c r="BX175" s="226"/>
      <c r="BY175" s="226"/>
      <c r="BZ175" s="226"/>
      <c r="CA175" s="226"/>
      <c r="CB175" s="226"/>
      <c r="CC175" s="226"/>
      <c r="CD175" s="226"/>
      <c r="CE175" s="226"/>
      <c r="CF175" s="226"/>
      <c r="CG175" s="226"/>
      <c r="CH175" s="226"/>
      <c r="CI175" s="226"/>
      <c r="CJ175" s="226"/>
      <c r="CK175" s="226"/>
      <c r="CL175" s="226"/>
      <c r="CM175" s="226"/>
      <c r="CN175" s="226"/>
      <c r="CO175" s="226"/>
      <c r="CP175" s="226"/>
      <c r="CQ175" s="226"/>
      <c r="CR175" s="226"/>
      <c r="CS175" s="226"/>
      <c r="CT175" s="226"/>
      <c r="CU175" s="226"/>
      <c r="CV175" s="226"/>
      <c r="CW175" s="226"/>
      <c r="CX175" s="226"/>
      <c r="CY175" s="226"/>
      <c r="CZ175" s="226"/>
      <c r="DA175" s="226"/>
      <c r="DB175" s="226"/>
      <c r="DC175" s="226"/>
      <c r="DD175" s="226"/>
      <c r="DE175" s="226"/>
      <c r="DF175" s="226"/>
      <c r="DG175" s="226"/>
      <c r="DH175" s="226"/>
      <c r="DI175" s="226"/>
      <c r="DJ175" s="226"/>
      <c r="DK175" s="226"/>
      <c r="DL175" s="226"/>
      <c r="DM175" s="226"/>
      <c r="DN175" s="226"/>
      <c r="DO175" s="226"/>
      <c r="DP175" s="226"/>
      <c r="DQ175" s="226"/>
      <c r="DR175" s="226"/>
      <c r="DS175" s="226"/>
      <c r="DT175" s="226"/>
      <c r="DU175" s="226"/>
      <c r="DV175" s="226"/>
      <c r="DW175" s="226"/>
      <c r="DX175" s="226"/>
      <c r="DY175" s="226"/>
      <c r="DZ175" s="226"/>
      <c r="EA175" s="226"/>
      <c r="EB175" s="226"/>
      <c r="EC175" s="226"/>
      <c r="ED175" s="226"/>
      <c r="EE175" s="226"/>
      <c r="EF175" s="226"/>
      <c r="EG175" s="226"/>
      <c r="EH175" s="226"/>
      <c r="EI175" s="226"/>
      <c r="EJ175" s="226"/>
      <c r="EK175" s="226"/>
      <c r="EL175" s="226"/>
      <c r="EM175" s="226"/>
      <c r="EN175" s="226"/>
      <c r="EO175" s="226"/>
      <c r="EP175" s="226"/>
      <c r="EQ175" s="226"/>
      <c r="ER175" s="226"/>
      <c r="ES175" s="226"/>
      <c r="ET175" s="226"/>
      <c r="EU175" s="226"/>
      <c r="EV175" s="226"/>
      <c r="EW175" s="226"/>
      <c r="EX175" s="226"/>
      <c r="EY175" s="226"/>
      <c r="EZ175" s="226"/>
      <c r="FA175" s="226"/>
      <c r="FB175" s="226"/>
      <c r="FC175" s="226"/>
      <c r="FD175" s="226"/>
      <c r="FE175" s="226"/>
      <c r="FF175" s="226"/>
      <c r="FG175" s="226"/>
      <c r="FH175" s="226"/>
      <c r="FI175" s="226"/>
      <c r="FJ175" s="226"/>
      <c r="FK175" s="226"/>
      <c r="FL175" s="226"/>
      <c r="FM175" s="226"/>
      <c r="FN175" s="226"/>
      <c r="FO175" s="226"/>
      <c r="FP175" s="226"/>
      <c r="FQ175" s="226"/>
      <c r="FR175" s="226"/>
      <c r="FS175" s="226"/>
      <c r="FT175" s="226"/>
      <c r="FU175" s="226"/>
      <c r="FV175" s="226"/>
      <c r="FW175" s="226"/>
      <c r="FX175" s="226"/>
      <c r="FY175" s="226"/>
      <c r="FZ175" s="226"/>
      <c r="GA175" s="226"/>
      <c r="GB175" s="226"/>
      <c r="GC175" s="226"/>
      <c r="GD175" s="226"/>
      <c r="GE175" s="226"/>
      <c r="GF175" s="226"/>
      <c r="GG175" s="226"/>
      <c r="GH175" s="226"/>
      <c r="GI175" s="226"/>
      <c r="GJ175" s="226"/>
      <c r="GK175" s="226"/>
      <c r="GL175" s="226"/>
      <c r="GM175" s="226"/>
      <c r="GN175" s="226"/>
      <c r="GO175" s="226"/>
      <c r="GP175" s="226"/>
      <c r="GQ175" s="226"/>
      <c r="GR175" s="226"/>
      <c r="GS175" s="226"/>
      <c r="GT175" s="226"/>
      <c r="GU175" s="226"/>
      <c r="GV175" s="226"/>
      <c r="GW175" s="226"/>
      <c r="GX175" s="226"/>
      <c r="GY175" s="226"/>
      <c r="GZ175" s="226"/>
      <c r="HA175" s="226"/>
      <c r="HB175" s="226"/>
      <c r="HC175" s="226"/>
      <c r="HD175" s="226"/>
    </row>
    <row r="176" spans="1:212" ht="14.1" customHeight="1" x14ac:dyDescent="0.2">
      <c r="A176" s="226"/>
      <c r="B176" s="226"/>
      <c r="C176" s="226"/>
      <c r="D176" s="226"/>
      <c r="E176" s="226"/>
      <c r="F176" s="226"/>
      <c r="G176" s="226"/>
      <c r="H176" s="226"/>
      <c r="I176" s="226"/>
      <c r="J176" s="226"/>
      <c r="K176" s="226"/>
      <c r="L176" s="226"/>
      <c r="M176" s="226"/>
      <c r="N176" s="226"/>
      <c r="O176" s="226"/>
      <c r="P176" s="226"/>
      <c r="Q176" s="226"/>
      <c r="R176" s="226"/>
      <c r="S176" s="226"/>
      <c r="T176" s="226"/>
      <c r="U176" s="226"/>
      <c r="V176" s="226"/>
      <c r="W176" s="226"/>
      <c r="X176" s="226"/>
      <c r="Y176" s="226"/>
      <c r="Z176" s="226"/>
      <c r="AA176" s="226"/>
      <c r="AB176" s="226"/>
      <c r="AC176" s="226"/>
      <c r="AD176" s="226"/>
      <c r="AE176" s="226"/>
      <c r="AF176" s="226"/>
      <c r="AG176" s="226"/>
      <c r="AH176" s="226"/>
      <c r="AI176" s="226"/>
      <c r="AJ176" s="226"/>
      <c r="AK176" s="226"/>
      <c r="AL176" s="226"/>
      <c r="AM176" s="226"/>
      <c r="AN176" s="226"/>
      <c r="AO176" s="226"/>
      <c r="AP176" s="226"/>
      <c r="AQ176" s="226"/>
      <c r="AR176" s="226"/>
      <c r="AS176" s="226"/>
      <c r="AT176" s="226"/>
      <c r="AU176" s="226"/>
      <c r="AV176" s="226"/>
      <c r="AW176" s="226"/>
      <c r="AX176" s="226"/>
      <c r="AY176" s="226"/>
      <c r="AZ176" s="226"/>
      <c r="BA176" s="226"/>
      <c r="BB176" s="226"/>
      <c r="BC176" s="226"/>
      <c r="BD176" s="226"/>
      <c r="BE176" s="226"/>
      <c r="BF176" s="226"/>
      <c r="BG176" s="226"/>
      <c r="BH176" s="226"/>
      <c r="BI176" s="226"/>
      <c r="BJ176" s="226"/>
      <c r="BK176" s="226"/>
      <c r="BL176" s="226"/>
      <c r="BM176" s="226"/>
      <c r="BN176" s="226"/>
      <c r="BO176" s="226"/>
      <c r="BP176" s="226"/>
      <c r="BQ176" s="226"/>
      <c r="BR176" s="226"/>
      <c r="BS176" s="226"/>
      <c r="BT176" s="226"/>
      <c r="BU176" s="226"/>
      <c r="BV176" s="226"/>
      <c r="BW176" s="226"/>
      <c r="BX176" s="226"/>
      <c r="BY176" s="226"/>
      <c r="BZ176" s="226"/>
      <c r="CA176" s="226"/>
      <c r="CB176" s="226"/>
      <c r="CC176" s="226"/>
      <c r="CD176" s="226"/>
      <c r="CE176" s="226"/>
      <c r="CF176" s="226"/>
      <c r="CG176" s="226"/>
      <c r="CH176" s="226"/>
      <c r="CI176" s="226"/>
      <c r="CJ176" s="226"/>
      <c r="CK176" s="226"/>
      <c r="CL176" s="226"/>
      <c r="CM176" s="226"/>
      <c r="CN176" s="226"/>
      <c r="CO176" s="226"/>
      <c r="CP176" s="226"/>
      <c r="CQ176" s="226"/>
      <c r="CR176" s="226"/>
      <c r="CS176" s="226"/>
      <c r="CT176" s="226"/>
      <c r="CU176" s="226"/>
      <c r="CV176" s="226"/>
      <c r="CW176" s="226"/>
      <c r="CX176" s="226"/>
      <c r="CY176" s="226"/>
      <c r="CZ176" s="226"/>
      <c r="DA176" s="226"/>
      <c r="DB176" s="226"/>
      <c r="DC176" s="226"/>
      <c r="DD176" s="226"/>
      <c r="DE176" s="226"/>
      <c r="DF176" s="226"/>
      <c r="DG176" s="226"/>
      <c r="DH176" s="226"/>
      <c r="DI176" s="226"/>
      <c r="DJ176" s="226"/>
      <c r="DK176" s="226"/>
      <c r="DL176" s="226"/>
      <c r="DM176" s="226"/>
      <c r="DN176" s="226"/>
      <c r="DO176" s="226"/>
      <c r="DP176" s="226"/>
      <c r="DQ176" s="226"/>
      <c r="DR176" s="226"/>
      <c r="DS176" s="226"/>
      <c r="DT176" s="226"/>
      <c r="DU176" s="226"/>
      <c r="DV176" s="226"/>
      <c r="DW176" s="226"/>
      <c r="DX176" s="226"/>
      <c r="DY176" s="226"/>
      <c r="DZ176" s="226"/>
      <c r="EA176" s="226"/>
      <c r="EB176" s="226"/>
      <c r="EC176" s="226"/>
      <c r="ED176" s="226"/>
      <c r="EE176" s="226"/>
      <c r="EF176" s="226"/>
      <c r="EG176" s="226"/>
      <c r="EH176" s="226"/>
      <c r="EI176" s="226"/>
      <c r="EJ176" s="226"/>
      <c r="EK176" s="226"/>
      <c r="EL176" s="226"/>
      <c r="EM176" s="226"/>
      <c r="EN176" s="226"/>
      <c r="EO176" s="226"/>
      <c r="EP176" s="226"/>
      <c r="EQ176" s="226"/>
      <c r="ER176" s="226"/>
      <c r="ES176" s="226"/>
      <c r="ET176" s="226"/>
      <c r="EU176" s="226"/>
      <c r="EV176" s="226"/>
      <c r="EW176" s="226"/>
      <c r="EX176" s="226"/>
      <c r="EY176" s="226"/>
      <c r="EZ176" s="226"/>
      <c r="FA176" s="226"/>
      <c r="FB176" s="226"/>
      <c r="FC176" s="226"/>
      <c r="FD176" s="226"/>
      <c r="FE176" s="226"/>
      <c r="FF176" s="226"/>
      <c r="FG176" s="226"/>
      <c r="FH176" s="226"/>
      <c r="FI176" s="226"/>
      <c r="FJ176" s="226"/>
      <c r="FK176" s="226"/>
      <c r="FL176" s="226"/>
      <c r="FM176" s="226"/>
      <c r="FN176" s="226"/>
      <c r="FO176" s="226"/>
      <c r="FP176" s="226"/>
      <c r="FQ176" s="226"/>
      <c r="FR176" s="226"/>
      <c r="FS176" s="226"/>
      <c r="FT176" s="226"/>
      <c r="FU176" s="226"/>
      <c r="FV176" s="226"/>
      <c r="FW176" s="226"/>
      <c r="FX176" s="226"/>
      <c r="FY176" s="226"/>
      <c r="FZ176" s="226"/>
      <c r="GA176" s="226"/>
      <c r="GB176" s="226"/>
      <c r="GC176" s="226"/>
      <c r="GD176" s="226"/>
      <c r="GE176" s="226"/>
      <c r="GF176" s="226"/>
      <c r="GG176" s="226"/>
      <c r="GH176" s="226"/>
      <c r="GI176" s="226"/>
      <c r="GJ176" s="226"/>
      <c r="GK176" s="226"/>
      <c r="GL176" s="226"/>
      <c r="GM176" s="226"/>
      <c r="GN176" s="226"/>
      <c r="GO176" s="226"/>
      <c r="GP176" s="226"/>
      <c r="GQ176" s="226"/>
      <c r="GR176" s="226"/>
      <c r="GS176" s="226"/>
      <c r="GT176" s="226"/>
      <c r="GU176" s="226"/>
      <c r="GV176" s="226"/>
      <c r="GW176" s="226"/>
      <c r="GX176" s="226"/>
      <c r="GY176" s="226"/>
      <c r="GZ176" s="226"/>
      <c r="HA176" s="226"/>
      <c r="HB176" s="226"/>
      <c r="HC176" s="226"/>
      <c r="HD176" s="226"/>
    </row>
    <row r="177" spans="1:212" ht="14.1" customHeight="1" x14ac:dyDescent="0.2">
      <c r="A177" s="226"/>
      <c r="B177" s="226"/>
      <c r="C177" s="226"/>
      <c r="D177" s="226"/>
      <c r="E177" s="226"/>
      <c r="F177" s="226"/>
      <c r="G177" s="226"/>
      <c r="H177" s="226"/>
      <c r="I177" s="226"/>
      <c r="J177" s="226"/>
      <c r="K177" s="226"/>
      <c r="L177" s="226"/>
      <c r="M177" s="226"/>
      <c r="N177" s="226"/>
      <c r="O177" s="226"/>
      <c r="P177" s="226"/>
      <c r="Q177" s="226"/>
      <c r="R177" s="226"/>
      <c r="S177" s="226"/>
      <c r="T177" s="226"/>
      <c r="U177" s="226"/>
      <c r="V177" s="226"/>
      <c r="W177" s="226"/>
      <c r="X177" s="226"/>
      <c r="Y177" s="226"/>
      <c r="Z177" s="226"/>
      <c r="AA177" s="226"/>
      <c r="AB177" s="226"/>
      <c r="AC177" s="226"/>
      <c r="AD177" s="226"/>
      <c r="AE177" s="226"/>
      <c r="AF177" s="226"/>
      <c r="AG177" s="226"/>
      <c r="AH177" s="226"/>
      <c r="AI177" s="226"/>
      <c r="AJ177" s="226"/>
      <c r="AK177" s="226"/>
      <c r="AL177" s="226"/>
      <c r="AM177" s="226"/>
      <c r="AN177" s="226"/>
      <c r="AO177" s="226"/>
      <c r="AP177" s="226"/>
      <c r="AQ177" s="226"/>
      <c r="AR177" s="226"/>
      <c r="AS177" s="226"/>
      <c r="AT177" s="226"/>
      <c r="AU177" s="226"/>
      <c r="AV177" s="226"/>
      <c r="AW177" s="226"/>
      <c r="AX177" s="226"/>
      <c r="AY177" s="226"/>
      <c r="AZ177" s="226"/>
      <c r="BA177" s="226"/>
      <c r="BB177" s="226"/>
      <c r="BC177" s="226"/>
      <c r="BD177" s="226"/>
      <c r="BE177" s="226"/>
      <c r="BF177" s="226"/>
      <c r="BG177" s="226"/>
      <c r="BH177" s="226"/>
      <c r="BI177" s="226"/>
      <c r="BJ177" s="226"/>
      <c r="BK177" s="226"/>
      <c r="BL177" s="226"/>
      <c r="BM177" s="226"/>
      <c r="BN177" s="226"/>
      <c r="BO177" s="226"/>
      <c r="BP177" s="226"/>
      <c r="BQ177" s="226"/>
      <c r="BR177" s="226"/>
      <c r="BS177" s="226"/>
      <c r="BT177" s="226"/>
      <c r="BU177" s="226"/>
      <c r="BV177" s="226"/>
      <c r="BW177" s="226"/>
      <c r="BX177" s="226"/>
      <c r="BY177" s="226"/>
      <c r="BZ177" s="226"/>
      <c r="CA177" s="226"/>
      <c r="CB177" s="226"/>
      <c r="CC177" s="226"/>
      <c r="CD177" s="226"/>
      <c r="CE177" s="226"/>
      <c r="CF177" s="226"/>
      <c r="CG177" s="226"/>
      <c r="CH177" s="226"/>
      <c r="CI177" s="226"/>
      <c r="CJ177" s="226"/>
      <c r="CK177" s="226"/>
      <c r="CL177" s="226"/>
      <c r="CM177" s="226"/>
      <c r="CN177" s="226"/>
      <c r="CO177" s="226"/>
      <c r="CP177" s="226"/>
      <c r="CQ177" s="226"/>
      <c r="CR177" s="226"/>
      <c r="CS177" s="226"/>
      <c r="CT177" s="226"/>
      <c r="CU177" s="226"/>
      <c r="CV177" s="226"/>
      <c r="CW177" s="226"/>
      <c r="CX177" s="226"/>
      <c r="CY177" s="226"/>
      <c r="CZ177" s="226"/>
      <c r="DA177" s="226"/>
      <c r="DB177" s="226"/>
      <c r="DC177" s="226"/>
      <c r="DD177" s="226"/>
      <c r="DE177" s="226"/>
      <c r="DF177" s="226"/>
      <c r="DG177" s="226"/>
      <c r="DH177" s="226"/>
      <c r="DI177" s="226"/>
      <c r="DJ177" s="226"/>
      <c r="DK177" s="226"/>
      <c r="DL177" s="226"/>
      <c r="DM177" s="226"/>
      <c r="DN177" s="226"/>
      <c r="DO177" s="226"/>
      <c r="DP177" s="226"/>
      <c r="DQ177" s="226"/>
      <c r="DR177" s="226"/>
      <c r="DS177" s="226"/>
      <c r="DT177" s="226"/>
      <c r="DU177" s="226"/>
      <c r="DV177" s="226"/>
      <c r="DW177" s="226"/>
      <c r="DX177" s="226"/>
      <c r="DY177" s="226"/>
      <c r="DZ177" s="226"/>
      <c r="EA177" s="226"/>
      <c r="EB177" s="226"/>
      <c r="EC177" s="226"/>
      <c r="ED177" s="226"/>
      <c r="EE177" s="226"/>
      <c r="EF177" s="226"/>
      <c r="EG177" s="226"/>
      <c r="EH177" s="226"/>
      <c r="EI177" s="226"/>
      <c r="EJ177" s="226"/>
      <c r="EK177" s="226"/>
      <c r="EL177" s="226"/>
      <c r="EM177" s="226"/>
      <c r="EN177" s="226"/>
      <c r="EO177" s="226"/>
      <c r="EP177" s="226"/>
      <c r="EQ177" s="226"/>
      <c r="ER177" s="226"/>
      <c r="ES177" s="226"/>
      <c r="ET177" s="226"/>
      <c r="EU177" s="226"/>
      <c r="EV177" s="226"/>
      <c r="EW177" s="226"/>
      <c r="EX177" s="226"/>
      <c r="EY177" s="226"/>
      <c r="EZ177" s="226"/>
      <c r="FA177" s="226"/>
      <c r="FB177" s="226"/>
      <c r="FC177" s="226"/>
      <c r="FD177" s="226"/>
      <c r="FE177" s="226"/>
      <c r="FF177" s="226"/>
      <c r="FG177" s="226"/>
      <c r="FH177" s="226"/>
      <c r="FI177" s="226"/>
      <c r="FJ177" s="226"/>
      <c r="FK177" s="226"/>
      <c r="FL177" s="226"/>
      <c r="FM177" s="226"/>
      <c r="FN177" s="226"/>
      <c r="FO177" s="226"/>
      <c r="FP177" s="226"/>
      <c r="FQ177" s="226"/>
      <c r="FR177" s="226"/>
      <c r="FS177" s="226"/>
      <c r="FT177" s="226"/>
      <c r="FU177" s="226"/>
      <c r="FV177" s="226"/>
      <c r="FW177" s="226"/>
      <c r="FX177" s="226"/>
      <c r="FY177" s="226"/>
      <c r="FZ177" s="226"/>
      <c r="GA177" s="226"/>
      <c r="GB177" s="226"/>
      <c r="GC177" s="226"/>
      <c r="GD177" s="226"/>
      <c r="GE177" s="226"/>
      <c r="GF177" s="226"/>
      <c r="GG177" s="226"/>
      <c r="GH177" s="226"/>
      <c r="GI177" s="226"/>
      <c r="GJ177" s="226"/>
      <c r="GK177" s="226"/>
      <c r="GL177" s="226"/>
      <c r="GM177" s="226"/>
      <c r="GN177" s="226"/>
      <c r="GO177" s="226"/>
      <c r="GP177" s="226"/>
      <c r="GQ177" s="226"/>
      <c r="GR177" s="226"/>
      <c r="GS177" s="226"/>
      <c r="GT177" s="226"/>
      <c r="GU177" s="226"/>
      <c r="GV177" s="226"/>
      <c r="GW177" s="226"/>
      <c r="GX177" s="226"/>
      <c r="GY177" s="226"/>
      <c r="GZ177" s="226"/>
      <c r="HA177" s="226"/>
      <c r="HB177" s="226"/>
      <c r="HC177" s="226"/>
      <c r="HD177" s="226"/>
    </row>
    <row r="178" spans="1:212" ht="14.1" customHeight="1" x14ac:dyDescent="0.2">
      <c r="A178" s="226"/>
      <c r="B178" s="226"/>
      <c r="C178" s="226"/>
      <c r="D178" s="226"/>
      <c r="E178" s="226"/>
      <c r="F178" s="226"/>
      <c r="G178" s="226"/>
      <c r="H178" s="226"/>
      <c r="I178" s="226"/>
      <c r="J178" s="226"/>
      <c r="K178" s="226"/>
      <c r="L178" s="226"/>
      <c r="M178" s="226"/>
      <c r="N178" s="226"/>
      <c r="O178" s="226"/>
      <c r="P178" s="226"/>
      <c r="Q178" s="226"/>
      <c r="R178" s="226"/>
      <c r="S178" s="226"/>
      <c r="T178" s="226"/>
      <c r="U178" s="226"/>
      <c r="V178" s="226"/>
      <c r="W178" s="226"/>
      <c r="X178" s="226"/>
      <c r="Y178" s="226"/>
      <c r="Z178" s="226"/>
      <c r="AA178" s="226"/>
      <c r="AB178" s="226"/>
      <c r="AC178" s="226"/>
      <c r="AD178" s="226"/>
      <c r="AE178" s="226"/>
      <c r="AF178" s="226"/>
      <c r="AG178" s="226"/>
      <c r="AH178" s="226"/>
      <c r="AI178" s="226"/>
      <c r="AJ178" s="226"/>
      <c r="AK178" s="226"/>
      <c r="AL178" s="226"/>
      <c r="AM178" s="226"/>
      <c r="AN178" s="226"/>
      <c r="AO178" s="226"/>
      <c r="AP178" s="226"/>
      <c r="AQ178" s="226"/>
      <c r="AR178" s="226"/>
      <c r="AS178" s="226"/>
      <c r="AT178" s="226"/>
      <c r="AU178" s="226"/>
      <c r="AV178" s="226"/>
      <c r="AW178" s="226"/>
      <c r="AX178" s="226"/>
      <c r="AY178" s="226"/>
      <c r="AZ178" s="226"/>
      <c r="BA178" s="226"/>
      <c r="BB178" s="226"/>
      <c r="BC178" s="226"/>
      <c r="BD178" s="226"/>
      <c r="BE178" s="226"/>
      <c r="BF178" s="226"/>
      <c r="BG178" s="226"/>
      <c r="BH178" s="226"/>
      <c r="BI178" s="226"/>
      <c r="BJ178" s="226"/>
      <c r="BK178" s="226"/>
      <c r="BL178" s="226"/>
      <c r="BM178" s="226"/>
      <c r="BN178" s="226"/>
      <c r="BO178" s="226"/>
      <c r="BP178" s="226"/>
      <c r="BQ178" s="226"/>
      <c r="BR178" s="226"/>
      <c r="BS178" s="226"/>
      <c r="BT178" s="226"/>
      <c r="BU178" s="226"/>
      <c r="BV178" s="226"/>
      <c r="BW178" s="226"/>
      <c r="BX178" s="226"/>
      <c r="BY178" s="226"/>
      <c r="BZ178" s="226"/>
      <c r="CA178" s="226"/>
      <c r="CB178" s="226"/>
      <c r="CC178" s="226"/>
      <c r="CD178" s="226"/>
      <c r="CE178" s="226"/>
      <c r="CF178" s="226"/>
      <c r="CG178" s="226"/>
      <c r="CH178" s="226"/>
      <c r="CI178" s="226"/>
      <c r="CJ178" s="226"/>
      <c r="CK178" s="226"/>
      <c r="CL178" s="226"/>
      <c r="CM178" s="226"/>
      <c r="CN178" s="226"/>
      <c r="CO178" s="226"/>
      <c r="CP178" s="226"/>
      <c r="CQ178" s="226"/>
      <c r="CR178" s="226"/>
      <c r="CS178" s="226"/>
      <c r="CT178" s="226"/>
      <c r="CU178" s="226"/>
      <c r="CV178" s="226"/>
      <c r="CW178" s="226"/>
      <c r="CX178" s="226"/>
      <c r="CY178" s="226"/>
      <c r="CZ178" s="226"/>
      <c r="DA178" s="226"/>
      <c r="DB178" s="226"/>
      <c r="DC178" s="226"/>
      <c r="DD178" s="226"/>
      <c r="DE178" s="226"/>
      <c r="DF178" s="226"/>
      <c r="DG178" s="226"/>
      <c r="DH178" s="226"/>
      <c r="DI178" s="226"/>
      <c r="DJ178" s="226"/>
      <c r="DK178" s="226"/>
      <c r="DL178" s="226"/>
      <c r="DM178" s="226"/>
      <c r="DN178" s="226"/>
      <c r="DO178" s="226"/>
      <c r="DP178" s="226"/>
      <c r="DQ178" s="226"/>
      <c r="DR178" s="226"/>
      <c r="DS178" s="226"/>
      <c r="DT178" s="226"/>
      <c r="DU178" s="226"/>
      <c r="DV178" s="226"/>
      <c r="DW178" s="226"/>
      <c r="DX178" s="226"/>
      <c r="DY178" s="226"/>
      <c r="DZ178" s="226"/>
      <c r="EA178" s="226"/>
      <c r="EB178" s="226"/>
      <c r="EC178" s="226"/>
      <c r="ED178" s="226"/>
      <c r="EE178" s="226"/>
      <c r="EF178" s="226"/>
      <c r="EG178" s="226"/>
      <c r="EH178" s="226"/>
      <c r="EI178" s="226"/>
      <c r="EJ178" s="226"/>
      <c r="EK178" s="226"/>
      <c r="EL178" s="226"/>
      <c r="EM178" s="226"/>
      <c r="EN178" s="226"/>
      <c r="EO178" s="226"/>
      <c r="EP178" s="226"/>
      <c r="EQ178" s="226"/>
      <c r="ER178" s="226"/>
      <c r="ES178" s="226"/>
      <c r="ET178" s="226"/>
      <c r="EU178" s="226"/>
      <c r="EV178" s="226"/>
      <c r="EW178" s="226"/>
      <c r="EX178" s="226"/>
      <c r="EY178" s="226"/>
      <c r="EZ178" s="226"/>
      <c r="FA178" s="226"/>
      <c r="FB178" s="226"/>
      <c r="FC178" s="226"/>
      <c r="FD178" s="226"/>
      <c r="FE178" s="226"/>
      <c r="FF178" s="226"/>
      <c r="FG178" s="226"/>
      <c r="FH178" s="226"/>
      <c r="FI178" s="226"/>
      <c r="FJ178" s="226"/>
      <c r="FK178" s="226"/>
      <c r="FL178" s="226"/>
      <c r="FM178" s="226"/>
      <c r="FN178" s="226"/>
      <c r="FO178" s="226"/>
      <c r="FP178" s="226"/>
      <c r="FQ178" s="226"/>
      <c r="FR178" s="226"/>
      <c r="FS178" s="226"/>
      <c r="FT178" s="226"/>
      <c r="FU178" s="226"/>
      <c r="FV178" s="226"/>
      <c r="FW178" s="226"/>
      <c r="FX178" s="226"/>
      <c r="FY178" s="226"/>
      <c r="FZ178" s="226"/>
      <c r="GA178" s="226"/>
      <c r="GB178" s="226"/>
      <c r="GC178" s="226"/>
      <c r="GD178" s="226"/>
      <c r="GE178" s="226"/>
      <c r="GF178" s="226"/>
      <c r="GG178" s="226"/>
      <c r="GH178" s="226"/>
      <c r="GI178" s="226"/>
      <c r="GJ178" s="226"/>
      <c r="GK178" s="226"/>
      <c r="GL178" s="226"/>
      <c r="GM178" s="226"/>
      <c r="GN178" s="226"/>
      <c r="GO178" s="226"/>
      <c r="GP178" s="226"/>
      <c r="GQ178" s="226"/>
      <c r="GR178" s="226"/>
      <c r="GS178" s="226"/>
      <c r="GT178" s="226"/>
      <c r="GU178" s="226"/>
      <c r="GV178" s="226"/>
      <c r="GW178" s="226"/>
      <c r="GX178" s="226"/>
      <c r="GY178" s="226"/>
      <c r="GZ178" s="226"/>
      <c r="HA178" s="226"/>
      <c r="HB178" s="226"/>
      <c r="HC178" s="226"/>
      <c r="HD178" s="226"/>
    </row>
    <row r="179" spans="1:212" ht="14.1" customHeight="1" x14ac:dyDescent="0.2">
      <c r="A179" s="226"/>
      <c r="B179" s="226"/>
      <c r="C179" s="226"/>
      <c r="D179" s="226"/>
      <c r="E179" s="226"/>
      <c r="F179" s="226"/>
      <c r="G179" s="226"/>
      <c r="H179" s="226"/>
      <c r="I179" s="226"/>
      <c r="J179" s="226"/>
      <c r="K179" s="226"/>
      <c r="L179" s="226"/>
      <c r="M179" s="226"/>
      <c r="N179" s="226"/>
      <c r="O179" s="226"/>
      <c r="P179" s="226"/>
      <c r="Q179" s="226"/>
      <c r="R179" s="226"/>
      <c r="S179" s="226"/>
      <c r="T179" s="226"/>
      <c r="U179" s="226"/>
      <c r="V179" s="226"/>
      <c r="W179" s="226"/>
      <c r="X179" s="226"/>
      <c r="Y179" s="226"/>
      <c r="Z179" s="226"/>
      <c r="AA179" s="226"/>
      <c r="AB179" s="226"/>
      <c r="AC179" s="226"/>
      <c r="AD179" s="226"/>
      <c r="AE179" s="226"/>
      <c r="AF179" s="226"/>
      <c r="AG179" s="226"/>
      <c r="AH179" s="226"/>
      <c r="AI179" s="226"/>
      <c r="AJ179" s="226"/>
      <c r="AK179" s="226"/>
      <c r="AL179" s="226"/>
      <c r="AM179" s="226"/>
      <c r="AN179" s="226"/>
      <c r="AO179" s="226"/>
      <c r="AP179" s="226"/>
      <c r="AQ179" s="226"/>
      <c r="AR179" s="226"/>
      <c r="AS179" s="226"/>
      <c r="AT179" s="226"/>
      <c r="AU179" s="226"/>
      <c r="AV179" s="226"/>
      <c r="AW179" s="226"/>
      <c r="AX179" s="226"/>
      <c r="AY179" s="226"/>
      <c r="AZ179" s="226"/>
      <c r="BA179" s="226"/>
      <c r="BB179" s="226"/>
      <c r="BC179" s="226"/>
      <c r="BD179" s="226"/>
      <c r="BE179" s="226"/>
      <c r="BF179" s="226"/>
      <c r="BG179" s="226"/>
      <c r="BH179" s="226"/>
      <c r="BI179" s="226"/>
      <c r="BJ179" s="226"/>
      <c r="BK179" s="226"/>
      <c r="BL179" s="226"/>
      <c r="BM179" s="226"/>
      <c r="BN179" s="226"/>
      <c r="BO179" s="226"/>
      <c r="BP179" s="226"/>
      <c r="BQ179" s="226"/>
      <c r="BR179" s="226"/>
      <c r="BS179" s="226"/>
      <c r="BT179" s="226"/>
      <c r="BU179" s="226"/>
      <c r="BV179" s="226"/>
      <c r="BW179" s="226"/>
      <c r="BX179" s="226"/>
      <c r="BY179" s="226"/>
      <c r="BZ179" s="226"/>
      <c r="CA179" s="226"/>
      <c r="CB179" s="226"/>
      <c r="CC179" s="226"/>
      <c r="CD179" s="226"/>
      <c r="CE179" s="226"/>
      <c r="CF179" s="226"/>
      <c r="CG179" s="226"/>
      <c r="CH179" s="226"/>
      <c r="CI179" s="226"/>
      <c r="CJ179" s="226"/>
      <c r="CK179" s="226"/>
      <c r="CL179" s="226"/>
      <c r="CM179" s="226"/>
      <c r="CN179" s="226"/>
      <c r="CO179" s="226"/>
      <c r="CP179" s="226"/>
      <c r="CQ179" s="226"/>
      <c r="CR179" s="226"/>
      <c r="CS179" s="226"/>
      <c r="CT179" s="226"/>
      <c r="CU179" s="226"/>
      <c r="CV179" s="226"/>
      <c r="CW179" s="226"/>
      <c r="CX179" s="226"/>
      <c r="CY179" s="226"/>
      <c r="CZ179" s="226"/>
      <c r="DA179" s="226"/>
      <c r="DB179" s="226"/>
      <c r="DC179" s="226"/>
      <c r="DD179" s="226"/>
      <c r="DE179" s="226"/>
      <c r="DF179" s="226"/>
      <c r="DG179" s="226"/>
      <c r="DH179" s="226"/>
      <c r="DI179" s="226"/>
      <c r="DJ179" s="226"/>
      <c r="DK179" s="226"/>
      <c r="DL179" s="226"/>
      <c r="DM179" s="226"/>
      <c r="DN179" s="226"/>
      <c r="DO179" s="226"/>
      <c r="DP179" s="226"/>
      <c r="DQ179" s="226"/>
      <c r="DR179" s="226"/>
      <c r="DS179" s="226"/>
      <c r="DT179" s="226"/>
      <c r="DU179" s="226"/>
      <c r="DV179" s="226"/>
      <c r="DW179" s="226"/>
      <c r="DX179" s="226"/>
      <c r="DY179" s="226"/>
      <c r="DZ179" s="226"/>
      <c r="EA179" s="226"/>
      <c r="EB179" s="226"/>
      <c r="EC179" s="226"/>
      <c r="ED179" s="226"/>
      <c r="EE179" s="226"/>
      <c r="EF179" s="226"/>
      <c r="EG179" s="226"/>
      <c r="EH179" s="226"/>
      <c r="EI179" s="226"/>
      <c r="EJ179" s="226"/>
      <c r="EK179" s="226"/>
      <c r="EL179" s="226"/>
      <c r="EM179" s="226"/>
      <c r="EN179" s="226"/>
      <c r="EO179" s="226"/>
      <c r="EP179" s="226"/>
      <c r="EQ179" s="226"/>
      <c r="ER179" s="226"/>
      <c r="ES179" s="226"/>
      <c r="ET179" s="226"/>
      <c r="EU179" s="226"/>
      <c r="EV179" s="226"/>
      <c r="EW179" s="226"/>
      <c r="EX179" s="226"/>
      <c r="EY179" s="226"/>
      <c r="EZ179" s="226"/>
      <c r="FA179" s="226"/>
      <c r="FB179" s="226"/>
      <c r="FC179" s="226"/>
      <c r="FD179" s="226"/>
      <c r="FE179" s="226"/>
      <c r="FF179" s="226"/>
      <c r="FG179" s="226"/>
      <c r="FH179" s="226"/>
      <c r="FI179" s="226"/>
      <c r="FJ179" s="226"/>
      <c r="FK179" s="226"/>
      <c r="FL179" s="226"/>
      <c r="FM179" s="226"/>
      <c r="FN179" s="226"/>
      <c r="FO179" s="226"/>
      <c r="FP179" s="226"/>
      <c r="FQ179" s="226"/>
      <c r="FR179" s="226"/>
      <c r="FS179" s="226"/>
      <c r="FT179" s="226"/>
      <c r="FU179" s="226"/>
      <c r="FV179" s="226"/>
      <c r="FW179" s="226"/>
      <c r="FX179" s="226"/>
      <c r="FY179" s="226"/>
      <c r="FZ179" s="226"/>
      <c r="GA179" s="226"/>
      <c r="GB179" s="226"/>
      <c r="GC179" s="226"/>
      <c r="GD179" s="226"/>
      <c r="GE179" s="226"/>
      <c r="GF179" s="226"/>
      <c r="GG179" s="226"/>
      <c r="GH179" s="226"/>
      <c r="GI179" s="226"/>
      <c r="GJ179" s="226"/>
      <c r="GK179" s="226"/>
      <c r="GL179" s="226"/>
      <c r="GM179" s="226"/>
      <c r="GN179" s="226"/>
      <c r="GO179" s="226"/>
      <c r="GP179" s="226"/>
      <c r="GQ179" s="226"/>
      <c r="GR179" s="226"/>
      <c r="GS179" s="226"/>
      <c r="GT179" s="226"/>
      <c r="GU179" s="226"/>
      <c r="GV179" s="226"/>
      <c r="GW179" s="226"/>
      <c r="GX179" s="226"/>
      <c r="GY179" s="226"/>
      <c r="GZ179" s="226"/>
      <c r="HA179" s="226"/>
      <c r="HB179" s="226"/>
      <c r="HC179" s="226"/>
      <c r="HD179" s="226"/>
    </row>
    <row r="180" spans="1:212" ht="14.1" customHeight="1" x14ac:dyDescent="0.2">
      <c r="A180" s="226"/>
      <c r="B180" s="226"/>
      <c r="C180" s="226"/>
      <c r="D180" s="226"/>
      <c r="E180" s="226"/>
      <c r="F180" s="226"/>
      <c r="G180" s="226"/>
      <c r="H180" s="226"/>
      <c r="I180" s="226"/>
      <c r="J180" s="226"/>
      <c r="K180" s="226"/>
      <c r="L180" s="226"/>
      <c r="M180" s="226"/>
      <c r="N180" s="226"/>
      <c r="O180" s="226"/>
      <c r="P180" s="226"/>
      <c r="Q180" s="226"/>
      <c r="R180" s="226"/>
      <c r="S180" s="226"/>
      <c r="T180" s="226"/>
      <c r="U180" s="226"/>
      <c r="V180" s="226"/>
      <c r="W180" s="226"/>
      <c r="X180" s="226"/>
      <c r="Y180" s="226"/>
      <c r="Z180" s="226"/>
      <c r="AA180" s="226"/>
      <c r="AB180" s="226"/>
      <c r="AC180" s="226"/>
      <c r="AD180" s="226"/>
      <c r="AE180" s="226"/>
      <c r="AF180" s="226"/>
      <c r="AG180" s="226"/>
      <c r="AH180" s="226"/>
      <c r="AI180" s="226"/>
      <c r="AJ180" s="226"/>
      <c r="AK180" s="226"/>
      <c r="AL180" s="226"/>
      <c r="AM180" s="226"/>
      <c r="AN180" s="226"/>
      <c r="AO180" s="226"/>
      <c r="AP180" s="226"/>
      <c r="AQ180" s="226"/>
      <c r="AR180" s="226"/>
      <c r="AS180" s="226"/>
      <c r="AT180" s="226"/>
      <c r="AU180" s="226"/>
      <c r="AV180" s="226"/>
      <c r="AW180" s="226"/>
      <c r="AX180" s="226"/>
      <c r="AY180" s="226"/>
      <c r="AZ180" s="226"/>
      <c r="BA180" s="226"/>
      <c r="BB180" s="226"/>
      <c r="BC180" s="226"/>
      <c r="BD180" s="226"/>
      <c r="BE180" s="226"/>
      <c r="BF180" s="226"/>
      <c r="BG180" s="226"/>
      <c r="BH180" s="226"/>
      <c r="BI180" s="226"/>
      <c r="BJ180" s="226"/>
      <c r="BK180" s="226"/>
      <c r="BL180" s="226"/>
      <c r="BM180" s="226"/>
      <c r="BN180" s="226"/>
      <c r="BO180" s="226"/>
      <c r="BP180" s="226"/>
      <c r="BQ180" s="226"/>
      <c r="BR180" s="226"/>
      <c r="BS180" s="226"/>
      <c r="BT180" s="226"/>
      <c r="BU180" s="226"/>
      <c r="BV180" s="226"/>
      <c r="BW180" s="226"/>
      <c r="BX180" s="226"/>
      <c r="BY180" s="226"/>
      <c r="BZ180" s="226"/>
      <c r="CA180" s="226"/>
      <c r="CB180" s="226"/>
      <c r="CC180" s="226"/>
      <c r="CD180" s="226"/>
      <c r="CE180" s="226"/>
      <c r="CF180" s="226"/>
      <c r="CG180" s="226"/>
      <c r="CH180" s="226"/>
      <c r="CI180" s="226"/>
      <c r="CJ180" s="226"/>
      <c r="CK180" s="226"/>
      <c r="CL180" s="226"/>
      <c r="CM180" s="226"/>
      <c r="CN180" s="226"/>
      <c r="CO180" s="226"/>
      <c r="CP180" s="226"/>
      <c r="CQ180" s="226"/>
      <c r="CR180" s="226"/>
      <c r="CS180" s="226"/>
      <c r="CT180" s="226"/>
      <c r="CU180" s="226"/>
      <c r="CV180" s="226"/>
      <c r="CW180" s="226"/>
      <c r="CX180" s="226"/>
      <c r="CY180" s="226"/>
      <c r="CZ180" s="226"/>
      <c r="DA180" s="226"/>
      <c r="DB180" s="226"/>
      <c r="DC180" s="226"/>
      <c r="DD180" s="226"/>
      <c r="DE180" s="226"/>
      <c r="DF180" s="226"/>
      <c r="DG180" s="226"/>
      <c r="DH180" s="226"/>
      <c r="DI180" s="226"/>
      <c r="DJ180" s="226"/>
      <c r="DK180" s="226"/>
      <c r="DL180" s="226"/>
      <c r="DM180" s="226"/>
      <c r="DN180" s="226"/>
      <c r="DO180" s="226"/>
      <c r="DP180" s="226"/>
      <c r="DQ180" s="226"/>
      <c r="DR180" s="226"/>
      <c r="DS180" s="226"/>
      <c r="DT180" s="226"/>
      <c r="DU180" s="226"/>
      <c r="DV180" s="226"/>
      <c r="DW180" s="226"/>
      <c r="DX180" s="226"/>
      <c r="DY180" s="226"/>
      <c r="DZ180" s="226"/>
      <c r="EA180" s="226"/>
      <c r="EB180" s="226"/>
      <c r="EC180" s="226"/>
      <c r="ED180" s="226"/>
      <c r="EE180" s="226"/>
      <c r="EF180" s="226"/>
      <c r="EG180" s="226"/>
      <c r="EH180" s="226"/>
      <c r="EI180" s="226"/>
      <c r="EJ180" s="226"/>
      <c r="EK180" s="226"/>
      <c r="EL180" s="226"/>
      <c r="EM180" s="226"/>
      <c r="EN180" s="226"/>
      <c r="EO180" s="226"/>
      <c r="EP180" s="226"/>
      <c r="EQ180" s="226"/>
      <c r="ER180" s="226"/>
      <c r="ES180" s="226"/>
      <c r="ET180" s="226"/>
      <c r="EU180" s="226"/>
      <c r="EV180" s="226"/>
      <c r="EW180" s="226"/>
      <c r="EX180" s="226"/>
      <c r="EY180" s="226"/>
      <c r="EZ180" s="226"/>
      <c r="FA180" s="226"/>
      <c r="FB180" s="226"/>
      <c r="FC180" s="226"/>
      <c r="FD180" s="226"/>
      <c r="FE180" s="226"/>
      <c r="FF180" s="226"/>
      <c r="FG180" s="226"/>
      <c r="FH180" s="226"/>
      <c r="FI180" s="226"/>
      <c r="FJ180" s="226"/>
      <c r="FK180" s="226"/>
      <c r="FL180" s="226"/>
      <c r="FM180" s="226"/>
      <c r="FN180" s="226"/>
      <c r="FO180" s="226"/>
      <c r="FP180" s="226"/>
      <c r="FQ180" s="226"/>
      <c r="FR180" s="226"/>
      <c r="FS180" s="226"/>
      <c r="FT180" s="226"/>
      <c r="FU180" s="226"/>
      <c r="FV180" s="226"/>
      <c r="FW180" s="226"/>
      <c r="FX180" s="226"/>
      <c r="FY180" s="226"/>
      <c r="FZ180" s="226"/>
      <c r="GA180" s="226"/>
      <c r="GB180" s="226"/>
      <c r="GC180" s="226"/>
      <c r="GD180" s="226"/>
      <c r="GE180" s="226"/>
      <c r="GF180" s="226"/>
      <c r="GG180" s="226"/>
      <c r="GH180" s="226"/>
      <c r="GI180" s="226"/>
      <c r="GJ180" s="226"/>
      <c r="GK180" s="226"/>
      <c r="GL180" s="226"/>
      <c r="GM180" s="226"/>
      <c r="GN180" s="226"/>
      <c r="GO180" s="226"/>
      <c r="GP180" s="226"/>
      <c r="GQ180" s="226"/>
      <c r="GR180" s="226"/>
      <c r="GS180" s="226"/>
      <c r="GT180" s="226"/>
      <c r="GU180" s="226"/>
      <c r="GV180" s="226"/>
      <c r="GW180" s="226"/>
      <c r="GX180" s="226"/>
      <c r="GY180" s="226"/>
      <c r="GZ180" s="226"/>
      <c r="HA180" s="226"/>
      <c r="HB180" s="226"/>
      <c r="HC180" s="226"/>
      <c r="HD180" s="226"/>
    </row>
    <row r="181" spans="1:212" ht="14.1" customHeight="1" x14ac:dyDescent="0.2">
      <c r="A181" s="226"/>
      <c r="B181" s="226"/>
      <c r="C181" s="226"/>
      <c r="D181" s="226"/>
      <c r="E181" s="226"/>
      <c r="F181" s="226"/>
      <c r="G181" s="226"/>
      <c r="H181" s="226"/>
      <c r="I181" s="226"/>
      <c r="J181" s="226"/>
      <c r="K181" s="226"/>
      <c r="L181" s="226"/>
      <c r="M181" s="226"/>
      <c r="N181" s="226"/>
      <c r="O181" s="226"/>
      <c r="P181" s="226"/>
      <c r="Q181" s="226"/>
      <c r="R181" s="226"/>
      <c r="S181" s="226"/>
      <c r="T181" s="226"/>
      <c r="U181" s="226"/>
      <c r="V181" s="226"/>
      <c r="W181" s="226"/>
      <c r="X181" s="226"/>
      <c r="Y181" s="226"/>
      <c r="Z181" s="226"/>
      <c r="AA181" s="226"/>
      <c r="AB181" s="226"/>
      <c r="AC181" s="226"/>
      <c r="AD181" s="226"/>
      <c r="AE181" s="226"/>
      <c r="AF181" s="226"/>
      <c r="AG181" s="226"/>
      <c r="AH181" s="226"/>
      <c r="AI181" s="226"/>
      <c r="AJ181" s="226"/>
      <c r="AK181" s="226"/>
      <c r="AL181" s="226"/>
      <c r="AM181" s="226"/>
      <c r="AN181" s="226"/>
      <c r="AO181" s="226"/>
      <c r="AP181" s="226"/>
      <c r="AQ181" s="226"/>
      <c r="AR181" s="226"/>
      <c r="AS181" s="226"/>
      <c r="AT181" s="226"/>
      <c r="AU181" s="226"/>
      <c r="AV181" s="226"/>
      <c r="AW181" s="226"/>
      <c r="AX181" s="226"/>
      <c r="AY181" s="226"/>
      <c r="AZ181" s="226"/>
      <c r="BA181" s="226"/>
      <c r="BB181" s="226"/>
      <c r="BC181" s="226"/>
      <c r="BD181" s="226"/>
      <c r="BE181" s="226"/>
      <c r="BF181" s="226"/>
      <c r="BG181" s="226"/>
      <c r="BH181" s="226"/>
      <c r="BI181" s="226"/>
      <c r="BJ181" s="226"/>
      <c r="BK181" s="226"/>
      <c r="BL181" s="226"/>
      <c r="BM181" s="226"/>
      <c r="BN181" s="226"/>
      <c r="BO181" s="226"/>
      <c r="BP181" s="226"/>
      <c r="BQ181" s="226"/>
      <c r="BR181" s="226"/>
      <c r="BS181" s="226"/>
      <c r="BT181" s="226"/>
      <c r="BU181" s="226"/>
      <c r="BV181" s="226"/>
      <c r="BW181" s="226"/>
      <c r="BX181" s="226"/>
      <c r="BY181" s="226"/>
      <c r="BZ181" s="226"/>
      <c r="CA181" s="226"/>
      <c r="CB181" s="226"/>
      <c r="CC181" s="226"/>
      <c r="CD181" s="226"/>
      <c r="CE181" s="226"/>
      <c r="CF181" s="226"/>
      <c r="CG181" s="226"/>
      <c r="CH181" s="226"/>
      <c r="CI181" s="226"/>
      <c r="CJ181" s="226"/>
      <c r="CK181" s="226"/>
      <c r="CL181" s="226"/>
      <c r="CM181" s="226"/>
      <c r="CN181" s="226"/>
      <c r="CO181" s="226"/>
      <c r="CP181" s="226"/>
      <c r="CQ181" s="226"/>
      <c r="CR181" s="226"/>
      <c r="CS181" s="226"/>
      <c r="CT181" s="226"/>
      <c r="CU181" s="226"/>
      <c r="CV181" s="226"/>
      <c r="CW181" s="226"/>
      <c r="CX181" s="226"/>
      <c r="CY181" s="226"/>
      <c r="CZ181" s="226"/>
      <c r="DA181" s="226"/>
      <c r="DB181" s="226"/>
      <c r="DC181" s="226"/>
      <c r="DD181" s="226"/>
      <c r="DE181" s="226"/>
      <c r="DF181" s="226"/>
      <c r="DG181" s="226"/>
      <c r="DH181" s="226"/>
      <c r="DI181" s="226"/>
      <c r="DJ181" s="226"/>
      <c r="DK181" s="226"/>
      <c r="DL181" s="226"/>
      <c r="DM181" s="226"/>
      <c r="DN181" s="226"/>
      <c r="DO181" s="226"/>
      <c r="DP181" s="226"/>
      <c r="DQ181" s="226"/>
      <c r="DR181" s="226"/>
      <c r="DS181" s="226"/>
      <c r="DT181" s="226"/>
      <c r="DU181" s="226"/>
      <c r="DV181" s="226"/>
      <c r="DW181" s="226"/>
      <c r="DX181" s="226"/>
      <c r="DY181" s="226"/>
      <c r="DZ181" s="226"/>
      <c r="EA181" s="226"/>
      <c r="EB181" s="226"/>
      <c r="EC181" s="226"/>
      <c r="ED181" s="226"/>
      <c r="EE181" s="226"/>
      <c r="EF181" s="226"/>
      <c r="EG181" s="226"/>
      <c r="EH181" s="226"/>
      <c r="EI181" s="226"/>
      <c r="EJ181" s="226"/>
      <c r="EK181" s="226"/>
      <c r="EL181" s="226"/>
      <c r="EM181" s="226"/>
      <c r="EN181" s="226"/>
      <c r="EO181" s="226"/>
      <c r="EP181" s="226"/>
      <c r="EQ181" s="226"/>
      <c r="ER181" s="226"/>
      <c r="ES181" s="226"/>
      <c r="ET181" s="226"/>
      <c r="EU181" s="226"/>
      <c r="EV181" s="226"/>
      <c r="EW181" s="226"/>
      <c r="EX181" s="226"/>
      <c r="EY181" s="226"/>
      <c r="EZ181" s="226"/>
      <c r="FA181" s="226"/>
      <c r="FB181" s="226"/>
      <c r="FC181" s="226"/>
      <c r="FD181" s="226"/>
      <c r="FE181" s="226"/>
      <c r="FF181" s="226"/>
      <c r="FG181" s="226"/>
      <c r="FH181" s="226"/>
      <c r="FI181" s="226"/>
      <c r="FJ181" s="226"/>
      <c r="FK181" s="226"/>
      <c r="FL181" s="226"/>
      <c r="FM181" s="226"/>
      <c r="FN181" s="226"/>
      <c r="FO181" s="226"/>
      <c r="FP181" s="226"/>
      <c r="FQ181" s="226"/>
      <c r="FR181" s="226"/>
      <c r="FS181" s="226"/>
      <c r="FT181" s="226"/>
      <c r="FU181" s="226"/>
      <c r="FV181" s="226"/>
      <c r="FW181" s="226"/>
      <c r="FX181" s="226"/>
      <c r="FY181" s="226"/>
      <c r="FZ181" s="226"/>
      <c r="GA181" s="226"/>
      <c r="GB181" s="226"/>
      <c r="GC181" s="226"/>
      <c r="GD181" s="226"/>
      <c r="GE181" s="226"/>
      <c r="GF181" s="226"/>
      <c r="GG181" s="226"/>
      <c r="GH181" s="226"/>
      <c r="GI181" s="226"/>
      <c r="GJ181" s="226"/>
      <c r="GK181" s="226"/>
      <c r="GL181" s="226"/>
      <c r="GM181" s="226"/>
      <c r="GN181" s="226"/>
      <c r="GO181" s="226"/>
      <c r="GP181" s="226"/>
      <c r="GQ181" s="226"/>
      <c r="GR181" s="226"/>
      <c r="GS181" s="226"/>
      <c r="GT181" s="226"/>
      <c r="GU181" s="226"/>
      <c r="GV181" s="226"/>
      <c r="GW181" s="226"/>
      <c r="GX181" s="226"/>
      <c r="GY181" s="226"/>
      <c r="GZ181" s="226"/>
      <c r="HA181" s="226"/>
      <c r="HB181" s="226"/>
      <c r="HC181" s="226"/>
      <c r="HD181" s="226"/>
    </row>
    <row r="182" spans="1:212" ht="14.1" customHeight="1" x14ac:dyDescent="0.2">
      <c r="A182" s="226"/>
      <c r="B182" s="226"/>
      <c r="C182" s="226"/>
      <c r="D182" s="226"/>
      <c r="E182" s="226"/>
      <c r="F182" s="226"/>
      <c r="G182" s="226"/>
      <c r="H182" s="226"/>
      <c r="I182" s="226"/>
      <c r="J182" s="226"/>
      <c r="K182" s="226"/>
      <c r="L182" s="226"/>
      <c r="M182" s="226"/>
      <c r="N182" s="226"/>
      <c r="O182" s="226"/>
      <c r="P182" s="226"/>
      <c r="Q182" s="226"/>
      <c r="R182" s="226"/>
      <c r="S182" s="226"/>
      <c r="T182" s="226"/>
      <c r="U182" s="226"/>
      <c r="V182" s="226"/>
      <c r="W182" s="226"/>
      <c r="X182" s="226"/>
      <c r="Y182" s="226"/>
      <c r="Z182" s="226"/>
      <c r="AA182" s="226"/>
      <c r="AB182" s="226"/>
      <c r="AC182" s="226"/>
      <c r="AD182" s="226"/>
      <c r="AE182" s="226"/>
      <c r="AF182" s="226"/>
      <c r="AG182" s="226"/>
      <c r="AH182" s="226"/>
      <c r="AI182" s="226"/>
      <c r="AJ182" s="226"/>
      <c r="AK182" s="226"/>
      <c r="AL182" s="226"/>
      <c r="AM182" s="226"/>
      <c r="AN182" s="226"/>
      <c r="AO182" s="226"/>
      <c r="AP182" s="226"/>
      <c r="AQ182" s="226"/>
      <c r="AR182" s="226"/>
      <c r="AS182" s="226"/>
      <c r="AT182" s="226"/>
      <c r="AU182" s="226"/>
      <c r="AV182" s="226"/>
      <c r="AW182" s="226"/>
      <c r="AX182" s="226"/>
      <c r="AY182" s="226"/>
      <c r="AZ182" s="226"/>
      <c r="BA182" s="226"/>
      <c r="BB182" s="226"/>
      <c r="BC182" s="226"/>
      <c r="BD182" s="226"/>
      <c r="BE182" s="226"/>
      <c r="BF182" s="226"/>
      <c r="BG182" s="226"/>
      <c r="BH182" s="226"/>
      <c r="BI182" s="226"/>
      <c r="BJ182" s="226"/>
      <c r="BK182" s="226"/>
      <c r="BL182" s="226"/>
      <c r="BM182" s="226"/>
      <c r="BN182" s="226"/>
      <c r="BO182" s="226"/>
      <c r="BP182" s="226"/>
      <c r="BQ182" s="226"/>
      <c r="BR182" s="226"/>
      <c r="BS182" s="226"/>
      <c r="BT182" s="226"/>
      <c r="BU182" s="226"/>
      <c r="BV182" s="226"/>
      <c r="BW182" s="226"/>
      <c r="BX182" s="226"/>
      <c r="BY182" s="226"/>
      <c r="BZ182" s="226"/>
      <c r="CA182" s="226"/>
      <c r="CB182" s="226"/>
      <c r="CC182" s="226"/>
      <c r="CD182" s="226"/>
      <c r="CE182" s="226"/>
      <c r="CF182" s="226"/>
      <c r="CG182" s="226"/>
      <c r="CH182" s="226"/>
      <c r="CI182" s="226"/>
      <c r="CJ182" s="226"/>
      <c r="CK182" s="226"/>
      <c r="CL182" s="226"/>
      <c r="CM182" s="226"/>
      <c r="CN182" s="226"/>
      <c r="CO182" s="226"/>
      <c r="CP182" s="226"/>
      <c r="CQ182" s="226"/>
      <c r="CR182" s="226"/>
      <c r="CS182" s="226"/>
      <c r="CT182" s="226"/>
      <c r="CU182" s="226"/>
      <c r="CV182" s="226"/>
      <c r="CW182" s="226"/>
      <c r="CX182" s="226"/>
      <c r="CY182" s="226"/>
      <c r="CZ182" s="226"/>
      <c r="DA182" s="226"/>
      <c r="DB182" s="226"/>
      <c r="DC182" s="226"/>
      <c r="DD182" s="226"/>
      <c r="DE182" s="226"/>
      <c r="DF182" s="226"/>
      <c r="DG182" s="226"/>
      <c r="DH182" s="226"/>
      <c r="DI182" s="226"/>
      <c r="DJ182" s="226"/>
      <c r="DK182" s="226"/>
      <c r="DL182" s="226"/>
      <c r="DM182" s="226"/>
      <c r="DN182" s="226"/>
      <c r="DO182" s="226"/>
      <c r="DP182" s="226"/>
      <c r="DQ182" s="226"/>
      <c r="DR182" s="226"/>
      <c r="DS182" s="226"/>
      <c r="DT182" s="226"/>
      <c r="DU182" s="226"/>
      <c r="DV182" s="226"/>
      <c r="DW182" s="226"/>
      <c r="DX182" s="226"/>
      <c r="DY182" s="226"/>
      <c r="DZ182" s="226"/>
      <c r="EA182" s="226"/>
      <c r="EB182" s="226"/>
      <c r="EC182" s="226"/>
      <c r="ED182" s="226"/>
      <c r="EE182" s="226"/>
      <c r="EF182" s="226"/>
      <c r="EG182" s="226"/>
      <c r="EH182" s="226"/>
      <c r="EI182" s="226"/>
      <c r="EJ182" s="226"/>
      <c r="EK182" s="226"/>
      <c r="EL182" s="226"/>
      <c r="EM182" s="226"/>
      <c r="EN182" s="226"/>
      <c r="EO182" s="226"/>
      <c r="EP182" s="226"/>
      <c r="EQ182" s="226"/>
      <c r="ER182" s="226"/>
      <c r="ES182" s="226"/>
      <c r="ET182" s="226"/>
      <c r="EU182" s="226"/>
      <c r="EV182" s="226"/>
      <c r="EW182" s="226"/>
      <c r="EX182" s="226"/>
      <c r="EY182" s="226"/>
      <c r="EZ182" s="226"/>
      <c r="FA182" s="226"/>
      <c r="FB182" s="226"/>
      <c r="FC182" s="226"/>
      <c r="FD182" s="226"/>
      <c r="FE182" s="226"/>
      <c r="FF182" s="226"/>
      <c r="FG182" s="226"/>
      <c r="FH182" s="226"/>
      <c r="FI182" s="226"/>
      <c r="FJ182" s="226"/>
      <c r="FK182" s="226"/>
      <c r="FL182" s="226"/>
      <c r="FM182" s="226"/>
      <c r="FN182" s="226"/>
      <c r="FO182" s="226"/>
      <c r="FP182" s="226"/>
      <c r="FQ182" s="226"/>
      <c r="FR182" s="226"/>
      <c r="FS182" s="226"/>
      <c r="FT182" s="226"/>
      <c r="FU182" s="226"/>
      <c r="FV182" s="226"/>
      <c r="FW182" s="226"/>
      <c r="FX182" s="226"/>
      <c r="FY182" s="226"/>
      <c r="FZ182" s="226"/>
      <c r="GA182" s="226"/>
      <c r="GB182" s="226"/>
      <c r="GC182" s="226"/>
      <c r="GD182" s="226"/>
      <c r="GE182" s="226"/>
      <c r="GF182" s="226"/>
      <c r="GG182" s="226"/>
      <c r="GH182" s="226"/>
      <c r="GI182" s="226"/>
      <c r="GJ182" s="226"/>
      <c r="GK182" s="226"/>
      <c r="GL182" s="226"/>
      <c r="GM182" s="226"/>
      <c r="GN182" s="226"/>
      <c r="GO182" s="226"/>
      <c r="GP182" s="226"/>
      <c r="GQ182" s="226"/>
      <c r="GR182" s="226"/>
      <c r="GS182" s="226"/>
      <c r="GT182" s="226"/>
      <c r="GU182" s="226"/>
      <c r="GV182" s="226"/>
      <c r="GW182" s="226"/>
      <c r="GX182" s="226"/>
      <c r="GY182" s="226"/>
      <c r="GZ182" s="226"/>
      <c r="HA182" s="226"/>
      <c r="HB182" s="226"/>
      <c r="HC182" s="226"/>
      <c r="HD182" s="226"/>
    </row>
    <row r="183" spans="1:212" ht="14.1" customHeight="1" x14ac:dyDescent="0.2">
      <c r="A183" s="226"/>
      <c r="B183" s="226"/>
      <c r="C183" s="226"/>
      <c r="D183" s="226"/>
      <c r="E183" s="226"/>
      <c r="F183" s="226"/>
      <c r="G183" s="226"/>
      <c r="H183" s="226"/>
      <c r="I183" s="226"/>
      <c r="J183" s="226"/>
      <c r="K183" s="226"/>
      <c r="L183" s="226"/>
      <c r="M183" s="226"/>
      <c r="N183" s="226"/>
      <c r="O183" s="226"/>
      <c r="P183" s="226"/>
      <c r="Q183" s="226"/>
      <c r="R183" s="226"/>
      <c r="S183" s="226"/>
      <c r="T183" s="226"/>
      <c r="U183" s="226"/>
      <c r="V183" s="226"/>
      <c r="W183" s="226"/>
      <c r="X183" s="226"/>
      <c r="Y183" s="226"/>
      <c r="Z183" s="226"/>
      <c r="AA183" s="226"/>
      <c r="AB183" s="226"/>
      <c r="AC183" s="226"/>
      <c r="AD183" s="226"/>
      <c r="AE183" s="226"/>
      <c r="AF183" s="226"/>
      <c r="AG183" s="226"/>
      <c r="AH183" s="226"/>
      <c r="AI183" s="226"/>
      <c r="AJ183" s="226"/>
      <c r="AK183" s="226"/>
      <c r="AL183" s="226"/>
      <c r="AM183" s="226"/>
      <c r="AN183" s="226"/>
      <c r="AO183" s="226"/>
      <c r="AP183" s="226"/>
      <c r="AQ183" s="226"/>
      <c r="AR183" s="226"/>
      <c r="AS183" s="226"/>
      <c r="AT183" s="226"/>
      <c r="AU183" s="226"/>
      <c r="AV183" s="226"/>
      <c r="AW183" s="226"/>
      <c r="AX183" s="226"/>
      <c r="AY183" s="226"/>
      <c r="AZ183" s="226"/>
      <c r="BA183" s="226"/>
      <c r="BB183" s="226"/>
      <c r="BC183" s="226"/>
      <c r="BD183" s="226"/>
      <c r="BE183" s="226"/>
      <c r="BF183" s="226"/>
      <c r="BG183" s="226"/>
      <c r="BH183" s="226"/>
      <c r="BI183" s="226"/>
      <c r="BJ183" s="226"/>
      <c r="BK183" s="226"/>
      <c r="BL183" s="226"/>
      <c r="BM183" s="226"/>
      <c r="BN183" s="226"/>
      <c r="BO183" s="226"/>
      <c r="BP183" s="226"/>
      <c r="BQ183" s="226"/>
      <c r="BR183" s="226"/>
      <c r="BS183" s="226"/>
      <c r="BT183" s="226"/>
      <c r="BU183" s="226"/>
      <c r="BV183" s="226"/>
      <c r="BW183" s="226"/>
      <c r="BX183" s="226"/>
      <c r="BY183" s="226"/>
      <c r="BZ183" s="226"/>
      <c r="CA183" s="226"/>
      <c r="CB183" s="226"/>
      <c r="CC183" s="226"/>
      <c r="CD183" s="226"/>
      <c r="CE183" s="226"/>
      <c r="CF183" s="226"/>
      <c r="CG183" s="226"/>
      <c r="CH183" s="226"/>
      <c r="CI183" s="226"/>
      <c r="CJ183" s="226"/>
      <c r="CK183" s="226"/>
      <c r="CL183" s="226"/>
      <c r="CM183" s="226"/>
      <c r="CN183" s="226"/>
      <c r="CO183" s="226"/>
      <c r="CP183" s="226"/>
      <c r="CQ183" s="226"/>
      <c r="CR183" s="226"/>
      <c r="CS183" s="226"/>
      <c r="CT183" s="226"/>
      <c r="CU183" s="226"/>
      <c r="CV183" s="226"/>
      <c r="CW183" s="226"/>
      <c r="CX183" s="226"/>
      <c r="CY183" s="226"/>
      <c r="CZ183" s="226"/>
      <c r="DA183" s="226"/>
      <c r="DB183" s="226"/>
      <c r="DC183" s="226"/>
      <c r="DD183" s="226"/>
      <c r="DE183" s="226"/>
      <c r="DF183" s="226"/>
      <c r="DG183" s="226"/>
      <c r="DH183" s="226"/>
      <c r="DI183" s="226"/>
      <c r="DJ183" s="226"/>
      <c r="DK183" s="226"/>
      <c r="DL183" s="226"/>
      <c r="DM183" s="226"/>
      <c r="DN183" s="226"/>
      <c r="DO183" s="226"/>
      <c r="DP183" s="226"/>
      <c r="DQ183" s="226"/>
      <c r="DR183" s="226"/>
      <c r="DS183" s="226"/>
      <c r="DT183" s="226"/>
      <c r="DU183" s="226"/>
      <c r="DV183" s="226"/>
      <c r="DW183" s="226"/>
      <c r="DX183" s="226"/>
      <c r="DY183" s="226"/>
      <c r="DZ183" s="226"/>
      <c r="EA183" s="226"/>
      <c r="EB183" s="226"/>
      <c r="EC183" s="226"/>
      <c r="ED183" s="226"/>
      <c r="EE183" s="226"/>
      <c r="EF183" s="226"/>
      <c r="EG183" s="226"/>
      <c r="EH183" s="226"/>
      <c r="EI183" s="226"/>
      <c r="EJ183" s="226"/>
      <c r="EK183" s="226"/>
      <c r="EL183" s="226"/>
      <c r="EM183" s="226"/>
      <c r="EN183" s="226"/>
      <c r="EO183" s="226"/>
      <c r="EP183" s="226"/>
      <c r="EQ183" s="226"/>
      <c r="ER183" s="226"/>
      <c r="ES183" s="226"/>
      <c r="ET183" s="226"/>
      <c r="EU183" s="226"/>
      <c r="EV183" s="226"/>
      <c r="EW183" s="226"/>
      <c r="EX183" s="226"/>
      <c r="EY183" s="226"/>
      <c r="EZ183" s="226"/>
      <c r="FA183" s="226"/>
      <c r="FB183" s="226"/>
      <c r="FC183" s="226"/>
      <c r="FD183" s="226"/>
      <c r="FE183" s="226"/>
      <c r="FF183" s="226"/>
      <c r="FG183" s="226"/>
      <c r="FH183" s="226"/>
      <c r="FI183" s="226"/>
      <c r="FJ183" s="226"/>
      <c r="FK183" s="226"/>
      <c r="FL183" s="226"/>
      <c r="FM183" s="226"/>
      <c r="FN183" s="226"/>
      <c r="FO183" s="226"/>
      <c r="FP183" s="226"/>
      <c r="FQ183" s="226"/>
      <c r="FR183" s="226"/>
      <c r="FS183" s="226"/>
      <c r="FT183" s="226"/>
      <c r="FU183" s="226"/>
      <c r="FV183" s="226"/>
      <c r="FW183" s="226"/>
      <c r="FX183" s="226"/>
      <c r="FY183" s="226"/>
      <c r="FZ183" s="226"/>
      <c r="GA183" s="226"/>
      <c r="GB183" s="226"/>
      <c r="GC183" s="226"/>
      <c r="GD183" s="226"/>
      <c r="GE183" s="226"/>
      <c r="GF183" s="226"/>
      <c r="GG183" s="226"/>
      <c r="GH183" s="226"/>
      <c r="GI183" s="226"/>
      <c r="GJ183" s="226"/>
      <c r="GK183" s="226"/>
      <c r="GL183" s="226"/>
      <c r="GM183" s="226"/>
      <c r="GN183" s="226"/>
      <c r="GO183" s="226"/>
      <c r="GP183" s="226"/>
      <c r="GQ183" s="226"/>
      <c r="GR183" s="226"/>
      <c r="GS183" s="226"/>
      <c r="GT183" s="226"/>
      <c r="GU183" s="226"/>
      <c r="GV183" s="226"/>
      <c r="GW183" s="226"/>
      <c r="GX183" s="226"/>
      <c r="GY183" s="226"/>
      <c r="GZ183" s="226"/>
      <c r="HA183" s="226"/>
      <c r="HB183" s="226"/>
      <c r="HC183" s="226"/>
      <c r="HD183" s="226"/>
    </row>
    <row r="184" spans="1:212" ht="14.1" customHeight="1" x14ac:dyDescent="0.2">
      <c r="A184" s="226"/>
      <c r="B184" s="226"/>
      <c r="C184" s="226"/>
      <c r="D184" s="226"/>
      <c r="E184" s="226"/>
      <c r="F184" s="226"/>
      <c r="G184" s="226"/>
      <c r="H184" s="226"/>
      <c r="I184" s="226"/>
      <c r="J184" s="226"/>
      <c r="K184" s="226"/>
      <c r="L184" s="226"/>
      <c r="M184" s="226"/>
      <c r="N184" s="226"/>
      <c r="O184" s="226"/>
      <c r="P184" s="226"/>
      <c r="Q184" s="226"/>
      <c r="R184" s="226"/>
      <c r="S184" s="226"/>
      <c r="T184" s="226"/>
      <c r="U184" s="226"/>
      <c r="V184" s="226"/>
      <c r="W184" s="226"/>
      <c r="X184" s="226"/>
      <c r="Y184" s="226"/>
      <c r="Z184" s="226"/>
      <c r="AA184" s="226"/>
      <c r="AB184" s="226"/>
      <c r="AC184" s="226"/>
      <c r="AD184" s="226"/>
      <c r="AE184" s="226"/>
      <c r="AF184" s="226"/>
      <c r="AG184" s="226"/>
      <c r="AH184" s="226"/>
      <c r="AI184" s="226"/>
      <c r="AJ184" s="226"/>
      <c r="AK184" s="226"/>
      <c r="AL184" s="226"/>
      <c r="AM184" s="226"/>
      <c r="AN184" s="226"/>
      <c r="AO184" s="226"/>
      <c r="AP184" s="226"/>
      <c r="AQ184" s="226"/>
      <c r="AR184" s="226"/>
      <c r="AS184" s="226"/>
      <c r="AT184" s="226"/>
      <c r="AU184" s="226"/>
      <c r="AV184" s="226"/>
      <c r="AW184" s="226"/>
      <c r="AX184" s="226"/>
      <c r="AY184" s="226"/>
      <c r="AZ184" s="226"/>
      <c r="BA184" s="226"/>
      <c r="BB184" s="226"/>
      <c r="BC184" s="226"/>
      <c r="BD184" s="226"/>
      <c r="BE184" s="226"/>
      <c r="BF184" s="226"/>
      <c r="BG184" s="226"/>
      <c r="BH184" s="226"/>
      <c r="BI184" s="226"/>
      <c r="BJ184" s="226"/>
      <c r="BK184" s="226"/>
      <c r="BL184" s="226"/>
      <c r="BM184" s="226"/>
      <c r="BN184" s="226"/>
      <c r="BO184" s="226"/>
      <c r="BP184" s="226"/>
      <c r="BQ184" s="226"/>
      <c r="BR184" s="226"/>
      <c r="BS184" s="226"/>
      <c r="BT184" s="226"/>
      <c r="BU184" s="226"/>
      <c r="BV184" s="226"/>
      <c r="BW184" s="226"/>
      <c r="BX184" s="226"/>
      <c r="BY184" s="226"/>
      <c r="BZ184" s="226"/>
      <c r="CA184" s="226"/>
      <c r="CB184" s="226"/>
      <c r="CC184" s="226"/>
      <c r="CD184" s="226"/>
      <c r="CE184" s="226"/>
      <c r="CF184" s="226"/>
      <c r="CG184" s="226"/>
      <c r="CH184" s="226"/>
      <c r="CI184" s="226"/>
      <c r="CJ184" s="226"/>
      <c r="CK184" s="226"/>
      <c r="CL184" s="226"/>
      <c r="CM184" s="226"/>
      <c r="CN184" s="226"/>
      <c r="CO184" s="226"/>
      <c r="CP184" s="226"/>
      <c r="CQ184" s="226"/>
      <c r="CR184" s="226"/>
      <c r="CS184" s="226"/>
      <c r="CT184" s="226"/>
      <c r="CU184" s="226"/>
      <c r="CV184" s="226"/>
      <c r="CW184" s="226"/>
      <c r="CX184" s="226"/>
      <c r="CY184" s="226"/>
      <c r="CZ184" s="226"/>
      <c r="DA184" s="226"/>
      <c r="DB184" s="226"/>
      <c r="DC184" s="226"/>
      <c r="DD184" s="226"/>
      <c r="DE184" s="226"/>
      <c r="DF184" s="226"/>
      <c r="DG184" s="226"/>
      <c r="DH184" s="226"/>
      <c r="DI184" s="226"/>
      <c r="DJ184" s="226"/>
      <c r="DK184" s="226"/>
      <c r="DL184" s="226"/>
      <c r="DM184" s="226"/>
      <c r="DN184" s="226"/>
      <c r="DO184" s="226"/>
      <c r="DP184" s="226"/>
      <c r="DQ184" s="226"/>
      <c r="DR184" s="226"/>
      <c r="DS184" s="226"/>
      <c r="DT184" s="226"/>
      <c r="DU184" s="226"/>
      <c r="DV184" s="226"/>
      <c r="DW184" s="226"/>
      <c r="DX184" s="226"/>
      <c r="DY184" s="226"/>
      <c r="DZ184" s="226"/>
      <c r="EA184" s="226"/>
      <c r="EB184" s="226"/>
      <c r="EC184" s="226"/>
      <c r="ED184" s="226"/>
      <c r="EE184" s="226"/>
      <c r="EF184" s="226"/>
      <c r="EG184" s="226"/>
      <c r="EH184" s="226"/>
      <c r="EI184" s="226"/>
      <c r="EJ184" s="226"/>
      <c r="EK184" s="226"/>
      <c r="EL184" s="226"/>
      <c r="EM184" s="226"/>
      <c r="EN184" s="226"/>
      <c r="EO184" s="226"/>
      <c r="EP184" s="226"/>
      <c r="EQ184" s="226"/>
      <c r="ER184" s="226"/>
      <c r="ES184" s="226"/>
      <c r="ET184" s="226"/>
      <c r="EU184" s="226"/>
      <c r="EV184" s="226"/>
      <c r="EW184" s="226"/>
      <c r="EX184" s="226"/>
      <c r="EY184" s="226"/>
      <c r="EZ184" s="226"/>
      <c r="FA184" s="226"/>
      <c r="FB184" s="226"/>
      <c r="FC184" s="226"/>
      <c r="FD184" s="226"/>
      <c r="FE184" s="226"/>
      <c r="FF184" s="226"/>
      <c r="FG184" s="226"/>
      <c r="FH184" s="226"/>
      <c r="FI184" s="226"/>
      <c r="FJ184" s="226"/>
      <c r="FK184" s="226"/>
      <c r="FL184" s="226"/>
      <c r="FM184" s="226"/>
      <c r="FN184" s="226"/>
      <c r="FO184" s="226"/>
      <c r="FP184" s="226"/>
      <c r="FQ184" s="226"/>
      <c r="FR184" s="226"/>
      <c r="FS184" s="226"/>
      <c r="FT184" s="226"/>
      <c r="FU184" s="226"/>
      <c r="FV184" s="226"/>
      <c r="FW184" s="226"/>
      <c r="FX184" s="226"/>
      <c r="FY184" s="226"/>
      <c r="FZ184" s="226"/>
      <c r="GA184" s="226"/>
      <c r="GB184" s="226"/>
      <c r="GC184" s="226"/>
      <c r="GD184" s="226"/>
      <c r="GE184" s="226"/>
      <c r="GF184" s="226"/>
      <c r="GG184" s="226"/>
      <c r="GH184" s="226"/>
      <c r="GI184" s="226"/>
      <c r="GJ184" s="226"/>
      <c r="GK184" s="226"/>
      <c r="GL184" s="226"/>
      <c r="GM184" s="226"/>
      <c r="GN184" s="226"/>
      <c r="GO184" s="226"/>
      <c r="GP184" s="226"/>
      <c r="GQ184" s="226"/>
      <c r="GR184" s="226"/>
      <c r="GS184" s="226"/>
      <c r="GT184" s="226"/>
      <c r="GU184" s="226"/>
      <c r="GV184" s="226"/>
      <c r="GW184" s="226"/>
      <c r="GX184" s="226"/>
      <c r="GY184" s="226"/>
      <c r="GZ184" s="226"/>
      <c r="HA184" s="226"/>
      <c r="HB184" s="226"/>
      <c r="HC184" s="226"/>
      <c r="HD184" s="226"/>
    </row>
    <row r="185" spans="1:212" ht="14.1" customHeight="1" x14ac:dyDescent="0.2">
      <c r="A185" s="226"/>
      <c r="B185" s="226"/>
      <c r="C185" s="226"/>
      <c r="D185" s="226"/>
      <c r="E185" s="226"/>
      <c r="F185" s="226"/>
      <c r="G185" s="226"/>
      <c r="H185" s="226"/>
      <c r="I185" s="226"/>
      <c r="J185" s="226"/>
      <c r="K185" s="226"/>
      <c r="L185" s="226"/>
      <c r="M185" s="226"/>
      <c r="N185" s="226"/>
      <c r="O185" s="226"/>
      <c r="P185" s="226"/>
      <c r="Q185" s="226"/>
      <c r="R185" s="226"/>
      <c r="S185" s="226"/>
      <c r="T185" s="226"/>
      <c r="U185" s="226"/>
      <c r="V185" s="226"/>
      <c r="W185" s="226"/>
      <c r="X185" s="226"/>
      <c r="Y185" s="226"/>
      <c r="Z185" s="226"/>
      <c r="AA185" s="226"/>
      <c r="AB185" s="226"/>
      <c r="AC185" s="226"/>
      <c r="AD185" s="226"/>
      <c r="AE185" s="226"/>
      <c r="AF185" s="226"/>
      <c r="AG185" s="226"/>
      <c r="AH185" s="226"/>
      <c r="AI185" s="226"/>
      <c r="AJ185" s="226"/>
      <c r="AK185" s="226"/>
      <c r="AL185" s="226"/>
      <c r="AM185" s="226"/>
      <c r="AN185" s="226"/>
      <c r="AO185" s="226"/>
      <c r="AP185" s="226"/>
      <c r="AQ185" s="226"/>
      <c r="AR185" s="226"/>
      <c r="AS185" s="226"/>
      <c r="AT185" s="226"/>
      <c r="AU185" s="226"/>
      <c r="AV185" s="226"/>
      <c r="AW185" s="226"/>
      <c r="AX185" s="226"/>
      <c r="AY185" s="226"/>
      <c r="AZ185" s="226"/>
      <c r="BA185" s="226"/>
      <c r="BB185" s="226"/>
      <c r="BC185" s="226"/>
      <c r="BD185" s="226"/>
      <c r="BE185" s="226"/>
      <c r="BF185" s="226"/>
      <c r="BG185" s="226"/>
      <c r="BH185" s="226"/>
      <c r="BI185" s="226"/>
      <c r="BJ185" s="226"/>
      <c r="BK185" s="226"/>
      <c r="BL185" s="226"/>
      <c r="BM185" s="226"/>
      <c r="BN185" s="226"/>
      <c r="BO185" s="226"/>
      <c r="BP185" s="226"/>
      <c r="BQ185" s="226"/>
      <c r="BR185" s="226"/>
      <c r="BS185" s="226"/>
      <c r="BT185" s="226"/>
      <c r="BU185" s="226"/>
      <c r="BV185" s="226"/>
      <c r="BW185" s="226"/>
      <c r="BX185" s="226"/>
      <c r="BY185" s="226"/>
      <c r="BZ185" s="226"/>
      <c r="CA185" s="226"/>
      <c r="CB185" s="226"/>
      <c r="CC185" s="226"/>
      <c r="CD185" s="226"/>
      <c r="CE185" s="226"/>
      <c r="CF185" s="226"/>
      <c r="CG185" s="226"/>
      <c r="CH185" s="226"/>
      <c r="CI185" s="226"/>
      <c r="CJ185" s="226"/>
      <c r="CK185" s="226"/>
      <c r="CL185" s="226"/>
      <c r="CM185" s="226"/>
      <c r="CN185" s="226"/>
      <c r="CO185" s="226"/>
      <c r="CP185" s="226"/>
      <c r="CQ185" s="226"/>
      <c r="CR185" s="226"/>
      <c r="CS185" s="226"/>
      <c r="CT185" s="226"/>
      <c r="CU185" s="226"/>
      <c r="CV185" s="226"/>
      <c r="CW185" s="226"/>
      <c r="CX185" s="226"/>
      <c r="CY185" s="226"/>
      <c r="CZ185" s="226"/>
      <c r="DA185" s="226"/>
      <c r="DB185" s="226"/>
      <c r="DC185" s="226"/>
      <c r="DD185" s="226"/>
      <c r="DE185" s="226"/>
      <c r="DF185" s="226"/>
      <c r="DG185" s="226"/>
      <c r="DH185" s="226"/>
      <c r="DI185" s="226"/>
      <c r="DJ185" s="226"/>
      <c r="DK185" s="226"/>
      <c r="DL185" s="226"/>
      <c r="DM185" s="226"/>
      <c r="DN185" s="226"/>
      <c r="DO185" s="226"/>
      <c r="DP185" s="226"/>
      <c r="DQ185" s="226"/>
      <c r="DR185" s="226"/>
      <c r="DS185" s="226"/>
      <c r="DT185" s="226"/>
      <c r="DU185" s="226"/>
      <c r="DV185" s="226"/>
      <c r="DW185" s="226"/>
      <c r="DX185" s="226"/>
      <c r="DY185" s="226"/>
      <c r="DZ185" s="226"/>
      <c r="EA185" s="226"/>
      <c r="EB185" s="226"/>
      <c r="EC185" s="226"/>
      <c r="ED185" s="226"/>
      <c r="EE185" s="226"/>
      <c r="EF185" s="226"/>
      <c r="EG185" s="226"/>
      <c r="EH185" s="226"/>
      <c r="EI185" s="226"/>
      <c r="EJ185" s="226"/>
      <c r="EK185" s="226"/>
      <c r="EL185" s="226"/>
      <c r="EM185" s="226"/>
      <c r="EN185" s="226"/>
      <c r="EO185" s="226"/>
      <c r="EP185" s="226"/>
      <c r="EQ185" s="226"/>
      <c r="ER185" s="226"/>
      <c r="ES185" s="226"/>
      <c r="ET185" s="226"/>
      <c r="EU185" s="226"/>
      <c r="EV185" s="226"/>
      <c r="EW185" s="226"/>
      <c r="EX185" s="226"/>
      <c r="EY185" s="226"/>
      <c r="EZ185" s="226"/>
      <c r="FA185" s="226"/>
      <c r="FB185" s="226"/>
      <c r="FC185" s="226"/>
      <c r="FD185" s="226"/>
      <c r="FE185" s="226"/>
      <c r="FF185" s="226"/>
      <c r="FG185" s="226"/>
      <c r="FH185" s="226"/>
      <c r="FI185" s="226"/>
      <c r="FJ185" s="226"/>
      <c r="FK185" s="226"/>
      <c r="FL185" s="226"/>
      <c r="FM185" s="226"/>
      <c r="FN185" s="226"/>
      <c r="FO185" s="226"/>
      <c r="FP185" s="226"/>
      <c r="FQ185" s="226"/>
      <c r="FR185" s="226"/>
      <c r="FS185" s="226"/>
      <c r="FT185" s="226"/>
      <c r="FU185" s="226"/>
      <c r="FV185" s="226"/>
      <c r="FW185" s="226"/>
      <c r="FX185" s="226"/>
      <c r="FY185" s="226"/>
      <c r="FZ185" s="226"/>
      <c r="GA185" s="226"/>
      <c r="GB185" s="226"/>
      <c r="GC185" s="226"/>
      <c r="GD185" s="226"/>
      <c r="GE185" s="226"/>
      <c r="GF185" s="226"/>
      <c r="GG185" s="226"/>
      <c r="GH185" s="226"/>
      <c r="GI185" s="226"/>
      <c r="GJ185" s="226"/>
      <c r="GK185" s="226"/>
      <c r="GL185" s="226"/>
      <c r="GM185" s="226"/>
      <c r="GN185" s="226"/>
      <c r="GO185" s="226"/>
      <c r="GP185" s="226"/>
      <c r="GQ185" s="226"/>
      <c r="GR185" s="226"/>
      <c r="GS185" s="226"/>
      <c r="GT185" s="226"/>
      <c r="GU185" s="226"/>
      <c r="GV185" s="226"/>
      <c r="GW185" s="226"/>
      <c r="GX185" s="226"/>
      <c r="GY185" s="226"/>
      <c r="GZ185" s="226"/>
      <c r="HA185" s="226"/>
      <c r="HB185" s="226"/>
      <c r="HC185" s="226"/>
      <c r="HD185" s="226"/>
    </row>
    <row r="186" spans="1:212" ht="14.1" customHeight="1" x14ac:dyDescent="0.2">
      <c r="A186" s="226"/>
      <c r="B186" s="226"/>
      <c r="C186" s="226"/>
      <c r="D186" s="226"/>
      <c r="E186" s="226"/>
      <c r="F186" s="226"/>
      <c r="G186" s="226"/>
      <c r="H186" s="226"/>
      <c r="I186" s="226"/>
      <c r="J186" s="226"/>
      <c r="K186" s="226"/>
      <c r="L186" s="226"/>
      <c r="M186" s="226"/>
      <c r="N186" s="226"/>
      <c r="O186" s="226"/>
      <c r="P186" s="226"/>
      <c r="Q186" s="226"/>
      <c r="R186" s="226"/>
      <c r="S186" s="226"/>
      <c r="T186" s="226"/>
      <c r="U186" s="226"/>
      <c r="V186" s="226"/>
      <c r="W186" s="226"/>
      <c r="X186" s="226"/>
      <c r="Y186" s="226"/>
      <c r="Z186" s="226"/>
      <c r="AA186" s="226"/>
      <c r="AB186" s="226"/>
      <c r="AC186" s="226"/>
      <c r="AD186" s="226"/>
      <c r="AE186" s="226"/>
      <c r="AF186" s="226"/>
      <c r="AG186" s="226"/>
      <c r="AH186" s="226"/>
      <c r="AI186" s="226"/>
      <c r="AJ186" s="226"/>
      <c r="AK186" s="226"/>
      <c r="AL186" s="226"/>
      <c r="AM186" s="226"/>
      <c r="AN186" s="226"/>
      <c r="AO186" s="226"/>
      <c r="AP186" s="226"/>
      <c r="AQ186" s="226"/>
      <c r="AR186" s="226"/>
      <c r="AS186" s="226"/>
      <c r="AT186" s="226"/>
      <c r="AU186" s="226"/>
      <c r="AV186" s="226"/>
      <c r="AW186" s="226"/>
      <c r="AX186" s="226"/>
      <c r="AY186" s="226"/>
      <c r="AZ186" s="226"/>
      <c r="BA186" s="226"/>
      <c r="BB186" s="226"/>
      <c r="BC186" s="226"/>
      <c r="BD186" s="226"/>
      <c r="BE186" s="226"/>
      <c r="BF186" s="226"/>
      <c r="BG186" s="226"/>
      <c r="BH186" s="226"/>
      <c r="BI186" s="226"/>
      <c r="BJ186" s="226"/>
      <c r="BK186" s="226"/>
      <c r="BL186" s="226"/>
      <c r="BM186" s="226"/>
      <c r="BN186" s="226"/>
      <c r="BO186" s="226"/>
      <c r="BP186" s="226"/>
      <c r="BQ186" s="226"/>
      <c r="BR186" s="226"/>
      <c r="BS186" s="226"/>
      <c r="BT186" s="226"/>
      <c r="BU186" s="226"/>
      <c r="BV186" s="226"/>
      <c r="BW186" s="226"/>
      <c r="BX186" s="226"/>
      <c r="BY186" s="226"/>
      <c r="BZ186" s="226"/>
      <c r="CA186" s="226"/>
      <c r="CB186" s="226"/>
      <c r="CC186" s="226"/>
      <c r="CD186" s="226"/>
      <c r="CE186" s="226"/>
      <c r="CF186" s="226"/>
      <c r="CG186" s="226"/>
      <c r="CH186" s="226"/>
      <c r="CI186" s="226"/>
      <c r="CJ186" s="226"/>
      <c r="CK186" s="226"/>
      <c r="CL186" s="226"/>
      <c r="CM186" s="226"/>
      <c r="CN186" s="226"/>
      <c r="CO186" s="226"/>
      <c r="CP186" s="226"/>
      <c r="CQ186" s="226"/>
      <c r="CR186" s="226"/>
      <c r="CS186" s="226"/>
      <c r="CT186" s="226"/>
      <c r="CU186" s="226"/>
      <c r="CV186" s="226"/>
      <c r="CW186" s="226"/>
      <c r="CX186" s="226"/>
      <c r="CY186" s="226"/>
      <c r="CZ186" s="226"/>
      <c r="DA186" s="226"/>
      <c r="DB186" s="226"/>
      <c r="DC186" s="226"/>
      <c r="DD186" s="226"/>
      <c r="DE186" s="226"/>
      <c r="DF186" s="226"/>
      <c r="DG186" s="226"/>
      <c r="DH186" s="226"/>
      <c r="DI186" s="226"/>
      <c r="DJ186" s="226"/>
      <c r="DK186" s="226"/>
      <c r="DL186" s="226"/>
      <c r="DM186" s="226"/>
      <c r="DN186" s="226"/>
      <c r="DO186" s="226"/>
      <c r="DP186" s="226"/>
      <c r="DQ186" s="226"/>
      <c r="DR186" s="226"/>
      <c r="DS186" s="226"/>
      <c r="DT186" s="226"/>
      <c r="DU186" s="226"/>
      <c r="DV186" s="226"/>
      <c r="DW186" s="226"/>
      <c r="DX186" s="226"/>
      <c r="DY186" s="226"/>
      <c r="DZ186" s="226"/>
      <c r="EA186" s="226"/>
      <c r="EB186" s="226"/>
      <c r="EC186" s="226"/>
      <c r="ED186" s="226"/>
      <c r="EE186" s="226"/>
      <c r="EF186" s="226"/>
      <c r="EG186" s="226"/>
      <c r="EH186" s="226"/>
      <c r="EI186" s="226"/>
      <c r="EJ186" s="226"/>
      <c r="EK186" s="226"/>
      <c r="EL186" s="226"/>
      <c r="EM186" s="226"/>
      <c r="EN186" s="226"/>
      <c r="EO186" s="226"/>
      <c r="EP186" s="226"/>
      <c r="EQ186" s="226"/>
      <c r="ER186" s="226"/>
      <c r="ES186" s="226"/>
      <c r="ET186" s="226"/>
      <c r="EU186" s="226"/>
      <c r="EV186" s="226"/>
      <c r="EW186" s="226"/>
      <c r="EX186" s="226"/>
      <c r="EY186" s="226"/>
      <c r="EZ186" s="226"/>
      <c r="FA186" s="226"/>
      <c r="FB186" s="226"/>
      <c r="FC186" s="226"/>
      <c r="FD186" s="226"/>
      <c r="FE186" s="226"/>
      <c r="FF186" s="226"/>
      <c r="FG186" s="226"/>
      <c r="FH186" s="226"/>
      <c r="FI186" s="226"/>
      <c r="FJ186" s="226"/>
      <c r="FK186" s="226"/>
      <c r="FL186" s="226"/>
      <c r="FM186" s="226"/>
      <c r="FN186" s="226"/>
      <c r="FO186" s="226"/>
      <c r="FP186" s="226"/>
      <c r="FQ186" s="226"/>
      <c r="FR186" s="226"/>
      <c r="FS186" s="226"/>
      <c r="FT186" s="226"/>
      <c r="FU186" s="226"/>
      <c r="FV186" s="226"/>
      <c r="FW186" s="226"/>
      <c r="FX186" s="226"/>
      <c r="FY186" s="226"/>
      <c r="FZ186" s="226"/>
      <c r="GA186" s="226"/>
      <c r="GB186" s="226"/>
      <c r="GC186" s="226"/>
      <c r="GD186" s="226"/>
      <c r="GE186" s="226"/>
      <c r="GF186" s="226"/>
      <c r="GG186" s="226"/>
      <c r="GH186" s="226"/>
      <c r="GI186" s="226"/>
      <c r="GJ186" s="226"/>
      <c r="GK186" s="226"/>
      <c r="GL186" s="226"/>
      <c r="GM186" s="226"/>
      <c r="GN186" s="226"/>
      <c r="GO186" s="226"/>
      <c r="GP186" s="226"/>
      <c r="GQ186" s="226"/>
      <c r="GR186" s="226"/>
      <c r="GS186" s="226"/>
      <c r="GT186" s="226"/>
      <c r="GU186" s="226"/>
      <c r="GV186" s="226"/>
      <c r="GW186" s="226"/>
      <c r="GX186" s="226"/>
      <c r="GY186" s="226"/>
      <c r="GZ186" s="226"/>
      <c r="HA186" s="226"/>
      <c r="HB186" s="226"/>
      <c r="HC186" s="226"/>
      <c r="HD186" s="226"/>
    </row>
    <row r="187" spans="1:212" ht="14.1" customHeight="1" x14ac:dyDescent="0.2">
      <c r="A187" s="226"/>
      <c r="B187" s="226"/>
      <c r="C187" s="226"/>
      <c r="D187" s="226"/>
      <c r="E187" s="226"/>
      <c r="F187" s="226"/>
      <c r="G187" s="226"/>
      <c r="H187" s="226"/>
      <c r="I187" s="226"/>
      <c r="J187" s="226"/>
      <c r="K187" s="226"/>
      <c r="L187" s="226"/>
      <c r="M187" s="226"/>
      <c r="N187" s="226"/>
      <c r="O187" s="226"/>
      <c r="P187" s="226"/>
      <c r="Q187" s="226"/>
      <c r="R187" s="226"/>
      <c r="S187" s="226"/>
      <c r="T187" s="226"/>
      <c r="U187" s="226"/>
      <c r="V187" s="226"/>
      <c r="W187" s="226"/>
      <c r="X187" s="226"/>
      <c r="Y187" s="226"/>
      <c r="Z187" s="226"/>
      <c r="AA187" s="226"/>
      <c r="AB187" s="226"/>
      <c r="AC187" s="226"/>
      <c r="AD187" s="226"/>
      <c r="AE187" s="226"/>
      <c r="AF187" s="226"/>
      <c r="AG187" s="226"/>
      <c r="AH187" s="226"/>
      <c r="AI187" s="226"/>
      <c r="AJ187" s="226"/>
      <c r="AK187" s="226"/>
      <c r="AL187" s="226"/>
      <c r="AM187" s="226"/>
      <c r="AN187" s="226"/>
      <c r="AO187" s="226"/>
      <c r="AP187" s="226"/>
      <c r="AQ187" s="226"/>
      <c r="AR187" s="226"/>
      <c r="AS187" s="226"/>
      <c r="AT187" s="226"/>
      <c r="AU187" s="226"/>
      <c r="AV187" s="226"/>
      <c r="AW187" s="226"/>
      <c r="AX187" s="226"/>
      <c r="AY187" s="226"/>
      <c r="AZ187" s="226"/>
      <c r="BA187" s="226"/>
      <c r="BB187" s="226"/>
      <c r="BC187" s="226"/>
      <c r="BD187" s="226"/>
      <c r="BE187" s="226"/>
      <c r="BF187" s="226"/>
      <c r="BG187" s="226"/>
      <c r="BH187" s="226"/>
      <c r="BI187" s="226"/>
      <c r="BJ187" s="226"/>
      <c r="BK187" s="226"/>
      <c r="BL187" s="226"/>
      <c r="BM187" s="226"/>
      <c r="BN187" s="226"/>
      <c r="BO187" s="226"/>
      <c r="BP187" s="226"/>
      <c r="BQ187" s="226"/>
      <c r="BR187" s="226"/>
      <c r="BS187" s="226"/>
      <c r="BT187" s="226"/>
      <c r="BU187" s="226"/>
      <c r="BV187" s="226"/>
      <c r="BW187" s="226"/>
      <c r="BX187" s="226"/>
      <c r="BY187" s="226"/>
      <c r="BZ187" s="226"/>
      <c r="CA187" s="226"/>
      <c r="CB187" s="226"/>
      <c r="CC187" s="226"/>
      <c r="CD187" s="226"/>
      <c r="CE187" s="226"/>
      <c r="CF187" s="226"/>
      <c r="CG187" s="226"/>
      <c r="CH187" s="226"/>
      <c r="CI187" s="226"/>
      <c r="CJ187" s="226"/>
      <c r="CK187" s="226"/>
      <c r="CL187" s="226"/>
      <c r="CM187" s="226"/>
      <c r="CN187" s="226"/>
      <c r="CO187" s="226"/>
      <c r="CP187" s="226"/>
      <c r="CQ187" s="226"/>
      <c r="CR187" s="226"/>
      <c r="CS187" s="226"/>
      <c r="CT187" s="226"/>
      <c r="CU187" s="226"/>
      <c r="CV187" s="226"/>
      <c r="CW187" s="226"/>
      <c r="CX187" s="226"/>
      <c r="CY187" s="226"/>
      <c r="CZ187" s="226"/>
      <c r="DA187" s="226"/>
      <c r="DB187" s="226"/>
      <c r="DC187" s="226"/>
      <c r="DD187" s="226"/>
      <c r="DE187" s="226"/>
      <c r="DF187" s="226"/>
      <c r="DG187" s="226"/>
      <c r="DH187" s="226"/>
      <c r="DI187" s="226"/>
      <c r="DJ187" s="226"/>
      <c r="DK187" s="226"/>
      <c r="DL187" s="226"/>
      <c r="DM187" s="226"/>
      <c r="DN187" s="226"/>
      <c r="DO187" s="226"/>
      <c r="DP187" s="226"/>
      <c r="DQ187" s="226"/>
      <c r="DR187" s="226"/>
      <c r="DS187" s="226"/>
      <c r="DT187" s="226"/>
      <c r="DU187" s="226"/>
      <c r="DV187" s="226"/>
      <c r="DW187" s="226"/>
      <c r="DX187" s="226"/>
      <c r="DY187" s="226"/>
      <c r="DZ187" s="226"/>
      <c r="EA187" s="226"/>
      <c r="EB187" s="226"/>
      <c r="EC187" s="226"/>
      <c r="ED187" s="226"/>
      <c r="EE187" s="226"/>
      <c r="EF187" s="226"/>
      <c r="EG187" s="226"/>
      <c r="EH187" s="226"/>
      <c r="EI187" s="226"/>
      <c r="EJ187" s="226"/>
      <c r="EK187" s="226"/>
      <c r="EL187" s="226"/>
      <c r="EM187" s="226"/>
      <c r="EN187" s="226"/>
      <c r="EO187" s="226"/>
      <c r="EP187" s="226"/>
      <c r="EQ187" s="226"/>
      <c r="ER187" s="226"/>
      <c r="ES187" s="226"/>
      <c r="ET187" s="226"/>
      <c r="EU187" s="226"/>
      <c r="EV187" s="226"/>
      <c r="EW187" s="226"/>
      <c r="EX187" s="226"/>
      <c r="EY187" s="226"/>
      <c r="EZ187" s="226"/>
      <c r="FA187" s="226"/>
      <c r="FB187" s="226"/>
      <c r="FC187" s="226"/>
      <c r="FD187" s="226"/>
      <c r="FE187" s="226"/>
      <c r="FF187" s="226"/>
      <c r="FG187" s="226"/>
      <c r="FH187" s="226"/>
      <c r="FI187" s="226"/>
      <c r="FJ187" s="226"/>
      <c r="FK187" s="226"/>
      <c r="FL187" s="226"/>
      <c r="FM187" s="226"/>
      <c r="FN187" s="226"/>
      <c r="FO187" s="226"/>
      <c r="FP187" s="226"/>
      <c r="FQ187" s="226"/>
      <c r="FR187" s="226"/>
      <c r="FS187" s="226"/>
      <c r="FT187" s="226"/>
      <c r="FU187" s="226"/>
      <c r="FV187" s="226"/>
      <c r="FW187" s="226"/>
      <c r="FX187" s="226"/>
      <c r="FY187" s="226"/>
      <c r="FZ187" s="226"/>
      <c r="GA187" s="226"/>
      <c r="GB187" s="226"/>
      <c r="GC187" s="226"/>
      <c r="GD187" s="226"/>
      <c r="GE187" s="226"/>
      <c r="GF187" s="226"/>
      <c r="GG187" s="226"/>
      <c r="GH187" s="226"/>
      <c r="GI187" s="226"/>
      <c r="GJ187" s="226"/>
      <c r="GK187" s="226"/>
      <c r="GL187" s="226"/>
      <c r="GM187" s="226"/>
      <c r="GN187" s="226"/>
      <c r="GO187" s="226"/>
      <c r="GP187" s="226"/>
      <c r="GQ187" s="226"/>
      <c r="GR187" s="226"/>
      <c r="GS187" s="226"/>
      <c r="GT187" s="226"/>
      <c r="GU187" s="226"/>
      <c r="GV187" s="226"/>
      <c r="GW187" s="226"/>
      <c r="GX187" s="226"/>
      <c r="GY187" s="226"/>
      <c r="GZ187" s="226"/>
      <c r="HA187" s="226"/>
      <c r="HB187" s="226"/>
      <c r="HC187" s="226"/>
      <c r="HD187" s="226"/>
    </row>
    <row r="188" spans="1:212" ht="14.1" customHeight="1" x14ac:dyDescent="0.2">
      <c r="A188" s="226"/>
      <c r="B188" s="226"/>
      <c r="C188" s="226"/>
      <c r="D188" s="226"/>
      <c r="E188" s="226"/>
      <c r="F188" s="226"/>
      <c r="G188" s="226"/>
      <c r="H188" s="226"/>
      <c r="I188" s="226"/>
      <c r="J188" s="226"/>
      <c r="K188" s="226"/>
      <c r="L188" s="226"/>
      <c r="M188" s="226"/>
      <c r="N188" s="226"/>
      <c r="O188" s="226"/>
      <c r="P188" s="226"/>
      <c r="Q188" s="226"/>
      <c r="R188" s="226"/>
      <c r="S188" s="226"/>
      <c r="T188" s="226"/>
      <c r="U188" s="226"/>
      <c r="V188" s="226"/>
      <c r="W188" s="226"/>
      <c r="X188" s="226"/>
      <c r="Y188" s="226"/>
      <c r="Z188" s="226"/>
      <c r="AA188" s="226"/>
      <c r="AB188" s="226"/>
      <c r="AC188" s="226"/>
      <c r="AD188" s="226"/>
      <c r="AE188" s="226"/>
      <c r="AF188" s="226"/>
      <c r="AG188" s="226"/>
      <c r="AH188" s="226"/>
      <c r="AI188" s="226"/>
      <c r="AJ188" s="226"/>
      <c r="AK188" s="226"/>
      <c r="AL188" s="226"/>
      <c r="AM188" s="226"/>
      <c r="AN188" s="226"/>
      <c r="AO188" s="226"/>
      <c r="AP188" s="226"/>
      <c r="AQ188" s="226"/>
      <c r="AR188" s="226"/>
      <c r="AS188" s="226"/>
      <c r="AT188" s="226"/>
      <c r="AU188" s="226"/>
      <c r="AV188" s="226"/>
      <c r="AW188" s="226"/>
      <c r="AX188" s="226"/>
      <c r="AY188" s="226"/>
      <c r="AZ188" s="226"/>
      <c r="BA188" s="226"/>
      <c r="BB188" s="226"/>
      <c r="BC188" s="226"/>
      <c r="BD188" s="226"/>
      <c r="BE188" s="226"/>
      <c r="BF188" s="226"/>
      <c r="BG188" s="226"/>
      <c r="BH188" s="226"/>
      <c r="BI188" s="226"/>
      <c r="BJ188" s="226"/>
      <c r="BK188" s="226"/>
      <c r="BL188" s="226"/>
      <c r="BM188" s="226"/>
      <c r="BN188" s="226"/>
      <c r="BO188" s="226"/>
      <c r="BP188" s="226"/>
      <c r="BQ188" s="226"/>
      <c r="BR188" s="226"/>
      <c r="BS188" s="226"/>
      <c r="BT188" s="226"/>
      <c r="BU188" s="226"/>
      <c r="BV188" s="226"/>
      <c r="BW188" s="226"/>
      <c r="BX188" s="226"/>
      <c r="BY188" s="226"/>
      <c r="BZ188" s="226"/>
      <c r="CA188" s="226"/>
      <c r="CB188" s="226"/>
      <c r="CC188" s="226"/>
      <c r="CD188" s="226"/>
      <c r="CE188" s="226"/>
      <c r="CF188" s="226"/>
      <c r="CG188" s="226"/>
      <c r="CH188" s="226"/>
      <c r="CI188" s="226"/>
      <c r="CJ188" s="226"/>
      <c r="CK188" s="226"/>
      <c r="CL188" s="226"/>
      <c r="CM188" s="226"/>
      <c r="CN188" s="226"/>
      <c r="CO188" s="226"/>
      <c r="CP188" s="226"/>
      <c r="CQ188" s="226"/>
      <c r="CR188" s="226"/>
      <c r="CS188" s="226"/>
      <c r="CT188" s="226"/>
      <c r="CU188" s="226"/>
      <c r="CV188" s="226"/>
      <c r="CW188" s="226"/>
      <c r="CX188" s="226"/>
      <c r="CY188" s="226"/>
      <c r="CZ188" s="226"/>
      <c r="DA188" s="226"/>
      <c r="DB188" s="226"/>
      <c r="DC188" s="226"/>
      <c r="DD188" s="226"/>
      <c r="DE188" s="226"/>
      <c r="DF188" s="226"/>
      <c r="DG188" s="226"/>
      <c r="DH188" s="226"/>
      <c r="DI188" s="226"/>
      <c r="DJ188" s="226"/>
      <c r="DK188" s="226"/>
      <c r="DL188" s="226"/>
      <c r="DM188" s="226"/>
      <c r="DN188" s="226"/>
      <c r="DO188" s="226"/>
      <c r="DP188" s="226"/>
      <c r="DQ188" s="226"/>
      <c r="DR188" s="226"/>
      <c r="DS188" s="226"/>
      <c r="DT188" s="226"/>
      <c r="DU188" s="226"/>
      <c r="DV188" s="226"/>
      <c r="DW188" s="226"/>
      <c r="DX188" s="226"/>
      <c r="DY188" s="226"/>
      <c r="DZ188" s="226"/>
      <c r="EA188" s="226"/>
      <c r="EB188" s="226"/>
      <c r="EC188" s="226"/>
      <c r="ED188" s="226"/>
      <c r="EE188" s="226"/>
      <c r="EF188" s="226"/>
      <c r="EG188" s="226"/>
      <c r="EH188" s="226"/>
      <c r="EI188" s="226"/>
      <c r="EJ188" s="226"/>
      <c r="EK188" s="226"/>
      <c r="EL188" s="226"/>
      <c r="EM188" s="226"/>
      <c r="EN188" s="226"/>
      <c r="EO188" s="226"/>
      <c r="EP188" s="226"/>
      <c r="EQ188" s="226"/>
      <c r="ER188" s="226"/>
      <c r="ES188" s="226"/>
      <c r="ET188" s="226"/>
      <c r="EU188" s="226"/>
      <c r="EV188" s="226"/>
      <c r="EW188" s="226"/>
      <c r="EX188" s="226"/>
      <c r="EY188" s="226"/>
      <c r="EZ188" s="226"/>
      <c r="FA188" s="226"/>
      <c r="FB188" s="226"/>
      <c r="FC188" s="226"/>
      <c r="FD188" s="226"/>
      <c r="FE188" s="226"/>
      <c r="FF188" s="226"/>
      <c r="FG188" s="226"/>
      <c r="FH188" s="226"/>
      <c r="FI188" s="226"/>
      <c r="FJ188" s="226"/>
      <c r="FK188" s="226"/>
      <c r="FL188" s="226"/>
      <c r="FM188" s="226"/>
      <c r="FN188" s="226"/>
      <c r="FO188" s="226"/>
      <c r="FP188" s="226"/>
      <c r="FQ188" s="226"/>
      <c r="FR188" s="226"/>
      <c r="FS188" s="226"/>
      <c r="FT188" s="226"/>
      <c r="FU188" s="226"/>
      <c r="FV188" s="226"/>
      <c r="FW188" s="226"/>
      <c r="FX188" s="226"/>
      <c r="FY188" s="226"/>
      <c r="FZ188" s="226"/>
      <c r="GA188" s="226"/>
      <c r="GB188" s="226"/>
      <c r="GC188" s="226"/>
      <c r="GD188" s="226"/>
      <c r="GE188" s="226"/>
      <c r="GF188" s="226"/>
      <c r="GG188" s="226"/>
      <c r="GH188" s="226"/>
      <c r="GI188" s="226"/>
      <c r="GJ188" s="226"/>
      <c r="GK188" s="226"/>
      <c r="GL188" s="226"/>
      <c r="GM188" s="226"/>
      <c r="GN188" s="226"/>
      <c r="GO188" s="226"/>
      <c r="GP188" s="226"/>
      <c r="GQ188" s="226"/>
      <c r="GR188" s="226"/>
      <c r="GS188" s="226"/>
      <c r="GT188" s="226"/>
      <c r="GU188" s="226"/>
      <c r="GV188" s="226"/>
      <c r="GW188" s="226"/>
      <c r="GX188" s="226"/>
      <c r="GY188" s="226"/>
      <c r="GZ188" s="226"/>
      <c r="HA188" s="226"/>
      <c r="HB188" s="226"/>
      <c r="HC188" s="226"/>
      <c r="HD188" s="226"/>
    </row>
    <row r="189" spans="1:212" ht="14.1" customHeight="1" x14ac:dyDescent="0.2">
      <c r="A189" s="226"/>
      <c r="B189" s="226"/>
      <c r="C189" s="226"/>
      <c r="D189" s="226"/>
      <c r="E189" s="226"/>
      <c r="F189" s="226"/>
      <c r="G189" s="226"/>
      <c r="H189" s="226"/>
      <c r="I189" s="226"/>
      <c r="J189" s="226"/>
      <c r="K189" s="226"/>
      <c r="L189" s="226"/>
      <c r="M189" s="226"/>
      <c r="N189" s="226"/>
      <c r="O189" s="226"/>
      <c r="P189" s="226"/>
      <c r="Q189" s="226"/>
      <c r="R189" s="226"/>
      <c r="S189" s="226"/>
      <c r="T189" s="226"/>
      <c r="U189" s="226"/>
      <c r="V189" s="226"/>
      <c r="W189" s="226"/>
      <c r="X189" s="226"/>
      <c r="Y189" s="226"/>
      <c r="Z189" s="226"/>
      <c r="AA189" s="226"/>
      <c r="AB189" s="226"/>
      <c r="AC189" s="226"/>
      <c r="AD189" s="226"/>
      <c r="AE189" s="226"/>
      <c r="AF189" s="226"/>
      <c r="AG189" s="226"/>
      <c r="AH189" s="226"/>
      <c r="AI189" s="226"/>
      <c r="AJ189" s="226"/>
      <c r="AK189" s="226"/>
      <c r="AL189" s="226"/>
      <c r="AM189" s="226"/>
      <c r="AN189" s="226"/>
      <c r="AO189" s="226"/>
      <c r="AP189" s="226"/>
      <c r="AQ189" s="226"/>
      <c r="AR189" s="226"/>
      <c r="AS189" s="226"/>
      <c r="AT189" s="226"/>
      <c r="AU189" s="226"/>
      <c r="AV189" s="226"/>
      <c r="AW189" s="226"/>
      <c r="AX189" s="226"/>
      <c r="AY189" s="226"/>
      <c r="AZ189" s="226"/>
      <c r="BA189" s="226"/>
      <c r="BB189" s="226"/>
      <c r="BC189" s="226"/>
      <c r="BD189" s="226"/>
      <c r="BE189" s="226"/>
      <c r="BF189" s="226"/>
      <c r="BG189" s="226"/>
      <c r="BH189" s="226"/>
      <c r="BI189" s="226"/>
      <c r="BJ189" s="226"/>
      <c r="BK189" s="226"/>
      <c r="BL189" s="226"/>
      <c r="BM189" s="226"/>
      <c r="BN189" s="226"/>
      <c r="BO189" s="226"/>
      <c r="BP189" s="226"/>
      <c r="BQ189" s="226"/>
      <c r="BR189" s="226"/>
      <c r="BS189" s="226"/>
      <c r="BT189" s="226"/>
      <c r="BU189" s="226"/>
      <c r="BV189" s="226"/>
      <c r="BW189" s="226"/>
      <c r="BX189" s="226"/>
      <c r="BY189" s="226"/>
      <c r="BZ189" s="226"/>
      <c r="CA189" s="226"/>
      <c r="CB189" s="226"/>
      <c r="CC189" s="226"/>
      <c r="CD189" s="226"/>
      <c r="CE189" s="226"/>
      <c r="CF189" s="226"/>
      <c r="CG189" s="226"/>
      <c r="CH189" s="226"/>
      <c r="CI189" s="226"/>
      <c r="CJ189" s="226"/>
      <c r="CK189" s="226"/>
      <c r="CL189" s="226"/>
      <c r="CM189" s="226"/>
      <c r="CN189" s="226"/>
      <c r="CO189" s="226"/>
      <c r="CP189" s="226"/>
      <c r="CQ189" s="226"/>
      <c r="CR189" s="226"/>
      <c r="CS189" s="226"/>
      <c r="CT189" s="226"/>
      <c r="CU189" s="226"/>
      <c r="CV189" s="226"/>
      <c r="CW189" s="226"/>
      <c r="CX189" s="226"/>
      <c r="CY189" s="226"/>
      <c r="CZ189" s="226"/>
      <c r="DA189" s="226"/>
      <c r="DB189" s="226"/>
      <c r="DC189" s="226"/>
      <c r="DD189" s="226"/>
      <c r="DE189" s="226"/>
      <c r="DF189" s="226"/>
      <c r="DG189" s="226"/>
      <c r="DH189" s="226"/>
      <c r="DI189" s="226"/>
      <c r="DJ189" s="226"/>
      <c r="DK189" s="226"/>
      <c r="DL189" s="226"/>
      <c r="DM189" s="226"/>
      <c r="DN189" s="226"/>
      <c r="DO189" s="226"/>
      <c r="DP189" s="226"/>
      <c r="DQ189" s="226"/>
      <c r="DR189" s="226"/>
      <c r="DS189" s="226"/>
      <c r="DT189" s="226"/>
      <c r="DU189" s="226"/>
      <c r="DV189" s="226"/>
      <c r="DW189" s="226"/>
      <c r="DX189" s="226"/>
      <c r="DY189" s="226"/>
      <c r="DZ189" s="226"/>
      <c r="EA189" s="226"/>
      <c r="EB189" s="226"/>
      <c r="EC189" s="226"/>
      <c r="ED189" s="226"/>
      <c r="EE189" s="226"/>
      <c r="EF189" s="226"/>
      <c r="EG189" s="226"/>
      <c r="EH189" s="226"/>
      <c r="EI189" s="226"/>
      <c r="EJ189" s="226"/>
      <c r="EK189" s="226"/>
      <c r="EL189" s="226"/>
      <c r="EM189" s="226"/>
      <c r="EN189" s="226"/>
      <c r="EO189" s="226"/>
      <c r="EP189" s="226"/>
      <c r="EQ189" s="226"/>
      <c r="ER189" s="226"/>
      <c r="ES189" s="226"/>
      <c r="ET189" s="226"/>
      <c r="EU189" s="226"/>
      <c r="EV189" s="226"/>
      <c r="EW189" s="226"/>
      <c r="EX189" s="226"/>
      <c r="EY189" s="226"/>
      <c r="EZ189" s="226"/>
      <c r="FA189" s="226"/>
      <c r="FB189" s="226"/>
      <c r="FC189" s="226"/>
      <c r="FD189" s="226"/>
      <c r="FE189" s="226"/>
      <c r="FF189" s="226"/>
      <c r="FG189" s="226"/>
      <c r="FH189" s="226"/>
      <c r="FI189" s="226"/>
      <c r="FJ189" s="226"/>
      <c r="FK189" s="226"/>
      <c r="FL189" s="226"/>
      <c r="FM189" s="226"/>
      <c r="FN189" s="226"/>
      <c r="FO189" s="226"/>
      <c r="FP189" s="226"/>
      <c r="FQ189" s="226"/>
      <c r="FR189" s="226"/>
      <c r="FS189" s="226"/>
      <c r="FT189" s="226"/>
      <c r="FU189" s="226"/>
      <c r="FV189" s="226"/>
      <c r="FW189" s="226"/>
      <c r="FX189" s="226"/>
      <c r="FY189" s="226"/>
      <c r="FZ189" s="226"/>
      <c r="GA189" s="226"/>
      <c r="GB189" s="226"/>
      <c r="GC189" s="226"/>
      <c r="GD189" s="226"/>
      <c r="GE189" s="226"/>
      <c r="GF189" s="226"/>
      <c r="GG189" s="226"/>
      <c r="GH189" s="226"/>
      <c r="GI189" s="226"/>
      <c r="GJ189" s="226"/>
      <c r="GK189" s="226"/>
      <c r="GL189" s="226"/>
      <c r="GM189" s="226"/>
      <c r="GN189" s="226"/>
      <c r="GO189" s="226"/>
      <c r="GP189" s="226"/>
      <c r="GQ189" s="226"/>
      <c r="GR189" s="226"/>
      <c r="GS189" s="226"/>
      <c r="GT189" s="226"/>
      <c r="GU189" s="226"/>
      <c r="GV189" s="226"/>
      <c r="GW189" s="226"/>
      <c r="GX189" s="226"/>
      <c r="GY189" s="226"/>
      <c r="GZ189" s="226"/>
      <c r="HA189" s="226"/>
      <c r="HB189" s="226"/>
      <c r="HC189" s="226"/>
      <c r="HD189" s="226"/>
    </row>
    <row r="190" spans="1:212" ht="14.1" customHeight="1" x14ac:dyDescent="0.2">
      <c r="A190" s="226"/>
      <c r="B190" s="226"/>
      <c r="C190" s="226"/>
      <c r="D190" s="226"/>
      <c r="E190" s="226"/>
      <c r="F190" s="226"/>
      <c r="G190" s="226"/>
      <c r="H190" s="226"/>
      <c r="I190" s="226"/>
      <c r="J190" s="226"/>
      <c r="K190" s="226"/>
      <c r="L190" s="226"/>
      <c r="M190" s="226"/>
      <c r="N190" s="226"/>
      <c r="O190" s="226"/>
      <c r="P190" s="226"/>
      <c r="Q190" s="226"/>
      <c r="R190" s="226"/>
      <c r="S190" s="226"/>
      <c r="T190" s="226"/>
      <c r="U190" s="226"/>
      <c r="V190" s="226"/>
      <c r="W190" s="226"/>
      <c r="X190" s="226"/>
      <c r="Y190" s="226"/>
      <c r="Z190" s="226"/>
      <c r="AA190" s="226"/>
      <c r="AB190" s="226"/>
      <c r="AC190" s="226"/>
      <c r="AD190" s="226"/>
      <c r="AE190" s="226"/>
      <c r="AF190" s="226"/>
      <c r="AG190" s="226"/>
      <c r="AH190" s="226"/>
      <c r="AI190" s="226"/>
      <c r="AJ190" s="226"/>
      <c r="AK190" s="226"/>
      <c r="AL190" s="226"/>
      <c r="AM190" s="226"/>
      <c r="AN190" s="226"/>
      <c r="AO190" s="226"/>
      <c r="AP190" s="226"/>
      <c r="AQ190" s="226"/>
      <c r="AR190" s="226"/>
      <c r="AS190" s="226"/>
      <c r="AT190" s="226"/>
      <c r="AU190" s="226"/>
      <c r="AV190" s="226"/>
      <c r="AW190" s="226"/>
      <c r="AX190" s="226"/>
      <c r="AY190" s="226"/>
      <c r="AZ190" s="226"/>
      <c r="BA190" s="226"/>
      <c r="BB190" s="226"/>
      <c r="BC190" s="226"/>
      <c r="BD190" s="226"/>
      <c r="BE190" s="226"/>
      <c r="BF190" s="226"/>
      <c r="BG190" s="226"/>
      <c r="BH190" s="226"/>
      <c r="BI190" s="226"/>
      <c r="BJ190" s="226"/>
      <c r="BK190" s="226"/>
      <c r="BL190" s="226"/>
      <c r="BM190" s="226"/>
      <c r="BN190" s="226"/>
      <c r="BO190" s="226"/>
      <c r="BP190" s="226"/>
      <c r="BQ190" s="226"/>
      <c r="BR190" s="226"/>
      <c r="BS190" s="226"/>
      <c r="BT190" s="226"/>
      <c r="BU190" s="226"/>
      <c r="BV190" s="226"/>
      <c r="BW190" s="226"/>
      <c r="BX190" s="226"/>
      <c r="BY190" s="226"/>
      <c r="BZ190" s="226"/>
      <c r="CA190" s="226"/>
      <c r="CB190" s="226"/>
      <c r="CC190" s="226"/>
      <c r="CD190" s="226"/>
      <c r="CE190" s="226"/>
      <c r="CF190" s="226"/>
      <c r="CG190" s="226"/>
      <c r="CH190" s="226"/>
      <c r="CI190" s="226"/>
      <c r="CJ190" s="226"/>
      <c r="CK190" s="226"/>
      <c r="CL190" s="226"/>
      <c r="CM190" s="226"/>
      <c r="CN190" s="226"/>
      <c r="CO190" s="226"/>
      <c r="CP190" s="226"/>
      <c r="CQ190" s="226"/>
      <c r="CR190" s="226"/>
      <c r="CS190" s="226"/>
      <c r="CT190" s="226"/>
      <c r="CU190" s="226"/>
      <c r="CV190" s="226"/>
      <c r="CW190" s="226"/>
      <c r="CX190" s="226"/>
      <c r="CY190" s="226"/>
      <c r="CZ190" s="226"/>
      <c r="DA190" s="226"/>
      <c r="DB190" s="226"/>
      <c r="DC190" s="226"/>
      <c r="DD190" s="226"/>
      <c r="DE190" s="226"/>
      <c r="DF190" s="226"/>
      <c r="DG190" s="226"/>
      <c r="DH190" s="226"/>
      <c r="DI190" s="226"/>
      <c r="DJ190" s="226"/>
      <c r="DK190" s="226"/>
      <c r="DL190" s="226"/>
      <c r="DM190" s="226"/>
      <c r="DN190" s="226"/>
      <c r="DO190" s="226"/>
      <c r="DP190" s="226"/>
      <c r="DQ190" s="226"/>
      <c r="DR190" s="226"/>
      <c r="DS190" s="226"/>
      <c r="DT190" s="226"/>
      <c r="DU190" s="226"/>
      <c r="DV190" s="226"/>
      <c r="DW190" s="226"/>
      <c r="DX190" s="226"/>
      <c r="DY190" s="226"/>
      <c r="DZ190" s="226"/>
      <c r="EA190" s="226"/>
      <c r="EB190" s="226"/>
      <c r="EC190" s="226"/>
      <c r="ED190" s="226"/>
      <c r="EE190" s="226"/>
      <c r="EF190" s="226"/>
      <c r="EG190" s="226"/>
      <c r="EH190" s="226"/>
      <c r="EI190" s="226"/>
      <c r="EJ190" s="226"/>
      <c r="EK190" s="226"/>
      <c r="EL190" s="226"/>
      <c r="EM190" s="226"/>
      <c r="EN190" s="226"/>
      <c r="EO190" s="226"/>
      <c r="EP190" s="226"/>
      <c r="EQ190" s="226"/>
      <c r="ER190" s="226"/>
      <c r="ES190" s="226"/>
      <c r="ET190" s="226"/>
      <c r="EU190" s="226"/>
      <c r="EV190" s="226"/>
      <c r="EW190" s="226"/>
      <c r="EX190" s="226"/>
      <c r="EY190" s="226"/>
      <c r="EZ190" s="226"/>
      <c r="FA190" s="226"/>
      <c r="FB190" s="226"/>
      <c r="FC190" s="226"/>
      <c r="FD190" s="226"/>
      <c r="FE190" s="226"/>
      <c r="FF190" s="226"/>
      <c r="FG190" s="226"/>
      <c r="FH190" s="226"/>
      <c r="FI190" s="226"/>
      <c r="FJ190" s="226"/>
      <c r="FK190" s="226"/>
      <c r="FL190" s="226"/>
      <c r="FM190" s="226"/>
      <c r="FN190" s="226"/>
      <c r="FO190" s="226"/>
      <c r="FP190" s="226"/>
      <c r="FQ190" s="226"/>
      <c r="FR190" s="226"/>
      <c r="FS190" s="226"/>
      <c r="FT190" s="226"/>
      <c r="FU190" s="226"/>
      <c r="FV190" s="226"/>
      <c r="FW190" s="226"/>
      <c r="FX190" s="226"/>
      <c r="FY190" s="226"/>
      <c r="FZ190" s="226"/>
      <c r="GA190" s="226"/>
      <c r="GB190" s="226"/>
      <c r="GC190" s="226"/>
      <c r="GD190" s="226"/>
      <c r="GE190" s="226"/>
      <c r="GF190" s="226"/>
      <c r="GG190" s="226"/>
      <c r="GH190" s="226"/>
      <c r="GI190" s="226"/>
      <c r="GJ190" s="226"/>
      <c r="GK190" s="226"/>
      <c r="GL190" s="226"/>
      <c r="GM190" s="226"/>
      <c r="GN190" s="226"/>
      <c r="GO190" s="226"/>
      <c r="GP190" s="226"/>
      <c r="GQ190" s="226"/>
      <c r="GR190" s="226"/>
      <c r="GS190" s="226"/>
      <c r="GT190" s="226"/>
      <c r="GU190" s="226"/>
      <c r="GV190" s="226"/>
      <c r="GW190" s="226"/>
      <c r="GX190" s="226"/>
      <c r="GY190" s="226"/>
      <c r="GZ190" s="226"/>
      <c r="HA190" s="226"/>
      <c r="HB190" s="226"/>
      <c r="HC190" s="226"/>
      <c r="HD190" s="226"/>
    </row>
    <row r="191" spans="1:212" ht="14.1" customHeight="1" x14ac:dyDescent="0.2">
      <c r="A191" s="226"/>
      <c r="B191" s="226"/>
      <c r="C191" s="226"/>
      <c r="D191" s="226"/>
      <c r="E191" s="226"/>
      <c r="F191" s="226"/>
      <c r="G191" s="226"/>
      <c r="H191" s="226"/>
      <c r="I191" s="226"/>
      <c r="J191" s="226"/>
      <c r="K191" s="226"/>
      <c r="L191" s="226"/>
      <c r="M191" s="226"/>
      <c r="N191" s="226"/>
      <c r="O191" s="226"/>
      <c r="P191" s="226"/>
      <c r="Q191" s="226"/>
      <c r="R191" s="226"/>
      <c r="S191" s="226"/>
      <c r="T191" s="226"/>
      <c r="U191" s="226"/>
      <c r="V191" s="226"/>
      <c r="W191" s="226"/>
      <c r="X191" s="226"/>
      <c r="Y191" s="226"/>
      <c r="Z191" s="226"/>
      <c r="AA191" s="226"/>
      <c r="AB191" s="226"/>
      <c r="AC191" s="226"/>
      <c r="AD191" s="226"/>
      <c r="AE191" s="226"/>
      <c r="AF191" s="226"/>
      <c r="AG191" s="226"/>
      <c r="AH191" s="226"/>
      <c r="AI191" s="226"/>
      <c r="AJ191" s="226"/>
      <c r="AK191" s="226"/>
      <c r="AL191" s="226"/>
      <c r="AM191" s="226"/>
      <c r="AN191" s="226"/>
      <c r="AO191" s="226"/>
      <c r="AP191" s="226"/>
      <c r="AQ191" s="226"/>
      <c r="AR191" s="226"/>
      <c r="AS191" s="226"/>
      <c r="AT191" s="226"/>
      <c r="AU191" s="226"/>
      <c r="AV191" s="226"/>
      <c r="AW191" s="226"/>
      <c r="AX191" s="226"/>
      <c r="AY191" s="226"/>
      <c r="AZ191" s="226"/>
      <c r="BA191" s="226"/>
      <c r="BB191" s="226"/>
      <c r="BC191" s="226"/>
      <c r="BD191" s="226"/>
      <c r="BE191" s="226"/>
      <c r="BF191" s="226"/>
      <c r="BG191" s="226"/>
      <c r="BH191" s="226"/>
      <c r="BI191" s="226"/>
      <c r="BJ191" s="226"/>
      <c r="BK191" s="226"/>
      <c r="BL191" s="226"/>
      <c r="BM191" s="226"/>
      <c r="BN191" s="226"/>
      <c r="BO191" s="226"/>
      <c r="BP191" s="226"/>
      <c r="BQ191" s="226"/>
      <c r="BR191" s="226"/>
      <c r="BS191" s="226"/>
      <c r="BT191" s="226"/>
      <c r="BU191" s="226"/>
      <c r="BV191" s="226"/>
      <c r="BW191" s="226"/>
      <c r="BX191" s="226"/>
      <c r="BY191" s="226"/>
      <c r="BZ191" s="226"/>
      <c r="CA191" s="226"/>
      <c r="CB191" s="226"/>
      <c r="CC191" s="226"/>
      <c r="CD191" s="226"/>
      <c r="CE191" s="226"/>
      <c r="CF191" s="226"/>
      <c r="CG191" s="226"/>
      <c r="CH191" s="226"/>
      <c r="CI191" s="226"/>
      <c r="CJ191" s="226"/>
      <c r="CK191" s="226"/>
      <c r="CL191" s="226"/>
      <c r="CM191" s="226"/>
      <c r="CN191" s="226"/>
      <c r="CO191" s="226"/>
      <c r="CP191" s="226"/>
      <c r="CQ191" s="226"/>
      <c r="CR191" s="226"/>
      <c r="CS191" s="226"/>
      <c r="CT191" s="226"/>
      <c r="CU191" s="226"/>
      <c r="CV191" s="226"/>
      <c r="CW191" s="226"/>
      <c r="CX191" s="226"/>
      <c r="CY191" s="226"/>
      <c r="CZ191" s="226"/>
      <c r="DA191" s="226"/>
      <c r="DB191" s="226"/>
      <c r="DC191" s="226"/>
      <c r="DD191" s="226"/>
      <c r="DE191" s="226"/>
      <c r="DF191" s="226"/>
      <c r="DG191" s="226"/>
      <c r="DH191" s="226"/>
      <c r="DI191" s="226"/>
      <c r="DJ191" s="226"/>
      <c r="DK191" s="226"/>
      <c r="DL191" s="226"/>
      <c r="DM191" s="226"/>
      <c r="DN191" s="226"/>
      <c r="DO191" s="226"/>
      <c r="DP191" s="226"/>
      <c r="DQ191" s="226"/>
      <c r="DR191" s="226"/>
      <c r="DS191" s="226"/>
      <c r="DT191" s="226"/>
      <c r="DU191" s="226"/>
      <c r="DV191" s="226"/>
      <c r="DW191" s="226"/>
      <c r="DX191" s="226"/>
      <c r="DY191" s="226"/>
      <c r="DZ191" s="226"/>
      <c r="EA191" s="226"/>
      <c r="EB191" s="226"/>
      <c r="EC191" s="226"/>
      <c r="ED191" s="226"/>
      <c r="EE191" s="226"/>
      <c r="EF191" s="226"/>
      <c r="EG191" s="226"/>
      <c r="EH191" s="226"/>
      <c r="EI191" s="226"/>
      <c r="EJ191" s="226"/>
      <c r="EK191" s="226"/>
      <c r="EL191" s="226"/>
      <c r="EM191" s="226"/>
      <c r="EN191" s="226"/>
      <c r="EO191" s="226"/>
      <c r="EP191" s="226"/>
      <c r="EQ191" s="226"/>
      <c r="ER191" s="226"/>
      <c r="ES191" s="226"/>
      <c r="ET191" s="226"/>
      <c r="EU191" s="226"/>
      <c r="EV191" s="226"/>
      <c r="EW191" s="226"/>
      <c r="EX191" s="226"/>
      <c r="EY191" s="226"/>
      <c r="EZ191" s="226"/>
      <c r="FA191" s="226"/>
      <c r="FB191" s="226"/>
      <c r="FC191" s="226"/>
      <c r="FD191" s="226"/>
      <c r="FE191" s="226"/>
      <c r="FF191" s="226"/>
      <c r="FG191" s="226"/>
      <c r="FH191" s="226"/>
      <c r="FI191" s="226"/>
      <c r="FJ191" s="226"/>
      <c r="FK191" s="226"/>
      <c r="FL191" s="226"/>
      <c r="FM191" s="226"/>
      <c r="FN191" s="226"/>
      <c r="FO191" s="226"/>
      <c r="FP191" s="226"/>
      <c r="FQ191" s="226"/>
      <c r="FR191" s="226"/>
      <c r="FS191" s="226"/>
      <c r="FT191" s="226"/>
      <c r="FU191" s="226"/>
      <c r="FV191" s="226"/>
      <c r="FW191" s="226"/>
      <c r="FX191" s="226"/>
      <c r="FY191" s="226"/>
      <c r="FZ191" s="226"/>
      <c r="GA191" s="226"/>
      <c r="GB191" s="226"/>
      <c r="GC191" s="226"/>
      <c r="GD191" s="226"/>
      <c r="GE191" s="226"/>
      <c r="GF191" s="226"/>
      <c r="GG191" s="226"/>
      <c r="GH191" s="226"/>
      <c r="GI191" s="226"/>
      <c r="GJ191" s="226"/>
      <c r="GK191" s="226"/>
      <c r="GL191" s="226"/>
      <c r="GM191" s="226"/>
      <c r="GN191" s="226"/>
      <c r="GO191" s="226"/>
      <c r="GP191" s="226"/>
      <c r="GQ191" s="226"/>
      <c r="GR191" s="226"/>
      <c r="GS191" s="226"/>
      <c r="GT191" s="226"/>
      <c r="GU191" s="226"/>
      <c r="GV191" s="226"/>
      <c r="GW191" s="226"/>
      <c r="GX191" s="226"/>
      <c r="GY191" s="226"/>
      <c r="GZ191" s="226"/>
      <c r="HA191" s="226"/>
      <c r="HB191" s="226"/>
      <c r="HC191" s="226"/>
      <c r="HD191" s="226"/>
    </row>
    <row r="192" spans="1:212" ht="14.1" customHeight="1" x14ac:dyDescent="0.2">
      <c r="A192" s="226"/>
      <c r="B192" s="226"/>
      <c r="C192" s="226"/>
      <c r="D192" s="226"/>
      <c r="E192" s="226"/>
      <c r="F192" s="226"/>
      <c r="G192" s="226"/>
      <c r="H192" s="226"/>
      <c r="I192" s="226"/>
      <c r="J192" s="226"/>
      <c r="K192" s="226"/>
      <c r="L192" s="226"/>
      <c r="M192" s="226"/>
      <c r="N192" s="226"/>
      <c r="O192" s="226"/>
      <c r="P192" s="226"/>
      <c r="Q192" s="226"/>
      <c r="R192" s="226"/>
      <c r="S192" s="226"/>
      <c r="T192" s="226"/>
      <c r="U192" s="226"/>
      <c r="V192" s="226"/>
      <c r="W192" s="226"/>
      <c r="X192" s="226"/>
      <c r="Y192" s="226"/>
      <c r="Z192" s="226"/>
      <c r="AA192" s="226"/>
      <c r="AB192" s="226"/>
      <c r="AC192" s="226"/>
      <c r="AD192" s="226"/>
      <c r="AE192" s="226"/>
      <c r="AF192" s="226"/>
      <c r="AG192" s="226"/>
      <c r="AH192" s="226"/>
      <c r="AI192" s="226"/>
      <c r="AJ192" s="226"/>
      <c r="AK192" s="226"/>
      <c r="AL192" s="226"/>
      <c r="AM192" s="226"/>
      <c r="AN192" s="226"/>
      <c r="AO192" s="226"/>
      <c r="AP192" s="226"/>
      <c r="AQ192" s="226"/>
      <c r="AR192" s="226"/>
      <c r="AS192" s="226"/>
      <c r="AT192" s="226"/>
      <c r="AU192" s="226"/>
      <c r="AV192" s="226"/>
      <c r="AW192" s="226"/>
      <c r="AX192" s="226"/>
      <c r="AY192" s="226"/>
      <c r="AZ192" s="226"/>
      <c r="BA192" s="226"/>
      <c r="BB192" s="226"/>
      <c r="BC192" s="226"/>
      <c r="BD192" s="226"/>
      <c r="BE192" s="226"/>
      <c r="BF192" s="226"/>
      <c r="BG192" s="226"/>
      <c r="BH192" s="226"/>
      <c r="BI192" s="226"/>
      <c r="BJ192" s="226"/>
      <c r="BK192" s="226"/>
      <c r="BL192" s="226"/>
      <c r="BM192" s="226"/>
      <c r="BN192" s="226"/>
      <c r="BO192" s="226"/>
      <c r="BP192" s="226"/>
      <c r="BQ192" s="226"/>
      <c r="BR192" s="226"/>
      <c r="BS192" s="226"/>
      <c r="BT192" s="226"/>
      <c r="BU192" s="226"/>
      <c r="BV192" s="226"/>
      <c r="BW192" s="226"/>
      <c r="BX192" s="226"/>
      <c r="BY192" s="226"/>
      <c r="BZ192" s="226"/>
      <c r="CA192" s="226"/>
      <c r="CB192" s="226"/>
      <c r="CC192" s="226"/>
      <c r="CD192" s="226"/>
      <c r="CE192" s="226"/>
      <c r="CF192" s="226"/>
      <c r="CG192" s="226"/>
      <c r="CH192" s="226"/>
      <c r="CI192" s="226"/>
      <c r="CJ192" s="226"/>
      <c r="CK192" s="226"/>
      <c r="CL192" s="226"/>
      <c r="CM192" s="226"/>
      <c r="CN192" s="226"/>
      <c r="CO192" s="226"/>
      <c r="CP192" s="226"/>
      <c r="CQ192" s="226"/>
      <c r="CR192" s="226"/>
      <c r="CS192" s="226"/>
      <c r="CT192" s="226"/>
      <c r="CU192" s="226"/>
      <c r="CV192" s="226"/>
      <c r="CW192" s="226"/>
      <c r="CX192" s="226"/>
      <c r="CY192" s="226"/>
      <c r="CZ192" s="226"/>
      <c r="DA192" s="226"/>
      <c r="DB192" s="226"/>
      <c r="DC192" s="226"/>
      <c r="DD192" s="226"/>
      <c r="DE192" s="226"/>
      <c r="DF192" s="226"/>
      <c r="DG192" s="226"/>
      <c r="DH192" s="226"/>
      <c r="DI192" s="226"/>
      <c r="DJ192" s="226"/>
      <c r="DK192" s="226"/>
      <c r="DL192" s="226"/>
      <c r="DM192" s="226"/>
      <c r="DN192" s="226"/>
      <c r="DO192" s="226"/>
      <c r="DP192" s="226"/>
      <c r="DQ192" s="226"/>
      <c r="DR192" s="226"/>
      <c r="DS192" s="226"/>
      <c r="DT192" s="226"/>
      <c r="DU192" s="226"/>
      <c r="DV192" s="226"/>
      <c r="DW192" s="226"/>
      <c r="DX192" s="226"/>
      <c r="DY192" s="226"/>
      <c r="DZ192" s="226"/>
      <c r="EA192" s="226"/>
      <c r="EB192" s="226"/>
      <c r="EC192" s="226"/>
      <c r="ED192" s="226"/>
      <c r="EE192" s="226"/>
      <c r="EF192" s="226"/>
      <c r="EG192" s="226"/>
      <c r="EH192" s="226"/>
      <c r="EI192" s="226"/>
      <c r="EJ192" s="226"/>
      <c r="EK192" s="226"/>
      <c r="EL192" s="226"/>
      <c r="EM192" s="226"/>
      <c r="EN192" s="226"/>
      <c r="EO192" s="226"/>
      <c r="EP192" s="226"/>
      <c r="EQ192" s="226"/>
      <c r="ER192" s="226"/>
      <c r="ES192" s="226"/>
      <c r="ET192" s="226"/>
      <c r="EU192" s="226"/>
      <c r="EV192" s="226"/>
      <c r="EW192" s="226"/>
      <c r="EX192" s="226"/>
      <c r="EY192" s="226"/>
      <c r="EZ192" s="226"/>
      <c r="FA192" s="226"/>
      <c r="FB192" s="226"/>
      <c r="FC192" s="226"/>
      <c r="FD192" s="226"/>
      <c r="FE192" s="226"/>
      <c r="FF192" s="226"/>
      <c r="FG192" s="226"/>
      <c r="FH192" s="226"/>
      <c r="FI192" s="226"/>
      <c r="FJ192" s="226"/>
      <c r="FK192" s="226"/>
      <c r="FL192" s="226"/>
      <c r="FM192" s="226"/>
      <c r="FN192" s="226"/>
      <c r="FO192" s="226"/>
      <c r="FP192" s="226"/>
      <c r="FQ192" s="226"/>
      <c r="FR192" s="226"/>
      <c r="FS192" s="226"/>
      <c r="FT192" s="226"/>
      <c r="FU192" s="226"/>
      <c r="FV192" s="226"/>
      <c r="FW192" s="226"/>
      <c r="FX192" s="226"/>
      <c r="FY192" s="226"/>
      <c r="FZ192" s="226"/>
      <c r="GA192" s="226"/>
      <c r="GB192" s="226"/>
      <c r="GC192" s="226"/>
      <c r="GD192" s="226"/>
      <c r="GE192" s="226"/>
      <c r="GF192" s="226"/>
      <c r="GG192" s="226"/>
      <c r="GH192" s="226"/>
      <c r="GI192" s="226"/>
      <c r="GJ192" s="226"/>
      <c r="GK192" s="226"/>
      <c r="GL192" s="226"/>
      <c r="GM192" s="226"/>
      <c r="GN192" s="226"/>
      <c r="GO192" s="226"/>
      <c r="GP192" s="226"/>
      <c r="GQ192" s="226"/>
      <c r="GR192" s="226"/>
      <c r="GS192" s="226"/>
      <c r="GT192" s="226"/>
      <c r="GU192" s="226"/>
      <c r="GV192" s="226"/>
      <c r="GW192" s="226"/>
      <c r="GX192" s="226"/>
      <c r="GY192" s="226"/>
      <c r="GZ192" s="226"/>
      <c r="HA192" s="226"/>
      <c r="HB192" s="226"/>
      <c r="HC192" s="226"/>
      <c r="HD192" s="226"/>
    </row>
    <row r="193" spans="1:212" ht="14.1" customHeight="1" x14ac:dyDescent="0.2">
      <c r="A193" s="226"/>
      <c r="B193" s="226"/>
      <c r="C193" s="226"/>
      <c r="D193" s="226"/>
      <c r="E193" s="226"/>
      <c r="F193" s="226"/>
      <c r="G193" s="226"/>
      <c r="H193" s="226"/>
      <c r="I193" s="226"/>
      <c r="J193" s="226"/>
      <c r="K193" s="226"/>
      <c r="L193" s="226"/>
      <c r="M193" s="226"/>
      <c r="N193" s="226"/>
      <c r="O193" s="226"/>
      <c r="P193" s="226"/>
      <c r="Q193" s="226"/>
      <c r="R193" s="226"/>
      <c r="S193" s="226"/>
      <c r="T193" s="226"/>
      <c r="U193" s="226"/>
      <c r="V193" s="226"/>
      <c r="W193" s="226"/>
      <c r="X193" s="226"/>
      <c r="Y193" s="226"/>
      <c r="Z193" s="226"/>
      <c r="AA193" s="226"/>
      <c r="AB193" s="226"/>
      <c r="AC193" s="226"/>
      <c r="AD193" s="226"/>
      <c r="AE193" s="226"/>
      <c r="AF193" s="226"/>
      <c r="AG193" s="226"/>
      <c r="AH193" s="226"/>
      <c r="AI193" s="226"/>
      <c r="AJ193" s="226"/>
      <c r="AK193" s="226"/>
      <c r="AL193" s="226"/>
      <c r="AM193" s="226"/>
      <c r="AN193" s="226"/>
      <c r="AO193" s="226"/>
      <c r="AP193" s="226"/>
      <c r="AQ193" s="226"/>
      <c r="AR193" s="226"/>
      <c r="AS193" s="226"/>
      <c r="AT193" s="226"/>
      <c r="AU193" s="226"/>
      <c r="AV193" s="226"/>
      <c r="AW193" s="226"/>
      <c r="AX193" s="226"/>
      <c r="AY193" s="226"/>
      <c r="AZ193" s="226"/>
      <c r="BA193" s="226"/>
      <c r="BB193" s="226"/>
      <c r="BC193" s="226"/>
      <c r="BD193" s="226"/>
      <c r="BE193" s="226"/>
      <c r="BF193" s="226"/>
      <c r="BG193" s="226"/>
      <c r="BH193" s="226"/>
      <c r="BI193" s="226"/>
      <c r="BJ193" s="226"/>
      <c r="BK193" s="226"/>
      <c r="BL193" s="226"/>
      <c r="BM193" s="226"/>
      <c r="BN193" s="226"/>
      <c r="BO193" s="226"/>
      <c r="BP193" s="226"/>
      <c r="BQ193" s="226"/>
      <c r="BR193" s="226"/>
      <c r="BS193" s="226"/>
      <c r="BT193" s="226"/>
      <c r="BU193" s="226"/>
      <c r="BV193" s="226"/>
      <c r="BW193" s="226"/>
      <c r="BX193" s="226"/>
      <c r="BY193" s="226"/>
      <c r="BZ193" s="226"/>
      <c r="CA193" s="226"/>
      <c r="CB193" s="226"/>
      <c r="CC193" s="226"/>
      <c r="CD193" s="226"/>
      <c r="CE193" s="226"/>
      <c r="CF193" s="226"/>
      <c r="CG193" s="226"/>
      <c r="CH193" s="226"/>
      <c r="CI193" s="226"/>
      <c r="CJ193" s="226"/>
      <c r="CK193" s="226"/>
      <c r="CL193" s="226"/>
      <c r="CM193" s="226"/>
      <c r="CN193" s="226"/>
      <c r="CO193" s="226"/>
      <c r="CP193" s="226"/>
      <c r="CQ193" s="226"/>
      <c r="CR193" s="226"/>
      <c r="CS193" s="226"/>
      <c r="CT193" s="226"/>
      <c r="CU193" s="226"/>
      <c r="CV193" s="226"/>
      <c r="CW193" s="226"/>
      <c r="CX193" s="226"/>
      <c r="CY193" s="226"/>
      <c r="CZ193" s="226"/>
      <c r="DA193" s="226"/>
      <c r="DB193" s="226"/>
      <c r="DC193" s="226"/>
      <c r="DD193" s="226"/>
      <c r="DE193" s="226"/>
      <c r="DF193" s="226"/>
      <c r="DG193" s="226"/>
      <c r="DH193" s="226"/>
      <c r="DI193" s="226"/>
      <c r="DJ193" s="226"/>
      <c r="DK193" s="226"/>
      <c r="DL193" s="226"/>
      <c r="DM193" s="226"/>
      <c r="DN193" s="226"/>
      <c r="DO193" s="226"/>
      <c r="DP193" s="226"/>
      <c r="DQ193" s="226"/>
      <c r="DR193" s="226"/>
      <c r="DS193" s="226"/>
      <c r="DT193" s="226"/>
      <c r="DU193" s="226"/>
      <c r="DV193" s="226"/>
      <c r="DW193" s="226"/>
      <c r="DX193" s="226"/>
      <c r="DY193" s="226"/>
      <c r="DZ193" s="226"/>
      <c r="EA193" s="226"/>
      <c r="EB193" s="226"/>
      <c r="EC193" s="226"/>
      <c r="ED193" s="226"/>
      <c r="EE193" s="226"/>
      <c r="EF193" s="226"/>
      <c r="EG193" s="226"/>
      <c r="EH193" s="226"/>
      <c r="EI193" s="226"/>
      <c r="EJ193" s="226"/>
      <c r="EK193" s="226"/>
      <c r="EL193" s="226"/>
      <c r="EM193" s="226"/>
      <c r="EN193" s="226"/>
      <c r="EO193" s="226"/>
      <c r="EP193" s="226"/>
      <c r="EQ193" s="226"/>
      <c r="ER193" s="226"/>
      <c r="ES193" s="226"/>
      <c r="ET193" s="226"/>
      <c r="EU193" s="226"/>
      <c r="EV193" s="226"/>
      <c r="EW193" s="226"/>
      <c r="EX193" s="226"/>
      <c r="EY193" s="226"/>
      <c r="EZ193" s="226"/>
      <c r="FA193" s="226"/>
      <c r="FB193" s="226"/>
      <c r="FC193" s="226"/>
      <c r="FD193" s="226"/>
      <c r="FE193" s="226"/>
      <c r="FF193" s="226"/>
      <c r="FG193" s="226"/>
      <c r="FH193" s="226"/>
      <c r="FI193" s="226"/>
      <c r="FJ193" s="226"/>
      <c r="FK193" s="226"/>
      <c r="FL193" s="226"/>
      <c r="FM193" s="226"/>
      <c r="FN193" s="226"/>
      <c r="FO193" s="226"/>
      <c r="FP193" s="226"/>
      <c r="FQ193" s="226"/>
      <c r="FR193" s="226"/>
      <c r="FS193" s="226"/>
      <c r="FT193" s="226"/>
      <c r="FU193" s="226"/>
      <c r="FV193" s="226"/>
      <c r="FW193" s="226"/>
      <c r="FX193" s="226"/>
      <c r="FY193" s="226"/>
      <c r="FZ193" s="226"/>
      <c r="GA193" s="226"/>
      <c r="GB193" s="226"/>
      <c r="GC193" s="226"/>
      <c r="GD193" s="226"/>
      <c r="GE193" s="226"/>
      <c r="GF193" s="226"/>
      <c r="GG193" s="226"/>
      <c r="GH193" s="226"/>
      <c r="GI193" s="226"/>
      <c r="GJ193" s="226"/>
      <c r="GK193" s="226"/>
      <c r="GL193" s="226"/>
      <c r="GM193" s="226"/>
      <c r="GN193" s="226"/>
      <c r="GO193" s="226"/>
      <c r="GP193" s="226"/>
      <c r="GQ193" s="226"/>
      <c r="GR193" s="226"/>
      <c r="GS193" s="226"/>
      <c r="GT193" s="226"/>
      <c r="GU193" s="226"/>
      <c r="GV193" s="226"/>
      <c r="GW193" s="226"/>
      <c r="GX193" s="226"/>
      <c r="GY193" s="226"/>
      <c r="GZ193" s="226"/>
      <c r="HA193" s="226"/>
      <c r="HB193" s="226"/>
      <c r="HC193" s="226"/>
      <c r="HD193" s="226"/>
    </row>
    <row r="194" spans="1:212" ht="14.1" customHeight="1" x14ac:dyDescent="0.2">
      <c r="A194" s="226"/>
      <c r="B194" s="226"/>
      <c r="C194" s="226"/>
      <c r="D194" s="226"/>
      <c r="E194" s="226"/>
      <c r="F194" s="226"/>
      <c r="G194" s="226"/>
      <c r="H194" s="226"/>
      <c r="I194" s="226"/>
      <c r="J194" s="226"/>
      <c r="K194" s="226"/>
      <c r="L194" s="226"/>
      <c r="M194" s="226"/>
      <c r="N194" s="226"/>
      <c r="O194" s="226"/>
      <c r="P194" s="226"/>
      <c r="Q194" s="226"/>
      <c r="R194" s="226"/>
      <c r="S194" s="226"/>
      <c r="T194" s="226"/>
      <c r="U194" s="226"/>
      <c r="V194" s="226"/>
      <c r="W194" s="226"/>
      <c r="X194" s="226"/>
      <c r="Y194" s="226"/>
      <c r="Z194" s="226"/>
      <c r="AA194" s="226"/>
      <c r="AB194" s="226"/>
      <c r="AC194" s="226"/>
      <c r="AD194" s="226"/>
      <c r="AE194" s="226"/>
      <c r="AF194" s="226"/>
      <c r="AG194" s="226"/>
      <c r="AH194" s="226"/>
      <c r="AI194" s="226"/>
      <c r="AJ194" s="226"/>
      <c r="AK194" s="226"/>
      <c r="AL194" s="226"/>
      <c r="AM194" s="226"/>
      <c r="AN194" s="226"/>
      <c r="AO194" s="226"/>
      <c r="AP194" s="226"/>
      <c r="AQ194" s="226"/>
      <c r="AR194" s="226"/>
      <c r="AS194" s="226"/>
      <c r="AT194" s="226"/>
      <c r="AU194" s="226"/>
      <c r="AV194" s="226"/>
      <c r="AW194" s="226"/>
      <c r="AX194" s="226"/>
      <c r="AY194" s="226"/>
      <c r="AZ194" s="226"/>
      <c r="BA194" s="226"/>
      <c r="BB194" s="226"/>
      <c r="BC194" s="226"/>
      <c r="BD194" s="226"/>
      <c r="BE194" s="226"/>
      <c r="BF194" s="226"/>
      <c r="BG194" s="226"/>
      <c r="BH194" s="226"/>
      <c r="BI194" s="226"/>
      <c r="BJ194" s="226"/>
      <c r="BK194" s="226"/>
      <c r="BL194" s="226"/>
      <c r="BM194" s="226"/>
      <c r="BN194" s="226"/>
      <c r="BO194" s="226"/>
      <c r="BP194" s="226"/>
      <c r="BQ194" s="226"/>
      <c r="BR194" s="226"/>
      <c r="BS194" s="226"/>
      <c r="BT194" s="226"/>
      <c r="BU194" s="226"/>
      <c r="BV194" s="226"/>
      <c r="BW194" s="226"/>
      <c r="BX194" s="226"/>
      <c r="BY194" s="226"/>
      <c r="BZ194" s="226"/>
      <c r="CA194" s="226"/>
      <c r="CB194" s="226"/>
      <c r="CC194" s="226"/>
      <c r="CD194" s="226"/>
      <c r="CE194" s="226"/>
      <c r="CF194" s="226"/>
      <c r="CG194" s="226"/>
      <c r="CH194" s="226"/>
      <c r="CI194" s="226"/>
      <c r="CJ194" s="226"/>
      <c r="CK194" s="226"/>
      <c r="CL194" s="226"/>
      <c r="CM194" s="226"/>
      <c r="CN194" s="226"/>
      <c r="CO194" s="226"/>
      <c r="CP194" s="226"/>
      <c r="CQ194" s="226"/>
      <c r="CR194" s="226"/>
      <c r="CS194" s="226"/>
      <c r="CT194" s="226"/>
      <c r="CU194" s="226"/>
      <c r="CV194" s="226"/>
      <c r="CW194" s="226"/>
      <c r="CX194" s="226"/>
      <c r="CY194" s="226"/>
      <c r="CZ194" s="226"/>
      <c r="DA194" s="226"/>
      <c r="DB194" s="226"/>
      <c r="DC194" s="226"/>
      <c r="DD194" s="226"/>
      <c r="DE194" s="226"/>
      <c r="DF194" s="226"/>
      <c r="DG194" s="226"/>
      <c r="DH194" s="226"/>
      <c r="DI194" s="226"/>
      <c r="DJ194" s="226"/>
      <c r="DK194" s="226"/>
      <c r="DL194" s="226"/>
      <c r="DM194" s="226"/>
      <c r="DN194" s="226"/>
      <c r="DO194" s="226"/>
      <c r="DP194" s="226"/>
      <c r="DQ194" s="226"/>
      <c r="DR194" s="226"/>
      <c r="DS194" s="226"/>
      <c r="DT194" s="226"/>
      <c r="DU194" s="226"/>
      <c r="DV194" s="226"/>
      <c r="DW194" s="226"/>
      <c r="DX194" s="226"/>
      <c r="DY194" s="226"/>
      <c r="DZ194" s="226"/>
      <c r="EA194" s="226"/>
      <c r="EB194" s="226"/>
      <c r="EC194" s="226"/>
      <c r="ED194" s="226"/>
      <c r="EE194" s="226"/>
      <c r="EF194" s="226"/>
      <c r="EG194" s="226"/>
      <c r="EH194" s="226"/>
      <c r="EI194" s="226"/>
      <c r="EJ194" s="226"/>
      <c r="EK194" s="226"/>
      <c r="EL194" s="226"/>
      <c r="EM194" s="226"/>
      <c r="EN194" s="226"/>
      <c r="EO194" s="226"/>
      <c r="EP194" s="226"/>
      <c r="EQ194" s="226"/>
      <c r="ER194" s="226"/>
      <c r="ES194" s="226"/>
      <c r="ET194" s="226"/>
      <c r="EU194" s="226"/>
      <c r="EV194" s="226"/>
      <c r="EW194" s="226"/>
      <c r="EX194" s="226"/>
      <c r="EY194" s="226"/>
      <c r="EZ194" s="226"/>
      <c r="FA194" s="226"/>
      <c r="FB194" s="226"/>
      <c r="FC194" s="226"/>
      <c r="FD194" s="226"/>
      <c r="FE194" s="226"/>
      <c r="FF194" s="226"/>
      <c r="FG194" s="226"/>
      <c r="FH194" s="226"/>
      <c r="FI194" s="226"/>
      <c r="FJ194" s="226"/>
      <c r="FK194" s="226"/>
      <c r="FL194" s="226"/>
      <c r="FM194" s="226"/>
      <c r="FN194" s="226"/>
      <c r="FO194" s="226"/>
      <c r="FP194" s="226"/>
      <c r="FQ194" s="226"/>
      <c r="FR194" s="226"/>
      <c r="FS194" s="226"/>
      <c r="FT194" s="226"/>
      <c r="FU194" s="226"/>
      <c r="FV194" s="226"/>
      <c r="FW194" s="226"/>
      <c r="FX194" s="226"/>
      <c r="FY194" s="226"/>
      <c r="FZ194" s="226"/>
      <c r="GA194" s="226"/>
      <c r="GB194" s="226"/>
      <c r="GC194" s="226"/>
      <c r="GD194" s="226"/>
      <c r="GE194" s="226"/>
      <c r="GF194" s="226"/>
      <c r="GG194" s="226"/>
      <c r="GH194" s="226"/>
      <c r="GI194" s="226"/>
      <c r="GJ194" s="226"/>
      <c r="GK194" s="226"/>
      <c r="GL194" s="226"/>
      <c r="GM194" s="226"/>
      <c r="GN194" s="226"/>
      <c r="GO194" s="226"/>
      <c r="GP194" s="226"/>
      <c r="GQ194" s="226"/>
      <c r="GR194" s="226"/>
      <c r="GS194" s="226"/>
      <c r="GT194" s="226"/>
      <c r="GU194" s="226"/>
      <c r="GV194" s="226"/>
      <c r="GW194" s="226"/>
      <c r="GX194" s="226"/>
      <c r="GY194" s="226"/>
      <c r="GZ194" s="226"/>
      <c r="HA194" s="226"/>
      <c r="HB194" s="226"/>
      <c r="HC194" s="226"/>
      <c r="HD194" s="226"/>
    </row>
    <row r="195" spans="1:212" ht="14.1" customHeight="1" x14ac:dyDescent="0.2">
      <c r="A195" s="226"/>
      <c r="B195" s="226"/>
      <c r="C195" s="226"/>
      <c r="D195" s="226"/>
      <c r="E195" s="226"/>
      <c r="F195" s="226"/>
      <c r="G195" s="226"/>
      <c r="H195" s="226"/>
      <c r="I195" s="226"/>
      <c r="J195" s="226"/>
      <c r="K195" s="226"/>
      <c r="L195" s="226"/>
      <c r="M195" s="226"/>
      <c r="N195" s="226"/>
      <c r="O195" s="226"/>
      <c r="P195" s="226"/>
      <c r="Q195" s="226"/>
      <c r="R195" s="226"/>
      <c r="S195" s="226"/>
      <c r="T195" s="226"/>
      <c r="U195" s="226"/>
      <c r="V195" s="226"/>
      <c r="W195" s="226"/>
      <c r="X195" s="226"/>
      <c r="Y195" s="226"/>
      <c r="Z195" s="226"/>
      <c r="AA195" s="226"/>
      <c r="AB195" s="226"/>
      <c r="AC195" s="226"/>
      <c r="AD195" s="226"/>
      <c r="AE195" s="226"/>
      <c r="AF195" s="226"/>
      <c r="AG195" s="226"/>
      <c r="AH195" s="226"/>
      <c r="AI195" s="226"/>
      <c r="AJ195" s="226"/>
      <c r="AK195" s="226"/>
      <c r="AL195" s="226"/>
      <c r="AM195" s="226"/>
      <c r="AN195" s="226"/>
      <c r="AO195" s="226"/>
      <c r="AP195" s="226"/>
      <c r="AQ195" s="226"/>
      <c r="AR195" s="226"/>
      <c r="AS195" s="226"/>
      <c r="AT195" s="226"/>
      <c r="AU195" s="226"/>
      <c r="AV195" s="226"/>
      <c r="AW195" s="226"/>
      <c r="AX195" s="226"/>
      <c r="AY195" s="226"/>
      <c r="AZ195" s="226"/>
      <c r="BA195" s="226"/>
      <c r="BB195" s="226"/>
      <c r="BC195" s="226"/>
      <c r="BD195" s="226"/>
      <c r="BE195" s="226"/>
      <c r="BF195" s="226"/>
      <c r="BG195" s="226"/>
      <c r="BH195" s="226"/>
      <c r="BI195" s="226"/>
      <c r="BJ195" s="226"/>
      <c r="BK195" s="226"/>
      <c r="BL195" s="226"/>
      <c r="BM195" s="226"/>
      <c r="BN195" s="226"/>
      <c r="BO195" s="226"/>
      <c r="BP195" s="226"/>
      <c r="BQ195" s="226"/>
      <c r="BR195" s="226"/>
      <c r="BS195" s="226"/>
      <c r="BT195" s="226"/>
      <c r="BU195" s="226"/>
      <c r="BV195" s="226"/>
      <c r="BW195" s="226"/>
      <c r="BX195" s="226"/>
      <c r="BY195" s="226"/>
      <c r="BZ195" s="226"/>
      <c r="CA195" s="226"/>
      <c r="CB195" s="226"/>
      <c r="CC195" s="226"/>
      <c r="CD195" s="226"/>
      <c r="CE195" s="226"/>
      <c r="CF195" s="226"/>
      <c r="CG195" s="226"/>
      <c r="CH195" s="226"/>
      <c r="CI195" s="226"/>
      <c r="CJ195" s="226"/>
      <c r="CK195" s="226"/>
      <c r="CL195" s="226"/>
      <c r="CM195" s="226"/>
      <c r="CN195" s="226"/>
      <c r="CO195" s="226"/>
      <c r="CP195" s="226"/>
      <c r="CQ195" s="226"/>
      <c r="CR195" s="226"/>
      <c r="CS195" s="226"/>
      <c r="CT195" s="226"/>
      <c r="CU195" s="226"/>
      <c r="CV195" s="226"/>
      <c r="CW195" s="226"/>
      <c r="CX195" s="226"/>
      <c r="CY195" s="226"/>
      <c r="CZ195" s="226"/>
      <c r="DA195" s="226"/>
      <c r="DB195" s="226"/>
      <c r="DC195" s="226"/>
      <c r="DD195" s="226"/>
      <c r="DE195" s="226"/>
      <c r="DF195" s="226"/>
      <c r="DG195" s="226"/>
      <c r="DH195" s="226"/>
      <c r="DI195" s="226"/>
      <c r="DJ195" s="226"/>
      <c r="DK195" s="226"/>
      <c r="DL195" s="226"/>
      <c r="DM195" s="226"/>
      <c r="DN195" s="226"/>
      <c r="DO195" s="226"/>
      <c r="DP195" s="226"/>
      <c r="DQ195" s="226"/>
      <c r="DR195" s="226"/>
      <c r="DS195" s="226"/>
      <c r="DT195" s="226"/>
      <c r="DU195" s="226"/>
      <c r="DV195" s="226"/>
      <c r="DW195" s="226"/>
      <c r="DX195" s="226"/>
      <c r="DY195" s="226"/>
      <c r="DZ195" s="226"/>
      <c r="EA195" s="226"/>
      <c r="EB195" s="226"/>
      <c r="EC195" s="226"/>
      <c r="ED195" s="226"/>
      <c r="EE195" s="226"/>
      <c r="EF195" s="226"/>
      <c r="EG195" s="226"/>
      <c r="EH195" s="226"/>
      <c r="EI195" s="226"/>
      <c r="EJ195" s="226"/>
      <c r="EK195" s="226"/>
      <c r="EL195" s="226"/>
      <c r="EM195" s="226"/>
      <c r="EN195" s="226"/>
      <c r="EO195" s="226"/>
      <c r="EP195" s="226"/>
      <c r="EQ195" s="226"/>
      <c r="ER195" s="226"/>
      <c r="ES195" s="226"/>
      <c r="ET195" s="226"/>
      <c r="EU195" s="226"/>
      <c r="EV195" s="226"/>
      <c r="EW195" s="226"/>
      <c r="EX195" s="226"/>
      <c r="EY195" s="226"/>
      <c r="EZ195" s="226"/>
      <c r="FA195" s="226"/>
      <c r="FB195" s="226"/>
      <c r="FC195" s="226"/>
      <c r="FD195" s="226"/>
      <c r="FE195" s="226"/>
      <c r="FF195" s="226"/>
      <c r="FG195" s="226"/>
      <c r="FH195" s="226"/>
      <c r="FI195" s="226"/>
      <c r="FJ195" s="226"/>
      <c r="FK195" s="226"/>
      <c r="FL195" s="226"/>
      <c r="FM195" s="226"/>
      <c r="FN195" s="226"/>
      <c r="FO195" s="226"/>
      <c r="FP195" s="226"/>
      <c r="FQ195" s="226"/>
      <c r="FR195" s="226"/>
      <c r="FS195" s="226"/>
      <c r="FT195" s="226"/>
      <c r="FU195" s="226"/>
      <c r="FV195" s="226"/>
      <c r="FW195" s="226"/>
      <c r="FX195" s="226"/>
      <c r="FY195" s="226"/>
      <c r="FZ195" s="226"/>
      <c r="GA195" s="226"/>
      <c r="GB195" s="226"/>
      <c r="GC195" s="226"/>
      <c r="GD195" s="226"/>
      <c r="GE195" s="226"/>
      <c r="GF195" s="226"/>
      <c r="GG195" s="226"/>
      <c r="GH195" s="226"/>
      <c r="GI195" s="226"/>
      <c r="GJ195" s="226"/>
      <c r="GK195" s="226"/>
      <c r="GL195" s="226"/>
      <c r="GM195" s="226"/>
      <c r="GN195" s="226"/>
      <c r="GO195" s="226"/>
      <c r="GP195" s="226"/>
      <c r="GQ195" s="226"/>
      <c r="GR195" s="226"/>
      <c r="GS195" s="226"/>
      <c r="GT195" s="226"/>
      <c r="GU195" s="226"/>
      <c r="GV195" s="226"/>
      <c r="GW195" s="226"/>
      <c r="GX195" s="226"/>
      <c r="GY195" s="226"/>
      <c r="GZ195" s="226"/>
      <c r="HA195" s="226"/>
      <c r="HB195" s="226"/>
      <c r="HC195" s="226"/>
      <c r="HD195" s="226"/>
    </row>
    <row r="196" spans="1:212" ht="14.1" customHeight="1" x14ac:dyDescent="0.2">
      <c r="A196" s="226"/>
      <c r="B196" s="226"/>
      <c r="C196" s="226"/>
      <c r="D196" s="226"/>
      <c r="E196" s="226"/>
      <c r="F196" s="226"/>
      <c r="G196" s="226"/>
      <c r="H196" s="226"/>
      <c r="I196" s="226"/>
      <c r="J196" s="226"/>
      <c r="K196" s="226"/>
      <c r="L196" s="226"/>
      <c r="M196" s="226"/>
      <c r="N196" s="226"/>
      <c r="O196" s="226"/>
      <c r="P196" s="226"/>
      <c r="Q196" s="226"/>
      <c r="R196" s="226"/>
      <c r="S196" s="226"/>
      <c r="T196" s="226"/>
      <c r="U196" s="226"/>
      <c r="V196" s="226"/>
      <c r="W196" s="226"/>
      <c r="X196" s="226"/>
      <c r="Y196" s="226"/>
      <c r="Z196" s="226"/>
      <c r="AA196" s="226"/>
      <c r="AB196" s="226"/>
      <c r="AC196" s="226"/>
      <c r="AD196" s="226"/>
      <c r="AE196" s="226"/>
      <c r="AF196" s="226"/>
      <c r="AG196" s="226"/>
      <c r="AH196" s="226"/>
      <c r="AI196" s="226"/>
      <c r="AJ196" s="226"/>
      <c r="AK196" s="226"/>
      <c r="AL196" s="226"/>
      <c r="AM196" s="226"/>
      <c r="AN196" s="226"/>
      <c r="AO196" s="226"/>
      <c r="AP196" s="226"/>
      <c r="AQ196" s="226"/>
      <c r="AR196" s="226"/>
      <c r="AS196" s="226"/>
      <c r="AT196" s="226"/>
      <c r="AU196" s="226"/>
      <c r="AV196" s="226"/>
      <c r="AW196" s="226"/>
      <c r="AX196" s="226"/>
      <c r="AY196" s="226"/>
      <c r="AZ196" s="226"/>
      <c r="BA196" s="226"/>
      <c r="BB196" s="226"/>
      <c r="BC196" s="226"/>
      <c r="BD196" s="226"/>
      <c r="BE196" s="226"/>
      <c r="BF196" s="226"/>
      <c r="BG196" s="226"/>
      <c r="BH196" s="226"/>
      <c r="BI196" s="226"/>
      <c r="BJ196" s="226"/>
      <c r="BK196" s="226"/>
      <c r="BL196" s="226"/>
      <c r="BM196" s="226"/>
      <c r="BN196" s="226"/>
      <c r="BO196" s="226"/>
      <c r="BP196" s="226"/>
      <c r="BQ196" s="226"/>
      <c r="BR196" s="226"/>
      <c r="BS196" s="226"/>
      <c r="BT196" s="226"/>
      <c r="BU196" s="226"/>
      <c r="BV196" s="226"/>
      <c r="BW196" s="226"/>
      <c r="BX196" s="226"/>
      <c r="BY196" s="226"/>
      <c r="BZ196" s="226"/>
      <c r="CA196" s="226"/>
      <c r="CB196" s="226"/>
      <c r="CC196" s="226"/>
      <c r="CD196" s="226"/>
      <c r="CE196" s="226"/>
      <c r="CF196" s="226"/>
      <c r="CG196" s="226"/>
      <c r="CH196" s="226"/>
      <c r="CI196" s="226"/>
      <c r="CJ196" s="226"/>
      <c r="CK196" s="226"/>
      <c r="CL196" s="226"/>
      <c r="CM196" s="226"/>
      <c r="CN196" s="226"/>
      <c r="CO196" s="226"/>
      <c r="CP196" s="226"/>
      <c r="CQ196" s="226"/>
      <c r="CR196" s="226"/>
      <c r="CS196" s="226"/>
      <c r="CT196" s="226"/>
      <c r="CU196" s="226"/>
      <c r="CV196" s="226"/>
      <c r="CW196" s="226"/>
      <c r="CX196" s="226"/>
      <c r="CY196" s="226"/>
      <c r="CZ196" s="226"/>
      <c r="DA196" s="226"/>
      <c r="DB196" s="226"/>
      <c r="DC196" s="226"/>
      <c r="DD196" s="226"/>
      <c r="DE196" s="226"/>
      <c r="DF196" s="226"/>
      <c r="DG196" s="226"/>
      <c r="DH196" s="226"/>
      <c r="DI196" s="226"/>
      <c r="DJ196" s="226"/>
      <c r="DK196" s="226"/>
      <c r="DL196" s="226"/>
      <c r="DM196" s="226"/>
      <c r="DN196" s="226"/>
      <c r="DO196" s="226"/>
      <c r="DP196" s="226"/>
      <c r="DQ196" s="226"/>
      <c r="DR196" s="226"/>
      <c r="DS196" s="226"/>
      <c r="DT196" s="226"/>
      <c r="DU196" s="226"/>
      <c r="DV196" s="226"/>
      <c r="DW196" s="226"/>
      <c r="DX196" s="226"/>
      <c r="DY196" s="226"/>
      <c r="DZ196" s="226"/>
      <c r="EA196" s="226"/>
      <c r="EB196" s="226"/>
      <c r="EC196" s="226"/>
      <c r="ED196" s="226"/>
      <c r="EE196" s="226"/>
      <c r="EF196" s="226"/>
      <c r="EG196" s="226"/>
      <c r="EH196" s="226"/>
      <c r="EI196" s="226"/>
      <c r="EJ196" s="226"/>
      <c r="EK196" s="226"/>
      <c r="EL196" s="226"/>
      <c r="EM196" s="226"/>
      <c r="EN196" s="226"/>
      <c r="EO196" s="226"/>
      <c r="EP196" s="226"/>
      <c r="EQ196" s="226"/>
      <c r="ER196" s="226"/>
      <c r="ES196" s="226"/>
      <c r="ET196" s="226"/>
      <c r="EU196" s="226"/>
      <c r="EV196" s="226"/>
      <c r="EW196" s="226"/>
      <c r="EX196" s="226"/>
      <c r="EY196" s="226"/>
      <c r="EZ196" s="226"/>
      <c r="FA196" s="226"/>
      <c r="FB196" s="226"/>
      <c r="FC196" s="226"/>
      <c r="FD196" s="226"/>
      <c r="FE196" s="226"/>
      <c r="FF196" s="226"/>
      <c r="FG196" s="226"/>
      <c r="FH196" s="226"/>
      <c r="FI196" s="226"/>
      <c r="FJ196" s="226"/>
      <c r="FK196" s="226"/>
      <c r="FL196" s="226"/>
      <c r="FM196" s="226"/>
      <c r="FN196" s="226"/>
      <c r="FO196" s="226"/>
      <c r="FP196" s="226"/>
      <c r="FQ196" s="226"/>
      <c r="FR196" s="226"/>
      <c r="FS196" s="226"/>
      <c r="FT196" s="226"/>
      <c r="FU196" s="226"/>
      <c r="FV196" s="226"/>
      <c r="FW196" s="226"/>
      <c r="FX196" s="226"/>
      <c r="FY196" s="226"/>
      <c r="FZ196" s="226"/>
      <c r="GA196" s="226"/>
      <c r="GB196" s="226"/>
      <c r="GC196" s="226"/>
      <c r="GD196" s="226"/>
      <c r="GE196" s="226"/>
      <c r="GF196" s="226"/>
      <c r="GG196" s="226"/>
      <c r="GH196" s="226"/>
      <c r="GI196" s="226"/>
      <c r="GJ196" s="226"/>
      <c r="GK196" s="226"/>
      <c r="GL196" s="226"/>
      <c r="GM196" s="226"/>
      <c r="GN196" s="226"/>
      <c r="GO196" s="226"/>
      <c r="GP196" s="226"/>
      <c r="GQ196" s="226"/>
      <c r="GR196" s="226"/>
      <c r="GS196" s="226"/>
      <c r="GT196" s="226"/>
      <c r="GU196" s="226"/>
      <c r="GV196" s="226"/>
      <c r="GW196" s="226"/>
      <c r="GX196" s="226"/>
      <c r="GY196" s="226"/>
      <c r="GZ196" s="226"/>
      <c r="HA196" s="226"/>
      <c r="HB196" s="226"/>
      <c r="HC196" s="226"/>
      <c r="HD196" s="226"/>
    </row>
    <row r="197" spans="1:212" ht="14.1" customHeight="1" x14ac:dyDescent="0.2">
      <c r="A197" s="226"/>
      <c r="B197" s="226"/>
      <c r="C197" s="226"/>
      <c r="D197" s="226"/>
      <c r="E197" s="226"/>
      <c r="F197" s="226"/>
      <c r="G197" s="226"/>
      <c r="H197" s="226"/>
      <c r="I197" s="226"/>
      <c r="J197" s="226"/>
      <c r="K197" s="226"/>
      <c r="L197" s="226"/>
      <c r="M197" s="226"/>
      <c r="N197" s="226"/>
      <c r="O197" s="226"/>
      <c r="P197" s="226"/>
      <c r="Q197" s="226"/>
      <c r="R197" s="226"/>
      <c r="S197" s="226"/>
      <c r="T197" s="226"/>
      <c r="U197" s="226"/>
      <c r="V197" s="226"/>
      <c r="W197" s="226"/>
      <c r="X197" s="226"/>
      <c r="Y197" s="226"/>
      <c r="Z197" s="226"/>
      <c r="AA197" s="226"/>
      <c r="AB197" s="226"/>
      <c r="AC197" s="226"/>
      <c r="AD197" s="226"/>
      <c r="AE197" s="226"/>
      <c r="AF197" s="226"/>
      <c r="AG197" s="226"/>
      <c r="AH197" s="226"/>
      <c r="AI197" s="226"/>
      <c r="AJ197" s="226"/>
      <c r="AK197" s="226"/>
      <c r="AL197" s="226"/>
      <c r="AM197" s="226"/>
      <c r="AN197" s="226"/>
      <c r="AO197" s="226"/>
      <c r="AP197" s="226"/>
      <c r="AQ197" s="226"/>
      <c r="AR197" s="226"/>
      <c r="AS197" s="226"/>
      <c r="AT197" s="226"/>
      <c r="AU197" s="226"/>
      <c r="AV197" s="226"/>
      <c r="AW197" s="226"/>
      <c r="AX197" s="226"/>
      <c r="AY197" s="226"/>
      <c r="AZ197" s="226"/>
      <c r="BA197" s="226"/>
      <c r="BB197" s="226"/>
      <c r="BC197" s="226"/>
      <c r="BD197" s="226"/>
      <c r="BE197" s="226"/>
      <c r="BF197" s="226"/>
      <c r="BG197" s="226"/>
      <c r="BH197" s="226"/>
      <c r="BI197" s="226"/>
      <c r="BJ197" s="226"/>
      <c r="BK197" s="226"/>
      <c r="BL197" s="226"/>
      <c r="BM197" s="226"/>
      <c r="BN197" s="226"/>
      <c r="BO197" s="226"/>
      <c r="BP197" s="226"/>
      <c r="BQ197" s="226"/>
      <c r="BR197" s="226"/>
      <c r="BS197" s="226"/>
      <c r="BT197" s="226"/>
      <c r="BU197" s="226"/>
      <c r="BV197" s="226"/>
      <c r="BW197" s="226"/>
      <c r="BX197" s="226"/>
      <c r="BY197" s="226"/>
      <c r="BZ197" s="226"/>
      <c r="CA197" s="226"/>
      <c r="CB197" s="226"/>
      <c r="CC197" s="226"/>
      <c r="CD197" s="226"/>
      <c r="CE197" s="226"/>
      <c r="CF197" s="226"/>
      <c r="CG197" s="226"/>
      <c r="CH197" s="226"/>
      <c r="CI197" s="226"/>
      <c r="CJ197" s="226"/>
      <c r="CK197" s="226"/>
      <c r="CL197" s="226"/>
      <c r="CM197" s="226"/>
      <c r="CN197" s="226"/>
      <c r="CO197" s="226"/>
      <c r="CP197" s="226"/>
      <c r="CQ197" s="226"/>
      <c r="CR197" s="226"/>
      <c r="CS197" s="226"/>
      <c r="CT197" s="226"/>
      <c r="CU197" s="226"/>
      <c r="CV197" s="226"/>
      <c r="CW197" s="226"/>
      <c r="CX197" s="226"/>
      <c r="CY197" s="226"/>
      <c r="CZ197" s="226"/>
      <c r="DA197" s="226"/>
      <c r="DB197" s="226"/>
      <c r="DC197" s="226"/>
      <c r="DD197" s="226"/>
      <c r="DE197" s="226"/>
      <c r="DF197" s="226"/>
      <c r="DG197" s="226"/>
      <c r="DH197" s="226"/>
      <c r="DI197" s="226"/>
      <c r="DJ197" s="226"/>
      <c r="DK197" s="226"/>
      <c r="DL197" s="226"/>
      <c r="DM197" s="226"/>
      <c r="DN197" s="226"/>
      <c r="DO197" s="226"/>
      <c r="DP197" s="226"/>
      <c r="DQ197" s="226"/>
      <c r="DR197" s="226"/>
      <c r="DS197" s="226"/>
      <c r="DT197" s="226"/>
      <c r="DU197" s="226"/>
      <c r="DV197" s="226"/>
      <c r="DW197" s="226"/>
      <c r="DX197" s="226"/>
      <c r="DY197" s="226"/>
      <c r="DZ197" s="226"/>
      <c r="EA197" s="226"/>
      <c r="EB197" s="226"/>
      <c r="EC197" s="226"/>
      <c r="ED197" s="226"/>
      <c r="EE197" s="226"/>
      <c r="EF197" s="226"/>
      <c r="EG197" s="226"/>
      <c r="EH197" s="226"/>
      <c r="EI197" s="226"/>
      <c r="EJ197" s="226"/>
      <c r="EK197" s="226"/>
      <c r="EL197" s="226"/>
      <c r="EM197" s="226"/>
      <c r="EN197" s="226"/>
      <c r="EO197" s="226"/>
      <c r="EP197" s="226"/>
      <c r="EQ197" s="226"/>
      <c r="ER197" s="226"/>
      <c r="ES197" s="226"/>
      <c r="ET197" s="226"/>
      <c r="EU197" s="226"/>
      <c r="EV197" s="226"/>
      <c r="EW197" s="226"/>
      <c r="EX197" s="226"/>
      <c r="EY197" s="226"/>
      <c r="EZ197" s="226"/>
      <c r="FA197" s="226"/>
      <c r="FB197" s="226"/>
      <c r="FC197" s="226"/>
      <c r="FD197" s="226"/>
      <c r="FE197" s="226"/>
      <c r="FF197" s="226"/>
      <c r="FG197" s="226"/>
      <c r="FH197" s="226"/>
      <c r="FI197" s="226"/>
      <c r="FJ197" s="226"/>
      <c r="FK197" s="226"/>
      <c r="FL197" s="226"/>
      <c r="FM197" s="226"/>
      <c r="FN197" s="226"/>
      <c r="FO197" s="226"/>
      <c r="FP197" s="226"/>
      <c r="FQ197" s="226"/>
      <c r="FR197" s="226"/>
      <c r="FS197" s="226"/>
      <c r="FT197" s="226"/>
      <c r="FU197" s="226"/>
      <c r="FV197" s="226"/>
      <c r="FW197" s="226"/>
      <c r="FX197" s="226"/>
      <c r="FY197" s="226"/>
      <c r="FZ197" s="226"/>
      <c r="GA197" s="226"/>
      <c r="GB197" s="226"/>
      <c r="GC197" s="226"/>
      <c r="GD197" s="226"/>
      <c r="GE197" s="226"/>
      <c r="GF197" s="226"/>
      <c r="GG197" s="226"/>
      <c r="GH197" s="226"/>
      <c r="GI197" s="226"/>
      <c r="GJ197" s="226"/>
      <c r="GK197" s="226"/>
      <c r="GL197" s="226"/>
      <c r="GM197" s="226"/>
      <c r="GN197" s="226"/>
      <c r="GO197" s="226"/>
      <c r="GP197" s="226"/>
      <c r="GQ197" s="226"/>
      <c r="GR197" s="226"/>
      <c r="GS197" s="226"/>
      <c r="GT197" s="226"/>
      <c r="GU197" s="226"/>
      <c r="GV197" s="226"/>
      <c r="GW197" s="226"/>
      <c r="GX197" s="226"/>
      <c r="GY197" s="226"/>
      <c r="GZ197" s="226"/>
      <c r="HA197" s="226"/>
      <c r="HB197" s="226"/>
      <c r="HC197" s="226"/>
      <c r="HD197" s="226"/>
    </row>
    <row r="198" spans="1:212" ht="14.1" customHeight="1" x14ac:dyDescent="0.2">
      <c r="A198" s="226"/>
      <c r="B198" s="226"/>
      <c r="C198" s="226"/>
      <c r="D198" s="226"/>
      <c r="E198" s="226"/>
      <c r="F198" s="226"/>
      <c r="G198" s="226"/>
      <c r="H198" s="226"/>
      <c r="I198" s="226"/>
      <c r="J198" s="226"/>
      <c r="K198" s="226"/>
      <c r="L198" s="226"/>
      <c r="M198" s="226"/>
      <c r="N198" s="226"/>
      <c r="O198" s="226"/>
      <c r="P198" s="226"/>
      <c r="Q198" s="226"/>
      <c r="R198" s="226"/>
      <c r="S198" s="226"/>
      <c r="T198" s="226"/>
      <c r="U198" s="226"/>
      <c r="V198" s="226"/>
      <c r="W198" s="226"/>
      <c r="X198" s="226"/>
      <c r="Y198" s="226"/>
      <c r="Z198" s="226"/>
      <c r="AA198" s="226"/>
      <c r="AB198" s="226"/>
      <c r="AC198" s="226"/>
      <c r="AD198" s="226"/>
      <c r="AE198" s="226"/>
      <c r="AF198" s="226"/>
      <c r="AG198" s="226"/>
      <c r="AH198" s="226"/>
      <c r="AI198" s="226"/>
      <c r="AJ198" s="226"/>
      <c r="AK198" s="226"/>
      <c r="AL198" s="226"/>
      <c r="AM198" s="226"/>
      <c r="AN198" s="226"/>
      <c r="AO198" s="226"/>
      <c r="AP198" s="226"/>
      <c r="AQ198" s="226"/>
      <c r="AR198" s="226"/>
      <c r="AS198" s="226"/>
      <c r="AT198" s="226"/>
      <c r="AU198" s="226"/>
      <c r="AV198" s="226"/>
      <c r="AW198" s="226"/>
      <c r="AX198" s="226"/>
      <c r="AY198" s="226"/>
      <c r="AZ198" s="226"/>
      <c r="BA198" s="226"/>
      <c r="BB198" s="226"/>
      <c r="BC198" s="226"/>
      <c r="BD198" s="226"/>
      <c r="BE198" s="226"/>
      <c r="BF198" s="226"/>
      <c r="BG198" s="226"/>
      <c r="BH198" s="226"/>
      <c r="BI198" s="226"/>
      <c r="BJ198" s="226"/>
      <c r="BK198" s="226"/>
      <c r="BL198" s="226"/>
      <c r="BM198" s="226"/>
      <c r="BN198" s="226"/>
      <c r="BO198" s="226"/>
      <c r="BP198" s="226"/>
      <c r="BQ198" s="226"/>
      <c r="BR198" s="226"/>
      <c r="BS198" s="226"/>
      <c r="BT198" s="226"/>
      <c r="BU198" s="226"/>
      <c r="BV198" s="226"/>
      <c r="BW198" s="226"/>
      <c r="BX198" s="226"/>
      <c r="BY198" s="226"/>
      <c r="BZ198" s="226"/>
      <c r="CA198" s="226"/>
      <c r="CB198" s="226"/>
      <c r="CC198" s="226"/>
      <c r="CD198" s="226"/>
      <c r="CE198" s="226"/>
      <c r="CF198" s="226"/>
      <c r="CG198" s="226"/>
      <c r="CH198" s="226"/>
      <c r="CI198" s="226"/>
      <c r="CJ198" s="226"/>
      <c r="CK198" s="226"/>
      <c r="CL198" s="226"/>
      <c r="CM198" s="226"/>
      <c r="CN198" s="226"/>
      <c r="CO198" s="226"/>
      <c r="CP198" s="226"/>
      <c r="CQ198" s="226"/>
      <c r="CR198" s="226"/>
      <c r="CS198" s="226"/>
      <c r="CT198" s="226"/>
      <c r="CU198" s="226"/>
      <c r="CV198" s="226"/>
      <c r="CW198" s="226"/>
      <c r="CX198" s="226"/>
      <c r="CY198" s="226"/>
      <c r="CZ198" s="226"/>
      <c r="DA198" s="226"/>
      <c r="DB198" s="226"/>
      <c r="DC198" s="226"/>
      <c r="DD198" s="226"/>
      <c r="DE198" s="226"/>
      <c r="DF198" s="226"/>
      <c r="DG198" s="226"/>
      <c r="DH198" s="226"/>
      <c r="DI198" s="226"/>
      <c r="DJ198" s="226"/>
      <c r="DK198" s="226"/>
      <c r="DL198" s="226"/>
      <c r="DM198" s="226"/>
      <c r="DN198" s="226"/>
      <c r="DO198" s="226"/>
      <c r="DP198" s="226"/>
      <c r="DQ198" s="226"/>
      <c r="DR198" s="226"/>
      <c r="DS198" s="226"/>
      <c r="DT198" s="226"/>
      <c r="DU198" s="226"/>
      <c r="DV198" s="226"/>
      <c r="DW198" s="226"/>
      <c r="DX198" s="226"/>
      <c r="DY198" s="226"/>
      <c r="DZ198" s="226"/>
      <c r="EA198" s="226"/>
      <c r="EB198" s="226"/>
      <c r="EC198" s="226"/>
      <c r="ED198" s="226"/>
      <c r="EE198" s="226"/>
      <c r="EF198" s="226"/>
      <c r="EG198" s="226"/>
      <c r="EH198" s="226"/>
      <c r="EI198" s="226"/>
      <c r="EJ198" s="226"/>
      <c r="EK198" s="226"/>
      <c r="EL198" s="226"/>
      <c r="EM198" s="226"/>
      <c r="EN198" s="226"/>
      <c r="EO198" s="226"/>
      <c r="EP198" s="226"/>
      <c r="EQ198" s="226"/>
      <c r="ER198" s="226"/>
      <c r="ES198" s="226"/>
      <c r="ET198" s="226"/>
      <c r="EU198" s="226"/>
      <c r="EV198" s="226"/>
      <c r="EW198" s="226"/>
      <c r="EX198" s="226"/>
      <c r="EY198" s="226"/>
      <c r="EZ198" s="226"/>
      <c r="FA198" s="226"/>
      <c r="FB198" s="226"/>
      <c r="FC198" s="226"/>
      <c r="FD198" s="226"/>
      <c r="FE198" s="226"/>
      <c r="FF198" s="226"/>
      <c r="FG198" s="226"/>
      <c r="FH198" s="226"/>
      <c r="FI198" s="226"/>
      <c r="FJ198" s="226"/>
      <c r="FK198" s="226"/>
      <c r="FL198" s="226"/>
      <c r="FM198" s="226"/>
      <c r="FN198" s="226"/>
      <c r="FO198" s="226"/>
      <c r="FP198" s="226"/>
      <c r="FQ198" s="226"/>
      <c r="FR198" s="226"/>
      <c r="FS198" s="226"/>
      <c r="FT198" s="226"/>
      <c r="FU198" s="226"/>
      <c r="FV198" s="226"/>
      <c r="FW198" s="226"/>
      <c r="FX198" s="226"/>
      <c r="FY198" s="226"/>
      <c r="FZ198" s="226"/>
      <c r="GA198" s="226"/>
      <c r="GB198" s="226"/>
      <c r="GC198" s="226"/>
      <c r="GD198" s="226"/>
      <c r="GE198" s="226"/>
      <c r="GF198" s="226"/>
      <c r="GG198" s="226"/>
      <c r="GH198" s="226"/>
      <c r="GI198" s="226"/>
      <c r="GJ198" s="226"/>
      <c r="GK198" s="226"/>
      <c r="GL198" s="226"/>
      <c r="GM198" s="226"/>
      <c r="GN198" s="226"/>
      <c r="GO198" s="226"/>
      <c r="GP198" s="226"/>
      <c r="GQ198" s="226"/>
      <c r="GR198" s="226"/>
      <c r="GS198" s="226"/>
      <c r="GT198" s="226"/>
      <c r="GU198" s="226"/>
      <c r="GV198" s="226"/>
      <c r="GW198" s="226"/>
      <c r="GX198" s="226"/>
      <c r="GY198" s="226"/>
      <c r="GZ198" s="226"/>
      <c r="HA198" s="226"/>
      <c r="HB198" s="226"/>
      <c r="HC198" s="226"/>
      <c r="HD198" s="226"/>
    </row>
    <row r="199" spans="1:212" ht="14.1" customHeight="1" x14ac:dyDescent="0.2">
      <c r="A199" s="226"/>
      <c r="B199" s="226"/>
      <c r="C199" s="226"/>
      <c r="D199" s="226"/>
      <c r="E199" s="226"/>
      <c r="F199" s="226"/>
      <c r="G199" s="226"/>
      <c r="H199" s="226"/>
      <c r="I199" s="226"/>
      <c r="J199" s="226"/>
      <c r="K199" s="226"/>
      <c r="L199" s="226"/>
      <c r="M199" s="226"/>
      <c r="N199" s="226"/>
      <c r="O199" s="226"/>
      <c r="P199" s="226"/>
      <c r="Q199" s="226"/>
      <c r="R199" s="226"/>
      <c r="S199" s="226"/>
      <c r="T199" s="226"/>
      <c r="U199" s="226"/>
      <c r="V199" s="226"/>
      <c r="W199" s="226"/>
      <c r="X199" s="226"/>
      <c r="Y199" s="226"/>
      <c r="Z199" s="226"/>
      <c r="AA199" s="226"/>
      <c r="AB199" s="226"/>
      <c r="AC199" s="226"/>
      <c r="AD199" s="226"/>
      <c r="AE199" s="226"/>
      <c r="AF199" s="226"/>
      <c r="AG199" s="226"/>
      <c r="AH199" s="226"/>
      <c r="AI199" s="226"/>
      <c r="AJ199" s="226"/>
      <c r="AK199" s="226"/>
      <c r="AL199" s="226"/>
      <c r="AM199" s="226"/>
      <c r="AN199" s="226"/>
      <c r="AO199" s="226"/>
      <c r="AP199" s="226"/>
      <c r="AQ199" s="226"/>
      <c r="AR199" s="226"/>
      <c r="AS199" s="226"/>
      <c r="AT199" s="226"/>
      <c r="AU199" s="226"/>
      <c r="AV199" s="226"/>
      <c r="AW199" s="226"/>
      <c r="AX199" s="226"/>
      <c r="AY199" s="226"/>
      <c r="AZ199" s="226"/>
      <c r="BA199" s="226"/>
      <c r="BB199" s="226"/>
      <c r="BC199" s="226"/>
      <c r="BD199" s="226"/>
      <c r="BE199" s="226"/>
      <c r="BF199" s="226"/>
      <c r="BG199" s="226"/>
      <c r="BH199" s="226"/>
      <c r="BI199" s="226"/>
      <c r="BJ199" s="226"/>
      <c r="BK199" s="226"/>
      <c r="BL199" s="226"/>
      <c r="BM199" s="226"/>
      <c r="BN199" s="226"/>
      <c r="BO199" s="226"/>
      <c r="BP199" s="226"/>
      <c r="BQ199" s="226"/>
      <c r="BR199" s="226"/>
      <c r="BS199" s="226"/>
      <c r="BT199" s="226"/>
      <c r="BU199" s="226"/>
      <c r="BV199" s="226"/>
      <c r="BW199" s="226"/>
      <c r="BX199" s="226"/>
      <c r="BY199" s="226"/>
      <c r="BZ199" s="226"/>
      <c r="CA199" s="226"/>
      <c r="CB199" s="226"/>
      <c r="CC199" s="226"/>
      <c r="CD199" s="226"/>
      <c r="CE199" s="226"/>
      <c r="CF199" s="226"/>
      <c r="CG199" s="226"/>
      <c r="CH199" s="226"/>
      <c r="CI199" s="226"/>
      <c r="CJ199" s="226"/>
      <c r="CK199" s="226"/>
      <c r="CL199" s="226"/>
      <c r="CM199" s="226"/>
      <c r="CN199" s="226"/>
      <c r="CO199" s="226"/>
      <c r="CP199" s="226"/>
      <c r="CQ199" s="226"/>
      <c r="CR199" s="226"/>
      <c r="CS199" s="226"/>
      <c r="CT199" s="226"/>
      <c r="CU199" s="226"/>
      <c r="CV199" s="226"/>
      <c r="CW199" s="226"/>
      <c r="CX199" s="226"/>
      <c r="CY199" s="226"/>
      <c r="CZ199" s="226"/>
      <c r="DA199" s="226"/>
      <c r="DB199" s="226"/>
      <c r="DC199" s="226"/>
      <c r="DD199" s="226"/>
      <c r="DE199" s="226"/>
      <c r="DF199" s="226"/>
      <c r="DG199" s="226"/>
      <c r="DH199" s="226"/>
      <c r="DI199" s="226"/>
      <c r="DJ199" s="226"/>
      <c r="DK199" s="226"/>
      <c r="DL199" s="226"/>
      <c r="DM199" s="226"/>
      <c r="DN199" s="226"/>
      <c r="DO199" s="226"/>
      <c r="DP199" s="226"/>
      <c r="DQ199" s="226"/>
      <c r="DR199" s="226"/>
      <c r="DS199" s="226"/>
      <c r="DT199" s="226"/>
      <c r="DU199" s="226"/>
      <c r="DV199" s="226"/>
      <c r="DW199" s="226"/>
      <c r="DX199" s="226"/>
      <c r="DY199" s="226"/>
      <c r="DZ199" s="226"/>
      <c r="EA199" s="226"/>
      <c r="EB199" s="226"/>
      <c r="EC199" s="226"/>
      <c r="ED199" s="226"/>
      <c r="EE199" s="226"/>
      <c r="EF199" s="226"/>
      <c r="EG199" s="226"/>
      <c r="EH199" s="226"/>
      <c r="EI199" s="226"/>
      <c r="EJ199" s="226"/>
      <c r="EK199" s="226"/>
      <c r="EL199" s="226"/>
      <c r="EM199" s="226"/>
      <c r="EN199" s="226"/>
      <c r="EO199" s="226"/>
      <c r="EP199" s="226"/>
      <c r="EQ199" s="226"/>
      <c r="ER199" s="226"/>
      <c r="ES199" s="226"/>
      <c r="ET199" s="226"/>
      <c r="EU199" s="226"/>
      <c r="EV199" s="226"/>
      <c r="EW199" s="226"/>
      <c r="EX199" s="226"/>
      <c r="EY199" s="226"/>
      <c r="EZ199" s="226"/>
      <c r="FA199" s="226"/>
      <c r="FB199" s="226"/>
      <c r="FC199" s="226"/>
      <c r="FD199" s="226"/>
      <c r="FE199" s="226"/>
      <c r="FF199" s="226"/>
      <c r="FG199" s="226"/>
      <c r="FH199" s="226"/>
      <c r="FI199" s="226"/>
      <c r="FJ199" s="226"/>
      <c r="FK199" s="226"/>
      <c r="FL199" s="226"/>
      <c r="FM199" s="226"/>
      <c r="FN199" s="226"/>
      <c r="FO199" s="226"/>
      <c r="FP199" s="226"/>
      <c r="FQ199" s="226"/>
      <c r="FR199" s="226"/>
      <c r="FS199" s="226"/>
      <c r="FT199" s="226"/>
      <c r="FU199" s="226"/>
      <c r="FV199" s="226"/>
      <c r="FW199" s="226"/>
      <c r="FX199" s="226"/>
      <c r="FY199" s="226"/>
      <c r="FZ199" s="226"/>
      <c r="GA199" s="226"/>
      <c r="GB199" s="226"/>
      <c r="GC199" s="226"/>
      <c r="GD199" s="226"/>
      <c r="GE199" s="226"/>
      <c r="GF199" s="226"/>
      <c r="GG199" s="226"/>
      <c r="GH199" s="226"/>
      <c r="GI199" s="226"/>
      <c r="GJ199" s="226"/>
      <c r="GK199" s="226"/>
      <c r="GL199" s="226"/>
      <c r="GM199" s="226"/>
      <c r="GN199" s="226"/>
      <c r="GO199" s="226"/>
      <c r="GP199" s="226"/>
      <c r="GQ199" s="226"/>
      <c r="GR199" s="226"/>
      <c r="GS199" s="226"/>
      <c r="GT199" s="226"/>
      <c r="GU199" s="226"/>
      <c r="GV199" s="226"/>
      <c r="GW199" s="226"/>
      <c r="GX199" s="226"/>
      <c r="GY199" s="226"/>
      <c r="GZ199" s="226"/>
      <c r="HA199" s="226"/>
      <c r="HB199" s="226"/>
      <c r="HC199" s="226"/>
      <c r="HD199" s="226"/>
    </row>
    <row r="200" spans="1:212" ht="14.1" customHeight="1" x14ac:dyDescent="0.2">
      <c r="A200" s="226"/>
      <c r="B200" s="226"/>
      <c r="C200" s="226"/>
      <c r="D200" s="226"/>
      <c r="E200" s="226"/>
      <c r="F200" s="226"/>
      <c r="G200" s="226"/>
      <c r="H200" s="226"/>
      <c r="I200" s="226"/>
      <c r="J200" s="226"/>
      <c r="K200" s="226"/>
      <c r="L200" s="226"/>
      <c r="M200" s="226"/>
      <c r="N200" s="226"/>
      <c r="O200" s="226"/>
      <c r="P200" s="226"/>
      <c r="Q200" s="226"/>
      <c r="R200" s="226"/>
      <c r="S200" s="226"/>
      <c r="T200" s="226"/>
      <c r="U200" s="226"/>
      <c r="V200" s="226"/>
      <c r="W200" s="226"/>
      <c r="X200" s="226"/>
      <c r="Y200" s="226"/>
      <c r="Z200" s="226"/>
      <c r="AA200" s="226"/>
      <c r="AB200" s="226"/>
      <c r="AC200" s="226"/>
      <c r="AD200" s="226"/>
      <c r="AE200" s="226"/>
      <c r="AF200" s="226"/>
      <c r="AG200" s="226"/>
      <c r="AH200" s="226"/>
      <c r="AI200" s="226"/>
      <c r="AJ200" s="226"/>
      <c r="AK200" s="226"/>
      <c r="AL200" s="226"/>
      <c r="AM200" s="226"/>
      <c r="AN200" s="226"/>
      <c r="AO200" s="226"/>
      <c r="AP200" s="226"/>
      <c r="AQ200" s="226"/>
      <c r="AR200" s="226"/>
      <c r="AS200" s="226"/>
      <c r="AT200" s="226"/>
      <c r="AU200" s="226"/>
      <c r="AV200" s="226"/>
      <c r="AW200" s="226"/>
      <c r="AX200" s="226"/>
      <c r="AY200" s="226"/>
      <c r="AZ200" s="226"/>
      <c r="BA200" s="226"/>
      <c r="BB200" s="226"/>
      <c r="BC200" s="226"/>
      <c r="BD200" s="226"/>
      <c r="BE200" s="226"/>
      <c r="BF200" s="226"/>
      <c r="BG200" s="226"/>
      <c r="BH200" s="226"/>
      <c r="BI200" s="226"/>
      <c r="BJ200" s="226"/>
      <c r="BK200" s="226"/>
      <c r="BL200" s="226"/>
      <c r="BM200" s="226"/>
      <c r="BN200" s="226"/>
      <c r="BO200" s="226"/>
      <c r="BP200" s="226"/>
      <c r="BQ200" s="226"/>
      <c r="BR200" s="226"/>
      <c r="BS200" s="226"/>
      <c r="BT200" s="226"/>
      <c r="BU200" s="226"/>
      <c r="BV200" s="226"/>
      <c r="BW200" s="226"/>
      <c r="BX200" s="226"/>
      <c r="BY200" s="226"/>
      <c r="BZ200" s="226"/>
      <c r="CA200" s="226"/>
      <c r="CB200" s="226"/>
      <c r="CC200" s="226"/>
      <c r="CD200" s="226"/>
      <c r="CE200" s="226"/>
      <c r="CF200" s="226"/>
      <c r="CG200" s="226"/>
      <c r="CH200" s="226"/>
      <c r="CI200" s="226"/>
      <c r="CJ200" s="226"/>
      <c r="CK200" s="226"/>
      <c r="CL200" s="226"/>
      <c r="CM200" s="226"/>
      <c r="CN200" s="226"/>
      <c r="CO200" s="226"/>
      <c r="CP200" s="226"/>
      <c r="CQ200" s="226"/>
      <c r="CR200" s="226"/>
      <c r="CS200" s="226"/>
      <c r="CT200" s="226"/>
      <c r="CU200" s="226"/>
      <c r="CV200" s="226"/>
      <c r="CW200" s="226"/>
      <c r="CX200" s="226"/>
      <c r="CY200" s="226"/>
      <c r="CZ200" s="226"/>
      <c r="DA200" s="226"/>
      <c r="DB200" s="226"/>
      <c r="DC200" s="226"/>
      <c r="DD200" s="226"/>
      <c r="DE200" s="226"/>
      <c r="DF200" s="226"/>
      <c r="DG200" s="226"/>
      <c r="DH200" s="226"/>
      <c r="DI200" s="226"/>
      <c r="DJ200" s="226"/>
      <c r="DK200" s="226"/>
      <c r="DL200" s="226"/>
      <c r="DM200" s="226"/>
      <c r="DN200" s="226"/>
      <c r="DO200" s="226"/>
      <c r="DP200" s="226"/>
      <c r="DQ200" s="226"/>
      <c r="DR200" s="226"/>
      <c r="DS200" s="226"/>
      <c r="DT200" s="226"/>
      <c r="DU200" s="226"/>
      <c r="DV200" s="226"/>
      <c r="DW200" s="226"/>
      <c r="DX200" s="226"/>
      <c r="DY200" s="226"/>
      <c r="DZ200" s="226"/>
      <c r="EA200" s="226"/>
      <c r="EB200" s="226"/>
      <c r="EC200" s="226"/>
      <c r="ED200" s="226"/>
      <c r="EE200" s="226"/>
      <c r="EF200" s="226"/>
      <c r="EG200" s="226"/>
      <c r="EH200" s="226"/>
      <c r="EI200" s="226"/>
      <c r="EJ200" s="226"/>
      <c r="EK200" s="226"/>
      <c r="EL200" s="226"/>
      <c r="EM200" s="226"/>
      <c r="EN200" s="226"/>
      <c r="EO200" s="226"/>
      <c r="EP200" s="226"/>
      <c r="EQ200" s="226"/>
      <c r="ER200" s="226"/>
      <c r="ES200" s="226"/>
      <c r="ET200" s="226"/>
      <c r="EU200" s="226"/>
      <c r="EV200" s="226"/>
      <c r="EW200" s="226"/>
      <c r="EX200" s="226"/>
      <c r="EY200" s="226"/>
      <c r="EZ200" s="226"/>
      <c r="FA200" s="226"/>
      <c r="FB200" s="226"/>
      <c r="FC200" s="226"/>
      <c r="FD200" s="226"/>
      <c r="FE200" s="226"/>
      <c r="FF200" s="226"/>
      <c r="FG200" s="226"/>
      <c r="FH200" s="226"/>
      <c r="FI200" s="226"/>
      <c r="FJ200" s="226"/>
      <c r="FK200" s="226"/>
      <c r="FL200" s="226"/>
      <c r="FM200" s="226"/>
      <c r="FN200" s="226"/>
      <c r="FO200" s="226"/>
      <c r="FP200" s="226"/>
      <c r="FQ200" s="226"/>
      <c r="FR200" s="226"/>
      <c r="FS200" s="226"/>
      <c r="FT200" s="226"/>
      <c r="FU200" s="226"/>
      <c r="FV200" s="226"/>
      <c r="FW200" s="226"/>
      <c r="FX200" s="226"/>
      <c r="FY200" s="226"/>
      <c r="FZ200" s="226"/>
      <c r="GA200" s="226"/>
      <c r="GB200" s="226"/>
      <c r="GC200" s="226"/>
      <c r="GD200" s="226"/>
      <c r="GE200" s="226"/>
      <c r="GF200" s="226"/>
      <c r="GG200" s="226"/>
      <c r="GH200" s="226"/>
      <c r="GI200" s="226"/>
      <c r="GJ200" s="226"/>
      <c r="GK200" s="226"/>
      <c r="GL200" s="226"/>
      <c r="GM200" s="226"/>
      <c r="GN200" s="226"/>
      <c r="GO200" s="226"/>
      <c r="GP200" s="226"/>
      <c r="GQ200" s="226"/>
      <c r="GR200" s="226"/>
      <c r="GS200" s="226"/>
      <c r="GT200" s="226"/>
      <c r="GU200" s="226"/>
      <c r="GV200" s="226"/>
      <c r="GW200" s="226"/>
      <c r="GX200" s="226"/>
      <c r="GY200" s="226"/>
      <c r="GZ200" s="226"/>
      <c r="HA200" s="226"/>
      <c r="HB200" s="226"/>
      <c r="HC200" s="226"/>
      <c r="HD200" s="226"/>
    </row>
    <row r="201" spans="1:212" ht="14.1" customHeight="1" x14ac:dyDescent="0.2">
      <c r="A201" s="226"/>
      <c r="B201" s="226"/>
      <c r="C201" s="226"/>
      <c r="D201" s="226"/>
      <c r="E201" s="226"/>
      <c r="F201" s="226"/>
      <c r="G201" s="226"/>
      <c r="H201" s="226"/>
      <c r="I201" s="226"/>
      <c r="J201" s="226"/>
      <c r="K201" s="226"/>
      <c r="L201" s="226"/>
      <c r="M201" s="226"/>
      <c r="N201" s="226"/>
      <c r="O201" s="226"/>
      <c r="P201" s="226"/>
      <c r="Q201" s="226"/>
      <c r="R201" s="226"/>
      <c r="S201" s="226"/>
      <c r="T201" s="226"/>
      <c r="U201" s="226"/>
      <c r="V201" s="226"/>
      <c r="W201" s="226"/>
      <c r="X201" s="226"/>
      <c r="Y201" s="226"/>
      <c r="Z201" s="226"/>
      <c r="AA201" s="226"/>
      <c r="AB201" s="226"/>
      <c r="AC201" s="226"/>
      <c r="AD201" s="226"/>
      <c r="AE201" s="226"/>
      <c r="AF201" s="226"/>
      <c r="AG201" s="226"/>
      <c r="AH201" s="226"/>
      <c r="AI201" s="226"/>
      <c r="AJ201" s="226"/>
      <c r="AK201" s="226"/>
      <c r="AL201" s="226"/>
      <c r="AM201" s="226"/>
      <c r="AN201" s="226"/>
      <c r="AO201" s="226"/>
      <c r="AP201" s="226"/>
      <c r="AQ201" s="226"/>
      <c r="AR201" s="226"/>
      <c r="AS201" s="226"/>
      <c r="AT201" s="226"/>
      <c r="AU201" s="226"/>
      <c r="AV201" s="226"/>
      <c r="AW201" s="226"/>
      <c r="AX201" s="226"/>
      <c r="AY201" s="226"/>
      <c r="AZ201" s="226"/>
      <c r="BA201" s="226"/>
      <c r="BB201" s="226"/>
      <c r="BC201" s="226"/>
      <c r="BD201" s="226"/>
      <c r="BE201" s="226"/>
      <c r="BF201" s="226"/>
      <c r="BG201" s="226"/>
      <c r="BH201" s="226"/>
      <c r="BI201" s="226"/>
      <c r="BJ201" s="226"/>
      <c r="BK201" s="226"/>
      <c r="BL201" s="226"/>
      <c r="BM201" s="226"/>
      <c r="BN201" s="226"/>
      <c r="BO201" s="226"/>
      <c r="BP201" s="226"/>
      <c r="BQ201" s="226"/>
      <c r="BR201" s="226"/>
      <c r="BS201" s="226"/>
      <c r="BT201" s="226"/>
      <c r="BU201" s="226"/>
      <c r="BV201" s="226"/>
      <c r="BW201" s="226"/>
      <c r="BX201" s="226"/>
      <c r="BY201" s="226"/>
      <c r="BZ201" s="226"/>
      <c r="CA201" s="226"/>
      <c r="CB201" s="226"/>
      <c r="CC201" s="226"/>
      <c r="CD201" s="226"/>
      <c r="CE201" s="226"/>
      <c r="CF201" s="226"/>
      <c r="CG201" s="226"/>
      <c r="CH201" s="226"/>
      <c r="CI201" s="226"/>
      <c r="CJ201" s="226"/>
      <c r="CK201" s="226"/>
      <c r="CL201" s="226"/>
      <c r="CM201" s="226"/>
      <c r="CN201" s="226"/>
      <c r="CO201" s="226"/>
      <c r="CP201" s="226"/>
      <c r="CQ201" s="226"/>
      <c r="CR201" s="226"/>
      <c r="CS201" s="226"/>
      <c r="CT201" s="226"/>
      <c r="CU201" s="226"/>
      <c r="CV201" s="226"/>
      <c r="CW201" s="226"/>
      <c r="CX201" s="226"/>
      <c r="CY201" s="226"/>
      <c r="CZ201" s="226"/>
      <c r="DA201" s="226"/>
      <c r="DB201" s="226"/>
      <c r="DC201" s="226"/>
      <c r="DD201" s="226"/>
      <c r="DE201" s="226"/>
      <c r="DF201" s="226"/>
      <c r="DG201" s="226"/>
      <c r="DH201" s="226"/>
      <c r="DI201" s="226"/>
      <c r="DJ201" s="226"/>
      <c r="DK201" s="226"/>
      <c r="DL201" s="226"/>
      <c r="DM201" s="226"/>
      <c r="DN201" s="226"/>
      <c r="DO201" s="226"/>
      <c r="DP201" s="226"/>
      <c r="DQ201" s="226"/>
      <c r="DR201" s="226"/>
      <c r="DS201" s="226"/>
      <c r="DT201" s="226"/>
      <c r="DU201" s="226"/>
      <c r="DV201" s="226"/>
      <c r="DW201" s="226"/>
      <c r="DX201" s="226"/>
      <c r="DY201" s="226"/>
      <c r="DZ201" s="226"/>
      <c r="EA201" s="226"/>
      <c r="EB201" s="226"/>
      <c r="EC201" s="226"/>
      <c r="ED201" s="226"/>
      <c r="EE201" s="226"/>
      <c r="EF201" s="226"/>
      <c r="EG201" s="226"/>
      <c r="EH201" s="226"/>
      <c r="EI201" s="226"/>
      <c r="EJ201" s="226"/>
      <c r="EK201" s="226"/>
      <c r="EL201" s="226"/>
      <c r="EM201" s="226"/>
      <c r="EN201" s="226"/>
      <c r="EO201" s="226"/>
      <c r="EP201" s="226"/>
      <c r="EQ201" s="226"/>
      <c r="ER201" s="226"/>
      <c r="ES201" s="226"/>
      <c r="ET201" s="226"/>
      <c r="EU201" s="226"/>
      <c r="EV201" s="226"/>
      <c r="EW201" s="226"/>
      <c r="EX201" s="226"/>
      <c r="EY201" s="226"/>
      <c r="EZ201" s="226"/>
      <c r="FA201" s="226"/>
      <c r="FB201" s="226"/>
      <c r="FC201" s="226"/>
      <c r="FD201" s="226"/>
      <c r="FE201" s="226"/>
      <c r="FF201" s="226"/>
      <c r="FG201" s="226"/>
      <c r="FH201" s="226"/>
      <c r="FI201" s="226"/>
      <c r="FJ201" s="226"/>
      <c r="FK201" s="226"/>
      <c r="FL201" s="226"/>
      <c r="FM201" s="226"/>
      <c r="FN201" s="226"/>
      <c r="FO201" s="226"/>
      <c r="FP201" s="226"/>
      <c r="FQ201" s="226"/>
      <c r="FR201" s="226"/>
      <c r="FS201" s="226"/>
      <c r="FT201" s="226"/>
      <c r="FU201" s="226"/>
      <c r="FV201" s="226"/>
      <c r="FW201" s="226"/>
      <c r="FX201" s="226"/>
      <c r="FY201" s="226"/>
      <c r="FZ201" s="226"/>
      <c r="GA201" s="226"/>
      <c r="GB201" s="226"/>
      <c r="GC201" s="226"/>
      <c r="GD201" s="226"/>
      <c r="GE201" s="226"/>
      <c r="GF201" s="226"/>
      <c r="GG201" s="226"/>
      <c r="GH201" s="226"/>
      <c r="GI201" s="226"/>
      <c r="GJ201" s="226"/>
      <c r="GK201" s="226"/>
      <c r="GL201" s="226"/>
      <c r="GM201" s="226"/>
      <c r="GN201" s="226"/>
      <c r="GO201" s="226"/>
      <c r="GP201" s="226"/>
      <c r="GQ201" s="226"/>
      <c r="GR201" s="226"/>
      <c r="GS201" s="226"/>
      <c r="GT201" s="226"/>
      <c r="GU201" s="226"/>
      <c r="GV201" s="226"/>
      <c r="GW201" s="226"/>
      <c r="GX201" s="226"/>
      <c r="GY201" s="226"/>
      <c r="GZ201" s="226"/>
      <c r="HA201" s="226"/>
      <c r="HB201" s="226"/>
      <c r="HC201" s="226"/>
      <c r="HD201" s="226"/>
    </row>
    <row r="202" spans="1:212" ht="14.1" customHeight="1" x14ac:dyDescent="0.2">
      <c r="A202" s="226"/>
      <c r="B202" s="226"/>
      <c r="C202" s="226"/>
      <c r="D202" s="226"/>
      <c r="E202" s="226"/>
      <c r="F202" s="226"/>
      <c r="G202" s="226"/>
      <c r="H202" s="226"/>
      <c r="I202" s="226"/>
      <c r="J202" s="226"/>
      <c r="K202" s="226"/>
      <c r="L202" s="226"/>
      <c r="M202" s="226"/>
      <c r="N202" s="226"/>
      <c r="O202" s="226"/>
      <c r="P202" s="226"/>
      <c r="Q202" s="226"/>
      <c r="R202" s="226"/>
      <c r="S202" s="226"/>
      <c r="T202" s="226"/>
      <c r="U202" s="226"/>
      <c r="V202" s="226"/>
      <c r="W202" s="226"/>
      <c r="X202" s="226"/>
      <c r="Y202" s="226"/>
      <c r="Z202" s="226"/>
      <c r="AA202" s="226"/>
      <c r="AB202" s="226"/>
      <c r="AC202" s="226"/>
      <c r="AD202" s="226"/>
      <c r="AE202" s="226"/>
      <c r="AF202" s="226"/>
      <c r="AG202" s="226"/>
      <c r="AH202" s="226"/>
      <c r="AI202" s="226"/>
      <c r="AJ202" s="226"/>
      <c r="AK202" s="226"/>
      <c r="AL202" s="226"/>
      <c r="AM202" s="226"/>
      <c r="AN202" s="226"/>
      <c r="AO202" s="226"/>
      <c r="AP202" s="226"/>
      <c r="AQ202" s="226"/>
      <c r="AR202" s="226"/>
      <c r="AS202" s="226"/>
      <c r="AT202" s="226"/>
      <c r="AU202" s="226"/>
      <c r="AV202" s="226"/>
      <c r="AW202" s="226"/>
      <c r="AX202" s="226"/>
      <c r="AY202" s="226"/>
      <c r="AZ202" s="226"/>
      <c r="BA202" s="226"/>
      <c r="BB202" s="226"/>
      <c r="BC202" s="226"/>
      <c r="BD202" s="226"/>
      <c r="BE202" s="226"/>
      <c r="BF202" s="226"/>
      <c r="BG202" s="226"/>
      <c r="BH202" s="226"/>
      <c r="BI202" s="226"/>
      <c r="BJ202" s="226"/>
      <c r="BK202" s="226"/>
      <c r="BL202" s="226"/>
      <c r="BM202" s="226"/>
      <c r="BN202" s="226"/>
      <c r="BO202" s="226"/>
      <c r="BP202" s="226"/>
      <c r="BQ202" s="226"/>
      <c r="BR202" s="226"/>
      <c r="BS202" s="226"/>
      <c r="BT202" s="226"/>
      <c r="BU202" s="226"/>
      <c r="BV202" s="226"/>
      <c r="BW202" s="226"/>
      <c r="BX202" s="226"/>
      <c r="BY202" s="226"/>
      <c r="BZ202" s="226"/>
      <c r="CA202" s="226"/>
      <c r="CB202" s="226"/>
      <c r="CC202" s="226"/>
      <c r="CD202" s="226"/>
      <c r="CE202" s="226"/>
      <c r="CF202" s="226"/>
      <c r="CG202" s="226"/>
      <c r="CH202" s="226"/>
      <c r="CI202" s="226"/>
      <c r="CJ202" s="226"/>
      <c r="CK202" s="226"/>
      <c r="CL202" s="226"/>
      <c r="CM202" s="226"/>
      <c r="CN202" s="226"/>
      <c r="CO202" s="226"/>
      <c r="CP202" s="226"/>
      <c r="CQ202" s="226"/>
      <c r="CR202" s="226"/>
      <c r="CS202" s="226"/>
      <c r="CT202" s="226"/>
      <c r="CU202" s="226"/>
      <c r="CV202" s="226"/>
      <c r="CW202" s="226"/>
      <c r="CX202" s="226"/>
      <c r="CY202" s="226"/>
      <c r="CZ202" s="226"/>
      <c r="DA202" s="226"/>
      <c r="DB202" s="226"/>
      <c r="DC202" s="226"/>
      <c r="DD202" s="226"/>
      <c r="DE202" s="226"/>
      <c r="DF202" s="226"/>
      <c r="DG202" s="226"/>
      <c r="DH202" s="226"/>
      <c r="DI202" s="226"/>
      <c r="DJ202" s="226"/>
      <c r="DK202" s="226"/>
      <c r="DL202" s="226"/>
      <c r="DM202" s="226"/>
      <c r="DN202" s="226"/>
      <c r="DO202" s="226"/>
      <c r="DP202" s="226"/>
      <c r="DQ202" s="226"/>
      <c r="DR202" s="226"/>
      <c r="DS202" s="226"/>
      <c r="DT202" s="226"/>
      <c r="DU202" s="226"/>
      <c r="DV202" s="226"/>
      <c r="DW202" s="226"/>
      <c r="DX202" s="226"/>
      <c r="DY202" s="226"/>
      <c r="DZ202" s="226"/>
      <c r="EA202" s="226"/>
      <c r="EB202" s="226"/>
      <c r="EC202" s="226"/>
      <c r="ED202" s="226"/>
      <c r="EE202" s="226"/>
      <c r="EF202" s="226"/>
      <c r="EG202" s="226"/>
      <c r="EH202" s="226"/>
      <c r="EI202" s="226"/>
      <c r="EJ202" s="226"/>
      <c r="EK202" s="226"/>
      <c r="EL202" s="226"/>
      <c r="EM202" s="226"/>
      <c r="EN202" s="226"/>
      <c r="EO202" s="226"/>
      <c r="EP202" s="226"/>
      <c r="EQ202" s="226"/>
      <c r="ER202" s="226"/>
      <c r="ES202" s="226"/>
      <c r="ET202" s="226"/>
      <c r="EU202" s="226"/>
      <c r="EV202" s="226"/>
      <c r="EW202" s="226"/>
      <c r="EX202" s="226"/>
      <c r="EY202" s="226"/>
      <c r="EZ202" s="226"/>
      <c r="FA202" s="226"/>
      <c r="FB202" s="226"/>
      <c r="FC202" s="226"/>
      <c r="FD202" s="226"/>
      <c r="FE202" s="226"/>
      <c r="FF202" s="226"/>
      <c r="FG202" s="226"/>
      <c r="FH202" s="226"/>
      <c r="FI202" s="226"/>
      <c r="FJ202" s="226"/>
      <c r="FK202" s="226"/>
      <c r="FL202" s="226"/>
      <c r="FM202" s="226"/>
      <c r="FN202" s="226"/>
      <c r="FO202" s="226"/>
      <c r="FP202" s="226"/>
      <c r="FQ202" s="226"/>
      <c r="FR202" s="226"/>
      <c r="FS202" s="226"/>
      <c r="FT202" s="226"/>
      <c r="FU202" s="226"/>
      <c r="FV202" s="226"/>
      <c r="FW202" s="226"/>
      <c r="FX202" s="226"/>
      <c r="FY202" s="226"/>
      <c r="FZ202" s="226"/>
      <c r="GA202" s="226"/>
      <c r="GB202" s="226"/>
      <c r="GC202" s="226"/>
      <c r="GD202" s="226"/>
      <c r="GE202" s="226"/>
      <c r="GF202" s="226"/>
      <c r="GG202" s="226"/>
      <c r="GH202" s="226"/>
      <c r="GI202" s="226"/>
      <c r="GJ202" s="226"/>
      <c r="GK202" s="226"/>
      <c r="GL202" s="226"/>
      <c r="GM202" s="226"/>
      <c r="GN202" s="226"/>
      <c r="GO202" s="226"/>
      <c r="GP202" s="226"/>
      <c r="GQ202" s="226"/>
      <c r="GR202" s="226"/>
      <c r="GS202" s="226"/>
      <c r="GT202" s="226"/>
      <c r="GU202" s="226"/>
      <c r="GV202" s="226"/>
      <c r="GW202" s="226"/>
      <c r="GX202" s="226"/>
      <c r="GY202" s="226"/>
      <c r="GZ202" s="226"/>
      <c r="HA202" s="226"/>
      <c r="HB202" s="226"/>
      <c r="HC202" s="226"/>
      <c r="HD202" s="226"/>
    </row>
    <row r="203" spans="1:212" ht="14.1" customHeight="1" x14ac:dyDescent="0.2">
      <c r="A203" s="226"/>
      <c r="B203" s="226"/>
      <c r="C203" s="226"/>
      <c r="D203" s="226"/>
      <c r="E203" s="226"/>
      <c r="F203" s="226"/>
      <c r="G203" s="226"/>
      <c r="H203" s="226"/>
      <c r="I203" s="226"/>
      <c r="J203" s="226"/>
      <c r="K203" s="226"/>
      <c r="L203" s="226"/>
      <c r="M203" s="226"/>
      <c r="N203" s="226"/>
      <c r="O203" s="226"/>
      <c r="P203" s="226"/>
      <c r="Q203" s="226"/>
      <c r="R203" s="226"/>
      <c r="S203" s="226"/>
      <c r="T203" s="226"/>
      <c r="U203" s="226"/>
      <c r="V203" s="226"/>
      <c r="W203" s="226"/>
      <c r="X203" s="226"/>
      <c r="Y203" s="226"/>
      <c r="Z203" s="226"/>
      <c r="AA203" s="226"/>
      <c r="AB203" s="226"/>
      <c r="AC203" s="226"/>
      <c r="AD203" s="226"/>
      <c r="AE203" s="226"/>
      <c r="AF203" s="226"/>
      <c r="AG203" s="226"/>
      <c r="AH203" s="226"/>
      <c r="AI203" s="226"/>
      <c r="AJ203" s="226"/>
      <c r="AK203" s="226"/>
      <c r="AL203" s="226"/>
      <c r="AM203" s="226"/>
      <c r="AN203" s="226"/>
      <c r="AO203" s="226"/>
      <c r="AP203" s="226"/>
      <c r="AQ203" s="226"/>
      <c r="AR203" s="226"/>
      <c r="AS203" s="226"/>
      <c r="AT203" s="226"/>
      <c r="AU203" s="226"/>
      <c r="AV203" s="226"/>
      <c r="AW203" s="226"/>
      <c r="AX203" s="226"/>
      <c r="AY203" s="226"/>
      <c r="AZ203" s="226"/>
      <c r="BA203" s="226"/>
      <c r="BB203" s="226"/>
      <c r="BC203" s="226"/>
      <c r="BD203" s="226"/>
      <c r="BE203" s="226"/>
      <c r="BF203" s="226"/>
      <c r="BG203" s="226"/>
      <c r="BH203" s="226"/>
      <c r="BI203" s="226"/>
      <c r="BJ203" s="226"/>
      <c r="BK203" s="226"/>
      <c r="BL203" s="226"/>
      <c r="BM203" s="226"/>
      <c r="BN203" s="226"/>
      <c r="BO203" s="226"/>
      <c r="BP203" s="226"/>
      <c r="BQ203" s="226"/>
      <c r="BR203" s="226"/>
      <c r="BS203" s="226"/>
      <c r="BT203" s="226"/>
      <c r="BU203" s="226"/>
      <c r="BV203" s="226"/>
      <c r="BW203" s="226"/>
      <c r="BX203" s="226"/>
      <c r="BY203" s="226"/>
      <c r="BZ203" s="226"/>
      <c r="CA203" s="226"/>
      <c r="CB203" s="226"/>
      <c r="CC203" s="226"/>
      <c r="CD203" s="226"/>
      <c r="CE203" s="226"/>
      <c r="CF203" s="226"/>
      <c r="CG203" s="226"/>
      <c r="CH203" s="226"/>
      <c r="CI203" s="226"/>
      <c r="CJ203" s="226"/>
      <c r="CK203" s="226"/>
      <c r="CL203" s="226"/>
      <c r="CM203" s="226"/>
      <c r="CN203" s="226"/>
      <c r="CO203" s="226"/>
      <c r="CP203" s="226"/>
      <c r="CQ203" s="226"/>
      <c r="CR203" s="226"/>
      <c r="CS203" s="226"/>
      <c r="CT203" s="226"/>
      <c r="CU203" s="226"/>
      <c r="CV203" s="226"/>
      <c r="CW203" s="226"/>
      <c r="CX203" s="226"/>
      <c r="CY203" s="226"/>
      <c r="CZ203" s="226"/>
      <c r="DA203" s="226"/>
      <c r="DB203" s="226"/>
      <c r="DC203" s="226"/>
      <c r="DD203" s="226"/>
      <c r="DE203" s="226"/>
      <c r="DF203" s="226"/>
      <c r="DG203" s="226"/>
      <c r="DH203" s="226"/>
      <c r="DI203" s="226"/>
      <c r="DJ203" s="226"/>
      <c r="DK203" s="226"/>
      <c r="DL203" s="226"/>
      <c r="DM203" s="226"/>
      <c r="DN203" s="226"/>
      <c r="DO203" s="226"/>
      <c r="DP203" s="226"/>
      <c r="DQ203" s="226"/>
      <c r="DR203" s="226"/>
      <c r="DS203" s="226"/>
      <c r="DT203" s="226"/>
      <c r="DU203" s="226"/>
      <c r="DV203" s="226"/>
      <c r="DW203" s="226"/>
      <c r="DX203" s="226"/>
      <c r="DY203" s="226"/>
      <c r="DZ203" s="226"/>
      <c r="EA203" s="226"/>
      <c r="EB203" s="226"/>
      <c r="EC203" s="226"/>
      <c r="ED203" s="226"/>
      <c r="EE203" s="226"/>
      <c r="EF203" s="226"/>
      <c r="EG203" s="226"/>
      <c r="EH203" s="226"/>
      <c r="EI203" s="226"/>
      <c r="EJ203" s="226"/>
      <c r="EK203" s="226"/>
      <c r="EL203" s="226"/>
      <c r="EM203" s="226"/>
      <c r="EN203" s="226"/>
      <c r="EO203" s="226"/>
      <c r="EP203" s="226"/>
      <c r="EQ203" s="226"/>
      <c r="ER203" s="226"/>
      <c r="ES203" s="226"/>
      <c r="ET203" s="226"/>
      <c r="EU203" s="226"/>
      <c r="EV203" s="226"/>
      <c r="EW203" s="226"/>
      <c r="EX203" s="226"/>
      <c r="EY203" s="226"/>
      <c r="EZ203" s="226"/>
      <c r="FA203" s="226"/>
      <c r="FB203" s="226"/>
      <c r="FC203" s="226"/>
      <c r="FD203" s="226"/>
      <c r="FE203" s="226"/>
      <c r="FF203" s="226"/>
      <c r="FG203" s="226"/>
      <c r="FH203" s="226"/>
      <c r="FI203" s="226"/>
      <c r="FJ203" s="226"/>
      <c r="FK203" s="226"/>
      <c r="FL203" s="226"/>
      <c r="FM203" s="226"/>
      <c r="FN203" s="226"/>
      <c r="FO203" s="226"/>
      <c r="FP203" s="226"/>
      <c r="FQ203" s="226"/>
      <c r="FR203" s="226"/>
      <c r="FS203" s="226"/>
      <c r="FT203" s="226"/>
      <c r="FU203" s="226"/>
      <c r="FV203" s="226"/>
      <c r="FW203" s="226"/>
      <c r="FX203" s="226"/>
      <c r="FY203" s="226"/>
      <c r="FZ203" s="226"/>
      <c r="GA203" s="226"/>
      <c r="GB203" s="226"/>
      <c r="GC203" s="226"/>
      <c r="GD203" s="226"/>
      <c r="GE203" s="226"/>
      <c r="GF203" s="226"/>
      <c r="GG203" s="226"/>
      <c r="GH203" s="226"/>
      <c r="GI203" s="226"/>
      <c r="GJ203" s="226"/>
      <c r="GK203" s="226"/>
      <c r="GL203" s="226"/>
      <c r="GM203" s="226"/>
      <c r="GN203" s="226"/>
      <c r="GO203" s="226"/>
      <c r="GP203" s="226"/>
      <c r="GQ203" s="226"/>
      <c r="GR203" s="226"/>
      <c r="GS203" s="226"/>
      <c r="GT203" s="226"/>
      <c r="GU203" s="226"/>
      <c r="GV203" s="226"/>
      <c r="GW203" s="226"/>
      <c r="GX203" s="226"/>
      <c r="GY203" s="226"/>
      <c r="GZ203" s="226"/>
      <c r="HA203" s="226"/>
      <c r="HB203" s="226"/>
      <c r="HC203" s="226"/>
      <c r="HD203" s="226"/>
    </row>
    <row r="204" spans="1:212" ht="14.1" customHeight="1" x14ac:dyDescent="0.2">
      <c r="A204" s="226"/>
      <c r="B204" s="226"/>
      <c r="C204" s="226"/>
      <c r="D204" s="226"/>
      <c r="E204" s="226"/>
      <c r="F204" s="226"/>
      <c r="G204" s="226"/>
      <c r="H204" s="226"/>
      <c r="I204" s="226"/>
      <c r="J204" s="226"/>
      <c r="K204" s="226"/>
      <c r="L204" s="226"/>
      <c r="M204" s="226"/>
      <c r="N204" s="226"/>
      <c r="O204" s="226"/>
      <c r="P204" s="226"/>
      <c r="Q204" s="226"/>
      <c r="R204" s="226"/>
      <c r="S204" s="226"/>
      <c r="T204" s="226"/>
      <c r="U204" s="226"/>
      <c r="V204" s="226"/>
      <c r="W204" s="226"/>
      <c r="X204" s="226"/>
      <c r="Y204" s="226"/>
      <c r="Z204" s="226"/>
      <c r="AA204" s="226"/>
      <c r="AB204" s="226"/>
      <c r="AC204" s="226"/>
      <c r="AD204" s="226"/>
      <c r="AE204" s="226"/>
      <c r="AF204" s="226"/>
      <c r="AG204" s="226"/>
      <c r="AH204" s="226"/>
      <c r="AI204" s="226"/>
      <c r="AJ204" s="226"/>
      <c r="AK204" s="226"/>
      <c r="AL204" s="226"/>
      <c r="AM204" s="226"/>
      <c r="AN204" s="226"/>
      <c r="AO204" s="226"/>
      <c r="AP204" s="226"/>
      <c r="AQ204" s="226"/>
      <c r="AR204" s="226"/>
      <c r="AS204" s="226"/>
      <c r="AT204" s="226"/>
      <c r="AU204" s="226"/>
      <c r="AV204" s="226"/>
      <c r="AW204" s="226"/>
      <c r="AX204" s="226"/>
      <c r="AY204" s="226"/>
      <c r="AZ204" s="226"/>
      <c r="BA204" s="226"/>
      <c r="BB204" s="226"/>
      <c r="BC204" s="226"/>
      <c r="BD204" s="226"/>
      <c r="BE204" s="226"/>
      <c r="BF204" s="226"/>
      <c r="BG204" s="226"/>
      <c r="BH204" s="226"/>
      <c r="BI204" s="226"/>
      <c r="BJ204" s="226"/>
      <c r="BK204" s="226"/>
      <c r="BL204" s="226"/>
      <c r="BM204" s="226"/>
      <c r="BN204" s="226"/>
      <c r="BO204" s="226"/>
      <c r="BP204" s="226"/>
      <c r="BQ204" s="226"/>
      <c r="BR204" s="226"/>
      <c r="BS204" s="226"/>
      <c r="BT204" s="226"/>
      <c r="BU204" s="226"/>
      <c r="BV204" s="226"/>
      <c r="BW204" s="226"/>
      <c r="BX204" s="226"/>
      <c r="BY204" s="226"/>
      <c r="BZ204" s="226"/>
      <c r="CA204" s="226"/>
      <c r="CB204" s="226"/>
      <c r="CC204" s="226"/>
      <c r="CD204" s="226"/>
      <c r="CE204" s="226"/>
      <c r="CF204" s="226"/>
      <c r="CG204" s="226"/>
      <c r="CH204" s="226"/>
      <c r="CI204" s="226"/>
      <c r="CJ204" s="226"/>
      <c r="CK204" s="226"/>
      <c r="CL204" s="226"/>
      <c r="CM204" s="226"/>
      <c r="CN204" s="226"/>
      <c r="CO204" s="226"/>
      <c r="CP204" s="226"/>
      <c r="CQ204" s="226"/>
      <c r="CR204" s="226"/>
      <c r="CS204" s="226"/>
      <c r="CT204" s="226"/>
      <c r="CU204" s="226"/>
      <c r="CV204" s="226"/>
      <c r="CW204" s="226"/>
      <c r="CX204" s="226"/>
      <c r="CY204" s="226"/>
      <c r="CZ204" s="226"/>
      <c r="DA204" s="226"/>
      <c r="DB204" s="226"/>
      <c r="DC204" s="226"/>
      <c r="DD204" s="226"/>
      <c r="DE204" s="226"/>
      <c r="DF204" s="226"/>
      <c r="DG204" s="226"/>
      <c r="DH204" s="226"/>
      <c r="DI204" s="226"/>
      <c r="DJ204" s="226"/>
      <c r="DK204" s="226"/>
      <c r="DL204" s="226"/>
      <c r="DM204" s="226"/>
      <c r="DN204" s="226"/>
      <c r="DO204" s="226"/>
      <c r="DP204" s="226"/>
      <c r="DQ204" s="226"/>
      <c r="DR204" s="226"/>
      <c r="DS204" s="226"/>
      <c r="DT204" s="226"/>
      <c r="DU204" s="226"/>
      <c r="DV204" s="226"/>
      <c r="DW204" s="226"/>
      <c r="DX204" s="226"/>
      <c r="DY204" s="226"/>
      <c r="DZ204" s="226"/>
      <c r="EA204" s="226"/>
      <c r="EB204" s="226"/>
      <c r="EC204" s="226"/>
      <c r="ED204" s="226"/>
      <c r="EE204" s="226"/>
      <c r="EF204" s="226"/>
      <c r="EG204" s="226"/>
      <c r="EH204" s="226"/>
      <c r="EI204" s="226"/>
      <c r="EJ204" s="226"/>
      <c r="EK204" s="226"/>
      <c r="EL204" s="226"/>
      <c r="EM204" s="226"/>
      <c r="EN204" s="226"/>
      <c r="EO204" s="226"/>
      <c r="EP204" s="226"/>
      <c r="EQ204" s="226"/>
      <c r="ER204" s="226"/>
      <c r="ES204" s="226"/>
      <c r="ET204" s="226"/>
      <c r="EU204" s="226"/>
      <c r="EV204" s="226"/>
      <c r="EW204" s="226"/>
      <c r="EX204" s="226"/>
      <c r="EY204" s="226"/>
      <c r="EZ204" s="226"/>
      <c r="FA204" s="226"/>
      <c r="FB204" s="226"/>
      <c r="FC204" s="226"/>
      <c r="FD204" s="226"/>
      <c r="FE204" s="226"/>
      <c r="FF204" s="226"/>
      <c r="FG204" s="226"/>
      <c r="FH204" s="226"/>
      <c r="FI204" s="226"/>
      <c r="FJ204" s="226"/>
      <c r="FK204" s="226"/>
      <c r="FL204" s="226"/>
      <c r="FM204" s="226"/>
      <c r="FN204" s="226"/>
      <c r="FO204" s="226"/>
      <c r="FP204" s="226"/>
      <c r="FQ204" s="226"/>
      <c r="FR204" s="226"/>
      <c r="FS204" s="226"/>
      <c r="FT204" s="226"/>
      <c r="FU204" s="226"/>
      <c r="FV204" s="226"/>
      <c r="FW204" s="226"/>
      <c r="FX204" s="226"/>
      <c r="FY204" s="226"/>
      <c r="FZ204" s="226"/>
      <c r="GA204" s="226"/>
      <c r="GB204" s="226"/>
      <c r="GC204" s="226"/>
      <c r="GD204" s="226"/>
      <c r="GE204" s="226"/>
      <c r="GF204" s="226"/>
      <c r="GG204" s="226"/>
      <c r="GH204" s="226"/>
      <c r="GI204" s="226"/>
      <c r="GJ204" s="226"/>
      <c r="GK204" s="226"/>
      <c r="GL204" s="226"/>
      <c r="GM204" s="226"/>
      <c r="GN204" s="226"/>
      <c r="GO204" s="226"/>
      <c r="GP204" s="226"/>
      <c r="GQ204" s="226"/>
      <c r="GR204" s="226"/>
      <c r="GS204" s="226"/>
      <c r="GT204" s="226"/>
      <c r="GU204" s="226"/>
      <c r="GV204" s="226"/>
      <c r="GW204" s="226"/>
      <c r="GX204" s="226"/>
      <c r="GY204" s="226"/>
      <c r="GZ204" s="226"/>
      <c r="HA204" s="226"/>
      <c r="HB204" s="226"/>
      <c r="HC204" s="226"/>
      <c r="HD204" s="226"/>
    </row>
    <row r="205" spans="1:212" ht="14.1" customHeight="1" x14ac:dyDescent="0.2">
      <c r="A205" s="226"/>
      <c r="B205" s="226"/>
      <c r="C205" s="226"/>
      <c r="D205" s="226"/>
      <c r="E205" s="226"/>
      <c r="F205" s="226"/>
      <c r="G205" s="226"/>
      <c r="H205" s="226"/>
      <c r="I205" s="226"/>
      <c r="J205" s="226"/>
      <c r="K205" s="226"/>
      <c r="L205" s="226"/>
      <c r="M205" s="226"/>
      <c r="N205" s="226"/>
      <c r="O205" s="226"/>
      <c r="P205" s="226"/>
      <c r="Q205" s="226"/>
      <c r="R205" s="226"/>
      <c r="S205" s="226"/>
      <c r="T205" s="226"/>
      <c r="U205" s="226"/>
      <c r="V205" s="226"/>
      <c r="W205" s="226"/>
      <c r="X205" s="226"/>
      <c r="Y205" s="226"/>
      <c r="Z205" s="226"/>
      <c r="AA205" s="226"/>
      <c r="AB205" s="226"/>
      <c r="AC205" s="226"/>
      <c r="AD205" s="226"/>
      <c r="AE205" s="226"/>
      <c r="AF205" s="226"/>
      <c r="AG205" s="226"/>
      <c r="AH205" s="226"/>
      <c r="AI205" s="226"/>
      <c r="AJ205" s="226"/>
      <c r="AK205" s="226"/>
      <c r="AL205" s="226"/>
      <c r="AM205" s="226"/>
      <c r="AN205" s="226"/>
      <c r="AO205" s="226"/>
      <c r="AP205" s="226"/>
      <c r="AQ205" s="226"/>
      <c r="AR205" s="226"/>
      <c r="AS205" s="226"/>
      <c r="AT205" s="226"/>
      <c r="AU205" s="226"/>
      <c r="AV205" s="226"/>
      <c r="AW205" s="226"/>
      <c r="AX205" s="226"/>
      <c r="AY205" s="226"/>
      <c r="AZ205" s="226"/>
      <c r="BA205" s="226"/>
      <c r="BB205" s="226"/>
      <c r="BC205" s="226"/>
      <c r="BD205" s="226"/>
      <c r="BE205" s="226"/>
      <c r="BF205" s="226"/>
      <c r="BG205" s="226"/>
      <c r="BH205" s="226"/>
      <c r="BI205" s="226"/>
      <c r="BJ205" s="226"/>
      <c r="BK205" s="226"/>
      <c r="BL205" s="226"/>
      <c r="BM205" s="226"/>
      <c r="BN205" s="226"/>
      <c r="BO205" s="226"/>
      <c r="BP205" s="226"/>
      <c r="BQ205" s="226"/>
      <c r="BR205" s="226"/>
      <c r="BS205" s="226"/>
      <c r="BT205" s="226"/>
      <c r="BU205" s="226"/>
      <c r="BV205" s="226"/>
      <c r="BW205" s="226"/>
      <c r="BX205" s="226"/>
      <c r="BY205" s="226"/>
      <c r="BZ205" s="226"/>
      <c r="CA205" s="226"/>
      <c r="CB205" s="226"/>
      <c r="CC205" s="226"/>
      <c r="CD205" s="226"/>
      <c r="CE205" s="226"/>
      <c r="CF205" s="226"/>
      <c r="CG205" s="226"/>
      <c r="CH205" s="226"/>
      <c r="CI205" s="226"/>
      <c r="CJ205" s="226"/>
      <c r="CK205" s="226"/>
      <c r="CL205" s="226"/>
      <c r="CM205" s="226"/>
      <c r="CN205" s="226"/>
      <c r="CO205" s="226"/>
      <c r="CP205" s="226"/>
      <c r="CQ205" s="226"/>
      <c r="CR205" s="226"/>
      <c r="CS205" s="226"/>
      <c r="CT205" s="226"/>
      <c r="CU205" s="226"/>
      <c r="CV205" s="226"/>
      <c r="CW205" s="226"/>
      <c r="CX205" s="226"/>
      <c r="CY205" s="226"/>
      <c r="CZ205" s="226"/>
      <c r="DA205" s="226"/>
      <c r="DB205" s="226"/>
      <c r="DC205" s="226"/>
      <c r="DD205" s="226"/>
      <c r="DE205" s="226"/>
      <c r="DF205" s="226"/>
      <c r="DG205" s="226"/>
      <c r="DH205" s="226"/>
      <c r="DI205" s="226"/>
      <c r="DJ205" s="226"/>
      <c r="DK205" s="226"/>
      <c r="DL205" s="226"/>
      <c r="DM205" s="226"/>
      <c r="DN205" s="226"/>
      <c r="DO205" s="226"/>
      <c r="DP205" s="226"/>
      <c r="DQ205" s="226"/>
      <c r="DR205" s="226"/>
      <c r="DS205" s="226"/>
      <c r="DT205" s="226"/>
      <c r="DU205" s="226"/>
      <c r="DV205" s="226"/>
      <c r="DW205" s="226"/>
      <c r="DX205" s="226"/>
      <c r="DY205" s="226"/>
      <c r="DZ205" s="226"/>
      <c r="EA205" s="226"/>
      <c r="EB205" s="226"/>
      <c r="EC205" s="226"/>
      <c r="ED205" s="226"/>
      <c r="EE205" s="226"/>
      <c r="EF205" s="226"/>
      <c r="EG205" s="226"/>
      <c r="EH205" s="226"/>
      <c r="EI205" s="226"/>
      <c r="EJ205" s="226"/>
      <c r="EK205" s="226"/>
      <c r="EL205" s="226"/>
      <c r="EM205" s="226"/>
      <c r="EN205" s="226"/>
      <c r="EO205" s="226"/>
      <c r="EP205" s="226"/>
      <c r="EQ205" s="226"/>
      <c r="ER205" s="226"/>
      <c r="ES205" s="226"/>
      <c r="ET205" s="226"/>
      <c r="EU205" s="226"/>
      <c r="EV205" s="226"/>
      <c r="EW205" s="226"/>
      <c r="EX205" s="226"/>
      <c r="EY205" s="226"/>
      <c r="EZ205" s="226"/>
      <c r="FA205" s="226"/>
      <c r="FB205" s="226"/>
      <c r="FC205" s="226"/>
      <c r="FD205" s="226"/>
      <c r="FE205" s="226"/>
      <c r="FF205" s="226"/>
      <c r="FG205" s="226"/>
      <c r="FH205" s="226"/>
      <c r="FI205" s="226"/>
      <c r="FJ205" s="226"/>
      <c r="FK205" s="226"/>
      <c r="FL205" s="226"/>
      <c r="FM205" s="226"/>
      <c r="FN205" s="226"/>
      <c r="FO205" s="226"/>
      <c r="FP205" s="226"/>
      <c r="FQ205" s="226"/>
      <c r="FR205" s="226"/>
      <c r="FS205" s="226"/>
      <c r="FT205" s="226"/>
      <c r="FU205" s="226"/>
      <c r="FV205" s="226"/>
      <c r="FW205" s="226"/>
      <c r="FX205" s="226"/>
      <c r="FY205" s="226"/>
      <c r="FZ205" s="226"/>
      <c r="GA205" s="226"/>
      <c r="GB205" s="226"/>
      <c r="GC205" s="226"/>
      <c r="GD205" s="226"/>
      <c r="GE205" s="226"/>
      <c r="GF205" s="226"/>
      <c r="GG205" s="226"/>
      <c r="GH205" s="226"/>
      <c r="GI205" s="226"/>
      <c r="GJ205" s="226"/>
      <c r="GK205" s="226"/>
      <c r="GL205" s="226"/>
      <c r="GM205" s="226"/>
      <c r="GN205" s="226"/>
      <c r="GO205" s="226"/>
      <c r="GP205" s="226"/>
      <c r="GQ205" s="226"/>
      <c r="GR205" s="226"/>
      <c r="GS205" s="226"/>
      <c r="GT205" s="226"/>
      <c r="GU205" s="226"/>
      <c r="GV205" s="226"/>
      <c r="GW205" s="226"/>
      <c r="GX205" s="226"/>
      <c r="GY205" s="226"/>
      <c r="GZ205" s="226"/>
      <c r="HA205" s="226"/>
      <c r="HB205" s="226"/>
      <c r="HC205" s="226"/>
      <c r="HD205" s="226"/>
    </row>
  </sheetData>
  <sheetProtection password="CA20" sheet="1" objects="1" scenarios="1"/>
  <mergeCells count="173">
    <mergeCell ref="OZ16:PA16"/>
    <mergeCell ref="T34:V34"/>
    <mergeCell ref="T35:V35"/>
    <mergeCell ref="T36:V36"/>
    <mergeCell ref="T37:V37"/>
    <mergeCell ref="T38:V38"/>
    <mergeCell ref="T39:V39"/>
    <mergeCell ref="W34:Y34"/>
    <mergeCell ref="Z34:AB34"/>
    <mergeCell ref="W35:Y35"/>
    <mergeCell ref="Z35:AB35"/>
    <mergeCell ref="W36:Y36"/>
    <mergeCell ref="Z36:AB36"/>
    <mergeCell ref="W37:Y37"/>
    <mergeCell ref="Z37:AB37"/>
    <mergeCell ref="W38:Y38"/>
    <mergeCell ref="Z38:AB38"/>
    <mergeCell ref="W39:Y39"/>
    <mergeCell ref="Z39:AB39"/>
    <mergeCell ref="AC35:AE35"/>
    <mergeCell ref="AC36:AE36"/>
    <mergeCell ref="AC37:AE37"/>
    <mergeCell ref="AC38:AE38"/>
    <mergeCell ref="W28:AB28"/>
    <mergeCell ref="T29:V29"/>
    <mergeCell ref="AC28:AE29"/>
    <mergeCell ref="W29:AB29"/>
    <mergeCell ref="Q25:S29"/>
    <mergeCell ref="T30:V30"/>
    <mergeCell ref="W30:Y30"/>
    <mergeCell ref="Z30:AB30"/>
    <mergeCell ref="T33:V33"/>
    <mergeCell ref="W33:Y33"/>
    <mergeCell ref="Z33:AB33"/>
    <mergeCell ref="Q30:S33"/>
    <mergeCell ref="T31:V31"/>
    <mergeCell ref="AC31:AE31"/>
    <mergeCell ref="AC32:AE32"/>
    <mergeCell ref="W31:Y31"/>
    <mergeCell ref="Z31:AB31"/>
    <mergeCell ref="W32:Y32"/>
    <mergeCell ref="Z32:AB32"/>
    <mergeCell ref="NT49:NV49"/>
    <mergeCell ref="NT50:NV50"/>
    <mergeCell ref="T17:V17"/>
    <mergeCell ref="T18:V18"/>
    <mergeCell ref="W17:AB17"/>
    <mergeCell ref="W18:AB18"/>
    <mergeCell ref="AC17:AE17"/>
    <mergeCell ref="AC18:AE18"/>
    <mergeCell ref="T22:V22"/>
    <mergeCell ref="T23:V23"/>
    <mergeCell ref="T24:V24"/>
    <mergeCell ref="W22:AB22"/>
    <mergeCell ref="W23:AB23"/>
    <mergeCell ref="W24:AB24"/>
    <mergeCell ref="AC22:AE22"/>
    <mergeCell ref="AC23:AE23"/>
    <mergeCell ref="AC24:AE24"/>
    <mergeCell ref="T20:V20"/>
    <mergeCell ref="T21:V21"/>
    <mergeCell ref="AC20:AE20"/>
    <mergeCell ref="AC21:AE21"/>
    <mergeCell ref="W20:AB20"/>
    <mergeCell ref="W21:AB21"/>
    <mergeCell ref="NT31:NV31"/>
    <mergeCell ref="H18:K18"/>
    <mergeCell ref="QC2:QE2"/>
    <mergeCell ref="QC53:QD53"/>
    <mergeCell ref="QI2:QK2"/>
    <mergeCell ref="QI3:QK3"/>
    <mergeCell ref="QC8:QE8"/>
    <mergeCell ref="QC5:QE5"/>
    <mergeCell ref="QC6:QE6"/>
    <mergeCell ref="QC3:QE3"/>
    <mergeCell ref="QC4:QE4"/>
    <mergeCell ref="QC7:QE7"/>
    <mergeCell ref="H6:J6"/>
    <mergeCell ref="U8:AD8"/>
    <mergeCell ref="H38:J38"/>
    <mergeCell ref="U10:AD10"/>
    <mergeCell ref="H36:J36"/>
    <mergeCell ref="U12:AD12"/>
    <mergeCell ref="H32:J32"/>
    <mergeCell ref="T27:V27"/>
    <mergeCell ref="W26:AB26"/>
    <mergeCell ref="W27:AB27"/>
    <mergeCell ref="H28:J28"/>
    <mergeCell ref="H34:J34"/>
    <mergeCell ref="Q34:S39"/>
    <mergeCell ref="D2:F3"/>
    <mergeCell ref="R2:W3"/>
    <mergeCell ref="H4:J4"/>
    <mergeCell ref="U4:AD4"/>
    <mergeCell ref="U6:AD6"/>
    <mergeCell ref="D30:G31"/>
    <mergeCell ref="D8:K9"/>
    <mergeCell ref="U14:AD14"/>
    <mergeCell ref="H10:J10"/>
    <mergeCell ref="Q17:S19"/>
    <mergeCell ref="T28:V28"/>
    <mergeCell ref="H12:J12"/>
    <mergeCell ref="D16:H17"/>
    <mergeCell ref="H14:J14"/>
    <mergeCell ref="Q20:S24"/>
    <mergeCell ref="W19:AB19"/>
    <mergeCell ref="D20:I21"/>
    <mergeCell ref="H22:J22"/>
    <mergeCell ref="D24:G25"/>
    <mergeCell ref="H26:J26"/>
    <mergeCell ref="T25:V25"/>
    <mergeCell ref="W25:AB25"/>
    <mergeCell ref="AC25:AE25"/>
    <mergeCell ref="T26:V26"/>
    <mergeCell ref="OY5:OZ5"/>
    <mergeCell ref="OE6:OF6"/>
    <mergeCell ref="OR9:OS9"/>
    <mergeCell ref="OT9:OU9"/>
    <mergeCell ref="OU1:OW1"/>
    <mergeCell ref="OG3:OH3"/>
    <mergeCell ref="OY3:OZ3"/>
    <mergeCell ref="OR4:OS4"/>
    <mergeCell ref="OY4:OZ4"/>
    <mergeCell ref="OT10:OU10"/>
    <mergeCell ref="NT27:NV27"/>
    <mergeCell ref="NT19:NV19"/>
    <mergeCell ref="NT20:NV20"/>
    <mergeCell ref="OG5:OH5"/>
    <mergeCell ref="NT2:NV2"/>
    <mergeCell ref="NT8:NV8"/>
    <mergeCell ref="NT9:NV9"/>
    <mergeCell ref="NT10:NV10"/>
    <mergeCell ref="NT11:NV11"/>
    <mergeCell ref="NT12:NV12"/>
    <mergeCell ref="NT13:NV13"/>
    <mergeCell ref="NT17:NV17"/>
    <mergeCell ref="NT18:NV18"/>
    <mergeCell ref="NT14:NV14"/>
    <mergeCell ref="NT15:NV15"/>
    <mergeCell ref="NT16:NV16"/>
    <mergeCell ref="NT34:NV34"/>
    <mergeCell ref="NT36:NV36"/>
    <mergeCell ref="NT35:NV35"/>
    <mergeCell ref="OA26:OC26"/>
    <mergeCell ref="NT3:NV3"/>
    <mergeCell ref="NT4:NV4"/>
    <mergeCell ref="OR10:OS10"/>
    <mergeCell ref="AC26:AE27"/>
    <mergeCell ref="OA28:OC28"/>
    <mergeCell ref="NT47:NV47"/>
    <mergeCell ref="NT45:NV45"/>
    <mergeCell ref="NT48:NV48"/>
    <mergeCell ref="NT37:NV37"/>
    <mergeCell ref="NT39:NV39"/>
    <mergeCell ref="NT40:NV40"/>
    <mergeCell ref="NT6:NV6"/>
    <mergeCell ref="NT7:NV7"/>
    <mergeCell ref="NT5:NV5"/>
    <mergeCell ref="NT44:NV44"/>
    <mergeCell ref="NT46:NV46"/>
    <mergeCell ref="NT25:NV25"/>
    <mergeCell ref="NT26:NV26"/>
    <mergeCell ref="NT21:NV21"/>
    <mergeCell ref="NT22:NV22"/>
    <mergeCell ref="NT23:NV23"/>
    <mergeCell ref="NT24:NV24"/>
    <mergeCell ref="NT38:NV38"/>
    <mergeCell ref="NT41:NV41"/>
    <mergeCell ref="NT42:NV42"/>
    <mergeCell ref="NT43:NV43"/>
    <mergeCell ref="NT28:NV28"/>
    <mergeCell ref="NT30:NV30"/>
    <mergeCell ref="NT33:NV33"/>
  </mergeCells>
  <dataValidations count="13">
    <dataValidation type="list" allowBlank="1" showInputMessage="1" showErrorMessage="1" sqref="W19:AB19">
      <formula1>$OZ$9:$OZ$15</formula1>
    </dataValidation>
    <dataValidation type="list" allowBlank="1" showInputMessage="1" showErrorMessage="1" sqref="AM29:AR29">
      <formula1>$XL$35:$XL$41</formula1>
    </dataValidation>
    <dataValidation type="list" allowBlank="1" showInputMessage="1" showErrorMessage="1" sqref="AM21:AR21">
      <formula1>$WC$19:$WC$28</formula1>
    </dataValidation>
    <dataValidation type="list" allowBlank="1" showInputMessage="1" showErrorMessage="1" sqref="AM20:AR20">
      <formula1>$WA$19:$WA$29</formula1>
    </dataValidation>
    <dataValidation type="list" allowBlank="1" showInputMessage="1" showErrorMessage="1" sqref="AM32 AM27">
      <formula1>$WJ$9:$WJ$23</formula1>
    </dataValidation>
    <dataValidation type="list" allowBlank="1" showInputMessage="1" showErrorMessage="1" sqref="H36:J36">
      <formula1>$OO$9:$OO$30</formula1>
    </dataValidation>
    <dataValidation type="list" allowBlank="1" showInputMessage="1" showErrorMessage="1" sqref="H28:J28 H26:J26">
      <formula1>$OO$9:$OO$26</formula1>
    </dataValidation>
    <dataValidation type="list" allowBlank="1" showInputMessage="1" showErrorMessage="1" sqref="H18:K18">
      <formula1>$PD$6:$PD$10</formula1>
    </dataValidation>
    <dataValidation type="list" allowBlank="1" showInputMessage="1" showErrorMessage="1" sqref="H12:J12">
      <formula1>$OF$23:$OF$25</formula1>
    </dataValidation>
    <dataValidation type="list" allowBlank="1" showInputMessage="1" showErrorMessage="1" sqref="H10:J10">
      <formula1>$OE$23:$OE$25</formula1>
    </dataValidation>
    <dataValidation type="list" allowBlank="1" showInputMessage="1" showErrorMessage="1" sqref="W38:AB38">
      <formula1>$QE$69:$RG$69</formula1>
    </dataValidation>
    <dataValidation type="list" allowBlank="1" showInputMessage="1" showErrorMessage="1" sqref="H4:J4">
      <formula1>$OL$9:$OL$12</formula1>
    </dataValidation>
    <dataValidation type="list" allowBlank="1" showInputMessage="1" showErrorMessage="1" sqref="H6:J6">
      <formula1>$OK$9:$OK$21</formula1>
    </dataValidation>
  </dataValidations>
  <printOptions horizontalCentered="1" verticalCentered="1"/>
  <pageMargins left="0.70866141732283472" right="0.39370078740157483" top="0.39370078740157483" bottom="0.39370078740157483" header="0.27559055118110237" footer="0.19685039370078741"/>
  <pageSetup paperSize="9" scale="5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BZ68"/>
  <sheetViews>
    <sheetView showGridLines="0" showRowColHeaders="0" zoomScaleNormal="100" workbookViewId="0">
      <selection activeCell="AU52" sqref="AU52"/>
    </sheetView>
  </sheetViews>
  <sheetFormatPr defaultColWidth="2.625" defaultRowHeight="14.1" customHeight="1" x14ac:dyDescent="0.2"/>
  <cols>
    <col min="1" max="6" width="2.625" style="16"/>
    <col min="7" max="8" width="2.625" style="16" customWidth="1"/>
    <col min="9" max="15" width="2.625" style="16"/>
    <col min="16" max="16" width="2.625" style="16" customWidth="1"/>
    <col min="17" max="18" width="2.625" style="16"/>
    <col min="19" max="19" width="2.625" style="16" customWidth="1"/>
    <col min="20" max="21" width="2.625" style="16"/>
    <col min="22" max="22" width="2.625" style="16" customWidth="1"/>
    <col min="23" max="27" width="2.625" style="16"/>
    <col min="28" max="28" width="2.625" style="16" customWidth="1"/>
    <col min="29" max="30" width="2.625" style="16"/>
    <col min="31" max="32" width="2.625" style="16" customWidth="1"/>
    <col min="33" max="16384" width="2.625" style="16"/>
  </cols>
  <sheetData>
    <row r="1" spans="2:73" ht="14.1" customHeight="1" x14ac:dyDescent="0.2">
      <c r="B1" s="137" t="s">
        <v>88</v>
      </c>
    </row>
    <row r="2" spans="2:73" ht="14.1" customHeight="1" thickBot="1" x14ac:dyDescent="0.25">
      <c r="B2" s="33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21"/>
    </row>
    <row r="3" spans="2:73" ht="14.1" customHeight="1" x14ac:dyDescent="0.2">
      <c r="B3" s="22"/>
      <c r="C3" s="55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40"/>
      <c r="AO3" s="19"/>
    </row>
    <row r="4" spans="2:73" ht="14.1" customHeight="1" x14ac:dyDescent="0.2">
      <c r="B4" s="22"/>
      <c r="C4" s="38"/>
      <c r="D4" s="95" t="s">
        <v>38</v>
      </c>
      <c r="E4" s="93"/>
      <c r="F4" s="93"/>
      <c r="G4" s="94"/>
      <c r="H4" s="80" t="str">
        <f>'Bearing FB_Pu'!U4</f>
        <v>อาคารคอนกรีตเสริมเหล็ก</v>
      </c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81"/>
      <c r="Z4" s="81"/>
      <c r="AA4" s="81"/>
      <c r="AB4" s="95" t="s">
        <v>196</v>
      </c>
      <c r="AC4" s="96"/>
      <c r="AD4" s="93"/>
      <c r="AE4" s="94"/>
      <c r="AF4" s="80" t="str">
        <f>'Bearing FB_Pu'!U10</f>
        <v>FB</v>
      </c>
      <c r="AG4" s="81"/>
      <c r="AH4" s="81"/>
      <c r="AI4" s="81"/>
      <c r="AJ4" s="82"/>
      <c r="AK4" s="82"/>
      <c r="AL4" s="82"/>
      <c r="AM4" s="159"/>
      <c r="AN4" s="41"/>
      <c r="AO4" s="19"/>
    </row>
    <row r="5" spans="2:73" ht="14.1" customHeight="1" x14ac:dyDescent="0.2">
      <c r="B5" s="22"/>
      <c r="C5" s="38"/>
      <c r="D5" s="157" t="s">
        <v>39</v>
      </c>
      <c r="E5" s="89"/>
      <c r="F5" s="89"/>
      <c r="G5" s="90"/>
      <c r="H5" s="88" t="str">
        <f>'Bearing FB_Pu'!U6</f>
        <v>สำนักงานทรัพย์สินส่วนพระมหากษัตริย์</v>
      </c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7"/>
      <c r="Y5" s="86"/>
      <c r="Z5" s="86"/>
      <c r="AA5" s="86"/>
      <c r="AB5" s="91" t="s">
        <v>36</v>
      </c>
      <c r="AC5" s="92"/>
      <c r="AD5" s="89"/>
      <c r="AE5" s="90"/>
      <c r="AF5" s="88" t="str">
        <f>'Bearing FB_Pu'!U12</f>
        <v>ว่าที่ ร.ต.รณฤทธิ์ เพชสง</v>
      </c>
      <c r="AG5" s="86"/>
      <c r="AH5" s="86"/>
      <c r="AI5" s="86"/>
      <c r="AJ5" s="87"/>
      <c r="AK5" s="87"/>
      <c r="AL5" s="87"/>
      <c r="AM5" s="160"/>
      <c r="AN5" s="41"/>
      <c r="AO5" s="19"/>
    </row>
    <row r="6" spans="2:73" ht="14.1" customHeight="1" x14ac:dyDescent="0.2">
      <c r="B6" s="22"/>
      <c r="C6" s="38"/>
      <c r="D6" s="158" t="s">
        <v>40</v>
      </c>
      <c r="E6" s="97"/>
      <c r="F6" s="97"/>
      <c r="G6" s="98"/>
      <c r="H6" s="83" t="str">
        <f>'Bearing FB_Pu'!U8</f>
        <v>กรุงเทพมหานครฯ</v>
      </c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5"/>
      <c r="Y6" s="84"/>
      <c r="Z6" s="84"/>
      <c r="AA6" s="84"/>
      <c r="AB6" s="99" t="s">
        <v>37</v>
      </c>
      <c r="AC6" s="100"/>
      <c r="AD6" s="97"/>
      <c r="AE6" s="98"/>
      <c r="AF6" s="83" t="str">
        <f>'Bearing FB_Pu'!U14</f>
        <v>ภย.62026</v>
      </c>
      <c r="AG6" s="84"/>
      <c r="AH6" s="84"/>
      <c r="AI6" s="84"/>
      <c r="AJ6" s="85"/>
      <c r="AK6" s="85"/>
      <c r="AL6" s="85"/>
      <c r="AM6" s="161"/>
      <c r="AN6" s="41"/>
      <c r="AO6" s="19"/>
    </row>
    <row r="7" spans="2:73" ht="14.1" customHeight="1" x14ac:dyDescent="0.2">
      <c r="B7" s="22"/>
      <c r="C7" s="38"/>
      <c r="D7" s="50" t="s">
        <v>41</v>
      </c>
      <c r="E7" s="46"/>
      <c r="F7" s="46"/>
      <c r="G7" s="46"/>
      <c r="H7" s="46"/>
      <c r="I7" s="46"/>
      <c r="J7" s="46"/>
      <c r="K7" s="46"/>
      <c r="L7" s="37"/>
      <c r="M7" s="46"/>
      <c r="N7" s="46"/>
      <c r="O7" s="46"/>
      <c r="P7" s="51" t="s">
        <v>96</v>
      </c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50" t="s">
        <v>42</v>
      </c>
      <c r="AC7" s="46"/>
      <c r="AD7" s="46"/>
      <c r="AE7" s="46"/>
      <c r="AF7" s="46"/>
      <c r="AG7" s="46"/>
      <c r="AH7" s="46"/>
      <c r="AI7" s="46"/>
      <c r="AJ7" s="23"/>
      <c r="AK7" s="23"/>
      <c r="AL7" s="23"/>
      <c r="AM7" s="23"/>
      <c r="AN7" s="41"/>
      <c r="AO7" s="19"/>
    </row>
    <row r="8" spans="2:73" ht="14.1" customHeight="1" x14ac:dyDescent="0.2">
      <c r="B8" s="22"/>
      <c r="C8" s="38"/>
      <c r="D8" s="52" t="s">
        <v>3</v>
      </c>
      <c r="E8" s="200"/>
      <c r="F8" s="287" t="s">
        <v>1</v>
      </c>
      <c r="G8" s="555">
        <f>'Bearing FB_Pu'!NT2</f>
        <v>150</v>
      </c>
      <c r="H8" s="555"/>
      <c r="I8" s="555"/>
      <c r="J8" s="287" t="s">
        <v>2</v>
      </c>
      <c r="K8" s="23"/>
      <c r="L8" s="23"/>
      <c r="M8" s="23"/>
      <c r="N8" s="46"/>
      <c r="O8" s="46"/>
      <c r="P8" s="52" t="s">
        <v>9</v>
      </c>
      <c r="Q8" s="46"/>
      <c r="R8" s="287" t="s">
        <v>1</v>
      </c>
      <c r="S8" s="553">
        <f>'Bearing FB_Pu'!H32</f>
        <v>1.4</v>
      </c>
      <c r="T8" s="553"/>
      <c r="U8" s="553"/>
      <c r="V8" s="287" t="s">
        <v>16</v>
      </c>
      <c r="W8" s="45"/>
      <c r="X8" s="45"/>
      <c r="Y8" s="46"/>
      <c r="Z8" s="46"/>
      <c r="AA8" s="46"/>
      <c r="AB8" s="53" t="s">
        <v>28</v>
      </c>
      <c r="AC8" s="23"/>
      <c r="AD8" s="287" t="s">
        <v>1</v>
      </c>
      <c r="AE8" s="553">
        <f>'Bearing FB_Pu'!H14</f>
        <v>0.85</v>
      </c>
      <c r="AF8" s="555"/>
      <c r="AG8" s="555"/>
      <c r="AH8" s="287" t="s">
        <v>0</v>
      </c>
      <c r="AI8" s="46"/>
      <c r="AJ8" s="23"/>
      <c r="AK8" s="23"/>
      <c r="AL8" s="23"/>
      <c r="AM8" s="23"/>
      <c r="AN8" s="41"/>
      <c r="AO8" s="19"/>
    </row>
    <row r="9" spans="2:73" ht="14.1" customHeight="1" x14ac:dyDescent="0.2">
      <c r="B9" s="22"/>
      <c r="C9" s="38"/>
      <c r="D9" s="52" t="s">
        <v>95</v>
      </c>
      <c r="E9" s="200"/>
      <c r="F9" s="287" t="s">
        <v>1</v>
      </c>
      <c r="G9" s="555">
        <f>'Bearing FB_Pu'!NT3</f>
        <v>3000</v>
      </c>
      <c r="H9" s="555"/>
      <c r="I9" s="555"/>
      <c r="J9" s="290" t="s">
        <v>2</v>
      </c>
      <c r="K9" s="23"/>
      <c r="L9" s="23"/>
      <c r="M9" s="23"/>
      <c r="N9" s="46"/>
      <c r="O9" s="46"/>
      <c r="P9" s="52" t="s">
        <v>10</v>
      </c>
      <c r="Q9" s="46"/>
      <c r="R9" s="287" t="s">
        <v>1</v>
      </c>
      <c r="S9" s="551">
        <f>'Bearing FB_Pu'!H34</f>
        <v>1.4</v>
      </c>
      <c r="T9" s="551"/>
      <c r="U9" s="551"/>
      <c r="V9" s="287" t="s">
        <v>16</v>
      </c>
      <c r="W9" s="45"/>
      <c r="X9" s="45"/>
      <c r="Y9" s="46"/>
      <c r="Z9" s="46"/>
      <c r="AA9" s="46"/>
      <c r="AB9" s="53" t="s">
        <v>29</v>
      </c>
      <c r="AC9" s="23"/>
      <c r="AD9" s="287" t="s">
        <v>1</v>
      </c>
      <c r="AE9" s="553">
        <f>'Bearing FB_Pu'!H10</f>
        <v>0.9</v>
      </c>
      <c r="AF9" s="553"/>
      <c r="AG9" s="553"/>
      <c r="AH9" s="287" t="s">
        <v>0</v>
      </c>
      <c r="AI9" s="46"/>
      <c r="AJ9" s="23"/>
      <c r="AK9" s="23"/>
      <c r="AL9" s="23"/>
      <c r="AM9" s="23"/>
      <c r="AN9" s="41"/>
      <c r="AO9" s="19"/>
    </row>
    <row r="10" spans="2:73" ht="14.1" customHeight="1" x14ac:dyDescent="0.2">
      <c r="B10" s="22"/>
      <c r="C10" s="38"/>
      <c r="D10" s="52" t="s">
        <v>94</v>
      </c>
      <c r="E10" s="200"/>
      <c r="F10" s="287" t="s">
        <v>1</v>
      </c>
      <c r="G10" s="555">
        <f>'Bearing FB_Pu'!NT4</f>
        <v>3000</v>
      </c>
      <c r="H10" s="555"/>
      <c r="I10" s="555"/>
      <c r="J10" s="290" t="s">
        <v>2</v>
      </c>
      <c r="K10" s="23"/>
      <c r="L10" s="23"/>
      <c r="M10" s="23"/>
      <c r="N10" s="46"/>
      <c r="O10" s="46"/>
      <c r="P10" s="54" t="s">
        <v>12</v>
      </c>
      <c r="Q10" s="46"/>
      <c r="R10" s="287" t="s">
        <v>1</v>
      </c>
      <c r="S10" s="553">
        <f>'Bearing FB_Pu'!H36/100</f>
        <v>0.3</v>
      </c>
      <c r="T10" s="555"/>
      <c r="U10" s="555"/>
      <c r="V10" s="287" t="s">
        <v>16</v>
      </c>
      <c r="W10" s="45"/>
      <c r="X10" s="45"/>
      <c r="Y10" s="46"/>
      <c r="Z10" s="46"/>
      <c r="AA10" s="46"/>
      <c r="AB10" s="53" t="s">
        <v>30</v>
      </c>
      <c r="AC10" s="23"/>
      <c r="AD10" s="287" t="s">
        <v>1</v>
      </c>
      <c r="AE10" s="553">
        <f>'Bearing FB_Pu'!H12</f>
        <v>0.85</v>
      </c>
      <c r="AF10" s="553"/>
      <c r="AG10" s="553"/>
      <c r="AH10" s="287" t="s">
        <v>0</v>
      </c>
      <c r="AI10" s="46"/>
      <c r="AJ10" s="23"/>
      <c r="AK10" s="23"/>
      <c r="AL10" s="23"/>
      <c r="AM10" s="23"/>
      <c r="AN10" s="41"/>
      <c r="AO10" s="19"/>
    </row>
    <row r="11" spans="2:73" ht="14.1" customHeight="1" x14ac:dyDescent="0.2">
      <c r="B11" s="22"/>
      <c r="C11" s="38"/>
      <c r="D11" s="51"/>
      <c r="E11" s="46"/>
      <c r="F11" s="46"/>
      <c r="G11" s="132"/>
      <c r="H11" s="132"/>
      <c r="I11" s="132"/>
      <c r="J11" s="132"/>
      <c r="K11" s="46"/>
      <c r="L11" s="46"/>
      <c r="M11" s="46"/>
      <c r="N11" s="46"/>
      <c r="O11" s="46"/>
      <c r="P11" s="45" t="s">
        <v>11</v>
      </c>
      <c r="Q11" s="45"/>
      <c r="R11" s="287" t="s">
        <v>1</v>
      </c>
      <c r="S11" s="561">
        <f>'Bearing FB_Pu'!NT6</f>
        <v>1</v>
      </c>
      <c r="T11" s="561"/>
      <c r="U11" s="561"/>
      <c r="V11" s="287" t="s">
        <v>16</v>
      </c>
      <c r="W11" s="45"/>
      <c r="X11" s="37"/>
      <c r="Y11" s="37"/>
      <c r="Z11" s="37"/>
      <c r="AA11" s="46"/>
      <c r="AB11" s="46"/>
      <c r="AC11" s="46"/>
      <c r="AD11" s="46"/>
      <c r="AE11" s="132"/>
      <c r="AF11" s="132"/>
      <c r="AG11" s="132"/>
      <c r="AH11" s="132"/>
      <c r="AI11" s="46"/>
      <c r="AJ11" s="23"/>
      <c r="AK11" s="23"/>
      <c r="AL11" s="23"/>
      <c r="AM11" s="23"/>
      <c r="AN11" s="41"/>
      <c r="AO11" s="19"/>
    </row>
    <row r="12" spans="2:73" ht="14.1" customHeight="1" x14ac:dyDescent="0.2">
      <c r="B12" s="22"/>
      <c r="C12" s="38"/>
      <c r="D12" s="49" t="s">
        <v>85</v>
      </c>
      <c r="E12" s="45"/>
      <c r="F12" s="45"/>
      <c r="G12" s="45"/>
      <c r="H12" s="45"/>
      <c r="I12" s="45"/>
      <c r="J12" s="45"/>
      <c r="K12" s="46"/>
      <c r="L12" s="46"/>
      <c r="M12" s="46"/>
      <c r="N12" s="46"/>
      <c r="O12" s="46"/>
      <c r="P12" s="179"/>
      <c r="Q12" s="179"/>
      <c r="R12" s="179"/>
      <c r="S12" s="179"/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46"/>
      <c r="AJ12" s="23"/>
      <c r="AK12" s="23"/>
      <c r="AL12" s="23"/>
      <c r="AM12" s="23"/>
      <c r="AN12" s="41"/>
      <c r="AO12" s="19"/>
      <c r="AQ12" s="164"/>
      <c r="AR12" s="27"/>
      <c r="AS12" s="27"/>
      <c r="AT12" s="307"/>
      <c r="AU12" s="307"/>
      <c r="AV12" s="307"/>
      <c r="AW12" s="307"/>
      <c r="AX12" s="65"/>
      <c r="AY12" s="65"/>
      <c r="AZ12" s="65"/>
      <c r="BA12" s="65"/>
      <c r="BB12" s="65"/>
      <c r="BC12" s="192"/>
      <c r="BD12" s="27"/>
      <c r="BE12" s="27"/>
      <c r="BF12" s="27"/>
      <c r="BG12" s="27"/>
      <c r="BH12" s="27"/>
      <c r="BI12" s="559"/>
      <c r="BJ12" s="559"/>
      <c r="BK12" s="559"/>
      <c r="BL12" s="559"/>
      <c r="BM12" s="65"/>
      <c r="BN12" s="65"/>
      <c r="BO12" s="164"/>
      <c r="BP12" s="65"/>
      <c r="BQ12" s="65"/>
      <c r="BR12" s="129"/>
      <c r="BS12" s="129"/>
      <c r="BT12" s="129"/>
      <c r="BU12" s="129"/>
    </row>
    <row r="13" spans="2:73" ht="14.1" customHeight="1" x14ac:dyDescent="0.2">
      <c r="B13" s="22"/>
      <c r="C13" s="38"/>
      <c r="D13" s="289" t="s">
        <v>65</v>
      </c>
      <c r="E13" s="180"/>
      <c r="F13" s="167"/>
      <c r="G13" s="167"/>
      <c r="H13" s="101"/>
      <c r="I13" s="101"/>
      <c r="J13" s="101"/>
      <c r="K13" s="101"/>
      <c r="L13" s="101"/>
      <c r="M13" s="101"/>
      <c r="N13" s="101"/>
      <c r="O13" s="101"/>
      <c r="P13" s="289" t="s">
        <v>194</v>
      </c>
      <c r="Q13" s="101"/>
      <c r="R13" s="101"/>
      <c r="S13" s="101"/>
      <c r="T13" s="101"/>
      <c r="U13" s="101"/>
      <c r="V13" s="101"/>
      <c r="W13" s="101"/>
      <c r="X13" s="101"/>
      <c r="Y13" s="181"/>
      <c r="Z13" s="181"/>
      <c r="AA13" s="181"/>
      <c r="AB13" s="289" t="s">
        <v>195</v>
      </c>
      <c r="AC13" s="101"/>
      <c r="AD13" s="101"/>
      <c r="AE13" s="181"/>
      <c r="AF13" s="181"/>
      <c r="AG13" s="181"/>
      <c r="AH13" s="101"/>
      <c r="AI13" s="101"/>
      <c r="AJ13" s="101"/>
      <c r="AK13" s="101"/>
      <c r="AL13" s="560" t="s">
        <v>66</v>
      </c>
      <c r="AM13" s="560"/>
      <c r="AN13" s="41"/>
      <c r="AO13" s="19"/>
      <c r="AQ13" s="165"/>
      <c r="AR13" s="65"/>
      <c r="AS13" s="124"/>
      <c r="AW13" s="189"/>
      <c r="AX13" s="140"/>
      <c r="AY13" s="27"/>
      <c r="AZ13" s="27"/>
      <c r="BA13" s="27"/>
      <c r="BB13" s="27"/>
      <c r="BC13" s="307"/>
      <c r="BD13" s="140"/>
      <c r="BE13" s="124"/>
      <c r="BI13" s="189"/>
      <c r="BJ13" s="312"/>
      <c r="BK13" s="165"/>
      <c r="BL13" s="27"/>
      <c r="BM13" s="27"/>
      <c r="BN13" s="27"/>
      <c r="BO13" s="150"/>
      <c r="BP13" s="140"/>
      <c r="BQ13" s="124"/>
      <c r="BU13" s="193"/>
    </row>
    <row r="14" spans="2:73" ht="14.1" customHeight="1" x14ac:dyDescent="0.2">
      <c r="B14" s="22"/>
      <c r="C14" s="38"/>
      <c r="D14" s="287" t="s">
        <v>182</v>
      </c>
      <c r="E14" s="287"/>
      <c r="F14" s="319" t="s">
        <v>1</v>
      </c>
      <c r="G14" s="319" t="s">
        <v>199</v>
      </c>
      <c r="H14" s="242"/>
      <c r="I14" s="242"/>
      <c r="J14" s="242"/>
      <c r="K14" s="242"/>
      <c r="L14" s="242"/>
      <c r="M14" s="242"/>
      <c r="N14" s="242"/>
      <c r="O14" s="319"/>
      <c r="P14" s="558">
        <f>'Bearing FB_Pu'!NT5</f>
        <v>1400</v>
      </c>
      <c r="Q14" s="558"/>
      <c r="R14" s="558"/>
      <c r="S14" s="314"/>
      <c r="T14" s="314"/>
      <c r="U14" s="314"/>
      <c r="V14" s="314"/>
      <c r="W14" s="314"/>
      <c r="X14" s="314"/>
      <c r="Y14" s="319"/>
      <c r="Z14" s="319"/>
      <c r="AA14" s="319"/>
      <c r="AB14" s="558">
        <f t="shared" ref="AB14:AB23" si="0">P14</f>
        <v>1400</v>
      </c>
      <c r="AC14" s="558"/>
      <c r="AD14" s="558"/>
      <c r="AE14" s="319"/>
      <c r="AF14" s="319"/>
      <c r="AG14" s="319"/>
      <c r="AH14" s="319"/>
      <c r="AI14" s="294"/>
      <c r="AJ14" s="287"/>
      <c r="AK14" s="287"/>
      <c r="AL14" s="293" t="s">
        <v>176</v>
      </c>
      <c r="AM14" s="287"/>
      <c r="AN14" s="41"/>
      <c r="AO14" s="19"/>
      <c r="AQ14" s="189"/>
      <c r="AR14" s="189"/>
      <c r="AT14" s="225"/>
      <c r="AU14" s="112"/>
      <c r="BC14" s="225"/>
      <c r="BD14" s="140"/>
      <c r="BE14" s="124"/>
      <c r="BI14" s="189"/>
      <c r="BJ14" s="129"/>
      <c r="BK14" s="165"/>
      <c r="BL14" s="27"/>
      <c r="BM14" s="27"/>
      <c r="BN14" s="27"/>
      <c r="BO14" s="150"/>
      <c r="BP14" s="140"/>
      <c r="BQ14" s="124"/>
      <c r="BU14" s="194"/>
    </row>
    <row r="15" spans="2:73" ht="14.1" customHeight="1" x14ac:dyDescent="0.2">
      <c r="B15" s="22"/>
      <c r="C15" s="38"/>
      <c r="D15" s="321" t="s">
        <v>197</v>
      </c>
      <c r="E15" s="242"/>
      <c r="F15" s="320" t="s">
        <v>1</v>
      </c>
      <c r="G15" s="287" t="s">
        <v>152</v>
      </c>
      <c r="H15" s="242"/>
      <c r="I15" s="242"/>
      <c r="J15" s="242"/>
      <c r="K15" s="242"/>
      <c r="L15" s="242"/>
      <c r="M15" s="242"/>
      <c r="N15" s="242"/>
      <c r="O15" s="319"/>
      <c r="P15" s="556">
        <f>'Bearing FB_Pu'!H22</f>
        <v>10000</v>
      </c>
      <c r="Q15" s="556"/>
      <c r="R15" s="556"/>
      <c r="S15" s="316"/>
      <c r="T15" s="316"/>
      <c r="U15" s="316"/>
      <c r="V15" s="316"/>
      <c r="W15" s="316"/>
      <c r="X15" s="316"/>
      <c r="Y15" s="319"/>
      <c r="Z15" s="319"/>
      <c r="AA15" s="319"/>
      <c r="AB15" s="558">
        <f t="shared" si="0"/>
        <v>10000</v>
      </c>
      <c r="AC15" s="558"/>
      <c r="AD15" s="558"/>
      <c r="AE15" s="319"/>
      <c r="AF15" s="319"/>
      <c r="AG15" s="319"/>
      <c r="AH15" s="319"/>
      <c r="AI15" s="319"/>
      <c r="AJ15" s="319"/>
      <c r="AK15" s="319"/>
      <c r="AL15" s="182" t="s">
        <v>116</v>
      </c>
      <c r="AM15" s="319"/>
      <c r="AN15" s="41"/>
      <c r="AO15" s="19"/>
      <c r="AQ15" s="189"/>
      <c r="AR15" s="195"/>
      <c r="AS15" s="225"/>
      <c r="AT15" s="124"/>
      <c r="AU15" s="226"/>
      <c r="AV15" s="225"/>
      <c r="AW15" s="225"/>
      <c r="BC15" s="307"/>
      <c r="BD15" s="140"/>
      <c r="BE15" s="124"/>
      <c r="BI15" s="189"/>
      <c r="BJ15" s="196"/>
      <c r="BK15" s="166"/>
      <c r="BL15" s="27"/>
      <c r="BM15" s="27"/>
      <c r="BN15" s="27"/>
      <c r="BO15" s="150"/>
      <c r="BP15" s="140"/>
      <c r="BQ15" s="124"/>
      <c r="BR15" s="559"/>
      <c r="BS15" s="559"/>
      <c r="BT15" s="559"/>
      <c r="BU15" s="143"/>
    </row>
    <row r="16" spans="2:73" ht="14.1" customHeight="1" x14ac:dyDescent="0.2">
      <c r="B16" s="22"/>
      <c r="C16" s="38"/>
      <c r="D16" s="321" t="s">
        <v>174</v>
      </c>
      <c r="E16" s="242"/>
      <c r="F16" s="319" t="s">
        <v>1</v>
      </c>
      <c r="G16" s="287" t="s">
        <v>206</v>
      </c>
      <c r="H16" s="242"/>
      <c r="I16" s="242"/>
      <c r="J16" s="242"/>
      <c r="K16" s="242"/>
      <c r="L16" s="242"/>
      <c r="M16" s="242"/>
      <c r="N16" s="242"/>
      <c r="O16" s="319"/>
      <c r="P16" s="556">
        <f>'Bearing FB_Pu'!NT7</f>
        <v>1920.7999999999995</v>
      </c>
      <c r="Q16" s="556"/>
      <c r="R16" s="556"/>
      <c r="S16" s="316"/>
      <c r="T16" s="316"/>
      <c r="U16" s="316"/>
      <c r="V16" s="316"/>
      <c r="W16" s="316"/>
      <c r="X16" s="316"/>
      <c r="Y16" s="319"/>
      <c r="Z16" s="319"/>
      <c r="AA16" s="319"/>
      <c r="AB16" s="558">
        <f t="shared" si="0"/>
        <v>1920.7999999999995</v>
      </c>
      <c r="AC16" s="558"/>
      <c r="AD16" s="558"/>
      <c r="AE16" s="319"/>
      <c r="AF16" s="319"/>
      <c r="AG16" s="319"/>
      <c r="AH16" s="319"/>
      <c r="AI16" s="319"/>
      <c r="AJ16" s="319"/>
      <c r="AK16" s="319"/>
      <c r="AL16" s="70" t="s">
        <v>17</v>
      </c>
      <c r="AM16" s="319"/>
      <c r="AN16" s="41"/>
      <c r="AO16" s="19"/>
      <c r="AQ16" s="195"/>
      <c r="AR16" s="307"/>
      <c r="AT16" s="225"/>
      <c r="AU16" s="27"/>
      <c r="BC16" s="225"/>
      <c r="BD16" s="140"/>
      <c r="BE16" s="124"/>
      <c r="BI16" s="189"/>
      <c r="BJ16" s="286"/>
      <c r="BK16" s="166"/>
      <c r="BL16" s="27"/>
      <c r="BM16" s="27"/>
      <c r="BN16" s="27"/>
      <c r="BO16" s="150"/>
      <c r="BP16" s="140"/>
      <c r="BQ16" s="124"/>
      <c r="BU16" s="143"/>
    </row>
    <row r="17" spans="2:78" ht="14.1" customHeight="1" x14ac:dyDescent="0.2">
      <c r="B17" s="22"/>
      <c r="C17" s="38"/>
      <c r="D17" s="321" t="s">
        <v>157</v>
      </c>
      <c r="E17" s="242"/>
      <c r="F17" s="319" t="s">
        <v>1</v>
      </c>
      <c r="G17" s="287" t="s">
        <v>208</v>
      </c>
      <c r="H17" s="242"/>
      <c r="I17" s="242"/>
      <c r="J17" s="242"/>
      <c r="K17" s="242"/>
      <c r="L17" s="242"/>
      <c r="M17" s="242"/>
      <c r="N17" s="242"/>
      <c r="O17" s="242"/>
      <c r="P17" s="557">
        <f>'Bearing FB_Pu'!NT8</f>
        <v>1411.1999999999998</v>
      </c>
      <c r="Q17" s="557"/>
      <c r="R17" s="557"/>
      <c r="S17" s="242"/>
      <c r="T17" s="242"/>
      <c r="U17" s="242"/>
      <c r="V17" s="242"/>
      <c r="W17" s="242"/>
      <c r="X17" s="242"/>
      <c r="Y17" s="242"/>
      <c r="Z17" s="242"/>
      <c r="AA17" s="242"/>
      <c r="AB17" s="558">
        <f t="shared" si="0"/>
        <v>1411.1999999999998</v>
      </c>
      <c r="AC17" s="558"/>
      <c r="AD17" s="558"/>
      <c r="AE17" s="242"/>
      <c r="AF17" s="242"/>
      <c r="AG17" s="242"/>
      <c r="AH17" s="242"/>
      <c r="AI17" s="242"/>
      <c r="AJ17" s="242"/>
      <c r="AK17" s="242"/>
      <c r="AL17" s="70" t="s">
        <v>17</v>
      </c>
      <c r="AM17" s="242"/>
      <c r="AN17" s="41"/>
      <c r="AO17" s="19"/>
      <c r="AQ17" s="307"/>
      <c r="AR17" s="307"/>
      <c r="AT17" s="225"/>
      <c r="AU17" s="27"/>
      <c r="BC17" s="225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125"/>
      <c r="BP17" s="165"/>
      <c r="BQ17" s="124"/>
    </row>
    <row r="18" spans="2:78" ht="14.1" customHeight="1" x14ac:dyDescent="0.2">
      <c r="B18" s="22"/>
      <c r="C18" s="38"/>
      <c r="D18" s="321" t="s">
        <v>172</v>
      </c>
      <c r="E18" s="242"/>
      <c r="F18" s="319" t="s">
        <v>1</v>
      </c>
      <c r="G18" s="287" t="s">
        <v>200</v>
      </c>
      <c r="H18" s="319"/>
      <c r="I18" s="319"/>
      <c r="J18" s="319"/>
      <c r="K18" s="319"/>
      <c r="L18" s="242"/>
      <c r="M18" s="242"/>
      <c r="N18" s="242"/>
      <c r="O18" s="319"/>
      <c r="P18" s="556">
        <f>'Bearing FB_Pu'!NT9</f>
        <v>10000</v>
      </c>
      <c r="Q18" s="556"/>
      <c r="R18" s="556"/>
      <c r="S18" s="314"/>
      <c r="T18" s="314"/>
      <c r="U18" s="314"/>
      <c r="V18" s="314"/>
      <c r="W18" s="314"/>
      <c r="X18" s="314"/>
      <c r="Y18" s="319"/>
      <c r="Z18" s="319"/>
      <c r="AA18" s="319"/>
      <c r="AB18" s="558">
        <f t="shared" si="0"/>
        <v>10000</v>
      </c>
      <c r="AC18" s="558"/>
      <c r="AD18" s="558"/>
      <c r="AE18" s="319"/>
      <c r="AF18" s="319"/>
      <c r="AG18" s="319"/>
      <c r="AH18" s="319"/>
      <c r="AI18" s="319"/>
      <c r="AJ18" s="319"/>
      <c r="AK18" s="319"/>
      <c r="AL18" s="70" t="s">
        <v>17</v>
      </c>
      <c r="AM18" s="319"/>
      <c r="AN18" s="41"/>
      <c r="AO18" s="19"/>
      <c r="AQ18" s="307"/>
      <c r="AR18" s="143"/>
      <c r="AT18" s="225"/>
      <c r="AU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146"/>
      <c r="BP18" s="165"/>
      <c r="BQ18" s="124"/>
      <c r="BR18" s="171"/>
      <c r="BS18" s="172"/>
      <c r="BT18" s="172"/>
      <c r="BU18" s="143"/>
    </row>
    <row r="19" spans="2:78" ht="14.1" customHeight="1" x14ac:dyDescent="0.2">
      <c r="B19" s="22"/>
      <c r="C19" s="38"/>
      <c r="D19" s="321" t="s">
        <v>173</v>
      </c>
      <c r="E19" s="319"/>
      <c r="F19" s="320" t="s">
        <v>1</v>
      </c>
      <c r="G19" s="287" t="s">
        <v>107</v>
      </c>
      <c r="H19" s="287"/>
      <c r="I19" s="319"/>
      <c r="J19" s="319"/>
      <c r="K19" s="319"/>
      <c r="L19" s="319"/>
      <c r="M19" s="319"/>
      <c r="N19" s="319"/>
      <c r="O19" s="319"/>
      <c r="P19" s="557">
        <f>'Bearing FB_Pu'!NT10</f>
        <v>5000</v>
      </c>
      <c r="Q19" s="557"/>
      <c r="R19" s="557"/>
      <c r="S19" s="319"/>
      <c r="T19" s="319"/>
      <c r="U19" s="319"/>
      <c r="V19" s="319"/>
      <c r="W19" s="319"/>
      <c r="X19" s="242"/>
      <c r="Y19" s="242"/>
      <c r="Z19" s="242"/>
      <c r="AA19" s="242"/>
      <c r="AB19" s="558">
        <f t="shared" si="0"/>
        <v>5000</v>
      </c>
      <c r="AC19" s="558"/>
      <c r="AD19" s="558"/>
      <c r="AE19" s="242"/>
      <c r="AF19" s="242"/>
      <c r="AG19" s="242"/>
      <c r="AH19" s="242"/>
      <c r="AI19" s="242"/>
      <c r="AJ19" s="242"/>
      <c r="AK19" s="242"/>
      <c r="AL19" s="70" t="s">
        <v>17</v>
      </c>
      <c r="AM19" s="242"/>
      <c r="AN19" s="41"/>
      <c r="AO19" s="19"/>
      <c r="AQ19" s="143"/>
      <c r="AR19" s="27"/>
      <c r="AS19" s="225"/>
      <c r="AT19" s="124"/>
      <c r="AU19" s="225"/>
      <c r="AV19" s="112"/>
      <c r="AW19" s="112"/>
      <c r="AX19" s="112"/>
      <c r="AY19" s="112"/>
      <c r="BC19" s="225"/>
    </row>
    <row r="20" spans="2:78" ht="14.1" customHeight="1" x14ac:dyDescent="0.2">
      <c r="B20" s="22"/>
      <c r="C20" s="38"/>
      <c r="D20" s="243" t="s">
        <v>97</v>
      </c>
      <c r="E20" s="132"/>
      <c r="F20" s="320" t="s">
        <v>1</v>
      </c>
      <c r="G20" s="293" t="str">
        <f>IF('Bearing FB_Pu'!H18="DL","Ws+Wf+PD",IF('Bearing FB_Pu'!H18="LL","PL",IF('Bearing FB_Pu'!H18="DL + LL","Ws+Wf+PD+PL",IF('Bearing FB_Pu'!H18="1.4DL + 1.7LL","1.4(Ws+Wf+PD)+1.7(PL)",IF('Bearing FB_Pu'!H18="1.7DL + 2.0LL","1.7(Ws+Wf+PD)+2.0(PL)")))))</f>
        <v>1.7(Ws+Wf+PD)+2.0(PL)</v>
      </c>
      <c r="H20" s="287"/>
      <c r="I20" s="319"/>
      <c r="J20" s="319"/>
      <c r="K20" s="319"/>
      <c r="L20" s="319"/>
      <c r="M20" s="319"/>
      <c r="N20" s="319"/>
      <c r="O20" s="319"/>
      <c r="P20" s="558">
        <f>'Bearing FB_Pu'!NT16</f>
        <v>32664.399999999998</v>
      </c>
      <c r="Q20" s="558"/>
      <c r="R20" s="558"/>
      <c r="S20" s="317"/>
      <c r="T20" s="317"/>
      <c r="U20" s="317"/>
      <c r="V20" s="317"/>
      <c r="W20" s="317"/>
      <c r="X20" s="317"/>
      <c r="Y20" s="319"/>
      <c r="Z20" s="319"/>
      <c r="AA20" s="319"/>
      <c r="AB20" s="551">
        <f t="shared" si="0"/>
        <v>32664.399999999998</v>
      </c>
      <c r="AC20" s="551"/>
      <c r="AD20" s="551"/>
      <c r="AE20" s="319"/>
      <c r="AF20" s="319"/>
      <c r="AG20" s="319"/>
      <c r="AH20" s="319"/>
      <c r="AI20" s="319"/>
      <c r="AJ20" s="319"/>
      <c r="AK20" s="319"/>
      <c r="AL20" s="70" t="s">
        <v>17</v>
      </c>
      <c r="AM20" s="319"/>
      <c r="AN20" s="41"/>
      <c r="AO20" s="19"/>
      <c r="AQ20" s="226"/>
      <c r="AR20" s="150"/>
      <c r="AS20" s="140"/>
      <c r="AT20" s="124"/>
      <c r="AU20" s="143"/>
      <c r="AV20" s="140"/>
      <c r="BD20" s="163"/>
      <c r="BE20" s="163"/>
      <c r="BF20" s="163"/>
      <c r="BG20" s="163"/>
      <c r="BH20" s="163"/>
      <c r="BI20" s="163"/>
      <c r="BJ20" s="163"/>
      <c r="BK20" s="163"/>
      <c r="BL20" s="163"/>
      <c r="BM20" s="163"/>
      <c r="BN20" s="27"/>
      <c r="BO20" s="163"/>
      <c r="BP20" s="163"/>
      <c r="BQ20" s="163"/>
      <c r="BR20" s="163"/>
      <c r="BS20" s="141"/>
      <c r="BT20" s="128"/>
      <c r="BU20" s="128"/>
      <c r="BV20" s="128"/>
      <c r="BW20" s="128"/>
      <c r="BX20" s="163"/>
      <c r="BY20" s="163"/>
      <c r="BZ20" s="163"/>
    </row>
    <row r="21" spans="2:78" ht="14.1" customHeight="1" x14ac:dyDescent="0.2">
      <c r="B21" s="22"/>
      <c r="C21" s="38"/>
      <c r="D21" s="321" t="s">
        <v>161</v>
      </c>
      <c r="E21" s="242"/>
      <c r="F21" s="320" t="s">
        <v>1</v>
      </c>
      <c r="G21" s="321" t="s">
        <v>207</v>
      </c>
      <c r="H21" s="319"/>
      <c r="I21" s="319"/>
      <c r="J21" s="319"/>
      <c r="K21" s="319"/>
      <c r="L21" s="319"/>
      <c r="M21" s="319"/>
      <c r="N21" s="319"/>
      <c r="O21" s="319"/>
      <c r="P21" s="549">
        <f>'Bearing FB_Pu'!NT11</f>
        <v>1.8331999999999999</v>
      </c>
      <c r="Q21" s="549"/>
      <c r="R21" s="549"/>
      <c r="S21" s="319"/>
      <c r="T21" s="319"/>
      <c r="U21" s="319"/>
      <c r="V21" s="319"/>
      <c r="W21" s="319"/>
      <c r="X21" s="242"/>
      <c r="Y21" s="242"/>
      <c r="Z21" s="242"/>
      <c r="AA21" s="242"/>
      <c r="AB21" s="551">
        <f t="shared" si="0"/>
        <v>1.8331999999999999</v>
      </c>
      <c r="AC21" s="551"/>
      <c r="AD21" s="551"/>
      <c r="AE21" s="242"/>
      <c r="AF21" s="242"/>
      <c r="AG21" s="242"/>
      <c r="AH21" s="242"/>
      <c r="AI21" s="242"/>
      <c r="AJ21" s="242"/>
      <c r="AK21" s="242"/>
      <c r="AL21" s="321" t="s">
        <v>158</v>
      </c>
      <c r="AM21" s="242"/>
      <c r="AN21" s="41"/>
      <c r="AO21" s="19"/>
      <c r="AQ21" s="27"/>
      <c r="AR21" s="150"/>
      <c r="AS21" s="140"/>
      <c r="AT21" s="124"/>
      <c r="AU21" s="150"/>
      <c r="AV21" s="140"/>
      <c r="BC21" s="225"/>
      <c r="BD21" s="163"/>
      <c r="BE21" s="163"/>
      <c r="BF21" s="163"/>
      <c r="BG21" s="163"/>
      <c r="BH21" s="163"/>
      <c r="BI21" s="163"/>
      <c r="BJ21" s="163"/>
      <c r="BK21" s="163"/>
      <c r="BL21" s="163"/>
      <c r="BM21" s="163"/>
      <c r="BN21" s="27"/>
      <c r="BO21" s="163"/>
      <c r="BP21" s="163"/>
      <c r="BQ21" s="163"/>
      <c r="BR21" s="163"/>
      <c r="BS21" s="128"/>
      <c r="BT21" s="128"/>
      <c r="BU21" s="128"/>
      <c r="BV21" s="128"/>
      <c r="BW21" s="128"/>
      <c r="BX21" s="163"/>
      <c r="BY21" s="163"/>
      <c r="BZ21" s="163"/>
    </row>
    <row r="22" spans="2:78" ht="14.1" customHeight="1" x14ac:dyDescent="0.2">
      <c r="B22" s="22"/>
      <c r="C22" s="38"/>
      <c r="D22" s="293" t="s">
        <v>160</v>
      </c>
      <c r="E22" s="132"/>
      <c r="F22" s="320" t="s">
        <v>1</v>
      </c>
      <c r="G22" s="293" t="s">
        <v>205</v>
      </c>
      <c r="H22" s="287"/>
      <c r="I22" s="287"/>
      <c r="J22" s="287"/>
      <c r="K22" s="319"/>
      <c r="L22" s="319"/>
      <c r="M22" s="319"/>
      <c r="N22" s="319"/>
      <c r="O22" s="319"/>
      <c r="P22" s="551">
        <f>'Bearing FB_Pu'!NT13</f>
        <v>1.9599999999999997</v>
      </c>
      <c r="Q22" s="558"/>
      <c r="R22" s="558"/>
      <c r="S22" s="179"/>
      <c r="T22" s="264" t="str">
        <f>IF(P22&gt;=P21,"&lt;&lt; [Ok]","&lt;&lt; [Not]")</f>
        <v>&lt;&lt; [Ok]</v>
      </c>
      <c r="U22" s="317"/>
      <c r="V22" s="317"/>
      <c r="W22" s="317"/>
      <c r="X22" s="317"/>
      <c r="Y22" s="319"/>
      <c r="Z22" s="319"/>
      <c r="AA22" s="319"/>
      <c r="AB22" s="551">
        <f t="shared" si="0"/>
        <v>1.9599999999999997</v>
      </c>
      <c r="AC22" s="551"/>
      <c r="AD22" s="551"/>
      <c r="AE22" s="179"/>
      <c r="AF22" s="264" t="str">
        <f>IF(AB22&gt;=AB21,"&lt;&lt; [Ok]","&lt;&lt; [Not]")</f>
        <v>&lt;&lt; [Ok]</v>
      </c>
      <c r="AG22" s="319"/>
      <c r="AH22" s="319"/>
      <c r="AI22" s="319"/>
      <c r="AJ22" s="319"/>
      <c r="AK22" s="319"/>
      <c r="AL22" s="321" t="s">
        <v>158</v>
      </c>
      <c r="AM22" s="319"/>
      <c r="AN22" s="41"/>
      <c r="AO22" s="19"/>
      <c r="AQ22" s="226"/>
      <c r="AR22" s="150"/>
      <c r="AS22" s="140"/>
      <c r="AT22" s="124"/>
      <c r="AU22" s="150"/>
      <c r="AV22" s="140"/>
      <c r="BC22" s="225"/>
      <c r="BD22" s="197"/>
      <c r="BE22" s="197"/>
      <c r="BF22" s="197"/>
      <c r="BG22" s="140"/>
      <c r="BH22" s="197"/>
      <c r="BI22" s="197"/>
      <c r="BJ22" s="197"/>
      <c r="BK22" s="142"/>
      <c r="BL22" s="174"/>
      <c r="BM22" s="174"/>
      <c r="BN22" s="27"/>
      <c r="BO22" s="27"/>
      <c r="BP22" s="27"/>
      <c r="BQ22" s="27"/>
      <c r="BR22" s="27"/>
      <c r="BS22" s="140"/>
      <c r="BT22" s="140"/>
      <c r="BU22" s="140"/>
      <c r="BV22" s="140"/>
      <c r="BW22" s="27"/>
      <c r="BX22" s="27"/>
      <c r="BY22" s="27"/>
      <c r="BZ22" s="27"/>
    </row>
    <row r="23" spans="2:78" ht="14.1" customHeight="1" x14ac:dyDescent="0.2">
      <c r="B23" s="22"/>
      <c r="C23" s="38"/>
      <c r="D23" s="313" t="s">
        <v>210</v>
      </c>
      <c r="E23" s="313"/>
      <c r="F23" s="320" t="s">
        <v>1</v>
      </c>
      <c r="G23" s="187" t="s">
        <v>224</v>
      </c>
      <c r="H23" s="313"/>
      <c r="I23" s="313"/>
      <c r="J23" s="319"/>
      <c r="K23" s="319"/>
      <c r="L23" s="319"/>
      <c r="M23" s="319"/>
      <c r="N23" s="319"/>
      <c r="O23" s="319"/>
      <c r="P23" s="562">
        <f>'Bearing FB_Pu'!NT17</f>
        <v>16665.510204081635</v>
      </c>
      <c r="Q23" s="562"/>
      <c r="R23" s="562"/>
      <c r="S23" s="179"/>
      <c r="T23" s="314"/>
      <c r="U23" s="314"/>
      <c r="V23" s="314"/>
      <c r="W23" s="314"/>
      <c r="X23" s="314"/>
      <c r="Y23" s="319"/>
      <c r="Z23" s="319"/>
      <c r="AA23" s="319"/>
      <c r="AB23" s="551">
        <f t="shared" si="0"/>
        <v>16665.510204081635</v>
      </c>
      <c r="AC23" s="551"/>
      <c r="AD23" s="551"/>
      <c r="AE23" s="179"/>
      <c r="AF23" s="319"/>
      <c r="AG23" s="319"/>
      <c r="AH23" s="319"/>
      <c r="AI23" s="319"/>
      <c r="AJ23" s="319"/>
      <c r="AK23" s="319"/>
      <c r="AL23" s="70" t="s">
        <v>17</v>
      </c>
      <c r="AM23" s="319"/>
      <c r="AN23" s="41"/>
      <c r="AO23" s="19"/>
      <c r="AQ23" s="150"/>
      <c r="AR23" s="143"/>
      <c r="AS23" s="140"/>
      <c r="AT23" s="124"/>
      <c r="AU23" s="150"/>
      <c r="AV23" s="140"/>
      <c r="AW23" s="140"/>
      <c r="AX23" s="140"/>
      <c r="BC23" s="225"/>
      <c r="BD23" s="171"/>
      <c r="BE23" s="171"/>
      <c r="BF23" s="171"/>
      <c r="BG23" s="140"/>
      <c r="BH23" s="171"/>
      <c r="BI23" s="171"/>
      <c r="BJ23" s="171"/>
      <c r="BK23" s="143"/>
      <c r="BL23" s="165"/>
      <c r="BM23" s="165"/>
      <c r="BN23" s="27"/>
      <c r="BO23" s="149"/>
      <c r="BP23" s="27"/>
      <c r="BQ23" s="27"/>
      <c r="BR23" s="27"/>
      <c r="BS23" s="27"/>
      <c r="BT23" s="128"/>
      <c r="BU23" s="128"/>
      <c r="BV23" s="128"/>
      <c r="BW23" s="27"/>
      <c r="BX23" s="27"/>
      <c r="BY23" s="27"/>
      <c r="BZ23" s="27"/>
    </row>
    <row r="24" spans="2:78" ht="14.1" customHeight="1" x14ac:dyDescent="0.2">
      <c r="B24" s="22"/>
      <c r="C24" s="38"/>
      <c r="D24" s="313" t="s">
        <v>209</v>
      </c>
      <c r="E24" s="179"/>
      <c r="F24" s="320" t="s">
        <v>1</v>
      </c>
      <c r="G24" s="187" t="s">
        <v>225</v>
      </c>
      <c r="H24" s="187"/>
      <c r="I24" s="187"/>
      <c r="J24" s="187"/>
      <c r="K24" s="187"/>
      <c r="L24" s="187"/>
      <c r="M24" s="187"/>
      <c r="N24" s="187"/>
      <c r="O24" s="187"/>
      <c r="P24" s="548">
        <f>'Bearing FB_Pu'!NT28</f>
        <v>0.6</v>
      </c>
      <c r="Q24" s="548"/>
      <c r="R24" s="548"/>
      <c r="S24" s="179"/>
      <c r="T24" s="187"/>
      <c r="U24" s="187"/>
      <c r="V24" s="187"/>
      <c r="W24" s="187"/>
      <c r="X24" s="179"/>
      <c r="Y24" s="179"/>
      <c r="Z24" s="179"/>
      <c r="AA24" s="179"/>
      <c r="AB24" s="549">
        <f>'Bearing FB_Pu'!OA28</f>
        <v>0.6</v>
      </c>
      <c r="AC24" s="548"/>
      <c r="AD24" s="548"/>
      <c r="AE24" s="179"/>
      <c r="AF24" s="179"/>
      <c r="AG24" s="179"/>
      <c r="AH24" s="179"/>
      <c r="AI24" s="179"/>
      <c r="AJ24" s="179"/>
      <c r="AK24" s="179"/>
      <c r="AL24" s="321" t="s">
        <v>16</v>
      </c>
      <c r="AM24" s="179"/>
      <c r="AN24" s="41"/>
      <c r="AO24" s="19"/>
      <c r="AQ24" s="150"/>
      <c r="AR24" s="143"/>
      <c r="AS24" s="227"/>
      <c r="AT24" s="189"/>
      <c r="AU24" s="307"/>
      <c r="AV24" s="189"/>
      <c r="AW24" s="227"/>
      <c r="BC24" s="225"/>
      <c r="BD24" s="126"/>
      <c r="BE24" s="126"/>
      <c r="BF24" s="126"/>
      <c r="BG24" s="140"/>
      <c r="BH24" s="126"/>
      <c r="BI24" s="126"/>
      <c r="BJ24" s="126"/>
      <c r="BK24" s="143"/>
      <c r="BL24" s="165"/>
      <c r="BM24" s="165"/>
      <c r="BN24" s="27"/>
      <c r="BO24" s="149"/>
      <c r="BP24" s="27"/>
      <c r="BQ24" s="27"/>
      <c r="BR24" s="27"/>
      <c r="BS24" s="127"/>
      <c r="BT24" s="128"/>
      <c r="BU24" s="128"/>
      <c r="BV24" s="128"/>
      <c r="BW24" s="27"/>
      <c r="BX24" s="27"/>
      <c r="BY24" s="27"/>
      <c r="BZ24" s="27"/>
    </row>
    <row r="25" spans="2:78" ht="14.1" customHeight="1" x14ac:dyDescent="0.2">
      <c r="B25" s="22"/>
      <c r="C25" s="38"/>
      <c r="D25" s="321" t="s">
        <v>67</v>
      </c>
      <c r="E25" s="132"/>
      <c r="F25" s="320" t="s">
        <v>1</v>
      </c>
      <c r="G25" s="314" t="s">
        <v>214</v>
      </c>
      <c r="H25" s="287"/>
      <c r="I25" s="287"/>
      <c r="J25" s="313"/>
      <c r="K25" s="319"/>
      <c r="L25" s="319"/>
      <c r="M25" s="319"/>
      <c r="N25" s="319"/>
      <c r="O25" s="319"/>
      <c r="P25" s="551">
        <f>'Bearing FB_Pu'!NT18</f>
        <v>4199.7085714285713</v>
      </c>
      <c r="Q25" s="551"/>
      <c r="R25" s="551"/>
      <c r="S25" s="179"/>
      <c r="T25" s="318"/>
      <c r="U25" s="318"/>
      <c r="V25" s="318"/>
      <c r="W25" s="318"/>
      <c r="X25" s="318"/>
      <c r="Y25" s="319"/>
      <c r="Z25" s="319"/>
      <c r="AA25" s="319"/>
      <c r="AB25" s="551">
        <f>'Bearing FB_Pu'!NT44</f>
        <v>4199.7085714285713</v>
      </c>
      <c r="AC25" s="551"/>
      <c r="AD25" s="551"/>
      <c r="AE25" s="179"/>
      <c r="AF25" s="319"/>
      <c r="AG25" s="319"/>
      <c r="AH25" s="319"/>
      <c r="AI25" s="319"/>
      <c r="AJ25" s="319"/>
      <c r="AK25" s="319"/>
      <c r="AL25" s="319" t="s">
        <v>68</v>
      </c>
      <c r="AM25" s="319"/>
      <c r="AN25" s="41"/>
      <c r="AO25" s="19"/>
      <c r="AQ25" s="150"/>
      <c r="AR25" s="143"/>
      <c r="AS25" s="140"/>
      <c r="AT25" s="124"/>
      <c r="AU25" s="228"/>
      <c r="AV25" s="140"/>
      <c r="AW25" s="140"/>
      <c r="AX25" s="227"/>
      <c r="BC25" s="225"/>
      <c r="BD25" s="175"/>
      <c r="BE25" s="175"/>
      <c r="BF25" s="175"/>
      <c r="BG25" s="175"/>
      <c r="BH25" s="175"/>
      <c r="BI25" s="175"/>
      <c r="BJ25" s="175"/>
      <c r="BK25" s="189"/>
      <c r="BL25" s="170"/>
      <c r="BM25" s="170"/>
      <c r="BN25" s="27"/>
      <c r="BO25" s="149"/>
      <c r="BP25" s="27"/>
      <c r="BQ25" s="27"/>
      <c r="BR25" s="27"/>
      <c r="BS25" s="27"/>
      <c r="BT25" s="128"/>
      <c r="BU25" s="128"/>
      <c r="BV25" s="128"/>
      <c r="BW25" s="27"/>
      <c r="BX25" s="27"/>
      <c r="BY25" s="27"/>
      <c r="BZ25" s="27"/>
    </row>
    <row r="26" spans="2:78" ht="14.1" customHeight="1" x14ac:dyDescent="0.2">
      <c r="B26" s="22"/>
      <c r="C26" s="38"/>
      <c r="D26" s="53" t="s">
        <v>31</v>
      </c>
      <c r="E26" s="23"/>
      <c r="F26" s="320" t="s">
        <v>1</v>
      </c>
      <c r="G26" s="293" t="s">
        <v>108</v>
      </c>
      <c r="H26" s="313"/>
      <c r="I26" s="313"/>
      <c r="J26" s="313"/>
      <c r="K26" s="319"/>
      <c r="L26" s="319"/>
      <c r="M26" s="319"/>
      <c r="N26" s="319"/>
      <c r="O26" s="319"/>
      <c r="P26" s="564">
        <f>'Bearing FB_Pu'!NT19</f>
        <v>2.4199999999999999E-2</v>
      </c>
      <c r="Q26" s="564"/>
      <c r="R26" s="564"/>
      <c r="S26" s="179"/>
      <c r="T26" s="315"/>
      <c r="U26" s="315"/>
      <c r="V26" s="315"/>
      <c r="W26" s="315"/>
      <c r="X26" s="315"/>
      <c r="Y26" s="319"/>
      <c r="Z26" s="319"/>
      <c r="AA26" s="319"/>
      <c r="AB26" s="566">
        <f t="shared" ref="AB26:AB31" si="1">P26</f>
        <v>2.4199999999999999E-2</v>
      </c>
      <c r="AC26" s="566"/>
      <c r="AD26" s="566"/>
      <c r="AE26" s="179"/>
      <c r="AF26" s="319"/>
      <c r="AG26" s="319"/>
      <c r="AH26" s="319"/>
      <c r="AI26" s="319"/>
      <c r="AJ26" s="319"/>
      <c r="AK26" s="319"/>
      <c r="AL26" s="313" t="s">
        <v>0</v>
      </c>
      <c r="AM26" s="319"/>
      <c r="AN26" s="41"/>
      <c r="AO26" s="19"/>
      <c r="AQ26" s="143"/>
      <c r="AR26" s="189"/>
      <c r="AS26" s="35"/>
      <c r="AT26" s="124"/>
      <c r="AU26" s="307"/>
      <c r="AV26" s="189"/>
      <c r="AW26" s="189"/>
      <c r="AX26" s="189"/>
      <c r="BC26" s="225"/>
      <c r="BD26" s="151"/>
      <c r="BE26" s="151"/>
      <c r="BF26" s="151"/>
      <c r="BG26" s="140"/>
      <c r="BH26" s="151"/>
      <c r="BI26" s="151"/>
      <c r="BJ26" s="151"/>
      <c r="BK26" s="307"/>
      <c r="BL26" s="27"/>
      <c r="BM26" s="27"/>
      <c r="BN26" s="27"/>
      <c r="BO26" s="124"/>
      <c r="BP26" s="27"/>
      <c r="BQ26" s="27"/>
      <c r="BR26" s="27"/>
      <c r="BS26" s="176"/>
      <c r="BT26" s="128"/>
      <c r="BU26" s="128"/>
      <c r="BV26" s="128"/>
      <c r="BW26" s="27"/>
      <c r="BX26" s="27"/>
      <c r="BY26" s="27"/>
      <c r="BZ26" s="27"/>
    </row>
    <row r="27" spans="2:78" ht="14.1" customHeight="1" x14ac:dyDescent="0.2">
      <c r="B27" s="22"/>
      <c r="C27" s="38"/>
      <c r="D27" s="53" t="s">
        <v>32</v>
      </c>
      <c r="E27" s="23"/>
      <c r="F27" s="320" t="s">
        <v>1</v>
      </c>
      <c r="G27" s="53" t="s">
        <v>89</v>
      </c>
      <c r="H27" s="319"/>
      <c r="I27" s="319"/>
      <c r="J27" s="319"/>
      <c r="K27" s="319"/>
      <c r="L27" s="319"/>
      <c r="M27" s="319"/>
      <c r="N27" s="319"/>
      <c r="O27" s="287"/>
      <c r="P27" s="565">
        <f>'Bearing FB_Pu'!NT20</f>
        <v>1.8200000000000001E-2</v>
      </c>
      <c r="Q27" s="565"/>
      <c r="R27" s="565"/>
      <c r="S27" s="179"/>
      <c r="T27" s="292"/>
      <c r="U27" s="292"/>
      <c r="V27" s="292"/>
      <c r="W27" s="292"/>
      <c r="X27" s="292"/>
      <c r="Y27" s="319"/>
      <c r="Z27" s="319"/>
      <c r="AA27" s="319"/>
      <c r="AB27" s="566">
        <f t="shared" si="1"/>
        <v>1.8200000000000001E-2</v>
      </c>
      <c r="AC27" s="566"/>
      <c r="AD27" s="566"/>
      <c r="AE27" s="179"/>
      <c r="AF27" s="319"/>
      <c r="AG27" s="319"/>
      <c r="AH27" s="319"/>
      <c r="AI27" s="319"/>
      <c r="AJ27" s="319"/>
      <c r="AK27" s="319"/>
      <c r="AL27" s="313" t="s">
        <v>0</v>
      </c>
      <c r="AM27" s="319"/>
      <c r="AN27" s="41"/>
      <c r="AO27" s="19"/>
      <c r="AQ27" s="143"/>
      <c r="AR27" s="143"/>
      <c r="AS27" s="229"/>
      <c r="AT27" s="124"/>
      <c r="AU27" s="143"/>
      <c r="AV27" s="225"/>
      <c r="AW27" s="225"/>
      <c r="AX27" s="225"/>
      <c r="BC27" s="307"/>
      <c r="BD27" s="176"/>
      <c r="BE27" s="176"/>
      <c r="BF27" s="176"/>
      <c r="BG27" s="176"/>
      <c r="BH27" s="176"/>
      <c r="BI27" s="176"/>
      <c r="BJ27" s="176"/>
      <c r="BK27" s="30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</row>
    <row r="28" spans="2:78" ht="14.1" customHeight="1" x14ac:dyDescent="0.2">
      <c r="B28" s="22"/>
      <c r="C28" s="38"/>
      <c r="D28" s="53" t="s">
        <v>61</v>
      </c>
      <c r="E28" s="23"/>
      <c r="F28" s="320" t="s">
        <v>1</v>
      </c>
      <c r="G28" s="53" t="s">
        <v>90</v>
      </c>
      <c r="H28" s="319"/>
      <c r="I28" s="319"/>
      <c r="J28" s="319"/>
      <c r="K28" s="319"/>
      <c r="L28" s="319"/>
      <c r="M28" s="319"/>
      <c r="N28" s="319"/>
      <c r="O28" s="319"/>
      <c r="P28" s="566">
        <f>'Bearing FB_Pu'!NT22</f>
        <v>1.21E-2</v>
      </c>
      <c r="Q28" s="566"/>
      <c r="R28" s="566"/>
      <c r="S28" s="179"/>
      <c r="T28" s="291"/>
      <c r="U28" s="291"/>
      <c r="V28" s="291"/>
      <c r="W28" s="291"/>
      <c r="X28" s="291"/>
      <c r="Y28" s="319"/>
      <c r="Z28" s="319"/>
      <c r="AA28" s="319"/>
      <c r="AB28" s="566">
        <f t="shared" si="1"/>
        <v>1.21E-2</v>
      </c>
      <c r="AC28" s="566"/>
      <c r="AD28" s="566"/>
      <c r="AE28" s="179"/>
      <c r="AF28" s="319"/>
      <c r="AG28" s="319"/>
      <c r="AH28" s="319"/>
      <c r="AI28" s="319"/>
      <c r="AJ28" s="319"/>
      <c r="AK28" s="319"/>
      <c r="AL28" s="313" t="s">
        <v>0</v>
      </c>
      <c r="AM28" s="319"/>
      <c r="AN28" s="41"/>
      <c r="AO28" s="19"/>
      <c r="AQ28" s="143"/>
      <c r="AR28" s="150"/>
      <c r="AS28" s="229"/>
      <c r="AT28" s="124"/>
      <c r="AU28" s="230"/>
      <c r="AV28" s="225"/>
      <c r="AW28" s="225"/>
      <c r="AX28" s="225"/>
      <c r="AY28" s="225"/>
      <c r="AZ28" s="225"/>
      <c r="BA28" s="225"/>
      <c r="BB28" s="225"/>
      <c r="BC28" s="225"/>
      <c r="BD28" s="27"/>
      <c r="BE28" s="27"/>
      <c r="BF28" s="27"/>
      <c r="BG28" s="127"/>
      <c r="BH28" s="127"/>
      <c r="BI28" s="127"/>
      <c r="BJ28" s="127"/>
      <c r="BK28" s="30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</row>
    <row r="29" spans="2:78" ht="14.1" customHeight="1" x14ac:dyDescent="0.2">
      <c r="B29" s="22"/>
      <c r="C29" s="38"/>
      <c r="D29" s="293" t="s">
        <v>111</v>
      </c>
      <c r="E29" s="23"/>
      <c r="F29" s="320" t="s">
        <v>1</v>
      </c>
      <c r="G29" s="53" t="s">
        <v>109</v>
      </c>
      <c r="H29" s="48"/>
      <c r="I29" s="48"/>
      <c r="J29" s="48"/>
      <c r="K29" s="187"/>
      <c r="L29" s="319"/>
      <c r="M29" s="319"/>
      <c r="N29" s="319"/>
      <c r="O29" s="319"/>
      <c r="P29" s="567">
        <f>'Bearing FB_Pu'!NT23</f>
        <v>31.12</v>
      </c>
      <c r="Q29" s="567"/>
      <c r="R29" s="567"/>
      <c r="S29" s="179"/>
      <c r="T29" s="314"/>
      <c r="U29" s="314"/>
      <c r="V29" s="314"/>
      <c r="W29" s="314"/>
      <c r="X29" s="314"/>
      <c r="Y29" s="319"/>
      <c r="Z29" s="319"/>
      <c r="AA29" s="319"/>
      <c r="AB29" s="551">
        <f t="shared" si="1"/>
        <v>31.12</v>
      </c>
      <c r="AC29" s="551"/>
      <c r="AD29" s="551"/>
      <c r="AE29" s="179"/>
      <c r="AF29" s="319"/>
      <c r="AG29" s="319"/>
      <c r="AH29" s="319"/>
      <c r="AI29" s="319"/>
      <c r="AJ29" s="319"/>
      <c r="AK29" s="319"/>
      <c r="AL29" s="313" t="s">
        <v>2</v>
      </c>
      <c r="AM29" s="319"/>
      <c r="AN29" s="41"/>
      <c r="AO29" s="19"/>
      <c r="AQ29" s="189"/>
      <c r="AR29" s="150"/>
      <c r="AS29" s="140"/>
      <c r="AT29" s="124"/>
      <c r="AU29" s="307"/>
      <c r="AV29" s="225"/>
      <c r="BC29" s="225"/>
      <c r="BD29" s="27"/>
      <c r="BE29" s="27"/>
      <c r="BF29" s="27"/>
      <c r="BG29" s="127"/>
      <c r="BH29" s="127"/>
      <c r="BI29" s="127"/>
      <c r="BJ29" s="127"/>
      <c r="BK29" s="30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</row>
    <row r="30" spans="2:78" ht="14.1" customHeight="1" x14ac:dyDescent="0.2">
      <c r="B30" s="22"/>
      <c r="C30" s="38"/>
      <c r="D30" s="70" t="s">
        <v>201</v>
      </c>
      <c r="E30" s="132"/>
      <c r="F30" s="320" t="s">
        <v>1</v>
      </c>
      <c r="G30" s="183" t="s">
        <v>110</v>
      </c>
      <c r="H30" s="319"/>
      <c r="I30" s="319"/>
      <c r="J30" s="319"/>
      <c r="K30" s="319"/>
      <c r="L30" s="319"/>
      <c r="M30" s="319"/>
      <c r="N30" s="319"/>
      <c r="O30" s="319"/>
      <c r="P30" s="567">
        <f>'Bearing FB_Pu'!NT24</f>
        <v>10.349145924325954</v>
      </c>
      <c r="Q30" s="568"/>
      <c r="R30" s="568"/>
      <c r="S30" s="179"/>
      <c r="T30" s="314"/>
      <c r="U30" s="314"/>
      <c r="V30" s="314"/>
      <c r="W30" s="314"/>
      <c r="X30" s="314"/>
      <c r="Y30" s="319"/>
      <c r="Z30" s="319"/>
      <c r="AA30" s="319"/>
      <c r="AB30" s="551">
        <f t="shared" si="1"/>
        <v>10.349145924325954</v>
      </c>
      <c r="AC30" s="551"/>
      <c r="AD30" s="551"/>
      <c r="AE30" s="179"/>
      <c r="AF30" s="319"/>
      <c r="AG30" s="319"/>
      <c r="AH30" s="319"/>
      <c r="AI30" s="319"/>
      <c r="AJ30" s="319"/>
      <c r="AK30" s="319"/>
      <c r="AL30" s="224" t="s">
        <v>20</v>
      </c>
      <c r="AM30" s="319"/>
      <c r="AN30" s="41"/>
      <c r="AO30" s="19"/>
      <c r="AQ30" s="143"/>
      <c r="AR30" s="27"/>
      <c r="AS30" s="128"/>
      <c r="AT30" s="124"/>
      <c r="AU30" s="150"/>
      <c r="BC30" s="225"/>
      <c r="BD30" s="141"/>
      <c r="BE30" s="141"/>
      <c r="BF30" s="141"/>
      <c r="BG30" s="141"/>
      <c r="BH30" s="141"/>
      <c r="BI30" s="141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</row>
    <row r="31" spans="2:78" ht="14.1" customHeight="1" x14ac:dyDescent="0.2">
      <c r="B31" s="22"/>
      <c r="C31" s="38"/>
      <c r="D31" s="244" t="s">
        <v>202</v>
      </c>
      <c r="E31" s="320"/>
      <c r="F31" s="320" t="s">
        <v>1</v>
      </c>
      <c r="G31" s="314" t="s">
        <v>223</v>
      </c>
      <c r="H31" s="242"/>
      <c r="I31" s="242"/>
      <c r="J31" s="242"/>
      <c r="K31" s="242"/>
      <c r="L31" s="242"/>
      <c r="M31" s="242"/>
      <c r="N31" s="242"/>
      <c r="O31" s="287"/>
      <c r="P31" s="551">
        <f>'Bearing FB_Pu'!NT25</f>
        <v>18.649145924325957</v>
      </c>
      <c r="Q31" s="551"/>
      <c r="R31" s="551"/>
      <c r="S31" s="179"/>
      <c r="T31" s="198" t="str">
        <f>IF(P31/100&lt;=S10,"&lt;&lt; [Ok]","&lt;&lt; [Not]")</f>
        <v>&lt;&lt; [Ok]</v>
      </c>
      <c r="U31" s="291"/>
      <c r="V31" s="291"/>
      <c r="W31" s="291"/>
      <c r="X31" s="291"/>
      <c r="Y31" s="287"/>
      <c r="Z31" s="287"/>
      <c r="AA31" s="287"/>
      <c r="AB31" s="551">
        <f t="shared" si="1"/>
        <v>18.649145924325957</v>
      </c>
      <c r="AC31" s="551"/>
      <c r="AD31" s="551"/>
      <c r="AE31" s="179"/>
      <c r="AF31" s="198" t="str">
        <f>IF(AB31/100&lt;=AE10,"&lt;&lt; [Ok]","&lt;&lt; [Not]")</f>
        <v>&lt;&lt; [Ok]</v>
      </c>
      <c r="AG31" s="291"/>
      <c r="AH31" s="313"/>
      <c r="AI31" s="287"/>
      <c r="AJ31" s="287"/>
      <c r="AK31" s="287"/>
      <c r="AL31" s="224" t="s">
        <v>20</v>
      </c>
      <c r="AM31" s="287"/>
      <c r="AN31" s="41"/>
      <c r="AO31" s="19"/>
      <c r="AQ31" s="150"/>
      <c r="AR31" s="124"/>
      <c r="AS31" s="124"/>
      <c r="AT31" s="124"/>
      <c r="AU31" s="225"/>
      <c r="BC31" s="307"/>
      <c r="BD31" s="27"/>
      <c r="BE31" s="27"/>
      <c r="BF31" s="128"/>
      <c r="BG31" s="128"/>
      <c r="BH31" s="141"/>
      <c r="BI31" s="141"/>
      <c r="BJ31" s="27"/>
      <c r="BK31" s="27"/>
      <c r="BL31" s="27"/>
      <c r="BM31" s="27"/>
      <c r="BN31" s="27"/>
      <c r="BO31" s="140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</row>
    <row r="32" spans="2:78" ht="14.1" customHeight="1" x14ac:dyDescent="0.2">
      <c r="B32" s="22"/>
      <c r="C32" s="38"/>
      <c r="D32" s="313" t="s">
        <v>21</v>
      </c>
      <c r="E32" s="134"/>
      <c r="F32" s="320" t="s">
        <v>1</v>
      </c>
      <c r="G32" s="287" t="s">
        <v>103</v>
      </c>
      <c r="H32" s="313"/>
      <c r="I32" s="242"/>
      <c r="J32" s="242"/>
      <c r="K32" s="242"/>
      <c r="L32" s="242"/>
      <c r="M32" s="242"/>
      <c r="N32" s="242"/>
      <c r="O32" s="287"/>
      <c r="P32" s="552">
        <f>'Bearing FB_Pu'!NT27</f>
        <v>21.7</v>
      </c>
      <c r="Q32" s="552"/>
      <c r="R32" s="552"/>
      <c r="S32" s="179"/>
      <c r="T32" s="324"/>
      <c r="U32" s="324"/>
      <c r="V32" s="324"/>
      <c r="W32" s="324"/>
      <c r="X32" s="324"/>
      <c r="Y32" s="288"/>
      <c r="Z32" s="288"/>
      <c r="AA32" s="288"/>
      <c r="AB32" s="551">
        <f>'Bearing FB_Pu'!NT45</f>
        <v>20.9</v>
      </c>
      <c r="AC32" s="551"/>
      <c r="AD32" s="551"/>
      <c r="AE32" s="179"/>
      <c r="AF32" s="242"/>
      <c r="AG32" s="242"/>
      <c r="AH32" s="242"/>
      <c r="AI32" s="287"/>
      <c r="AJ32" s="287"/>
      <c r="AK32" s="287"/>
      <c r="AL32" s="224" t="s">
        <v>20</v>
      </c>
      <c r="AM32" s="287"/>
      <c r="AN32" s="41"/>
      <c r="AO32" s="19"/>
      <c r="AR32" s="307"/>
      <c r="AT32" s="225"/>
      <c r="BC32" s="307"/>
      <c r="BD32" s="27"/>
      <c r="BE32" s="27"/>
      <c r="BF32" s="65"/>
      <c r="BG32" s="65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</row>
    <row r="33" spans="2:78" ht="14.1" customHeight="1" x14ac:dyDescent="0.2">
      <c r="B33" s="22"/>
      <c r="C33" s="38"/>
      <c r="D33" s="293" t="s">
        <v>112</v>
      </c>
      <c r="E33" s="184"/>
      <c r="F33" s="320" t="s">
        <v>1</v>
      </c>
      <c r="G33" s="293" t="s">
        <v>113</v>
      </c>
      <c r="H33" s="319"/>
      <c r="I33" s="319"/>
      <c r="J33" s="242"/>
      <c r="K33" s="242"/>
      <c r="L33" s="242"/>
      <c r="M33" s="242"/>
      <c r="N33" s="242"/>
      <c r="O33" s="287"/>
      <c r="P33" s="553">
        <f>'Bearing FB_Pu'!NT41</f>
        <v>7.0783028750160906</v>
      </c>
      <c r="Q33" s="554"/>
      <c r="R33" s="554"/>
      <c r="S33" s="179"/>
      <c r="T33" s="309"/>
      <c r="U33" s="309"/>
      <c r="V33" s="309"/>
      <c r="W33" s="309"/>
      <c r="X33" s="309"/>
      <c r="Y33" s="291"/>
      <c r="Z33" s="291"/>
      <c r="AA33" s="291"/>
      <c r="AB33" s="549">
        <f>'Bearing FB_Pu'!NT46</f>
        <v>7.6305534232648684</v>
      </c>
      <c r="AC33" s="548"/>
      <c r="AD33" s="548"/>
      <c r="AE33" s="179"/>
      <c r="AF33" s="291"/>
      <c r="AG33" s="291"/>
      <c r="AH33" s="313"/>
      <c r="AI33" s="287"/>
      <c r="AJ33" s="287"/>
      <c r="AK33" s="287"/>
      <c r="AL33" s="320" t="s">
        <v>2</v>
      </c>
      <c r="AM33" s="287"/>
      <c r="AN33" s="41"/>
      <c r="AO33" s="19"/>
      <c r="AQ33" s="27"/>
      <c r="AR33" s="307"/>
      <c r="AT33" s="225"/>
      <c r="BC33" s="307"/>
      <c r="BD33" s="133"/>
      <c r="BE33" s="133"/>
      <c r="BF33" s="133"/>
      <c r="BG33" s="178"/>
      <c r="BH33" s="127"/>
      <c r="BI33" s="128"/>
      <c r="BJ33" s="27"/>
      <c r="BK33" s="27"/>
      <c r="BL33" s="27"/>
      <c r="BM33" s="27"/>
      <c r="BN33" s="27"/>
      <c r="BO33" s="177"/>
      <c r="BP33" s="140"/>
      <c r="BQ33" s="307"/>
      <c r="BR33" s="143"/>
      <c r="BS33" s="27"/>
      <c r="BT33" s="27"/>
      <c r="BU33" s="27"/>
      <c r="BV33" s="307"/>
      <c r="BW33" s="155"/>
      <c r="BX33" s="26"/>
      <c r="BY33" s="26"/>
      <c r="BZ33" s="177"/>
    </row>
    <row r="34" spans="2:78" ht="14.1" customHeight="1" x14ac:dyDescent="0.2">
      <c r="B34" s="22"/>
      <c r="C34" s="38"/>
      <c r="D34" s="53" t="s">
        <v>35</v>
      </c>
      <c r="E34" s="184"/>
      <c r="F34" s="320" t="s">
        <v>1</v>
      </c>
      <c r="G34" s="185" t="s">
        <v>114</v>
      </c>
      <c r="H34" s="319"/>
      <c r="I34" s="319"/>
      <c r="J34" s="319"/>
      <c r="K34" s="319"/>
      <c r="L34" s="319"/>
      <c r="M34" s="319"/>
      <c r="N34" s="319"/>
      <c r="O34" s="242"/>
      <c r="P34" s="563">
        <f>'Bearing FB_Pu'!NT42</f>
        <v>2.428837236637651E-3</v>
      </c>
      <c r="Q34" s="563"/>
      <c r="R34" s="563"/>
      <c r="S34" s="179"/>
      <c r="T34" s="242"/>
      <c r="U34" s="242"/>
      <c r="V34" s="242"/>
      <c r="W34" s="242"/>
      <c r="X34" s="242"/>
      <c r="Y34" s="242"/>
      <c r="Z34" s="242"/>
      <c r="AA34" s="242"/>
      <c r="AB34" s="563">
        <f>'Bearing FB_Pu'!NT47</f>
        <v>2.6245566000724116E-3</v>
      </c>
      <c r="AC34" s="563"/>
      <c r="AD34" s="563"/>
      <c r="AE34" s="179"/>
      <c r="AF34" s="242"/>
      <c r="AG34" s="242"/>
      <c r="AH34" s="242"/>
      <c r="AI34" s="242"/>
      <c r="AJ34" s="242"/>
      <c r="AK34" s="242"/>
      <c r="AL34" s="313" t="s">
        <v>0</v>
      </c>
      <c r="AM34" s="242"/>
      <c r="AN34" s="41"/>
      <c r="AO34" s="19"/>
      <c r="AQ34" s="124"/>
      <c r="AR34" s="124"/>
      <c r="AS34" s="124"/>
      <c r="AT34" s="225"/>
      <c r="AU34" s="124"/>
      <c r="AV34" s="124"/>
      <c r="AW34" s="124"/>
      <c r="AX34" s="124"/>
      <c r="AY34" s="307"/>
      <c r="AZ34" s="307"/>
      <c r="BA34" s="307"/>
    </row>
    <row r="35" spans="2:78" ht="14.1" customHeight="1" x14ac:dyDescent="0.2">
      <c r="B35" s="22"/>
      <c r="C35" s="38"/>
      <c r="D35" s="53" t="s">
        <v>33</v>
      </c>
      <c r="E35" s="23"/>
      <c r="F35" s="320" t="s">
        <v>1</v>
      </c>
      <c r="G35" s="287" t="s">
        <v>18</v>
      </c>
      <c r="H35" s="319"/>
      <c r="I35" s="179"/>
      <c r="J35" s="179"/>
      <c r="K35" s="179"/>
      <c r="L35" s="179"/>
      <c r="M35" s="179"/>
      <c r="N35" s="179"/>
      <c r="O35" s="179"/>
      <c r="P35" s="563">
        <f>'Bearing FB_Pu'!NT21</f>
        <v>4.7000000000000002E-3</v>
      </c>
      <c r="Q35" s="563"/>
      <c r="R35" s="563"/>
      <c r="S35" s="179"/>
      <c r="T35" s="179"/>
      <c r="U35" s="179"/>
      <c r="V35" s="179"/>
      <c r="W35" s="179"/>
      <c r="X35" s="179"/>
      <c r="Y35" s="179"/>
      <c r="Z35" s="179"/>
      <c r="AA35" s="179"/>
      <c r="AB35" s="563">
        <f>P35</f>
        <v>4.7000000000000002E-3</v>
      </c>
      <c r="AC35" s="548"/>
      <c r="AD35" s="548"/>
      <c r="AE35" s="179"/>
      <c r="AF35" s="179"/>
      <c r="AG35" s="179"/>
      <c r="AH35" s="179"/>
      <c r="AI35" s="179"/>
      <c r="AJ35" s="179"/>
      <c r="AK35" s="179"/>
      <c r="AL35" s="313" t="s">
        <v>0</v>
      </c>
      <c r="AM35" s="179"/>
      <c r="AN35" s="41"/>
      <c r="AO35" s="19"/>
      <c r="AQ35" s="307"/>
      <c r="AR35" s="225"/>
      <c r="AS35" s="225"/>
      <c r="AT35" s="225"/>
      <c r="AU35" s="225"/>
      <c r="AV35" s="225"/>
      <c r="AW35" s="225"/>
      <c r="AX35" s="225"/>
      <c r="AY35" s="307"/>
      <c r="AZ35" s="307"/>
      <c r="BA35" s="307"/>
    </row>
    <row r="36" spans="2:78" ht="14.1" customHeight="1" x14ac:dyDescent="0.2">
      <c r="B36" s="22"/>
      <c r="C36" s="38"/>
      <c r="D36" s="45" t="s">
        <v>91</v>
      </c>
      <c r="E36" s="139"/>
      <c r="F36" s="320" t="s">
        <v>1</v>
      </c>
      <c r="G36" s="53" t="s">
        <v>115</v>
      </c>
      <c r="H36" s="179"/>
      <c r="I36" s="179"/>
      <c r="J36" s="179"/>
      <c r="K36" s="179"/>
      <c r="L36" s="179"/>
      <c r="M36" s="179"/>
      <c r="N36" s="179"/>
      <c r="O36" s="179"/>
      <c r="P36" s="549">
        <f>'Bearing FB_Pu'!NT43</f>
        <v>14.278600000000001</v>
      </c>
      <c r="Q36" s="549"/>
      <c r="R36" s="549"/>
      <c r="S36" s="179"/>
      <c r="T36" s="179"/>
      <c r="U36" s="179"/>
      <c r="V36" s="179"/>
      <c r="W36" s="179"/>
      <c r="X36" s="179"/>
      <c r="Y36" s="179"/>
      <c r="Z36" s="179"/>
      <c r="AA36" s="179"/>
      <c r="AB36" s="549">
        <f>'Bearing FB_Pu'!NT48</f>
        <v>13.7522</v>
      </c>
      <c r="AC36" s="549"/>
      <c r="AD36" s="549"/>
      <c r="AE36" s="179"/>
      <c r="AF36" s="179"/>
      <c r="AG36" s="179"/>
      <c r="AH36" s="179"/>
      <c r="AI36" s="179"/>
      <c r="AJ36" s="179"/>
      <c r="AK36" s="179"/>
      <c r="AL36" s="321" t="s">
        <v>19</v>
      </c>
      <c r="AM36" s="179"/>
      <c r="AN36" s="41"/>
      <c r="AO36" s="19"/>
      <c r="AQ36" s="307"/>
      <c r="AR36" s="225"/>
      <c r="AS36" s="225"/>
      <c r="AT36" s="225"/>
      <c r="AU36" s="225"/>
      <c r="AV36" s="225"/>
      <c r="AW36" s="225"/>
      <c r="AX36" s="225"/>
      <c r="AY36" s="307"/>
      <c r="AZ36" s="307"/>
      <c r="BA36" s="307"/>
    </row>
    <row r="37" spans="2:78" ht="14.1" customHeight="1" x14ac:dyDescent="0.2">
      <c r="B37" s="22"/>
      <c r="C37" s="38"/>
      <c r="D37" s="287" t="s">
        <v>204</v>
      </c>
      <c r="E37" s="319"/>
      <c r="F37" s="319"/>
      <c r="G37" s="319"/>
      <c r="H37" s="319"/>
      <c r="I37" s="319"/>
      <c r="J37" s="319"/>
      <c r="K37" s="319"/>
      <c r="L37" s="179"/>
      <c r="M37" s="179"/>
      <c r="N37" s="179"/>
      <c r="O37" s="179"/>
      <c r="P37" s="548" t="str">
        <f>CONCATENATE('Bearing FB_Pu'!W37,'Bearing FB_Pu'!V19,'Bearing FB_Pu'!W19)</f>
        <v>8DB16</v>
      </c>
      <c r="Q37" s="548"/>
      <c r="R37" s="548"/>
      <c r="S37" s="179"/>
      <c r="T37" s="179"/>
      <c r="U37" s="179"/>
      <c r="V37" s="179"/>
      <c r="W37" s="179"/>
      <c r="X37" s="179"/>
      <c r="Y37" s="179"/>
      <c r="Z37" s="179"/>
      <c r="AA37" s="179"/>
      <c r="AB37" s="548" t="str">
        <f>CONCATENATE('Bearing FB_Pu'!Z37,'Bearing FB_Pu'!V19,'Bearing FB_Pu'!W19)</f>
        <v>7DB16</v>
      </c>
      <c r="AC37" s="548"/>
      <c r="AD37" s="548"/>
      <c r="AE37" s="179"/>
      <c r="AF37" s="179"/>
      <c r="AG37" s="179"/>
      <c r="AH37" s="179"/>
      <c r="AI37" s="179"/>
      <c r="AJ37" s="179"/>
      <c r="AK37" s="179"/>
      <c r="AL37" s="321" t="s">
        <v>121</v>
      </c>
      <c r="AM37" s="179"/>
      <c r="AN37" s="66"/>
      <c r="AO37" s="19"/>
    </row>
    <row r="38" spans="2:78" ht="14.1" customHeight="1" x14ac:dyDescent="0.2">
      <c r="B38" s="22"/>
      <c r="C38" s="38"/>
      <c r="D38" s="287" t="s">
        <v>203</v>
      </c>
      <c r="E38" s="319"/>
      <c r="F38" s="319"/>
      <c r="G38" s="319"/>
      <c r="H38" s="319"/>
      <c r="I38" s="319"/>
      <c r="J38" s="319"/>
      <c r="K38" s="319"/>
      <c r="L38" s="179"/>
      <c r="M38" s="179"/>
      <c r="N38" s="179"/>
      <c r="O38" s="179"/>
      <c r="P38" s="548" t="str">
        <f>CONCATENATE('Bearing FB_Pu'!W38,'Bearing FB_Pu'!V19,'Bearing FB_Pu'!W19)</f>
        <v>8DB16</v>
      </c>
      <c r="Q38" s="548"/>
      <c r="R38" s="548"/>
      <c r="S38" s="179"/>
      <c r="T38" s="267" t="str">
        <f>IF('Bearing FB_Pu'!W39="OK","&lt;&lt; [Ok]","&lt;&lt; [Not]")</f>
        <v>&lt;&lt; [Ok]</v>
      </c>
      <c r="U38" s="179"/>
      <c r="V38" s="179"/>
      <c r="W38" s="179"/>
      <c r="X38" s="179"/>
      <c r="Y38" s="179"/>
      <c r="Z38" s="179"/>
      <c r="AA38" s="179"/>
      <c r="AB38" s="548" t="str">
        <f>CONCATENATE('Bearing FB_Pu'!Z38,'Bearing FB_Pu'!V19,'Bearing FB_Pu'!W19)</f>
        <v>8DB16</v>
      </c>
      <c r="AC38" s="548"/>
      <c r="AD38" s="548"/>
      <c r="AE38" s="179"/>
      <c r="AF38" s="162" t="str">
        <f>IF('Bearing FB_Pu'!Z39="OK","&lt;&lt; [Ok]","&lt;&lt; [Not]")</f>
        <v>&lt;&lt; [Ok]</v>
      </c>
      <c r="AG38" s="179"/>
      <c r="AH38" s="179"/>
      <c r="AI38" s="179"/>
      <c r="AJ38" s="179"/>
      <c r="AK38" s="179"/>
      <c r="AL38" s="321" t="s">
        <v>121</v>
      </c>
      <c r="AM38" s="179"/>
      <c r="AN38" s="41"/>
      <c r="AO38" s="19"/>
    </row>
    <row r="39" spans="2:78" ht="14.1" customHeight="1" x14ac:dyDescent="0.2">
      <c r="B39" s="22"/>
      <c r="C39" s="38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79"/>
      <c r="S39" s="162"/>
      <c r="T39" s="179"/>
      <c r="U39" s="179"/>
      <c r="V39" s="179"/>
      <c r="W39" s="179"/>
      <c r="X39" s="179"/>
      <c r="Y39" s="179"/>
      <c r="Z39" s="179"/>
      <c r="AA39" s="179"/>
      <c r="AB39" s="179"/>
      <c r="AC39" s="179"/>
      <c r="AD39" s="179"/>
      <c r="AE39" s="179"/>
      <c r="AF39" s="179"/>
      <c r="AG39" s="179"/>
      <c r="AH39" s="179"/>
      <c r="AI39" s="179"/>
      <c r="AJ39" s="179"/>
      <c r="AK39" s="179"/>
      <c r="AL39" s="179"/>
      <c r="AM39" s="179"/>
      <c r="AN39" s="66"/>
      <c r="AO39" s="19"/>
      <c r="AV39" s="16" t="s">
        <v>127</v>
      </c>
    </row>
    <row r="40" spans="2:78" ht="14.1" customHeight="1" x14ac:dyDescent="0.2">
      <c r="B40" s="22"/>
      <c r="C40" s="38"/>
      <c r="D40" s="49" t="s">
        <v>98</v>
      </c>
      <c r="E40" s="287"/>
      <c r="F40" s="287"/>
      <c r="G40" s="287"/>
      <c r="H40" s="287"/>
      <c r="I40" s="287"/>
      <c r="J40" s="287"/>
      <c r="K40" s="287"/>
      <c r="L40" s="287"/>
      <c r="M40" s="287"/>
      <c r="N40" s="287"/>
      <c r="O40" s="287"/>
      <c r="P40" s="287"/>
      <c r="Q40" s="287"/>
      <c r="R40" s="287"/>
      <c r="S40" s="287"/>
      <c r="T40" s="287"/>
      <c r="U40" s="287"/>
      <c r="V40" s="287"/>
      <c r="W40" s="287"/>
      <c r="X40" s="287"/>
      <c r="Y40" s="287"/>
      <c r="Z40" s="287"/>
      <c r="AA40" s="287"/>
      <c r="AB40" s="287"/>
      <c r="AC40" s="287"/>
      <c r="AD40" s="287"/>
      <c r="AE40" s="287"/>
      <c r="AF40" s="287"/>
      <c r="AG40" s="287"/>
      <c r="AH40" s="287"/>
      <c r="AI40" s="287"/>
      <c r="AJ40" s="287"/>
      <c r="AK40" s="287"/>
      <c r="AL40" s="287"/>
      <c r="AM40" s="287"/>
      <c r="AN40" s="41"/>
      <c r="AO40" s="19"/>
    </row>
    <row r="41" spans="2:78" ht="14.1" customHeight="1" x14ac:dyDescent="0.2">
      <c r="B41" s="22"/>
      <c r="C41" s="38"/>
      <c r="D41" s="289" t="s">
        <v>65</v>
      </c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289" t="s">
        <v>194</v>
      </c>
      <c r="Q41" s="101"/>
      <c r="R41" s="101"/>
      <c r="S41" s="101"/>
      <c r="T41" s="101"/>
      <c r="U41" s="101"/>
      <c r="V41" s="101"/>
      <c r="W41" s="101"/>
      <c r="X41" s="101"/>
      <c r="Y41" s="181"/>
      <c r="Z41" s="181"/>
      <c r="AA41" s="181"/>
      <c r="AB41" s="289" t="s">
        <v>195</v>
      </c>
      <c r="AC41" s="101"/>
      <c r="AD41" s="101"/>
      <c r="AE41" s="181"/>
      <c r="AF41" s="181"/>
      <c r="AG41" s="181"/>
      <c r="AH41" s="169"/>
      <c r="AI41" s="169"/>
      <c r="AJ41" s="169"/>
      <c r="AK41" s="169"/>
      <c r="AL41" s="560" t="s">
        <v>66</v>
      </c>
      <c r="AM41" s="560"/>
      <c r="AN41" s="41"/>
      <c r="AO41" s="19"/>
    </row>
    <row r="42" spans="2:78" ht="14.1" customHeight="1" x14ac:dyDescent="0.2">
      <c r="B42" s="22"/>
      <c r="C42" s="38"/>
      <c r="D42" s="268" t="s">
        <v>166</v>
      </c>
      <c r="E42" s="187"/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547"/>
      <c r="Q42" s="547"/>
      <c r="R42" s="547"/>
      <c r="S42" s="187"/>
      <c r="T42" s="187"/>
      <c r="U42" s="187"/>
      <c r="V42" s="187"/>
      <c r="W42" s="187"/>
      <c r="X42" s="187"/>
      <c r="Y42" s="187"/>
      <c r="Z42" s="187"/>
      <c r="AA42" s="187"/>
      <c r="AB42" s="377" t="s">
        <v>0</v>
      </c>
      <c r="AC42" s="377"/>
      <c r="AD42" s="377"/>
      <c r="AE42" s="187"/>
      <c r="AF42" s="187"/>
      <c r="AG42" s="187"/>
      <c r="AH42" s="187"/>
      <c r="AI42" s="187"/>
      <c r="AJ42" s="187"/>
      <c r="AK42" s="187"/>
      <c r="AL42" s="314"/>
      <c r="AM42" s="269"/>
      <c r="AN42" s="41"/>
      <c r="AO42" s="19"/>
    </row>
    <row r="43" spans="2:78" ht="14.1" customHeight="1" x14ac:dyDescent="0.2">
      <c r="B43" s="22"/>
      <c r="C43" s="38"/>
      <c r="D43" s="321" t="s">
        <v>53</v>
      </c>
      <c r="E43" s="187"/>
      <c r="F43" s="187" t="s">
        <v>1</v>
      </c>
      <c r="G43" s="314" t="s">
        <v>215</v>
      </c>
      <c r="H43" s="187"/>
      <c r="I43" s="187"/>
      <c r="J43" s="187"/>
      <c r="K43" s="187"/>
      <c r="L43" s="187"/>
      <c r="M43" s="187"/>
      <c r="N43" s="187"/>
      <c r="O43" s="187"/>
      <c r="P43" s="550">
        <f>'Bearing FB_Pu'!NT30</f>
        <v>8936.046571428571</v>
      </c>
      <c r="Q43" s="550"/>
      <c r="R43" s="550"/>
      <c r="S43" s="187"/>
      <c r="T43" s="187"/>
      <c r="U43" s="187"/>
      <c r="V43" s="187"/>
      <c r="W43" s="187"/>
      <c r="X43" s="187"/>
      <c r="Y43" s="187"/>
      <c r="Z43" s="187"/>
      <c r="AA43" s="187"/>
      <c r="AB43" s="548" t="s">
        <v>0</v>
      </c>
      <c r="AC43" s="548"/>
      <c r="AD43" s="548"/>
      <c r="AE43" s="187"/>
      <c r="AF43" s="187"/>
      <c r="AG43" s="187"/>
      <c r="AH43" s="187"/>
      <c r="AI43" s="187"/>
      <c r="AJ43" s="187"/>
      <c r="AK43" s="187"/>
      <c r="AL43" s="314" t="s">
        <v>17</v>
      </c>
      <c r="AM43" s="269"/>
      <c r="AN43" s="41"/>
      <c r="AO43" s="19"/>
    </row>
    <row r="44" spans="2:78" ht="14.1" customHeight="1" x14ac:dyDescent="0.2">
      <c r="B44" s="22"/>
      <c r="C44" s="38"/>
      <c r="D44" s="53" t="s">
        <v>55</v>
      </c>
      <c r="E44" s="187"/>
      <c r="F44" s="187" t="s">
        <v>1</v>
      </c>
      <c r="G44" s="53" t="s">
        <v>211</v>
      </c>
      <c r="H44" s="45"/>
      <c r="I44" s="45"/>
      <c r="J44" s="45"/>
      <c r="K44" s="187"/>
      <c r="L44" s="187"/>
      <c r="M44" s="187"/>
      <c r="N44" s="187"/>
      <c r="O44" s="187"/>
      <c r="P44" s="550">
        <f>'Bearing FB_Pu'!NT31</f>
        <v>16762.09101139085</v>
      </c>
      <c r="Q44" s="550"/>
      <c r="R44" s="550"/>
      <c r="S44" s="179"/>
      <c r="T44" s="198" t="str">
        <f>IF(P44&gt;=P43,"&lt;&lt; [Ok]","&lt;&lt; [Not]")</f>
        <v>&lt;&lt; [Ok]</v>
      </c>
      <c r="U44" s="187"/>
      <c r="V44" s="187"/>
      <c r="W44" s="187"/>
      <c r="X44" s="187"/>
      <c r="Y44" s="187"/>
      <c r="Z44" s="187"/>
      <c r="AA44" s="187"/>
      <c r="AB44" s="548" t="s">
        <v>0</v>
      </c>
      <c r="AC44" s="548"/>
      <c r="AD44" s="548"/>
      <c r="AE44" s="187"/>
      <c r="AF44" s="187"/>
      <c r="AG44" s="187"/>
      <c r="AH44" s="187"/>
      <c r="AI44" s="187"/>
      <c r="AJ44" s="187"/>
      <c r="AK44" s="187"/>
      <c r="AL44" s="245" t="s">
        <v>17</v>
      </c>
      <c r="AM44" s="269"/>
      <c r="AN44" s="41"/>
      <c r="AO44" s="19"/>
    </row>
    <row r="45" spans="2:78" ht="14.1" customHeight="1" x14ac:dyDescent="0.2">
      <c r="B45" s="22"/>
      <c r="C45" s="38"/>
      <c r="D45" s="246" t="s">
        <v>164</v>
      </c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547"/>
      <c r="Q45" s="547"/>
      <c r="R45" s="547"/>
      <c r="S45" s="179"/>
      <c r="T45" s="187"/>
      <c r="U45" s="187"/>
      <c r="V45" s="187"/>
      <c r="W45" s="187"/>
      <c r="X45" s="187"/>
      <c r="Y45" s="187"/>
      <c r="Z45" s="187"/>
      <c r="AA45" s="187"/>
      <c r="AB45" s="377" t="s">
        <v>0</v>
      </c>
      <c r="AC45" s="377"/>
      <c r="AD45" s="377"/>
      <c r="AE45" s="187"/>
      <c r="AF45" s="187"/>
      <c r="AG45" s="187"/>
      <c r="AH45" s="187"/>
      <c r="AI45" s="187"/>
      <c r="AJ45" s="187"/>
      <c r="AK45" s="187"/>
      <c r="AL45" s="187"/>
      <c r="AM45" s="179"/>
      <c r="AN45" s="41"/>
      <c r="AO45" s="19"/>
    </row>
    <row r="46" spans="2:78" ht="14.1" customHeight="1" x14ac:dyDescent="0.2">
      <c r="B46" s="22"/>
      <c r="C46" s="38"/>
      <c r="D46" s="313" t="s">
        <v>217</v>
      </c>
      <c r="E46" s="179"/>
      <c r="F46" s="320" t="s">
        <v>1</v>
      </c>
      <c r="G46" s="187" t="s">
        <v>228</v>
      </c>
      <c r="H46" s="179"/>
      <c r="I46" s="179"/>
      <c r="J46" s="179"/>
      <c r="K46" s="179"/>
      <c r="L46" s="179"/>
      <c r="M46" s="179"/>
      <c r="N46" s="179"/>
      <c r="O46" s="179"/>
      <c r="P46" s="570">
        <f>'Bearing FB_Pu'!NT35</f>
        <v>0.17388900000000004</v>
      </c>
      <c r="Q46" s="570"/>
      <c r="R46" s="570"/>
      <c r="S46" s="179"/>
      <c r="T46" s="179"/>
      <c r="U46" s="179"/>
      <c r="V46" s="179"/>
      <c r="W46" s="179"/>
      <c r="X46" s="179"/>
      <c r="Y46" s="179"/>
      <c r="Z46" s="179"/>
      <c r="AA46" s="179"/>
      <c r="AB46" s="569" t="s">
        <v>0</v>
      </c>
      <c r="AC46" s="569"/>
      <c r="AD46" s="569"/>
      <c r="AE46" s="179"/>
      <c r="AF46" s="179"/>
      <c r="AG46" s="179"/>
      <c r="AH46" s="179"/>
      <c r="AI46" s="179"/>
      <c r="AJ46" s="179"/>
      <c r="AK46" s="179"/>
      <c r="AL46" s="321" t="s">
        <v>19</v>
      </c>
      <c r="AM46" s="23"/>
      <c r="AN46" s="41"/>
      <c r="AO46" s="19"/>
    </row>
    <row r="47" spans="2:78" ht="14.1" customHeight="1" x14ac:dyDescent="0.2">
      <c r="B47" s="22"/>
      <c r="C47" s="38"/>
      <c r="D47" s="313" t="s">
        <v>218</v>
      </c>
      <c r="E47" s="187"/>
      <c r="F47" s="320" t="s">
        <v>1</v>
      </c>
      <c r="G47" s="187" t="s">
        <v>216</v>
      </c>
      <c r="H47" s="187"/>
      <c r="I47" s="48"/>
      <c r="J47" s="48"/>
      <c r="K47" s="48"/>
      <c r="L47" s="48"/>
      <c r="M47" s="48"/>
      <c r="N47" s="48"/>
      <c r="O47" s="45"/>
      <c r="P47" s="555">
        <f>'Bearing FB_Pu'!NT34/100</f>
        <v>1.6680000000000001</v>
      </c>
      <c r="Q47" s="555"/>
      <c r="R47" s="555"/>
      <c r="S47" s="179"/>
      <c r="T47" s="45"/>
      <c r="U47" s="45"/>
      <c r="V47" s="45"/>
      <c r="W47" s="45"/>
      <c r="X47" s="45"/>
      <c r="Y47" s="45"/>
      <c r="Z47" s="45"/>
      <c r="AA47" s="45"/>
      <c r="AB47" s="569" t="s">
        <v>0</v>
      </c>
      <c r="AC47" s="569"/>
      <c r="AD47" s="569"/>
      <c r="AE47" s="45"/>
      <c r="AF47" s="45"/>
      <c r="AG47" s="45"/>
      <c r="AH47" s="45"/>
      <c r="AI47" s="45"/>
      <c r="AJ47" s="48"/>
      <c r="AK47" s="48"/>
      <c r="AL47" s="187" t="s">
        <v>16</v>
      </c>
      <c r="AM47" s="179"/>
      <c r="AN47" s="41"/>
      <c r="AO47" s="19"/>
    </row>
    <row r="48" spans="2:78" ht="14.1" customHeight="1" x14ac:dyDescent="0.2">
      <c r="B48" s="22"/>
      <c r="C48" s="38"/>
      <c r="D48" s="321" t="s">
        <v>53</v>
      </c>
      <c r="E48" s="48"/>
      <c r="F48" s="320" t="s">
        <v>1</v>
      </c>
      <c r="G48" s="314" t="s">
        <v>219</v>
      </c>
      <c r="H48" s="48"/>
      <c r="I48" s="48"/>
      <c r="J48" s="48"/>
      <c r="K48" s="48"/>
      <c r="L48" s="48"/>
      <c r="M48" s="48"/>
      <c r="N48" s="48"/>
      <c r="O48" s="48"/>
      <c r="P48" s="571">
        <f>'Bearing FB_Pu'!NT36</f>
        <v>29766.451096122448</v>
      </c>
      <c r="Q48" s="571"/>
      <c r="R48" s="571"/>
      <c r="S48" s="179"/>
      <c r="T48" s="179"/>
      <c r="U48" s="179"/>
      <c r="V48" s="48"/>
      <c r="W48" s="48"/>
      <c r="X48" s="48"/>
      <c r="Y48" s="48"/>
      <c r="Z48" s="48"/>
      <c r="AA48" s="48"/>
      <c r="AB48" s="569" t="s">
        <v>0</v>
      </c>
      <c r="AC48" s="569"/>
      <c r="AD48" s="569"/>
      <c r="AE48" s="48"/>
      <c r="AF48" s="48"/>
      <c r="AG48" s="48"/>
      <c r="AH48" s="48"/>
      <c r="AI48" s="48"/>
      <c r="AJ48" s="48"/>
      <c r="AK48" s="48"/>
      <c r="AL48" s="245" t="s">
        <v>17</v>
      </c>
      <c r="AM48" s="23"/>
      <c r="AN48" s="41"/>
      <c r="AO48" s="19"/>
    </row>
    <row r="49" spans="2:41" ht="14.1" customHeight="1" x14ac:dyDescent="0.2">
      <c r="B49" s="22"/>
      <c r="C49" s="38"/>
      <c r="D49" s="53" t="s">
        <v>169</v>
      </c>
      <c r="E49" s="45"/>
      <c r="F49" s="320" t="s">
        <v>1</v>
      </c>
      <c r="G49" s="270" t="s">
        <v>220</v>
      </c>
      <c r="H49" s="45"/>
      <c r="I49" s="45"/>
      <c r="J49" s="45"/>
      <c r="K49" s="45"/>
      <c r="L49" s="45"/>
      <c r="M49" s="45"/>
      <c r="N49" s="45"/>
      <c r="O49" s="72"/>
      <c r="P49" s="572">
        <f>'Bearing FB_Pu'!NT38</f>
        <v>61042.927017978313</v>
      </c>
      <c r="Q49" s="572"/>
      <c r="R49" s="572"/>
      <c r="S49" s="179"/>
      <c r="T49" s="266" t="str">
        <f>T50</f>
        <v>&lt;&lt; [Ok]</v>
      </c>
      <c r="U49" s="48"/>
      <c r="V49" s="45"/>
      <c r="W49" s="173"/>
      <c r="X49" s="173"/>
      <c r="Y49" s="45"/>
      <c r="Z49" s="45"/>
      <c r="AA49" s="45"/>
      <c r="AB49" s="569" t="s">
        <v>0</v>
      </c>
      <c r="AC49" s="569"/>
      <c r="AD49" s="569"/>
      <c r="AE49" s="45"/>
      <c r="AF49" s="45"/>
      <c r="AG49" s="45"/>
      <c r="AH49" s="45"/>
      <c r="AI49" s="45"/>
      <c r="AJ49" s="48"/>
      <c r="AK49" s="48"/>
      <c r="AL49" s="245" t="s">
        <v>17</v>
      </c>
      <c r="AM49" s="23"/>
      <c r="AN49" s="41"/>
      <c r="AO49" s="19"/>
    </row>
    <row r="50" spans="2:41" ht="14.1" customHeight="1" x14ac:dyDescent="0.2">
      <c r="B50" s="22"/>
      <c r="C50" s="38"/>
      <c r="D50" s="53" t="s">
        <v>170</v>
      </c>
      <c r="E50" s="45"/>
      <c r="F50" s="320" t="s">
        <v>1</v>
      </c>
      <c r="G50" s="270" t="s">
        <v>221</v>
      </c>
      <c r="H50" s="45"/>
      <c r="I50" s="45"/>
      <c r="J50" s="45"/>
      <c r="K50" s="45"/>
      <c r="L50" s="45"/>
      <c r="M50" s="45"/>
      <c r="N50" s="45"/>
      <c r="O50" s="45"/>
      <c r="P50" s="572">
        <f>'Bearing FB_Pu'!NT39</f>
        <v>39941.668295714204</v>
      </c>
      <c r="Q50" s="572"/>
      <c r="R50" s="572"/>
      <c r="S50" s="179"/>
      <c r="T50" s="263" t="str">
        <f>IF(MIN(P49:R50)&gt;=P48,"&lt;&lt; [Ok]","&lt;&lt; [Not]")</f>
        <v>&lt;&lt; [Ok]</v>
      </c>
      <c r="U50" s="45"/>
      <c r="V50" s="45"/>
      <c r="W50" s="45"/>
      <c r="X50" s="45"/>
      <c r="Y50" s="45"/>
      <c r="Z50" s="45"/>
      <c r="AA50" s="45"/>
      <c r="AB50" s="569" t="s">
        <v>0</v>
      </c>
      <c r="AC50" s="569"/>
      <c r="AD50" s="569"/>
      <c r="AE50" s="45"/>
      <c r="AF50" s="45"/>
      <c r="AG50" s="45"/>
      <c r="AH50" s="45"/>
      <c r="AI50" s="45"/>
      <c r="AJ50" s="48"/>
      <c r="AK50" s="48"/>
      <c r="AL50" s="245" t="s">
        <v>17</v>
      </c>
      <c r="AM50" s="23"/>
      <c r="AN50" s="41"/>
      <c r="AO50" s="19"/>
    </row>
    <row r="51" spans="2:41" ht="14.1" customHeight="1" x14ac:dyDescent="0.2">
      <c r="B51" s="22"/>
      <c r="C51" s="38"/>
      <c r="D51" s="314" t="s">
        <v>181</v>
      </c>
      <c r="E51" s="45"/>
      <c r="F51" s="320" t="s">
        <v>1</v>
      </c>
      <c r="G51" s="314" t="s">
        <v>222</v>
      </c>
      <c r="H51" s="45"/>
      <c r="I51" s="45"/>
      <c r="J51" s="45"/>
      <c r="K51" s="45"/>
      <c r="L51" s="45"/>
      <c r="M51" s="45"/>
      <c r="N51" s="45"/>
      <c r="O51" s="247"/>
      <c r="P51" s="562">
        <f>IF('Bearing FB_Pu'!NT49&gt;30,'Bearing FB_Pu'!NT49,30)</f>
        <v>30</v>
      </c>
      <c r="Q51" s="562"/>
      <c r="R51" s="562"/>
      <c r="S51" s="179"/>
      <c r="T51" s="265" t="str">
        <f>IF('Bearing FB_Pu'!NT49&lt;30,"&lt;&lt; [Use 30]","")</f>
        <v>&lt;&lt; [Use 30]</v>
      </c>
      <c r="U51" s="247"/>
      <c r="V51" s="247"/>
      <c r="W51" s="247"/>
      <c r="X51" s="247"/>
      <c r="Y51" s="45"/>
      <c r="Z51" s="45"/>
      <c r="AA51" s="45"/>
      <c r="AB51" s="569" t="s">
        <v>0</v>
      </c>
      <c r="AC51" s="569"/>
      <c r="AD51" s="569"/>
      <c r="AE51" s="45"/>
      <c r="AF51" s="45"/>
      <c r="AG51" s="45"/>
      <c r="AH51" s="45"/>
      <c r="AI51" s="45"/>
      <c r="AJ51" s="48"/>
      <c r="AK51" s="48"/>
      <c r="AL51" s="48" t="s">
        <v>20</v>
      </c>
      <c r="AM51" s="23"/>
      <c r="AN51" s="41"/>
      <c r="AO51" s="19"/>
    </row>
    <row r="52" spans="2:41" ht="14.1" customHeight="1" x14ac:dyDescent="0.2">
      <c r="B52" s="22"/>
      <c r="C52" s="38"/>
      <c r="D52" s="314" t="s">
        <v>180</v>
      </c>
      <c r="E52" s="45"/>
      <c r="F52" s="320" t="s">
        <v>1</v>
      </c>
      <c r="G52" s="287" t="s">
        <v>226</v>
      </c>
      <c r="H52" s="45"/>
      <c r="I52" s="45"/>
      <c r="J52" s="45"/>
      <c r="K52" s="45"/>
      <c r="L52" s="45"/>
      <c r="M52" s="45"/>
      <c r="N52" s="45"/>
      <c r="O52" s="45"/>
      <c r="P52" s="562">
        <f>'Bearing FB_Pu'!NT50</f>
        <v>122.5</v>
      </c>
      <c r="Q52" s="562"/>
      <c r="R52" s="562"/>
      <c r="S52" s="179"/>
      <c r="T52" s="263" t="str">
        <f>IF(P52&gt;=P51,"&lt;&lt; [Ok]","&lt;&lt; [Not]")</f>
        <v>&lt;&lt; [Ok]</v>
      </c>
      <c r="U52" s="45"/>
      <c r="V52" s="45"/>
      <c r="W52" s="45"/>
      <c r="X52" s="45"/>
      <c r="Y52" s="45"/>
      <c r="Z52" s="45"/>
      <c r="AA52" s="45"/>
      <c r="AB52" s="569" t="s">
        <v>0</v>
      </c>
      <c r="AC52" s="569"/>
      <c r="AD52" s="569"/>
      <c r="AE52" s="45"/>
      <c r="AF52" s="45"/>
      <c r="AG52" s="45"/>
      <c r="AH52" s="45"/>
      <c r="AI52" s="45"/>
      <c r="AJ52" s="48"/>
      <c r="AK52" s="48"/>
      <c r="AL52" s="48" t="s">
        <v>20</v>
      </c>
      <c r="AM52" s="23"/>
      <c r="AN52" s="41"/>
      <c r="AO52" s="19"/>
    </row>
    <row r="53" spans="2:41" ht="14.1" customHeight="1" x14ac:dyDescent="0.2">
      <c r="B53" s="22"/>
      <c r="C53" s="38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  <c r="O53" s="179"/>
      <c r="P53" s="179"/>
      <c r="Q53" s="179"/>
      <c r="R53" s="179"/>
      <c r="S53" s="179"/>
      <c r="T53" s="179"/>
      <c r="U53" s="179"/>
      <c r="V53" s="179"/>
      <c r="W53" s="179"/>
      <c r="X53" s="179"/>
      <c r="Y53" s="179"/>
      <c r="Z53" s="179"/>
      <c r="AA53" s="179"/>
      <c r="AB53" s="179"/>
      <c r="AC53" s="179"/>
      <c r="AD53" s="179"/>
      <c r="AE53" s="179"/>
      <c r="AF53" s="179"/>
      <c r="AG53" s="179"/>
      <c r="AH53" s="179"/>
      <c r="AI53" s="179"/>
      <c r="AJ53" s="179"/>
      <c r="AK53" s="179"/>
      <c r="AL53" s="179"/>
      <c r="AM53" s="179"/>
      <c r="AN53" s="41"/>
      <c r="AO53" s="19"/>
    </row>
    <row r="54" spans="2:41" ht="14.1" customHeight="1" x14ac:dyDescent="0.2">
      <c r="B54" s="22"/>
      <c r="C54" s="38"/>
      <c r="D54" s="73" t="s">
        <v>44</v>
      </c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  <c r="Q54" s="179"/>
      <c r="R54" s="179"/>
      <c r="S54" s="179"/>
      <c r="T54" s="179"/>
      <c r="U54" s="179"/>
      <c r="V54" s="179"/>
      <c r="W54" s="179"/>
      <c r="X54" s="179"/>
      <c r="Y54" s="179"/>
      <c r="Z54" s="179"/>
      <c r="AA54" s="179"/>
      <c r="AB54" s="179"/>
      <c r="AC54" s="179"/>
      <c r="AD54" s="179"/>
      <c r="AE54" s="179"/>
      <c r="AF54" s="179"/>
      <c r="AG54" s="179"/>
      <c r="AH54" s="179"/>
      <c r="AI54" s="179"/>
      <c r="AJ54" s="179"/>
      <c r="AK54" s="179"/>
      <c r="AL54" s="179"/>
      <c r="AM54" s="179"/>
      <c r="AN54" s="41"/>
      <c r="AO54" s="19"/>
    </row>
    <row r="55" spans="2:41" ht="14.1" customHeight="1" x14ac:dyDescent="0.2">
      <c r="B55" s="22"/>
      <c r="C55" s="38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  <c r="AC55" s="187"/>
      <c r="AD55" s="187"/>
      <c r="AE55" s="187"/>
      <c r="AF55" s="187"/>
      <c r="AG55" s="187"/>
      <c r="AH55" s="187"/>
      <c r="AI55" s="187"/>
      <c r="AJ55" s="187"/>
      <c r="AK55" s="187"/>
      <c r="AL55" s="187"/>
      <c r="AM55" s="179"/>
      <c r="AN55" s="41"/>
      <c r="AO55" s="19"/>
    </row>
    <row r="56" spans="2:41" ht="14.1" customHeight="1" x14ac:dyDescent="0.2">
      <c r="B56" s="22"/>
      <c r="C56" s="38"/>
      <c r="D56" s="179"/>
      <c r="E56" s="187"/>
      <c r="F56" s="187"/>
      <c r="G56" s="187"/>
      <c r="H56" s="187"/>
      <c r="I56" s="187"/>
      <c r="J56" s="187"/>
      <c r="K56" s="187"/>
      <c r="L56" s="187"/>
      <c r="M56" s="187"/>
      <c r="N56" s="187"/>
      <c r="O56" s="187"/>
      <c r="P56" s="187"/>
      <c r="Q56" s="187"/>
      <c r="R56" s="187"/>
      <c r="S56" s="187"/>
      <c r="T56" s="187"/>
      <c r="U56" s="187"/>
      <c r="V56" s="187"/>
      <c r="W56" s="187"/>
      <c r="X56" s="187"/>
      <c r="Y56" s="187"/>
      <c r="Z56" s="187"/>
      <c r="AA56" s="187"/>
      <c r="AB56" s="187"/>
      <c r="AC56" s="187"/>
      <c r="AD56" s="187"/>
      <c r="AE56" s="187"/>
      <c r="AF56" s="187"/>
      <c r="AG56" s="187"/>
      <c r="AH56" s="187"/>
      <c r="AI56" s="187"/>
      <c r="AJ56" s="187"/>
      <c r="AK56" s="187"/>
      <c r="AL56" s="187"/>
      <c r="AM56" s="179"/>
      <c r="AN56" s="41"/>
      <c r="AO56" s="19"/>
    </row>
    <row r="57" spans="2:41" ht="14.1" customHeight="1" x14ac:dyDescent="0.2">
      <c r="B57" s="22"/>
      <c r="C57" s="38"/>
      <c r="D57" s="71"/>
      <c r="E57" s="48"/>
      <c r="F57" s="287"/>
      <c r="G57" s="293"/>
      <c r="H57" s="45"/>
      <c r="I57" s="45"/>
      <c r="J57" s="45"/>
      <c r="K57" s="187"/>
      <c r="L57" s="45"/>
      <c r="M57" s="48"/>
      <c r="N57" s="48"/>
      <c r="O57" s="106"/>
      <c r="P57" s="107"/>
      <c r="Q57" s="47"/>
      <c r="R57" s="47"/>
      <c r="S57" s="106"/>
      <c r="T57" s="48"/>
      <c r="U57" s="48"/>
      <c r="V57" s="106"/>
      <c r="W57" s="106"/>
      <c r="X57" s="106"/>
      <c r="Y57" s="106"/>
      <c r="Z57" s="106"/>
      <c r="AA57" s="48"/>
      <c r="AB57" s="320"/>
      <c r="AC57" s="106"/>
      <c r="AD57" s="106"/>
      <c r="AE57" s="106"/>
      <c r="AF57" s="106"/>
      <c r="AG57" s="106"/>
      <c r="AH57" s="48"/>
      <c r="AI57" s="48"/>
      <c r="AJ57" s="48"/>
      <c r="AK57" s="48"/>
      <c r="AL57" s="71"/>
      <c r="AM57" s="23"/>
      <c r="AN57" s="41"/>
      <c r="AO57" s="19"/>
    </row>
    <row r="58" spans="2:41" ht="14.1" customHeight="1" x14ac:dyDescent="0.2">
      <c r="B58" s="22"/>
      <c r="C58" s="38"/>
      <c r="D58" s="53"/>
      <c r="E58" s="48"/>
      <c r="F58" s="287"/>
      <c r="G58" s="53"/>
      <c r="H58" s="45"/>
      <c r="I58" s="45"/>
      <c r="J58" s="45"/>
      <c r="K58" s="187"/>
      <c r="L58" s="45"/>
      <c r="M58" s="48"/>
      <c r="N58" s="48"/>
      <c r="O58" s="106"/>
      <c r="P58" s="107"/>
      <c r="Q58" s="47"/>
      <c r="R58" s="47"/>
      <c r="S58" s="106"/>
      <c r="T58" s="48"/>
      <c r="U58" s="48"/>
      <c r="V58" s="107"/>
      <c r="W58" s="107"/>
      <c r="X58" s="107"/>
      <c r="Y58" s="107"/>
      <c r="Z58" s="107"/>
      <c r="AA58" s="48"/>
      <c r="AB58" s="320"/>
      <c r="AC58" s="106"/>
      <c r="AD58" s="106"/>
      <c r="AE58" s="106"/>
      <c r="AF58" s="106"/>
      <c r="AG58" s="106"/>
      <c r="AH58" s="48"/>
      <c r="AI58" s="48"/>
      <c r="AJ58" s="48"/>
      <c r="AK58" s="48"/>
      <c r="AL58" s="71"/>
      <c r="AM58" s="23"/>
      <c r="AN58" s="41"/>
      <c r="AO58" s="19"/>
    </row>
    <row r="59" spans="2:41" ht="14.1" customHeight="1" x14ac:dyDescent="0.2">
      <c r="B59" s="22"/>
      <c r="C59" s="38"/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N59" s="187"/>
      <c r="O59" s="187"/>
      <c r="P59" s="187"/>
      <c r="Q59" s="187"/>
      <c r="R59" s="187"/>
      <c r="S59" s="187"/>
      <c r="T59" s="187"/>
      <c r="U59" s="187"/>
      <c r="V59" s="187"/>
      <c r="W59" s="187"/>
      <c r="X59" s="187"/>
      <c r="Y59" s="187"/>
      <c r="Z59" s="187"/>
      <c r="AA59" s="187"/>
      <c r="AB59" s="187"/>
      <c r="AC59" s="187"/>
      <c r="AD59" s="187"/>
      <c r="AE59" s="187"/>
      <c r="AF59" s="187"/>
      <c r="AG59" s="187"/>
      <c r="AH59" s="187"/>
      <c r="AI59" s="187"/>
      <c r="AJ59" s="187"/>
      <c r="AK59" s="187"/>
      <c r="AL59" s="187"/>
      <c r="AM59" s="179"/>
      <c r="AN59" s="41"/>
      <c r="AO59" s="19"/>
    </row>
    <row r="60" spans="2:41" ht="14.1" customHeight="1" x14ac:dyDescent="0.2">
      <c r="B60" s="22"/>
      <c r="C60" s="38"/>
      <c r="D60" s="220"/>
      <c r="E60" s="187"/>
      <c r="F60" s="287"/>
      <c r="G60" s="53"/>
      <c r="H60" s="187"/>
      <c r="I60" s="187"/>
      <c r="J60" s="187"/>
      <c r="K60" s="187"/>
      <c r="L60" s="45"/>
      <c r="M60" s="45"/>
      <c r="N60" s="45"/>
      <c r="O60" s="105"/>
      <c r="P60" s="45"/>
      <c r="Q60" s="105"/>
      <c r="R60" s="105"/>
      <c r="S60" s="106"/>
      <c r="T60" s="48"/>
      <c r="U60" s="48"/>
      <c r="V60" s="106"/>
      <c r="W60" s="106"/>
      <c r="X60" s="106"/>
      <c r="Y60" s="106"/>
      <c r="Z60" s="106"/>
      <c r="AA60" s="48"/>
      <c r="AB60" s="48"/>
      <c r="AC60" s="106"/>
      <c r="AD60" s="106"/>
      <c r="AE60" s="106"/>
      <c r="AF60" s="106"/>
      <c r="AG60" s="106"/>
      <c r="AH60" s="48"/>
      <c r="AI60" s="48"/>
      <c r="AJ60" s="48"/>
      <c r="AK60" s="48"/>
      <c r="AL60" s="287"/>
      <c r="AM60" s="23"/>
      <c r="AN60" s="41"/>
      <c r="AO60" s="19"/>
    </row>
    <row r="61" spans="2:41" ht="14.1" customHeight="1" x14ac:dyDescent="0.2">
      <c r="B61" s="22"/>
      <c r="C61" s="38"/>
      <c r="D61" s="308"/>
      <c r="E61" s="319"/>
      <c r="F61" s="319"/>
      <c r="G61" s="319"/>
      <c r="H61" s="319"/>
      <c r="I61" s="319"/>
      <c r="J61" s="319"/>
      <c r="K61" s="319"/>
      <c r="L61" s="319"/>
      <c r="M61" s="319"/>
      <c r="N61" s="319"/>
      <c r="O61" s="319"/>
      <c r="P61" s="308"/>
      <c r="Q61" s="23"/>
      <c r="R61" s="23"/>
      <c r="S61" s="23"/>
      <c r="T61" s="23"/>
      <c r="U61" s="23"/>
      <c r="V61" s="23"/>
      <c r="W61" s="23"/>
      <c r="X61" s="23"/>
      <c r="Y61" s="179"/>
      <c r="Z61" s="179"/>
      <c r="AA61" s="179"/>
      <c r="AB61" s="308"/>
      <c r="AC61" s="23"/>
      <c r="AD61" s="23"/>
      <c r="AE61" s="179"/>
      <c r="AF61" s="179"/>
      <c r="AG61" s="179"/>
      <c r="AH61" s="287"/>
      <c r="AI61" s="287"/>
      <c r="AJ61" s="287"/>
      <c r="AK61" s="287"/>
      <c r="AL61" s="154"/>
      <c r="AM61" s="154"/>
      <c r="AN61" s="56"/>
      <c r="AO61" s="19"/>
    </row>
    <row r="62" spans="2:41" ht="14.1" customHeight="1" x14ac:dyDescent="0.2">
      <c r="B62" s="22"/>
      <c r="C62" s="38"/>
      <c r="D62" s="290"/>
      <c r="E62" s="45"/>
      <c r="F62" s="45"/>
      <c r="G62" s="45"/>
      <c r="H62" s="45"/>
      <c r="I62" s="45"/>
      <c r="J62" s="45"/>
      <c r="K62" s="45"/>
      <c r="L62" s="72"/>
      <c r="M62" s="23"/>
      <c r="N62" s="23"/>
      <c r="O62" s="23"/>
      <c r="P62" s="106"/>
      <c r="Q62" s="106"/>
      <c r="R62" s="106"/>
      <c r="S62" s="108"/>
      <c r="T62" s="23"/>
      <c r="U62" s="23"/>
      <c r="V62" s="108"/>
      <c r="W62" s="108"/>
      <c r="X62" s="108"/>
      <c r="Y62" s="108"/>
      <c r="Z62" s="108"/>
      <c r="AA62" s="23"/>
      <c r="AB62" s="320"/>
      <c r="AC62" s="108"/>
      <c r="AD62" s="108"/>
      <c r="AE62" s="108"/>
      <c r="AF62" s="108"/>
      <c r="AG62" s="108"/>
      <c r="AH62" s="23"/>
      <c r="AI62" s="23"/>
      <c r="AJ62" s="23"/>
      <c r="AK62" s="23"/>
      <c r="AL62" s="287"/>
      <c r="AM62" s="23"/>
      <c r="AN62" s="56"/>
      <c r="AO62" s="19"/>
    </row>
    <row r="63" spans="2:41" ht="14.1" customHeight="1" x14ac:dyDescent="0.2">
      <c r="B63" s="22"/>
      <c r="C63" s="38"/>
      <c r="D63" s="290"/>
      <c r="E63" s="23"/>
      <c r="F63" s="23"/>
      <c r="G63" s="23"/>
      <c r="H63" s="23"/>
      <c r="I63" s="23"/>
      <c r="J63" s="23"/>
      <c r="K63" s="23"/>
      <c r="L63" s="45"/>
      <c r="M63" s="46"/>
      <c r="N63" s="46"/>
      <c r="O63" s="46"/>
      <c r="P63" s="106"/>
      <c r="Q63" s="106"/>
      <c r="R63" s="106"/>
      <c r="S63" s="108"/>
      <c r="T63" s="23"/>
      <c r="U63" s="23"/>
      <c r="V63" s="108"/>
      <c r="W63" s="108"/>
      <c r="X63" s="108"/>
      <c r="Y63" s="108"/>
      <c r="Z63" s="108"/>
      <c r="AA63" s="23"/>
      <c r="AB63" s="320"/>
      <c r="AC63" s="108"/>
      <c r="AD63" s="108"/>
      <c r="AE63" s="108"/>
      <c r="AF63" s="108"/>
      <c r="AG63" s="108"/>
      <c r="AH63" s="23"/>
      <c r="AI63" s="23"/>
      <c r="AJ63" s="23"/>
      <c r="AK63" s="23"/>
      <c r="AL63" s="287"/>
      <c r="AM63" s="23"/>
      <c r="AN63" s="41"/>
      <c r="AO63" s="19"/>
    </row>
    <row r="64" spans="2:41" ht="14.1" customHeight="1" x14ac:dyDescent="0.2">
      <c r="B64" s="22"/>
      <c r="C64" s="38"/>
      <c r="D64" s="179"/>
      <c r="E64" s="179"/>
      <c r="F64" s="179"/>
      <c r="G64" s="179"/>
      <c r="H64" s="179"/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79"/>
      <c r="U64" s="179"/>
      <c r="V64" s="179"/>
      <c r="W64" s="179"/>
      <c r="X64" s="179"/>
      <c r="Y64" s="179"/>
      <c r="Z64" s="179"/>
      <c r="AA64" s="179"/>
      <c r="AB64" s="179"/>
      <c r="AC64" s="179"/>
      <c r="AD64" s="179"/>
      <c r="AE64" s="179"/>
      <c r="AF64" s="179"/>
      <c r="AG64" s="179"/>
      <c r="AH64" s="179"/>
      <c r="AI64" s="179"/>
      <c r="AJ64" s="179"/>
      <c r="AK64" s="179"/>
      <c r="AL64" s="179"/>
      <c r="AM64" s="179"/>
      <c r="AN64" s="41"/>
      <c r="AO64" s="19"/>
    </row>
    <row r="65" spans="2:41" ht="14.1" customHeight="1" x14ac:dyDescent="0.2">
      <c r="B65" s="22"/>
      <c r="C65" s="38"/>
      <c r="D65" s="179"/>
      <c r="E65" s="179"/>
      <c r="F65" s="179"/>
      <c r="G65" s="179"/>
      <c r="H65" s="179"/>
      <c r="I65" s="179"/>
      <c r="J65" s="179"/>
      <c r="K65" s="179"/>
      <c r="L65" s="179"/>
      <c r="M65" s="179"/>
      <c r="N65" s="179"/>
      <c r="O65" s="179"/>
      <c r="P65" s="179"/>
      <c r="Q65" s="179"/>
      <c r="R65" s="179"/>
      <c r="S65" s="179"/>
      <c r="T65" s="179"/>
      <c r="U65" s="179"/>
      <c r="V65" s="179"/>
      <c r="W65" s="179"/>
      <c r="X65" s="179"/>
      <c r="Y65" s="179"/>
      <c r="Z65" s="179"/>
      <c r="AA65" s="179"/>
      <c r="AB65" s="179"/>
      <c r="AC65" s="179"/>
      <c r="AD65" s="179"/>
      <c r="AE65" s="179"/>
      <c r="AF65" s="179"/>
      <c r="AG65" s="179"/>
      <c r="AH65" s="179"/>
      <c r="AI65" s="179"/>
      <c r="AJ65" s="179"/>
      <c r="AK65" s="179"/>
      <c r="AL65" s="179"/>
      <c r="AM65" s="179"/>
      <c r="AN65" s="41"/>
      <c r="AO65" s="19"/>
    </row>
    <row r="66" spans="2:41" ht="14.1" customHeight="1" x14ac:dyDescent="0.2">
      <c r="B66" s="22"/>
      <c r="C66" s="38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41"/>
      <c r="AO66" s="19"/>
    </row>
    <row r="67" spans="2:41" ht="14.1" customHeight="1" x14ac:dyDescent="0.2">
      <c r="B67" s="22"/>
      <c r="C67" s="57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3"/>
      <c r="AO67" s="19"/>
    </row>
    <row r="68" spans="2:41" ht="14.1" customHeight="1" x14ac:dyDescent="0.2">
      <c r="B68" s="18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0"/>
    </row>
  </sheetData>
  <sheetProtection password="CA20" sheet="1" objects="1" scenarios="1"/>
  <mergeCells count="84">
    <mergeCell ref="P52:R52"/>
    <mergeCell ref="AB51:AD51"/>
    <mergeCell ref="AB52:AD52"/>
    <mergeCell ref="P49:R49"/>
    <mergeCell ref="P50:R50"/>
    <mergeCell ref="AB49:AD49"/>
    <mergeCell ref="AB50:AD50"/>
    <mergeCell ref="P51:R51"/>
    <mergeCell ref="P47:R47"/>
    <mergeCell ref="AB47:AD47"/>
    <mergeCell ref="P46:R46"/>
    <mergeCell ref="AB46:AD46"/>
    <mergeCell ref="P48:R48"/>
    <mergeCell ref="AB48:AD48"/>
    <mergeCell ref="AB43:AD43"/>
    <mergeCell ref="AB44:AD44"/>
    <mergeCell ref="AB22:AD22"/>
    <mergeCell ref="AB23:AD23"/>
    <mergeCell ref="AB25:AD25"/>
    <mergeCell ref="AB26:AD26"/>
    <mergeCell ref="AB27:AD27"/>
    <mergeCell ref="AB28:AD28"/>
    <mergeCell ref="AB29:AD29"/>
    <mergeCell ref="P22:R22"/>
    <mergeCell ref="P23:R23"/>
    <mergeCell ref="AL41:AM41"/>
    <mergeCell ref="P34:R34"/>
    <mergeCell ref="P35:R35"/>
    <mergeCell ref="P36:R36"/>
    <mergeCell ref="P26:R26"/>
    <mergeCell ref="P27:R27"/>
    <mergeCell ref="P28:R28"/>
    <mergeCell ref="P29:R29"/>
    <mergeCell ref="P30:R30"/>
    <mergeCell ref="P31:R31"/>
    <mergeCell ref="AB34:AD34"/>
    <mergeCell ref="AB35:AD35"/>
    <mergeCell ref="AB36:AD36"/>
    <mergeCell ref="AB37:AD37"/>
    <mergeCell ref="P19:R19"/>
    <mergeCell ref="P20:R20"/>
    <mergeCell ref="P21:R21"/>
    <mergeCell ref="AB18:AD18"/>
    <mergeCell ref="AB19:AD19"/>
    <mergeCell ref="AB20:AD20"/>
    <mergeCell ref="AB21:AD21"/>
    <mergeCell ref="P18:R18"/>
    <mergeCell ref="BI12:BL12"/>
    <mergeCell ref="AL13:AM13"/>
    <mergeCell ref="S11:U11"/>
    <mergeCell ref="BR15:BT15"/>
    <mergeCell ref="P15:R15"/>
    <mergeCell ref="AB15:AD15"/>
    <mergeCell ref="P14:R14"/>
    <mergeCell ref="AB14:AD14"/>
    <mergeCell ref="G8:I8"/>
    <mergeCell ref="S8:U8"/>
    <mergeCell ref="AE8:AG8"/>
    <mergeCell ref="G9:I9"/>
    <mergeCell ref="S9:U9"/>
    <mergeCell ref="AE9:AG9"/>
    <mergeCell ref="G10:I10"/>
    <mergeCell ref="S10:U10"/>
    <mergeCell ref="AE10:AG10"/>
    <mergeCell ref="P16:R16"/>
    <mergeCell ref="P17:R17"/>
    <mergeCell ref="AB16:AD16"/>
    <mergeCell ref="AB17:AD17"/>
    <mergeCell ref="P42:R42"/>
    <mergeCell ref="P45:R45"/>
    <mergeCell ref="P38:R38"/>
    <mergeCell ref="P24:R24"/>
    <mergeCell ref="AB24:AD24"/>
    <mergeCell ref="P43:R43"/>
    <mergeCell ref="P44:R44"/>
    <mergeCell ref="P25:R25"/>
    <mergeCell ref="AB38:AD38"/>
    <mergeCell ref="P37:R37"/>
    <mergeCell ref="AB31:AD31"/>
    <mergeCell ref="P32:R32"/>
    <mergeCell ref="AB32:AD32"/>
    <mergeCell ref="P33:R33"/>
    <mergeCell ref="AB33:AD33"/>
    <mergeCell ref="AB30:AD30"/>
  </mergeCells>
  <printOptions horizontalCentered="1"/>
  <pageMargins left="0.70866141732283472" right="0.39370078740157483" top="0.39370078740157483" bottom="0.39370078740157483" header="0.27559055118110237" footer="0.19685039370078741"/>
  <pageSetup paperSize="9" scale="88" orientation="portrait" r:id="rId1"/>
  <headerFooter>
    <oddHeader>&amp;C&amp;"Tahoma,ธรรมดา"&amp;8STRENGTH  DESIGN  METHOD : SDM Plus</oddHeader>
    <oddFooter>&amp;C&amp;"Tahoma,ธรรมดา"&amp;8Design Calculation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BZ68"/>
  <sheetViews>
    <sheetView showGridLines="0" showRowColHeaders="0" zoomScaleNormal="100" workbookViewId="0">
      <selection activeCell="AZ31" sqref="AZ31"/>
    </sheetView>
  </sheetViews>
  <sheetFormatPr defaultColWidth="2.625" defaultRowHeight="14.1" customHeight="1" x14ac:dyDescent="0.2"/>
  <cols>
    <col min="1" max="6" width="2.625" style="16"/>
    <col min="7" max="8" width="2.625" style="16" customWidth="1"/>
    <col min="9" max="15" width="2.625" style="16"/>
    <col min="16" max="16" width="2.625" style="16" customWidth="1"/>
    <col min="17" max="18" width="2.625" style="16"/>
    <col min="19" max="19" width="2.625" style="16" customWidth="1"/>
    <col min="20" max="21" width="2.625" style="16"/>
    <col min="22" max="22" width="2.625" style="16" customWidth="1"/>
    <col min="23" max="27" width="2.625" style="16"/>
    <col min="28" max="28" width="2.625" style="16" customWidth="1"/>
    <col min="29" max="30" width="2.625" style="16"/>
    <col min="31" max="32" width="2.625" style="16" customWidth="1"/>
    <col min="33" max="16384" width="2.625" style="16"/>
  </cols>
  <sheetData>
    <row r="1" spans="2:73" ht="14.1" customHeight="1" x14ac:dyDescent="0.2">
      <c r="B1" s="137" t="s">
        <v>88</v>
      </c>
    </row>
    <row r="2" spans="2:73" ht="14.1" customHeight="1" thickBot="1" x14ac:dyDescent="0.25">
      <c r="B2" s="33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21"/>
    </row>
    <row r="3" spans="2:73" ht="14.1" customHeight="1" x14ac:dyDescent="0.2">
      <c r="B3" s="22"/>
      <c r="C3" s="55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40"/>
      <c r="AO3" s="19"/>
    </row>
    <row r="4" spans="2:73" ht="14.1" customHeight="1" x14ac:dyDescent="0.2">
      <c r="B4" s="22"/>
      <c r="C4" s="38"/>
      <c r="D4" s="95" t="s">
        <v>38</v>
      </c>
      <c r="E4" s="93"/>
      <c r="F4" s="93"/>
      <c r="G4" s="94"/>
      <c r="H4" s="80" t="str">
        <f>'Bearing FB_Pu'!U4</f>
        <v>อาคารคอนกรีตเสริมเหล็ก</v>
      </c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81"/>
      <c r="Z4" s="81"/>
      <c r="AA4" s="81"/>
      <c r="AB4" s="95" t="s">
        <v>196</v>
      </c>
      <c r="AC4" s="96"/>
      <c r="AD4" s="93"/>
      <c r="AE4" s="94"/>
      <c r="AF4" s="80" t="str">
        <f>'Bearing FB_Pu'!U10</f>
        <v>FB</v>
      </c>
      <c r="AG4" s="81"/>
      <c r="AH4" s="81"/>
      <c r="AI4" s="81"/>
      <c r="AJ4" s="82"/>
      <c r="AK4" s="82"/>
      <c r="AL4" s="82"/>
      <c r="AM4" s="159"/>
      <c r="AN4" s="41"/>
      <c r="AO4" s="19"/>
    </row>
    <row r="5" spans="2:73" ht="14.1" customHeight="1" x14ac:dyDescent="0.2">
      <c r="B5" s="22"/>
      <c r="C5" s="38"/>
      <c r="D5" s="157" t="s">
        <v>39</v>
      </c>
      <c r="E5" s="89"/>
      <c r="F5" s="89"/>
      <c r="G5" s="90"/>
      <c r="H5" s="88" t="str">
        <f>'Bearing FB_Pu'!U6</f>
        <v>สำนักงานทรัพย์สินส่วนพระมหากษัตริย์</v>
      </c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7"/>
      <c r="Y5" s="86"/>
      <c r="Z5" s="86"/>
      <c r="AA5" s="86"/>
      <c r="AB5" s="91" t="s">
        <v>36</v>
      </c>
      <c r="AC5" s="92"/>
      <c r="AD5" s="89"/>
      <c r="AE5" s="90"/>
      <c r="AF5" s="88" t="str">
        <f>'Bearing FB_Pu'!U12</f>
        <v>ว่าที่ ร.ต.รณฤทธิ์ เพชสง</v>
      </c>
      <c r="AG5" s="86"/>
      <c r="AH5" s="86"/>
      <c r="AI5" s="86"/>
      <c r="AJ5" s="87"/>
      <c r="AK5" s="87"/>
      <c r="AL5" s="87"/>
      <c r="AM5" s="160"/>
      <c r="AN5" s="41"/>
      <c r="AO5" s="19"/>
    </row>
    <row r="6" spans="2:73" ht="14.1" customHeight="1" x14ac:dyDescent="0.2">
      <c r="B6" s="22"/>
      <c r="C6" s="38"/>
      <c r="D6" s="158" t="s">
        <v>40</v>
      </c>
      <c r="E6" s="97"/>
      <c r="F6" s="97"/>
      <c r="G6" s="98"/>
      <c r="H6" s="83" t="str">
        <f>'Bearing FB_Pu'!U8</f>
        <v>กรุงเทพมหานครฯ</v>
      </c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5"/>
      <c r="Y6" s="84"/>
      <c r="Z6" s="84"/>
      <c r="AA6" s="84"/>
      <c r="AB6" s="99" t="s">
        <v>37</v>
      </c>
      <c r="AC6" s="100"/>
      <c r="AD6" s="97"/>
      <c r="AE6" s="98"/>
      <c r="AF6" s="83" t="str">
        <f>'Bearing FB_Pu'!U14</f>
        <v>ภย.62026</v>
      </c>
      <c r="AG6" s="84"/>
      <c r="AH6" s="84"/>
      <c r="AI6" s="84"/>
      <c r="AJ6" s="85"/>
      <c r="AK6" s="85"/>
      <c r="AL6" s="85"/>
      <c r="AM6" s="161"/>
      <c r="AN6" s="41"/>
      <c r="AO6" s="19"/>
    </row>
    <row r="7" spans="2:73" ht="14.1" customHeight="1" x14ac:dyDescent="0.2">
      <c r="B7" s="22"/>
      <c r="C7" s="38"/>
      <c r="D7" s="50"/>
      <c r="E7" s="46"/>
      <c r="F7" s="46"/>
      <c r="G7" s="46"/>
      <c r="H7" s="46"/>
      <c r="I7" s="46"/>
      <c r="J7" s="46"/>
      <c r="K7" s="46"/>
      <c r="L7" s="37"/>
      <c r="M7" s="46"/>
      <c r="N7" s="46"/>
      <c r="O7" s="46"/>
      <c r="P7" s="51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50"/>
      <c r="AC7" s="46"/>
      <c r="AD7" s="46"/>
      <c r="AE7" s="46"/>
      <c r="AF7" s="46"/>
      <c r="AG7" s="46"/>
      <c r="AH7" s="46"/>
      <c r="AI7" s="46"/>
      <c r="AJ7" s="23"/>
      <c r="AK7" s="23"/>
      <c r="AL7" s="23"/>
      <c r="AM7" s="23"/>
      <c r="AN7" s="41"/>
      <c r="AO7" s="19"/>
    </row>
    <row r="8" spans="2:73" ht="14.1" customHeight="1" x14ac:dyDescent="0.2">
      <c r="B8" s="22"/>
      <c r="C8" s="38"/>
      <c r="D8" s="52"/>
      <c r="E8" s="200"/>
      <c r="F8" s="287"/>
      <c r="G8" s="45"/>
      <c r="H8" s="45"/>
      <c r="I8" s="45"/>
      <c r="J8" s="287"/>
      <c r="K8" s="23"/>
      <c r="L8" s="23"/>
      <c r="M8" s="23"/>
      <c r="N8" s="46"/>
      <c r="O8" s="46"/>
      <c r="P8" s="52"/>
      <c r="Q8" s="46"/>
      <c r="R8" s="287"/>
      <c r="S8" s="106"/>
      <c r="T8" s="106"/>
      <c r="U8" s="106"/>
      <c r="V8" s="287"/>
      <c r="W8" s="45"/>
      <c r="X8" s="45"/>
      <c r="Y8" s="46"/>
      <c r="Z8" s="46"/>
      <c r="AA8" s="46"/>
      <c r="AB8" s="53"/>
      <c r="AC8" s="23"/>
      <c r="AD8" s="287"/>
      <c r="AE8" s="106"/>
      <c r="AF8" s="45"/>
      <c r="AG8" s="45"/>
      <c r="AH8" s="287"/>
      <c r="AI8" s="46"/>
      <c r="AJ8" s="23"/>
      <c r="AK8" s="23"/>
      <c r="AL8" s="23"/>
      <c r="AM8" s="23"/>
      <c r="AN8" s="41"/>
      <c r="AO8" s="19"/>
    </row>
    <row r="9" spans="2:73" ht="14.1" customHeight="1" x14ac:dyDescent="0.2">
      <c r="B9" s="22"/>
      <c r="C9" s="38"/>
      <c r="D9" s="52"/>
      <c r="E9" s="200"/>
      <c r="F9" s="287"/>
      <c r="G9" s="45"/>
      <c r="H9" s="45"/>
      <c r="I9" s="45"/>
      <c r="J9" s="290"/>
      <c r="K9" s="23"/>
      <c r="L9" s="23"/>
      <c r="M9" s="23"/>
      <c r="N9" s="46"/>
      <c r="O9" s="46"/>
      <c r="P9" s="52"/>
      <c r="Q9" s="46"/>
      <c r="R9" s="287"/>
      <c r="S9" s="74"/>
      <c r="T9" s="74"/>
      <c r="U9" s="74"/>
      <c r="V9" s="287"/>
      <c r="W9" s="45"/>
      <c r="X9" s="45"/>
      <c r="Y9" s="46"/>
      <c r="Z9" s="46"/>
      <c r="AA9" s="46"/>
      <c r="AB9" s="53"/>
      <c r="AC9" s="23"/>
      <c r="AD9" s="287"/>
      <c r="AE9" s="106"/>
      <c r="AF9" s="106"/>
      <c r="AG9" s="106"/>
      <c r="AH9" s="287"/>
      <c r="AI9" s="46"/>
      <c r="AJ9" s="23"/>
      <c r="AK9" s="23"/>
      <c r="AL9" s="23"/>
      <c r="AM9" s="23"/>
      <c r="AN9" s="41"/>
      <c r="AO9" s="19"/>
    </row>
    <row r="10" spans="2:73" ht="14.1" customHeight="1" x14ac:dyDescent="0.2">
      <c r="B10" s="22"/>
      <c r="C10" s="38"/>
      <c r="D10" s="52"/>
      <c r="E10" s="200"/>
      <c r="F10" s="287"/>
      <c r="G10" s="45"/>
      <c r="H10" s="45"/>
      <c r="I10" s="45"/>
      <c r="J10" s="290"/>
      <c r="K10" s="23"/>
      <c r="L10" s="23"/>
      <c r="M10" s="23"/>
      <c r="N10" s="46"/>
      <c r="O10" s="46"/>
      <c r="P10" s="54"/>
      <c r="Q10" s="46"/>
      <c r="R10" s="287"/>
      <c r="S10" s="106"/>
      <c r="T10" s="45"/>
      <c r="U10" s="45"/>
      <c r="V10" s="287"/>
      <c r="W10" s="45"/>
      <c r="X10" s="45"/>
      <c r="Y10" s="46"/>
      <c r="Z10" s="46"/>
      <c r="AA10" s="46"/>
      <c r="AB10" s="53"/>
      <c r="AC10" s="23"/>
      <c r="AD10" s="287"/>
      <c r="AE10" s="106"/>
      <c r="AF10" s="106"/>
      <c r="AG10" s="106"/>
      <c r="AH10" s="287"/>
      <c r="AI10" s="46"/>
      <c r="AJ10" s="23"/>
      <c r="AK10" s="23"/>
      <c r="AL10" s="23"/>
      <c r="AM10" s="23"/>
      <c r="AN10" s="41"/>
      <c r="AO10" s="19"/>
    </row>
    <row r="11" spans="2:73" ht="14.1" customHeight="1" x14ac:dyDescent="0.2">
      <c r="B11" s="22"/>
      <c r="C11" s="38"/>
      <c r="D11" s="51"/>
      <c r="E11" s="46"/>
      <c r="F11" s="46"/>
      <c r="G11" s="132"/>
      <c r="H11" s="132"/>
      <c r="I11" s="132"/>
      <c r="J11" s="132"/>
      <c r="K11" s="46"/>
      <c r="L11" s="46"/>
      <c r="M11" s="46"/>
      <c r="N11" s="46"/>
      <c r="O11" s="46"/>
      <c r="P11" s="45"/>
      <c r="Q11" s="45"/>
      <c r="R11" s="287"/>
      <c r="S11" s="74"/>
      <c r="T11" s="74"/>
      <c r="U11" s="74"/>
      <c r="V11" s="287"/>
      <c r="W11" s="45"/>
      <c r="X11" s="37"/>
      <c r="Y11" s="37"/>
      <c r="Z11" s="37"/>
      <c r="AA11" s="46"/>
      <c r="AB11" s="46"/>
      <c r="AC11" s="46"/>
      <c r="AD11" s="46"/>
      <c r="AE11" s="132"/>
      <c r="AF11" s="132"/>
      <c r="AG11" s="132"/>
      <c r="AH11" s="132"/>
      <c r="AI11" s="46"/>
      <c r="AJ11" s="23"/>
      <c r="AK11" s="23"/>
      <c r="AL11" s="23"/>
      <c r="AM11" s="23"/>
      <c r="AN11" s="41"/>
      <c r="AO11" s="19"/>
    </row>
    <row r="12" spans="2:73" ht="14.1" customHeight="1" x14ac:dyDescent="0.2">
      <c r="B12" s="22"/>
      <c r="C12" s="38"/>
      <c r="D12" s="49"/>
      <c r="E12" s="45"/>
      <c r="F12" s="45"/>
      <c r="G12" s="45"/>
      <c r="H12" s="45"/>
      <c r="I12" s="45"/>
      <c r="J12" s="45"/>
      <c r="K12" s="46"/>
      <c r="L12" s="46"/>
      <c r="M12" s="46"/>
      <c r="N12" s="46"/>
      <c r="O12" s="46"/>
      <c r="P12" s="179"/>
      <c r="Q12" s="179"/>
      <c r="R12" s="179"/>
      <c r="S12" s="179"/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46"/>
      <c r="AJ12" s="23"/>
      <c r="AK12" s="23"/>
      <c r="AL12" s="23"/>
      <c r="AM12" s="23"/>
      <c r="AN12" s="41"/>
      <c r="AO12" s="19"/>
      <c r="AQ12" s="164"/>
      <c r="AR12" s="27"/>
      <c r="AS12" s="27"/>
      <c r="AT12" s="307"/>
      <c r="AU12" s="307"/>
      <c r="AV12" s="307"/>
      <c r="AW12" s="307"/>
      <c r="AX12" s="65"/>
      <c r="AY12" s="65"/>
      <c r="AZ12" s="65"/>
      <c r="BA12" s="65"/>
      <c r="BB12" s="65"/>
      <c r="BC12" s="192"/>
      <c r="BD12" s="27"/>
      <c r="BE12" s="27"/>
      <c r="BF12" s="27"/>
      <c r="BG12" s="27"/>
      <c r="BH12" s="27"/>
      <c r="BI12" s="559"/>
      <c r="BJ12" s="559"/>
      <c r="BK12" s="559"/>
      <c r="BL12" s="559"/>
      <c r="BM12" s="65"/>
      <c r="BN12" s="65"/>
      <c r="BO12" s="164"/>
      <c r="BP12" s="65"/>
      <c r="BQ12" s="65"/>
      <c r="BR12" s="129"/>
      <c r="BS12" s="129"/>
      <c r="BT12" s="129"/>
      <c r="BU12" s="129"/>
    </row>
    <row r="13" spans="2:73" ht="14.1" customHeight="1" x14ac:dyDescent="0.2">
      <c r="B13" s="22"/>
      <c r="C13" s="38"/>
      <c r="D13" s="308"/>
      <c r="E13" s="139"/>
      <c r="F13" s="320"/>
      <c r="G13" s="320"/>
      <c r="H13" s="23"/>
      <c r="I13" s="23"/>
      <c r="J13" s="23"/>
      <c r="K13" s="23"/>
      <c r="L13" s="23"/>
      <c r="M13" s="23"/>
      <c r="N13" s="23"/>
      <c r="O13" s="23"/>
      <c r="P13" s="308"/>
      <c r="Q13" s="23"/>
      <c r="R13" s="23"/>
      <c r="S13" s="23"/>
      <c r="T13" s="23"/>
      <c r="U13" s="23"/>
      <c r="V13" s="23"/>
      <c r="W13" s="23"/>
      <c r="X13" s="23"/>
      <c r="Y13" s="179"/>
      <c r="Z13" s="179"/>
      <c r="AA13" s="179"/>
      <c r="AB13" s="308"/>
      <c r="AC13" s="23"/>
      <c r="AD13" s="23"/>
      <c r="AE13" s="179"/>
      <c r="AF13" s="179"/>
      <c r="AG13" s="179"/>
      <c r="AH13" s="23"/>
      <c r="AI13" s="23"/>
      <c r="AJ13" s="23"/>
      <c r="AK13" s="23"/>
      <c r="AL13" s="154"/>
      <c r="AM13" s="154"/>
      <c r="AN13" s="41"/>
      <c r="AO13" s="19"/>
      <c r="AQ13" s="165"/>
      <c r="AR13" s="65"/>
      <c r="AS13" s="124"/>
      <c r="AW13" s="189"/>
      <c r="AX13" s="140"/>
      <c r="AY13" s="27"/>
      <c r="AZ13" s="27"/>
      <c r="BA13" s="27"/>
      <c r="BB13" s="27"/>
      <c r="BC13" s="307"/>
      <c r="BD13" s="140"/>
      <c r="BE13" s="124"/>
      <c r="BI13" s="189"/>
      <c r="BJ13" s="312"/>
      <c r="BK13" s="165"/>
      <c r="BL13" s="27"/>
      <c r="BM13" s="27"/>
      <c r="BN13" s="27"/>
      <c r="BO13" s="150"/>
      <c r="BP13" s="140"/>
      <c r="BQ13" s="124"/>
      <c r="BU13" s="193"/>
    </row>
    <row r="14" spans="2:73" ht="14.1" customHeight="1" x14ac:dyDescent="0.2">
      <c r="B14" s="22"/>
      <c r="C14" s="38"/>
      <c r="D14" s="287"/>
      <c r="E14" s="287"/>
      <c r="F14" s="319"/>
      <c r="G14" s="319"/>
      <c r="H14" s="242"/>
      <c r="I14" s="242"/>
      <c r="J14" s="242"/>
      <c r="K14" s="242"/>
      <c r="L14" s="242"/>
      <c r="M14" s="242"/>
      <c r="N14" s="242"/>
      <c r="O14" s="319"/>
      <c r="P14" s="205"/>
      <c r="Q14" s="205"/>
      <c r="R14" s="205"/>
      <c r="S14" s="314"/>
      <c r="T14" s="314"/>
      <c r="U14" s="314"/>
      <c r="V14" s="314"/>
      <c r="W14" s="314"/>
      <c r="X14" s="314"/>
      <c r="Y14" s="319"/>
      <c r="Z14" s="319"/>
      <c r="AA14" s="319"/>
      <c r="AB14" s="205"/>
      <c r="AC14" s="205"/>
      <c r="AD14" s="205"/>
      <c r="AE14" s="319"/>
      <c r="AF14" s="319"/>
      <c r="AG14" s="319"/>
      <c r="AH14" s="319"/>
      <c r="AI14" s="294"/>
      <c r="AJ14" s="287"/>
      <c r="AK14" s="287"/>
      <c r="AL14" s="293"/>
      <c r="AM14" s="287"/>
      <c r="AN14" s="41"/>
      <c r="AO14" s="19"/>
      <c r="AQ14" s="189"/>
      <c r="AR14" s="189"/>
      <c r="AT14" s="225"/>
      <c r="AU14" s="112"/>
      <c r="BC14" s="225"/>
      <c r="BD14" s="140"/>
      <c r="BE14" s="124"/>
      <c r="BI14" s="189"/>
      <c r="BJ14" s="129"/>
      <c r="BK14" s="165"/>
      <c r="BL14" s="27"/>
      <c r="BM14" s="27"/>
      <c r="BN14" s="27"/>
      <c r="BO14" s="150"/>
      <c r="BP14" s="140"/>
      <c r="BQ14" s="124"/>
      <c r="BU14" s="194"/>
    </row>
    <row r="15" spans="2:73" ht="14.1" customHeight="1" x14ac:dyDescent="0.2">
      <c r="B15" s="22"/>
      <c r="C15" s="38"/>
      <c r="D15" s="321"/>
      <c r="E15" s="242"/>
      <c r="F15" s="320"/>
      <c r="G15" s="287"/>
      <c r="H15" s="242"/>
      <c r="I15" s="242"/>
      <c r="J15" s="242"/>
      <c r="K15" s="242"/>
      <c r="L15" s="242"/>
      <c r="M15" s="242"/>
      <c r="N15" s="242"/>
      <c r="O15" s="319"/>
      <c r="P15" s="248"/>
      <c r="Q15" s="248"/>
      <c r="R15" s="248"/>
      <c r="S15" s="316"/>
      <c r="T15" s="316"/>
      <c r="U15" s="316"/>
      <c r="V15" s="316"/>
      <c r="W15" s="316"/>
      <c r="X15" s="316"/>
      <c r="Y15" s="319"/>
      <c r="Z15" s="319"/>
      <c r="AA15" s="319"/>
      <c r="AB15" s="205"/>
      <c r="AC15" s="205"/>
      <c r="AD15" s="205"/>
      <c r="AE15" s="319"/>
      <c r="AF15" s="319"/>
      <c r="AG15" s="319"/>
      <c r="AH15" s="319"/>
      <c r="AI15" s="319"/>
      <c r="AJ15" s="319"/>
      <c r="AK15" s="319"/>
      <c r="AL15" s="182"/>
      <c r="AM15" s="319"/>
      <c r="AN15" s="41"/>
      <c r="AO15" s="19"/>
      <c r="AQ15" s="189"/>
      <c r="AR15" s="195"/>
      <c r="AS15" s="225"/>
      <c r="AT15" s="124"/>
      <c r="AU15" s="226"/>
      <c r="AV15" s="225"/>
      <c r="AW15" s="225"/>
      <c r="BC15" s="307"/>
      <c r="BD15" s="140"/>
      <c r="BE15" s="124"/>
      <c r="BI15" s="189"/>
      <c r="BJ15" s="196"/>
      <c r="BK15" s="166"/>
      <c r="BL15" s="27"/>
      <c r="BM15" s="27"/>
      <c r="BN15" s="27"/>
      <c r="BO15" s="150"/>
      <c r="BP15" s="140"/>
      <c r="BQ15" s="124"/>
      <c r="BR15" s="559"/>
      <c r="BS15" s="559"/>
      <c r="BT15" s="559"/>
      <c r="BU15" s="143"/>
    </row>
    <row r="16" spans="2:73" ht="14.1" customHeight="1" x14ac:dyDescent="0.2">
      <c r="B16" s="22"/>
      <c r="C16" s="38"/>
      <c r="D16" s="321"/>
      <c r="E16" s="242"/>
      <c r="F16" s="319"/>
      <c r="G16" s="287"/>
      <c r="H16" s="242"/>
      <c r="I16" s="242"/>
      <c r="J16" s="242"/>
      <c r="K16" s="242"/>
      <c r="L16" s="242"/>
      <c r="M16" s="242"/>
      <c r="N16" s="242"/>
      <c r="O16" s="319"/>
      <c r="P16" s="248"/>
      <c r="Q16" s="248"/>
      <c r="R16" s="248"/>
      <c r="S16" s="316"/>
      <c r="T16" s="316"/>
      <c r="U16" s="316"/>
      <c r="V16" s="316"/>
      <c r="W16" s="316"/>
      <c r="X16" s="316"/>
      <c r="Y16" s="319"/>
      <c r="Z16" s="319"/>
      <c r="AA16" s="319"/>
      <c r="AB16" s="205"/>
      <c r="AC16" s="205"/>
      <c r="AD16" s="205"/>
      <c r="AE16" s="319"/>
      <c r="AF16" s="319"/>
      <c r="AG16" s="319"/>
      <c r="AH16" s="319"/>
      <c r="AI16" s="319"/>
      <c r="AJ16" s="319"/>
      <c r="AK16" s="319"/>
      <c r="AL16" s="70"/>
      <c r="AM16" s="319"/>
      <c r="AN16" s="41"/>
      <c r="AO16" s="19"/>
      <c r="AQ16" s="195"/>
      <c r="AR16" s="307"/>
      <c r="AT16" s="225"/>
      <c r="AU16" s="27"/>
      <c r="BC16" s="225"/>
      <c r="BD16" s="140"/>
      <c r="BE16" s="124"/>
      <c r="BI16" s="189"/>
      <c r="BJ16" s="286"/>
      <c r="BK16" s="166"/>
      <c r="BL16" s="27"/>
      <c r="BM16" s="27"/>
      <c r="BN16" s="27"/>
      <c r="BO16" s="150"/>
      <c r="BP16" s="140"/>
      <c r="BQ16" s="124"/>
      <c r="BU16" s="143"/>
    </row>
    <row r="17" spans="2:78" ht="14.1" customHeight="1" x14ac:dyDescent="0.2">
      <c r="B17" s="22"/>
      <c r="C17" s="38"/>
      <c r="D17" s="321"/>
      <c r="E17" s="242"/>
      <c r="F17" s="319"/>
      <c r="G17" s="287"/>
      <c r="H17" s="242"/>
      <c r="I17" s="242"/>
      <c r="J17" s="242"/>
      <c r="K17" s="242"/>
      <c r="L17" s="242"/>
      <c r="M17" s="242"/>
      <c r="N17" s="242"/>
      <c r="O17" s="242"/>
      <c r="P17" s="254"/>
      <c r="Q17" s="254"/>
      <c r="R17" s="254"/>
      <c r="S17" s="242"/>
      <c r="T17" s="242"/>
      <c r="U17" s="242"/>
      <c r="V17" s="242"/>
      <c r="W17" s="242"/>
      <c r="X17" s="242"/>
      <c r="Y17" s="242"/>
      <c r="Z17" s="242"/>
      <c r="AA17" s="242"/>
      <c r="AB17" s="205"/>
      <c r="AC17" s="205"/>
      <c r="AD17" s="205"/>
      <c r="AE17" s="242"/>
      <c r="AF17" s="242"/>
      <c r="AG17" s="242"/>
      <c r="AH17" s="242"/>
      <c r="AI17" s="242"/>
      <c r="AJ17" s="242"/>
      <c r="AK17" s="242"/>
      <c r="AL17" s="70"/>
      <c r="AM17" s="242"/>
      <c r="AN17" s="41"/>
      <c r="AO17" s="19"/>
      <c r="AQ17" s="307"/>
      <c r="AR17" s="307"/>
      <c r="AT17" s="225"/>
      <c r="AU17" s="27"/>
      <c r="BC17" s="225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125"/>
      <c r="BP17" s="165"/>
      <c r="BQ17" s="124"/>
    </row>
    <row r="18" spans="2:78" ht="14.1" customHeight="1" x14ac:dyDescent="0.2">
      <c r="B18" s="22"/>
      <c r="C18" s="38"/>
      <c r="D18" s="321"/>
      <c r="E18" s="242"/>
      <c r="F18" s="319"/>
      <c r="G18" s="287"/>
      <c r="H18" s="319"/>
      <c r="I18" s="319"/>
      <c r="J18" s="319"/>
      <c r="K18" s="319"/>
      <c r="L18" s="242"/>
      <c r="M18" s="242"/>
      <c r="N18" s="242"/>
      <c r="O18" s="319"/>
      <c r="P18" s="248"/>
      <c r="Q18" s="248"/>
      <c r="R18" s="248"/>
      <c r="S18" s="314"/>
      <c r="T18" s="314"/>
      <c r="U18" s="314"/>
      <c r="V18" s="314"/>
      <c r="W18" s="314"/>
      <c r="X18" s="314"/>
      <c r="Y18" s="319"/>
      <c r="Z18" s="319"/>
      <c r="AA18" s="319"/>
      <c r="AB18" s="205"/>
      <c r="AC18" s="205"/>
      <c r="AD18" s="205"/>
      <c r="AE18" s="319"/>
      <c r="AF18" s="319"/>
      <c r="AG18" s="319"/>
      <c r="AH18" s="319"/>
      <c r="AI18" s="319"/>
      <c r="AJ18" s="319"/>
      <c r="AK18" s="319"/>
      <c r="AL18" s="70"/>
      <c r="AM18" s="319"/>
      <c r="AN18" s="41"/>
      <c r="AO18" s="19"/>
      <c r="AQ18" s="307"/>
      <c r="AR18" s="143"/>
      <c r="AT18" s="225"/>
      <c r="AU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146"/>
      <c r="BP18" s="165"/>
      <c r="BQ18" s="124"/>
      <c r="BR18" s="171"/>
      <c r="BS18" s="172"/>
      <c r="BT18" s="172"/>
      <c r="BU18" s="143"/>
    </row>
    <row r="19" spans="2:78" ht="14.1" customHeight="1" x14ac:dyDescent="0.2">
      <c r="B19" s="22"/>
      <c r="C19" s="38"/>
      <c r="D19" s="321"/>
      <c r="E19" s="319"/>
      <c r="F19" s="320"/>
      <c r="G19" s="287"/>
      <c r="H19" s="287"/>
      <c r="I19" s="319"/>
      <c r="J19" s="319"/>
      <c r="K19" s="319"/>
      <c r="L19" s="319"/>
      <c r="M19" s="319"/>
      <c r="N19" s="319"/>
      <c r="O19" s="319"/>
      <c r="P19" s="254"/>
      <c r="Q19" s="254"/>
      <c r="R19" s="254"/>
      <c r="S19" s="319"/>
      <c r="T19" s="319"/>
      <c r="U19" s="319"/>
      <c r="V19" s="319"/>
      <c r="W19" s="319"/>
      <c r="X19" s="242"/>
      <c r="Y19" s="242"/>
      <c r="Z19" s="242"/>
      <c r="AA19" s="242"/>
      <c r="AB19" s="205"/>
      <c r="AC19" s="205"/>
      <c r="AD19" s="205"/>
      <c r="AE19" s="242"/>
      <c r="AF19" s="242"/>
      <c r="AG19" s="242"/>
      <c r="AH19" s="242"/>
      <c r="AI19" s="242"/>
      <c r="AJ19" s="242"/>
      <c r="AK19" s="242"/>
      <c r="AL19" s="70"/>
      <c r="AM19" s="242"/>
      <c r="AN19" s="41"/>
      <c r="AO19" s="19"/>
      <c r="AQ19" s="143"/>
      <c r="AR19" s="27"/>
      <c r="AS19" s="225"/>
      <c r="AT19" s="124"/>
      <c r="AU19" s="225"/>
      <c r="AV19" s="112"/>
      <c r="AW19" s="112"/>
      <c r="AX19" s="112"/>
      <c r="AY19" s="112"/>
      <c r="BC19" s="225"/>
    </row>
    <row r="20" spans="2:78" ht="14.1" customHeight="1" x14ac:dyDescent="0.2">
      <c r="B20" s="22"/>
      <c r="C20" s="38"/>
      <c r="D20" s="243"/>
      <c r="E20" s="132"/>
      <c r="F20" s="320"/>
      <c r="G20" s="293"/>
      <c r="H20" s="287"/>
      <c r="I20" s="319"/>
      <c r="J20" s="319"/>
      <c r="K20" s="319"/>
      <c r="L20" s="319"/>
      <c r="M20" s="319"/>
      <c r="N20" s="319"/>
      <c r="O20" s="319"/>
      <c r="P20" s="205"/>
      <c r="Q20" s="205"/>
      <c r="R20" s="205"/>
      <c r="S20" s="317"/>
      <c r="T20" s="317"/>
      <c r="U20" s="317"/>
      <c r="V20" s="317"/>
      <c r="W20" s="317"/>
      <c r="X20" s="317"/>
      <c r="Y20" s="319"/>
      <c r="Z20" s="319"/>
      <c r="AA20" s="319"/>
      <c r="AB20" s="74"/>
      <c r="AC20" s="74"/>
      <c r="AD20" s="74"/>
      <c r="AE20" s="319"/>
      <c r="AF20" s="319"/>
      <c r="AG20" s="319"/>
      <c r="AH20" s="319"/>
      <c r="AI20" s="319"/>
      <c r="AJ20" s="319"/>
      <c r="AK20" s="319"/>
      <c r="AL20" s="70"/>
      <c r="AM20" s="319"/>
      <c r="AN20" s="41"/>
      <c r="AO20" s="19"/>
      <c r="AQ20" s="226"/>
      <c r="AR20" s="150"/>
      <c r="AS20" s="140"/>
      <c r="AT20" s="124"/>
      <c r="AU20" s="143"/>
      <c r="AV20" s="140"/>
      <c r="BD20" s="163"/>
      <c r="BE20" s="163"/>
      <c r="BF20" s="163"/>
      <c r="BG20" s="163"/>
      <c r="BH20" s="163"/>
      <c r="BI20" s="163"/>
      <c r="BJ20" s="163"/>
      <c r="BK20" s="163"/>
      <c r="BL20" s="163"/>
      <c r="BM20" s="163"/>
      <c r="BN20" s="27"/>
      <c r="BO20" s="163"/>
      <c r="BP20" s="163"/>
      <c r="BQ20" s="163"/>
      <c r="BR20" s="163"/>
      <c r="BS20" s="141"/>
      <c r="BT20" s="128"/>
      <c r="BU20" s="128"/>
      <c r="BV20" s="128"/>
      <c r="BW20" s="128"/>
      <c r="BX20" s="163"/>
      <c r="BY20" s="163"/>
      <c r="BZ20" s="163"/>
    </row>
    <row r="21" spans="2:78" ht="14.1" customHeight="1" x14ac:dyDescent="0.2">
      <c r="B21" s="22"/>
      <c r="C21" s="38"/>
      <c r="D21" s="321"/>
      <c r="E21" s="242"/>
      <c r="F21" s="320"/>
      <c r="G21" s="321"/>
      <c r="H21" s="319"/>
      <c r="I21" s="319"/>
      <c r="J21" s="319"/>
      <c r="K21" s="319"/>
      <c r="L21" s="319"/>
      <c r="M21" s="319"/>
      <c r="N21" s="319"/>
      <c r="O21" s="319"/>
      <c r="P21" s="256"/>
      <c r="Q21" s="256"/>
      <c r="R21" s="256"/>
      <c r="S21" s="319"/>
      <c r="T21" s="319"/>
      <c r="U21" s="319"/>
      <c r="V21" s="319"/>
      <c r="W21" s="319"/>
      <c r="X21" s="242"/>
      <c r="Y21" s="242"/>
      <c r="Z21" s="242"/>
      <c r="AA21" s="242"/>
      <c r="AB21" s="74"/>
      <c r="AC21" s="74"/>
      <c r="AD21" s="74"/>
      <c r="AE21" s="242"/>
      <c r="AF21" s="242"/>
      <c r="AG21" s="242"/>
      <c r="AH21" s="242"/>
      <c r="AI21" s="242"/>
      <c r="AJ21" s="242"/>
      <c r="AK21" s="242"/>
      <c r="AL21" s="321"/>
      <c r="AM21" s="242"/>
      <c r="AN21" s="41"/>
      <c r="AO21" s="19"/>
      <c r="AQ21" s="27"/>
      <c r="AR21" s="150"/>
      <c r="AS21" s="140"/>
      <c r="AT21" s="124"/>
      <c r="AU21" s="150"/>
      <c r="AV21" s="140"/>
      <c r="BC21" s="225"/>
      <c r="BD21" s="163"/>
      <c r="BE21" s="163"/>
      <c r="BF21" s="163"/>
      <c r="BG21" s="163"/>
      <c r="BH21" s="163"/>
      <c r="BI21" s="163"/>
      <c r="BJ21" s="163"/>
      <c r="BK21" s="163"/>
      <c r="BL21" s="163"/>
      <c r="BM21" s="163"/>
      <c r="BN21" s="27"/>
      <c r="BO21" s="163"/>
      <c r="BP21" s="163"/>
      <c r="BQ21" s="163"/>
      <c r="BR21" s="163"/>
      <c r="BS21" s="128"/>
      <c r="BT21" s="128"/>
      <c r="BU21" s="128"/>
      <c r="BV21" s="128"/>
      <c r="BW21" s="128"/>
      <c r="BX21" s="163"/>
      <c r="BY21" s="163"/>
      <c r="BZ21" s="163"/>
    </row>
    <row r="22" spans="2:78" ht="14.1" customHeight="1" x14ac:dyDescent="0.2">
      <c r="B22" s="22"/>
      <c r="C22" s="38"/>
      <c r="D22" s="293"/>
      <c r="E22" s="132"/>
      <c r="F22" s="320"/>
      <c r="G22" s="293"/>
      <c r="H22" s="287"/>
      <c r="I22" s="287"/>
      <c r="J22" s="287"/>
      <c r="K22" s="319"/>
      <c r="L22" s="319"/>
      <c r="M22" s="319"/>
      <c r="N22" s="319"/>
      <c r="O22" s="319"/>
      <c r="P22" s="74"/>
      <c r="Q22" s="205"/>
      <c r="R22" s="205"/>
      <c r="S22" s="317"/>
      <c r="T22" s="317"/>
      <c r="U22" s="317"/>
      <c r="V22" s="317"/>
      <c r="W22" s="317"/>
      <c r="X22" s="317"/>
      <c r="Y22" s="319"/>
      <c r="Z22" s="319"/>
      <c r="AA22" s="319"/>
      <c r="AB22" s="74"/>
      <c r="AC22" s="74"/>
      <c r="AD22" s="74"/>
      <c r="AE22" s="319"/>
      <c r="AF22" s="319"/>
      <c r="AG22" s="319"/>
      <c r="AH22" s="319"/>
      <c r="AI22" s="319"/>
      <c r="AJ22" s="319"/>
      <c r="AK22" s="319"/>
      <c r="AL22" s="321"/>
      <c r="AM22" s="319"/>
      <c r="AN22" s="41"/>
      <c r="AO22" s="19"/>
      <c r="AQ22" s="226"/>
      <c r="AR22" s="150"/>
      <c r="AS22" s="140"/>
      <c r="AT22" s="124"/>
      <c r="AU22" s="150"/>
      <c r="AV22" s="140"/>
      <c r="BC22" s="225"/>
      <c r="BD22" s="197"/>
      <c r="BE22" s="197"/>
      <c r="BF22" s="197"/>
      <c r="BG22" s="140"/>
      <c r="BH22" s="197"/>
      <c r="BI22" s="197"/>
      <c r="BJ22" s="197"/>
      <c r="BK22" s="142"/>
      <c r="BL22" s="174"/>
      <c r="BM22" s="174"/>
      <c r="BN22" s="27"/>
      <c r="BO22" s="27"/>
      <c r="BP22" s="27"/>
      <c r="BQ22" s="27"/>
      <c r="BR22" s="27"/>
      <c r="BS22" s="140"/>
      <c r="BT22" s="140"/>
      <c r="BU22" s="140"/>
      <c r="BV22" s="140"/>
      <c r="BW22" s="27"/>
      <c r="BX22" s="27"/>
      <c r="BY22" s="27"/>
      <c r="BZ22" s="27"/>
    </row>
    <row r="23" spans="2:78" ht="14.1" customHeight="1" x14ac:dyDescent="0.2">
      <c r="B23" s="22"/>
      <c r="C23" s="38"/>
      <c r="D23" s="313"/>
      <c r="E23" s="313"/>
      <c r="F23" s="320"/>
      <c r="G23" s="187"/>
      <c r="H23" s="313"/>
      <c r="I23" s="313"/>
      <c r="J23" s="319"/>
      <c r="K23" s="319"/>
      <c r="L23" s="319"/>
      <c r="M23" s="319"/>
      <c r="N23" s="319"/>
      <c r="O23" s="319"/>
      <c r="P23" s="104"/>
      <c r="Q23" s="104"/>
      <c r="R23" s="104"/>
      <c r="S23" s="314"/>
      <c r="T23" s="314"/>
      <c r="U23" s="314"/>
      <c r="V23" s="314"/>
      <c r="W23" s="314"/>
      <c r="X23" s="314"/>
      <c r="Y23" s="319"/>
      <c r="Z23" s="319"/>
      <c r="AA23" s="319"/>
      <c r="AB23" s="74"/>
      <c r="AC23" s="74"/>
      <c r="AD23" s="74"/>
      <c r="AE23" s="319"/>
      <c r="AF23" s="319"/>
      <c r="AG23" s="319"/>
      <c r="AH23" s="319"/>
      <c r="AI23" s="319"/>
      <c r="AJ23" s="319"/>
      <c r="AK23" s="319"/>
      <c r="AL23" s="70"/>
      <c r="AM23" s="319"/>
      <c r="AN23" s="41"/>
      <c r="AO23" s="19"/>
      <c r="AQ23" s="150"/>
      <c r="AR23" s="143"/>
      <c r="AS23" s="140"/>
      <c r="AT23" s="124"/>
      <c r="AU23" s="150"/>
      <c r="AV23" s="140"/>
      <c r="AW23" s="140"/>
      <c r="AX23" s="140"/>
      <c r="BC23" s="225"/>
      <c r="BD23" s="171"/>
      <c r="BE23" s="171"/>
      <c r="BF23" s="171"/>
      <c r="BG23" s="140"/>
      <c r="BH23" s="171"/>
      <c r="BI23" s="171"/>
      <c r="BJ23" s="171"/>
      <c r="BK23" s="143"/>
      <c r="BL23" s="165"/>
      <c r="BM23" s="165"/>
      <c r="BN23" s="27"/>
      <c r="BO23" s="149"/>
      <c r="BP23" s="27"/>
      <c r="BQ23" s="27"/>
      <c r="BR23" s="27"/>
      <c r="BS23" s="27"/>
      <c r="BT23" s="128"/>
      <c r="BU23" s="128"/>
      <c r="BV23" s="128"/>
      <c r="BW23" s="27"/>
      <c r="BX23" s="27"/>
      <c r="BY23" s="27"/>
      <c r="BZ23" s="27"/>
    </row>
    <row r="24" spans="2:78" ht="14.1" customHeight="1" x14ac:dyDescent="0.2">
      <c r="B24" s="22"/>
      <c r="C24" s="38"/>
      <c r="D24" s="313"/>
      <c r="E24" s="179"/>
      <c r="F24" s="320"/>
      <c r="G24" s="187"/>
      <c r="H24" s="187"/>
      <c r="I24" s="187"/>
      <c r="J24" s="187"/>
      <c r="K24" s="187"/>
      <c r="L24" s="187"/>
      <c r="M24" s="187"/>
      <c r="N24" s="187"/>
      <c r="O24" s="187"/>
      <c r="P24" s="257"/>
      <c r="Q24" s="257"/>
      <c r="R24" s="257"/>
      <c r="S24" s="187"/>
      <c r="T24" s="187"/>
      <c r="U24" s="187"/>
      <c r="V24" s="187"/>
      <c r="W24" s="187"/>
      <c r="X24" s="179"/>
      <c r="Y24" s="179"/>
      <c r="Z24" s="179"/>
      <c r="AA24" s="179"/>
      <c r="AB24" s="256"/>
      <c r="AC24" s="257"/>
      <c r="AD24" s="257"/>
      <c r="AE24" s="179"/>
      <c r="AF24" s="179"/>
      <c r="AG24" s="179"/>
      <c r="AH24" s="179"/>
      <c r="AI24" s="179"/>
      <c r="AJ24" s="179"/>
      <c r="AK24" s="179"/>
      <c r="AL24" s="321"/>
      <c r="AM24" s="179"/>
      <c r="AN24" s="41"/>
      <c r="AO24" s="19"/>
      <c r="AQ24" s="150"/>
      <c r="AR24" s="143"/>
      <c r="AS24" s="227"/>
      <c r="AT24" s="189"/>
      <c r="AU24" s="307"/>
      <c r="AV24" s="189"/>
      <c r="AW24" s="227"/>
      <c r="BC24" s="225"/>
      <c r="BD24" s="126"/>
      <c r="BE24" s="126"/>
      <c r="BF24" s="126"/>
      <c r="BG24" s="140"/>
      <c r="BH24" s="126"/>
      <c r="BI24" s="126"/>
      <c r="BJ24" s="126"/>
      <c r="BK24" s="143"/>
      <c r="BL24" s="165"/>
      <c r="BM24" s="165"/>
      <c r="BN24" s="27"/>
      <c r="BO24" s="149"/>
      <c r="BP24" s="27"/>
      <c r="BQ24" s="27"/>
      <c r="BR24" s="27"/>
      <c r="BS24" s="127"/>
      <c r="BT24" s="128"/>
      <c r="BU24" s="128"/>
      <c r="BV24" s="128"/>
      <c r="BW24" s="27"/>
      <c r="BX24" s="27"/>
      <c r="BY24" s="27"/>
      <c r="BZ24" s="27"/>
    </row>
    <row r="25" spans="2:78" ht="14.1" customHeight="1" x14ac:dyDescent="0.2">
      <c r="B25" s="22"/>
      <c r="C25" s="38"/>
      <c r="D25" s="321"/>
      <c r="E25" s="132"/>
      <c r="F25" s="320"/>
      <c r="G25" s="314"/>
      <c r="H25" s="287"/>
      <c r="I25" s="287"/>
      <c r="J25" s="313"/>
      <c r="K25" s="319"/>
      <c r="L25" s="319"/>
      <c r="M25" s="319"/>
      <c r="N25" s="319"/>
      <c r="O25" s="319"/>
      <c r="P25" s="74"/>
      <c r="Q25" s="74"/>
      <c r="R25" s="74"/>
      <c r="S25" s="318"/>
      <c r="T25" s="318"/>
      <c r="U25" s="318"/>
      <c r="V25" s="318"/>
      <c r="W25" s="318"/>
      <c r="X25" s="318"/>
      <c r="Y25" s="319"/>
      <c r="Z25" s="319"/>
      <c r="AA25" s="319"/>
      <c r="AB25" s="74"/>
      <c r="AC25" s="74"/>
      <c r="AD25" s="74"/>
      <c r="AE25" s="319"/>
      <c r="AF25" s="319"/>
      <c r="AG25" s="319"/>
      <c r="AH25" s="319"/>
      <c r="AI25" s="319"/>
      <c r="AJ25" s="319"/>
      <c r="AK25" s="319"/>
      <c r="AL25" s="319"/>
      <c r="AM25" s="319"/>
      <c r="AN25" s="41"/>
      <c r="AO25" s="19"/>
      <c r="AQ25" s="150"/>
      <c r="AR25" s="143"/>
      <c r="AS25" s="140"/>
      <c r="AT25" s="124"/>
      <c r="AU25" s="228"/>
      <c r="AV25" s="140"/>
      <c r="AW25" s="140"/>
      <c r="AX25" s="227"/>
      <c r="BC25" s="225"/>
      <c r="BD25" s="175"/>
      <c r="BE25" s="175"/>
      <c r="BF25" s="175"/>
      <c r="BG25" s="175"/>
      <c r="BH25" s="175"/>
      <c r="BI25" s="175"/>
      <c r="BJ25" s="175"/>
      <c r="BK25" s="189"/>
      <c r="BL25" s="170"/>
      <c r="BM25" s="170"/>
      <c r="BN25" s="27"/>
      <c r="BO25" s="149"/>
      <c r="BP25" s="27"/>
      <c r="BQ25" s="27"/>
      <c r="BR25" s="27"/>
      <c r="BS25" s="27"/>
      <c r="BT25" s="128"/>
      <c r="BU25" s="128"/>
      <c r="BV25" s="128"/>
      <c r="BW25" s="27"/>
      <c r="BX25" s="27"/>
      <c r="BY25" s="27"/>
      <c r="BZ25" s="27"/>
    </row>
    <row r="26" spans="2:78" ht="14.1" customHeight="1" x14ac:dyDescent="0.2">
      <c r="B26" s="22"/>
      <c r="C26" s="38"/>
      <c r="D26" s="53"/>
      <c r="E26" s="23"/>
      <c r="F26" s="320"/>
      <c r="G26" s="293"/>
      <c r="H26" s="313"/>
      <c r="I26" s="313"/>
      <c r="J26" s="313"/>
      <c r="K26" s="319"/>
      <c r="L26" s="319"/>
      <c r="M26" s="319"/>
      <c r="N26" s="319"/>
      <c r="O26" s="319"/>
      <c r="P26" s="203"/>
      <c r="Q26" s="203"/>
      <c r="R26" s="203"/>
      <c r="S26" s="315"/>
      <c r="T26" s="315"/>
      <c r="U26" s="315"/>
      <c r="V26" s="315"/>
      <c r="W26" s="315"/>
      <c r="X26" s="315"/>
      <c r="Y26" s="319"/>
      <c r="Z26" s="319"/>
      <c r="AA26" s="319"/>
      <c r="AB26" s="76"/>
      <c r="AC26" s="76"/>
      <c r="AD26" s="76"/>
      <c r="AE26" s="319"/>
      <c r="AF26" s="319"/>
      <c r="AG26" s="319"/>
      <c r="AH26" s="319"/>
      <c r="AI26" s="319"/>
      <c r="AJ26" s="319"/>
      <c r="AK26" s="319"/>
      <c r="AL26" s="313"/>
      <c r="AM26" s="319"/>
      <c r="AN26" s="41"/>
      <c r="AO26" s="19"/>
      <c r="AQ26" s="143"/>
      <c r="AR26" s="189"/>
      <c r="AS26" s="35"/>
      <c r="AT26" s="124"/>
      <c r="AU26" s="307"/>
      <c r="AV26" s="189"/>
      <c r="AW26" s="189"/>
      <c r="AX26" s="189"/>
      <c r="BC26" s="225"/>
      <c r="BD26" s="151"/>
      <c r="BE26" s="151"/>
      <c r="BF26" s="151"/>
      <c r="BG26" s="140"/>
      <c r="BH26" s="151"/>
      <c r="BI26" s="151"/>
      <c r="BJ26" s="151"/>
      <c r="BK26" s="307"/>
      <c r="BL26" s="27"/>
      <c r="BM26" s="27"/>
      <c r="BN26" s="27"/>
      <c r="BO26" s="124"/>
      <c r="BP26" s="27"/>
      <c r="BQ26" s="27"/>
      <c r="BR26" s="27"/>
      <c r="BS26" s="176"/>
      <c r="BT26" s="128"/>
      <c r="BU26" s="128"/>
      <c r="BV26" s="128"/>
      <c r="BW26" s="27"/>
      <c r="BX26" s="27"/>
      <c r="BY26" s="27"/>
      <c r="BZ26" s="27"/>
    </row>
    <row r="27" spans="2:78" ht="14.1" customHeight="1" x14ac:dyDescent="0.2">
      <c r="B27" s="22"/>
      <c r="C27" s="38"/>
      <c r="D27" s="53"/>
      <c r="E27" s="23"/>
      <c r="F27" s="320"/>
      <c r="G27" s="53"/>
      <c r="H27" s="319"/>
      <c r="I27" s="319"/>
      <c r="J27" s="319"/>
      <c r="K27" s="319"/>
      <c r="L27" s="319"/>
      <c r="M27" s="319"/>
      <c r="N27" s="319"/>
      <c r="O27" s="287"/>
      <c r="P27" s="255"/>
      <c r="Q27" s="255"/>
      <c r="R27" s="255"/>
      <c r="S27" s="292"/>
      <c r="T27" s="292"/>
      <c r="U27" s="292"/>
      <c r="V27" s="292"/>
      <c r="W27" s="292"/>
      <c r="X27" s="292"/>
      <c r="Y27" s="319"/>
      <c r="Z27" s="319"/>
      <c r="AA27" s="319"/>
      <c r="AB27" s="76"/>
      <c r="AC27" s="76"/>
      <c r="AD27" s="76"/>
      <c r="AE27" s="319"/>
      <c r="AF27" s="319"/>
      <c r="AG27" s="319"/>
      <c r="AH27" s="319"/>
      <c r="AI27" s="319"/>
      <c r="AJ27" s="319"/>
      <c r="AK27" s="319"/>
      <c r="AL27" s="313"/>
      <c r="AM27" s="319"/>
      <c r="AN27" s="41"/>
      <c r="AO27" s="19"/>
      <c r="AQ27" s="143"/>
      <c r="AR27" s="143"/>
      <c r="AS27" s="229"/>
      <c r="AT27" s="124"/>
      <c r="AU27" s="143"/>
      <c r="AV27" s="225"/>
      <c r="AW27" s="225"/>
      <c r="AX27" s="225"/>
      <c r="BC27" s="307"/>
      <c r="BD27" s="176"/>
      <c r="BE27" s="176"/>
      <c r="BF27" s="176"/>
      <c r="BG27" s="176"/>
      <c r="BH27" s="176"/>
      <c r="BI27" s="176"/>
      <c r="BJ27" s="176"/>
      <c r="BK27" s="30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</row>
    <row r="28" spans="2:78" ht="14.1" customHeight="1" x14ac:dyDescent="0.2">
      <c r="B28" s="22"/>
      <c r="C28" s="38"/>
      <c r="D28" s="53"/>
      <c r="E28" s="23"/>
      <c r="F28" s="320"/>
      <c r="G28" s="53"/>
      <c r="H28" s="319"/>
      <c r="I28" s="319"/>
      <c r="J28" s="319"/>
      <c r="K28" s="319"/>
      <c r="L28" s="319"/>
      <c r="M28" s="319"/>
      <c r="N28" s="319"/>
      <c r="O28" s="319"/>
      <c r="P28" s="76"/>
      <c r="Q28" s="76"/>
      <c r="R28" s="76"/>
      <c r="S28" s="291"/>
      <c r="T28" s="291"/>
      <c r="U28" s="291"/>
      <c r="V28" s="291"/>
      <c r="W28" s="291"/>
      <c r="X28" s="291"/>
      <c r="Y28" s="319"/>
      <c r="Z28" s="319"/>
      <c r="AA28" s="319"/>
      <c r="AB28" s="76"/>
      <c r="AC28" s="76"/>
      <c r="AD28" s="76"/>
      <c r="AE28" s="319"/>
      <c r="AF28" s="319"/>
      <c r="AG28" s="319"/>
      <c r="AH28" s="319"/>
      <c r="AI28" s="319"/>
      <c r="AJ28" s="319"/>
      <c r="AK28" s="319"/>
      <c r="AL28" s="313"/>
      <c r="AM28" s="319"/>
      <c r="AN28" s="41"/>
      <c r="AO28" s="19"/>
      <c r="AQ28" s="143"/>
      <c r="AR28" s="150"/>
      <c r="AS28" s="229"/>
      <c r="AT28" s="124"/>
      <c r="AU28" s="230"/>
      <c r="AV28" s="225"/>
      <c r="AW28" s="225"/>
      <c r="AX28" s="225"/>
      <c r="AY28" s="225"/>
      <c r="AZ28" s="225"/>
      <c r="BA28" s="225"/>
      <c r="BB28" s="225"/>
      <c r="BC28" s="225"/>
      <c r="BD28" s="27"/>
      <c r="BE28" s="27"/>
      <c r="BF28" s="27"/>
      <c r="BG28" s="127"/>
      <c r="BH28" s="127"/>
      <c r="BI28" s="127"/>
      <c r="BJ28" s="127"/>
      <c r="BK28" s="30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</row>
    <row r="29" spans="2:78" ht="14.1" customHeight="1" x14ac:dyDescent="0.2">
      <c r="B29" s="22"/>
      <c r="C29" s="38"/>
      <c r="D29" s="293"/>
      <c r="E29" s="23"/>
      <c r="F29" s="320"/>
      <c r="G29" s="53"/>
      <c r="H29" s="48"/>
      <c r="I29" s="48"/>
      <c r="J29" s="48"/>
      <c r="K29" s="187"/>
      <c r="L29" s="319"/>
      <c r="M29" s="319"/>
      <c r="N29" s="319"/>
      <c r="O29" s="319"/>
      <c r="P29" s="202"/>
      <c r="Q29" s="202"/>
      <c r="R29" s="202"/>
      <c r="S29" s="314"/>
      <c r="T29" s="314"/>
      <c r="U29" s="314"/>
      <c r="V29" s="314"/>
      <c r="W29" s="314"/>
      <c r="X29" s="314"/>
      <c r="Y29" s="319"/>
      <c r="Z29" s="319"/>
      <c r="AA29" s="319"/>
      <c r="AB29" s="74"/>
      <c r="AC29" s="74"/>
      <c r="AD29" s="74"/>
      <c r="AE29" s="319"/>
      <c r="AF29" s="319"/>
      <c r="AG29" s="319"/>
      <c r="AH29" s="319"/>
      <c r="AI29" s="319"/>
      <c r="AJ29" s="319"/>
      <c r="AK29" s="319"/>
      <c r="AL29" s="313"/>
      <c r="AM29" s="319"/>
      <c r="AN29" s="41"/>
      <c r="AO29" s="19"/>
      <c r="AQ29" s="189"/>
      <c r="AR29" s="150"/>
      <c r="AS29" s="140"/>
      <c r="AT29" s="124"/>
      <c r="AU29" s="307"/>
      <c r="AV29" s="225"/>
      <c r="BC29" s="225"/>
      <c r="BD29" s="27"/>
      <c r="BE29" s="27"/>
      <c r="BF29" s="27"/>
      <c r="BG29" s="127"/>
      <c r="BH29" s="127"/>
      <c r="BI29" s="127"/>
      <c r="BJ29" s="127"/>
      <c r="BK29" s="30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</row>
    <row r="30" spans="2:78" ht="14.1" customHeight="1" x14ac:dyDescent="0.2">
      <c r="B30" s="22"/>
      <c r="C30" s="38"/>
      <c r="D30" s="70"/>
      <c r="E30" s="132"/>
      <c r="F30" s="320"/>
      <c r="G30" s="183"/>
      <c r="H30" s="319"/>
      <c r="I30" s="319"/>
      <c r="J30" s="319"/>
      <c r="K30" s="319"/>
      <c r="L30" s="319"/>
      <c r="M30" s="319"/>
      <c r="N30" s="319"/>
      <c r="O30" s="319"/>
      <c r="P30" s="202"/>
      <c r="Q30" s="201"/>
      <c r="R30" s="201"/>
      <c r="S30" s="314"/>
      <c r="T30" s="314"/>
      <c r="U30" s="314"/>
      <c r="V30" s="314"/>
      <c r="W30" s="314"/>
      <c r="X30" s="314"/>
      <c r="Y30" s="319"/>
      <c r="Z30" s="319"/>
      <c r="AA30" s="319"/>
      <c r="AB30" s="74"/>
      <c r="AC30" s="74"/>
      <c r="AD30" s="74"/>
      <c r="AE30" s="319"/>
      <c r="AF30" s="319"/>
      <c r="AG30" s="319"/>
      <c r="AH30" s="319"/>
      <c r="AI30" s="319"/>
      <c r="AJ30" s="319"/>
      <c r="AK30" s="319"/>
      <c r="AL30" s="224"/>
      <c r="AM30" s="319"/>
      <c r="AN30" s="41"/>
      <c r="AO30" s="19"/>
      <c r="AQ30" s="143"/>
      <c r="AR30" s="27"/>
      <c r="AS30" s="128"/>
      <c r="AT30" s="124"/>
      <c r="AU30" s="150"/>
      <c r="BC30" s="225"/>
      <c r="BD30" s="141"/>
      <c r="BE30" s="141"/>
      <c r="BF30" s="141"/>
      <c r="BG30" s="141"/>
      <c r="BH30" s="141"/>
      <c r="BI30" s="141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</row>
    <row r="31" spans="2:78" ht="14.1" customHeight="1" x14ac:dyDescent="0.2">
      <c r="B31" s="22"/>
      <c r="C31" s="38"/>
      <c r="D31" s="244"/>
      <c r="E31" s="320"/>
      <c r="F31" s="320"/>
      <c r="G31" s="314"/>
      <c r="H31" s="242"/>
      <c r="I31" s="242"/>
      <c r="J31" s="242"/>
      <c r="K31" s="242"/>
      <c r="L31" s="242"/>
      <c r="M31" s="242"/>
      <c r="N31" s="242"/>
      <c r="O31" s="287"/>
      <c r="P31" s="74"/>
      <c r="Q31" s="74"/>
      <c r="R31" s="74"/>
      <c r="S31" s="291"/>
      <c r="T31" s="291"/>
      <c r="U31" s="291"/>
      <c r="V31" s="291"/>
      <c r="W31" s="291"/>
      <c r="X31" s="291"/>
      <c r="Y31" s="287"/>
      <c r="Z31" s="287"/>
      <c r="AA31" s="287"/>
      <c r="AB31" s="74"/>
      <c r="AC31" s="74"/>
      <c r="AD31" s="74"/>
      <c r="AE31" s="162"/>
      <c r="AF31" s="291"/>
      <c r="AG31" s="291"/>
      <c r="AH31" s="313"/>
      <c r="AI31" s="287"/>
      <c r="AJ31" s="287"/>
      <c r="AK31" s="287"/>
      <c r="AL31" s="224"/>
      <c r="AM31" s="287"/>
      <c r="AN31" s="41"/>
      <c r="AO31" s="19"/>
      <c r="AQ31" s="150"/>
      <c r="AR31" s="124"/>
      <c r="AS31" s="124"/>
      <c r="AT31" s="124"/>
      <c r="AU31" s="225"/>
      <c r="BC31" s="307"/>
      <c r="BD31" s="27"/>
      <c r="BE31" s="27"/>
      <c r="BF31" s="128"/>
      <c r="BG31" s="128"/>
      <c r="BH31" s="141"/>
      <c r="BI31" s="141"/>
      <c r="BJ31" s="27"/>
      <c r="BK31" s="27"/>
      <c r="BL31" s="27"/>
      <c r="BM31" s="27"/>
      <c r="BN31" s="27"/>
      <c r="BO31" s="140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</row>
    <row r="32" spans="2:78" ht="14.1" customHeight="1" x14ac:dyDescent="0.2">
      <c r="B32" s="22"/>
      <c r="C32" s="38"/>
      <c r="D32" s="313"/>
      <c r="E32" s="134"/>
      <c r="F32" s="320"/>
      <c r="G32" s="287"/>
      <c r="H32" s="313"/>
      <c r="I32" s="242"/>
      <c r="J32" s="242"/>
      <c r="K32" s="242"/>
      <c r="L32" s="242"/>
      <c r="M32" s="242"/>
      <c r="N32" s="242"/>
      <c r="O32" s="287"/>
      <c r="P32" s="204"/>
      <c r="Q32" s="204"/>
      <c r="R32" s="204"/>
      <c r="S32" s="324"/>
      <c r="T32" s="324"/>
      <c r="U32" s="324"/>
      <c r="V32" s="324"/>
      <c r="W32" s="324"/>
      <c r="X32" s="324"/>
      <c r="Y32" s="288"/>
      <c r="Z32" s="288"/>
      <c r="AA32" s="288"/>
      <c r="AB32" s="74"/>
      <c r="AC32" s="74"/>
      <c r="AD32" s="74"/>
      <c r="AE32" s="242"/>
      <c r="AF32" s="242"/>
      <c r="AG32" s="242"/>
      <c r="AH32" s="242"/>
      <c r="AI32" s="287"/>
      <c r="AJ32" s="287"/>
      <c r="AK32" s="287"/>
      <c r="AL32" s="224"/>
      <c r="AM32" s="287"/>
      <c r="AN32" s="41"/>
      <c r="AO32" s="19"/>
      <c r="AR32" s="307"/>
      <c r="AT32" s="225"/>
      <c r="BC32" s="307"/>
      <c r="BD32" s="27"/>
      <c r="BE32" s="27"/>
      <c r="BF32" s="65"/>
      <c r="BG32" s="65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</row>
    <row r="33" spans="2:78" ht="14.1" customHeight="1" x14ac:dyDescent="0.2">
      <c r="B33" s="22"/>
      <c r="C33" s="38"/>
      <c r="D33" s="293"/>
      <c r="E33" s="184"/>
      <c r="F33" s="320"/>
      <c r="G33" s="293"/>
      <c r="H33" s="319"/>
      <c r="I33" s="319"/>
      <c r="J33" s="242"/>
      <c r="K33" s="242"/>
      <c r="L33" s="242"/>
      <c r="M33" s="242"/>
      <c r="N33" s="242"/>
      <c r="O33" s="287"/>
      <c r="P33" s="106"/>
      <c r="Q33" s="219"/>
      <c r="R33" s="219"/>
      <c r="S33" s="309"/>
      <c r="T33" s="309"/>
      <c r="U33" s="309"/>
      <c r="V33" s="309"/>
      <c r="W33" s="309"/>
      <c r="X33" s="309"/>
      <c r="Y33" s="291"/>
      <c r="Z33" s="291"/>
      <c r="AA33" s="291"/>
      <c r="AB33" s="256"/>
      <c r="AC33" s="257"/>
      <c r="AD33" s="257"/>
      <c r="AE33" s="291"/>
      <c r="AF33" s="291"/>
      <c r="AG33" s="291"/>
      <c r="AH33" s="313"/>
      <c r="AI33" s="287"/>
      <c r="AJ33" s="287"/>
      <c r="AK33" s="287"/>
      <c r="AL33" s="320"/>
      <c r="AM33" s="287"/>
      <c r="AN33" s="41"/>
      <c r="AO33" s="19"/>
      <c r="AQ33" s="27"/>
      <c r="AR33" s="307"/>
      <c r="AT33" s="225"/>
      <c r="BC33" s="307"/>
      <c r="BD33" s="133"/>
      <c r="BE33" s="133"/>
      <c r="BF33" s="133"/>
      <c r="BG33" s="178"/>
      <c r="BH33" s="127"/>
      <c r="BI33" s="128"/>
      <c r="BJ33" s="27"/>
      <c r="BK33" s="27"/>
      <c r="BL33" s="27"/>
      <c r="BM33" s="27"/>
      <c r="BN33" s="27"/>
      <c r="BO33" s="177"/>
      <c r="BP33" s="140"/>
      <c r="BQ33" s="307"/>
      <c r="BR33" s="143"/>
      <c r="BS33" s="27"/>
      <c r="BT33" s="27"/>
      <c r="BU33" s="27"/>
      <c r="BV33" s="307"/>
      <c r="BW33" s="155"/>
      <c r="BX33" s="26"/>
      <c r="BY33" s="26"/>
      <c r="BZ33" s="177"/>
    </row>
    <row r="34" spans="2:78" ht="14.1" customHeight="1" x14ac:dyDescent="0.2">
      <c r="B34" s="22"/>
      <c r="C34" s="38"/>
      <c r="D34" s="53"/>
      <c r="E34" s="184"/>
      <c r="F34" s="320"/>
      <c r="G34" s="185"/>
      <c r="H34" s="319"/>
      <c r="I34" s="319"/>
      <c r="J34" s="319"/>
      <c r="K34" s="319"/>
      <c r="L34" s="319"/>
      <c r="M34" s="319"/>
      <c r="N34" s="319"/>
      <c r="O34" s="242"/>
      <c r="P34" s="258"/>
      <c r="Q34" s="258"/>
      <c r="R34" s="258"/>
      <c r="S34" s="242"/>
      <c r="T34" s="242"/>
      <c r="U34" s="242"/>
      <c r="V34" s="242"/>
      <c r="W34" s="242"/>
      <c r="X34" s="242"/>
      <c r="Y34" s="242"/>
      <c r="Z34" s="242"/>
      <c r="AA34" s="242"/>
      <c r="AB34" s="258"/>
      <c r="AC34" s="258"/>
      <c r="AD34" s="258"/>
      <c r="AE34" s="242"/>
      <c r="AF34" s="242"/>
      <c r="AG34" s="242"/>
      <c r="AH34" s="242"/>
      <c r="AI34" s="242"/>
      <c r="AJ34" s="242"/>
      <c r="AK34" s="242"/>
      <c r="AL34" s="313"/>
      <c r="AM34" s="242"/>
      <c r="AN34" s="41"/>
      <c r="AO34" s="19"/>
      <c r="AQ34" s="124"/>
      <c r="AR34" s="124"/>
      <c r="AS34" s="124"/>
      <c r="AT34" s="225"/>
      <c r="AU34" s="124"/>
      <c r="AV34" s="124"/>
      <c r="AW34" s="124"/>
      <c r="AX34" s="124"/>
      <c r="AY34" s="307"/>
      <c r="AZ34" s="307"/>
      <c r="BA34" s="307"/>
    </row>
    <row r="35" spans="2:78" ht="14.1" customHeight="1" x14ac:dyDescent="0.2">
      <c r="B35" s="22"/>
      <c r="C35" s="38"/>
      <c r="D35" s="53"/>
      <c r="E35" s="23"/>
      <c r="F35" s="320"/>
      <c r="G35" s="287"/>
      <c r="H35" s="319"/>
      <c r="I35" s="179"/>
      <c r="J35" s="179"/>
      <c r="K35" s="179"/>
      <c r="L35" s="179"/>
      <c r="M35" s="179"/>
      <c r="N35" s="179"/>
      <c r="O35" s="179"/>
      <c r="P35" s="258"/>
      <c r="Q35" s="258"/>
      <c r="R35" s="258"/>
      <c r="S35" s="179"/>
      <c r="T35" s="179"/>
      <c r="U35" s="179"/>
      <c r="V35" s="179"/>
      <c r="W35" s="179"/>
      <c r="X35" s="179"/>
      <c r="Y35" s="179"/>
      <c r="Z35" s="179"/>
      <c r="AA35" s="179"/>
      <c r="AB35" s="258"/>
      <c r="AC35" s="257"/>
      <c r="AD35" s="257"/>
      <c r="AE35" s="179"/>
      <c r="AF35" s="179"/>
      <c r="AG35" s="179"/>
      <c r="AH35" s="179"/>
      <c r="AI35" s="179"/>
      <c r="AJ35" s="179"/>
      <c r="AK35" s="179"/>
      <c r="AL35" s="313"/>
      <c r="AM35" s="179"/>
      <c r="AN35" s="41"/>
      <c r="AO35" s="19"/>
      <c r="AQ35" s="307"/>
      <c r="AR35" s="225"/>
      <c r="AS35" s="225"/>
      <c r="AT35" s="225"/>
      <c r="AU35" s="225"/>
      <c r="AV35" s="225"/>
      <c r="AW35" s="225"/>
      <c r="AX35" s="225"/>
      <c r="AY35" s="307"/>
      <c r="AZ35" s="307"/>
      <c r="BA35" s="307"/>
    </row>
    <row r="36" spans="2:78" ht="14.1" customHeight="1" x14ac:dyDescent="0.2">
      <c r="B36" s="22"/>
      <c r="C36" s="38"/>
      <c r="D36" s="45"/>
      <c r="E36" s="139"/>
      <c r="F36" s="320"/>
      <c r="G36" s="53"/>
      <c r="H36" s="179"/>
      <c r="I36" s="179"/>
      <c r="J36" s="179"/>
      <c r="K36" s="179"/>
      <c r="L36" s="179"/>
      <c r="M36" s="179"/>
      <c r="N36" s="179"/>
      <c r="O36" s="179"/>
      <c r="P36" s="256"/>
      <c r="Q36" s="256"/>
      <c r="R36" s="256"/>
      <c r="S36" s="179"/>
      <c r="T36" s="179"/>
      <c r="U36" s="179"/>
      <c r="V36" s="179"/>
      <c r="W36" s="179"/>
      <c r="X36" s="179"/>
      <c r="Y36" s="179"/>
      <c r="Z36" s="179"/>
      <c r="AA36" s="179"/>
      <c r="AB36" s="256"/>
      <c r="AC36" s="256"/>
      <c r="AD36" s="256"/>
      <c r="AE36" s="179"/>
      <c r="AF36" s="179"/>
      <c r="AG36" s="179"/>
      <c r="AH36" s="179"/>
      <c r="AI36" s="179"/>
      <c r="AJ36" s="179"/>
      <c r="AK36" s="179"/>
      <c r="AL36" s="321"/>
      <c r="AM36" s="179"/>
      <c r="AN36" s="41"/>
      <c r="AO36" s="19"/>
      <c r="AQ36" s="307"/>
      <c r="AR36" s="225"/>
      <c r="AS36" s="225"/>
      <c r="AT36" s="225"/>
      <c r="AU36" s="225"/>
      <c r="AV36" s="225"/>
      <c r="AW36" s="225"/>
      <c r="AX36" s="225"/>
      <c r="AY36" s="307"/>
      <c r="AZ36" s="307"/>
      <c r="BA36" s="307"/>
    </row>
    <row r="37" spans="2:78" ht="14.1" customHeight="1" x14ac:dyDescent="0.2">
      <c r="B37" s="22"/>
      <c r="C37" s="38"/>
      <c r="D37" s="287"/>
      <c r="E37" s="319"/>
      <c r="F37" s="319"/>
      <c r="G37" s="319"/>
      <c r="H37" s="319"/>
      <c r="I37" s="319"/>
      <c r="J37" s="319"/>
      <c r="K37" s="319"/>
      <c r="L37" s="179"/>
      <c r="M37" s="179"/>
      <c r="N37" s="179"/>
      <c r="O37" s="179"/>
      <c r="P37" s="257"/>
      <c r="Q37" s="257"/>
      <c r="R37" s="257"/>
      <c r="S37" s="179"/>
      <c r="T37" s="179"/>
      <c r="U37" s="179"/>
      <c r="V37" s="179"/>
      <c r="W37" s="179"/>
      <c r="X37" s="179"/>
      <c r="Y37" s="179"/>
      <c r="Z37" s="179"/>
      <c r="AA37" s="179"/>
      <c r="AB37" s="257"/>
      <c r="AC37" s="257"/>
      <c r="AD37" s="257"/>
      <c r="AE37" s="179"/>
      <c r="AF37" s="179"/>
      <c r="AG37" s="179"/>
      <c r="AH37" s="179"/>
      <c r="AI37" s="179"/>
      <c r="AJ37" s="179"/>
      <c r="AK37" s="179"/>
      <c r="AL37" s="321"/>
      <c r="AM37" s="179"/>
      <c r="AN37" s="66"/>
      <c r="AO37" s="19"/>
    </row>
    <row r="38" spans="2:78" ht="14.1" customHeight="1" x14ac:dyDescent="0.2">
      <c r="B38" s="22"/>
      <c r="C38" s="38"/>
      <c r="D38" s="287"/>
      <c r="E38" s="319"/>
      <c r="F38" s="319"/>
      <c r="G38" s="319"/>
      <c r="H38" s="319"/>
      <c r="I38" s="319"/>
      <c r="J38" s="319"/>
      <c r="K38" s="319"/>
      <c r="L38" s="179"/>
      <c r="M38" s="179"/>
      <c r="N38" s="179"/>
      <c r="O38" s="179"/>
      <c r="P38" s="257"/>
      <c r="Q38" s="257"/>
      <c r="R38" s="257"/>
      <c r="S38" s="179"/>
      <c r="T38" s="179"/>
      <c r="U38" s="179"/>
      <c r="V38" s="179"/>
      <c r="W38" s="179"/>
      <c r="X38" s="179"/>
      <c r="Y38" s="179"/>
      <c r="Z38" s="179"/>
      <c r="AA38" s="179"/>
      <c r="AB38" s="257"/>
      <c r="AC38" s="257"/>
      <c r="AD38" s="257"/>
      <c r="AE38" s="179"/>
      <c r="AF38" s="179"/>
      <c r="AG38" s="179"/>
      <c r="AH38" s="179"/>
      <c r="AI38" s="179"/>
      <c r="AJ38" s="179"/>
      <c r="AK38" s="179"/>
      <c r="AL38" s="321"/>
      <c r="AM38" s="179"/>
      <c r="AN38" s="41"/>
      <c r="AO38" s="19"/>
    </row>
    <row r="39" spans="2:78" ht="14.1" customHeight="1" x14ac:dyDescent="0.2">
      <c r="B39" s="22"/>
      <c r="C39" s="38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79"/>
      <c r="S39" s="179"/>
      <c r="T39" s="179"/>
      <c r="U39" s="179"/>
      <c r="V39" s="179"/>
      <c r="W39" s="179"/>
      <c r="X39" s="179"/>
      <c r="Y39" s="179"/>
      <c r="Z39" s="179"/>
      <c r="AA39" s="179"/>
      <c r="AB39" s="179"/>
      <c r="AC39" s="179"/>
      <c r="AD39" s="179"/>
      <c r="AE39" s="179"/>
      <c r="AF39" s="179"/>
      <c r="AG39" s="179"/>
      <c r="AH39" s="179"/>
      <c r="AI39" s="179"/>
      <c r="AJ39" s="179"/>
      <c r="AK39" s="179"/>
      <c r="AL39" s="179"/>
      <c r="AM39" s="179"/>
      <c r="AN39" s="66"/>
      <c r="AO39" s="19"/>
      <c r="AV39" s="16" t="s">
        <v>127</v>
      </c>
    </row>
    <row r="40" spans="2:78" ht="14.1" customHeight="1" x14ac:dyDescent="0.2">
      <c r="B40" s="22"/>
      <c r="C40" s="38"/>
      <c r="D40" s="49"/>
      <c r="E40" s="287"/>
      <c r="F40" s="287"/>
      <c r="G40" s="287"/>
      <c r="H40" s="287"/>
      <c r="I40" s="287"/>
      <c r="J40" s="287"/>
      <c r="K40" s="287"/>
      <c r="L40" s="287"/>
      <c r="M40" s="287"/>
      <c r="N40" s="287"/>
      <c r="O40" s="287"/>
      <c r="P40" s="287"/>
      <c r="Q40" s="287"/>
      <c r="R40" s="287"/>
      <c r="S40" s="287"/>
      <c r="T40" s="287"/>
      <c r="U40" s="287"/>
      <c r="V40" s="287"/>
      <c r="W40" s="287"/>
      <c r="X40" s="287"/>
      <c r="Y40" s="287"/>
      <c r="Z40" s="287"/>
      <c r="AA40" s="287"/>
      <c r="AB40" s="287"/>
      <c r="AC40" s="287"/>
      <c r="AD40" s="287"/>
      <c r="AE40" s="287"/>
      <c r="AF40" s="287"/>
      <c r="AG40" s="287"/>
      <c r="AH40" s="287"/>
      <c r="AI40" s="287"/>
      <c r="AJ40" s="287"/>
      <c r="AK40" s="287"/>
      <c r="AL40" s="287"/>
      <c r="AM40" s="287"/>
      <c r="AN40" s="41"/>
      <c r="AO40" s="19"/>
    </row>
    <row r="41" spans="2:78" ht="14.1" customHeight="1" x14ac:dyDescent="0.2">
      <c r="B41" s="22"/>
      <c r="C41" s="38"/>
      <c r="D41" s="308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319"/>
      <c r="P41" s="308"/>
      <c r="Q41" s="23"/>
      <c r="R41" s="23"/>
      <c r="S41" s="23"/>
      <c r="T41" s="23"/>
      <c r="U41" s="23"/>
      <c r="V41" s="23"/>
      <c r="W41" s="23"/>
      <c r="X41" s="23"/>
      <c r="Y41" s="179"/>
      <c r="Z41" s="179"/>
      <c r="AA41" s="179"/>
      <c r="AB41" s="308"/>
      <c r="AC41" s="23"/>
      <c r="AD41" s="23"/>
      <c r="AE41" s="179"/>
      <c r="AF41" s="179"/>
      <c r="AG41" s="179"/>
      <c r="AH41" s="287"/>
      <c r="AI41" s="287"/>
      <c r="AJ41" s="287"/>
      <c r="AK41" s="287"/>
      <c r="AL41" s="154"/>
      <c r="AM41" s="154"/>
      <c r="AN41" s="41"/>
      <c r="AO41" s="19"/>
    </row>
    <row r="42" spans="2:78" ht="14.1" customHeight="1" x14ac:dyDescent="0.2">
      <c r="B42" s="22"/>
      <c r="C42" s="38"/>
      <c r="D42" s="268"/>
      <c r="E42" s="187"/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259"/>
      <c r="Q42" s="259"/>
      <c r="R42" s="259"/>
      <c r="S42" s="187"/>
      <c r="T42" s="187"/>
      <c r="U42" s="187"/>
      <c r="V42" s="187"/>
      <c r="W42" s="187"/>
      <c r="X42" s="187"/>
      <c r="Y42" s="187"/>
      <c r="Z42" s="187"/>
      <c r="AA42" s="187"/>
      <c r="AB42" s="187"/>
      <c r="AC42" s="187"/>
      <c r="AD42" s="187"/>
      <c r="AE42" s="187"/>
      <c r="AF42" s="187"/>
      <c r="AG42" s="187"/>
      <c r="AH42" s="187"/>
      <c r="AI42" s="187"/>
      <c r="AJ42" s="187"/>
      <c r="AK42" s="187"/>
      <c r="AL42" s="314"/>
      <c r="AM42" s="269"/>
      <c r="AN42" s="41"/>
      <c r="AO42" s="19"/>
    </row>
    <row r="43" spans="2:78" ht="14.1" customHeight="1" x14ac:dyDescent="0.2">
      <c r="B43" s="22"/>
      <c r="C43" s="38"/>
      <c r="D43" s="321"/>
      <c r="E43" s="187"/>
      <c r="F43" s="187"/>
      <c r="G43" s="314"/>
      <c r="H43" s="187"/>
      <c r="I43" s="187"/>
      <c r="J43" s="187"/>
      <c r="K43" s="187"/>
      <c r="L43" s="187"/>
      <c r="M43" s="187"/>
      <c r="N43" s="187"/>
      <c r="O43" s="187"/>
      <c r="P43" s="376"/>
      <c r="Q43" s="376"/>
      <c r="R43" s="376"/>
      <c r="S43" s="187"/>
      <c r="T43" s="187"/>
      <c r="U43" s="187"/>
      <c r="V43" s="187"/>
      <c r="W43" s="187"/>
      <c r="X43" s="187"/>
      <c r="Y43" s="187"/>
      <c r="Z43" s="187"/>
      <c r="AA43" s="187"/>
      <c r="AB43" s="259"/>
      <c r="AC43" s="259"/>
      <c r="AD43" s="259"/>
      <c r="AE43" s="187"/>
      <c r="AF43" s="187"/>
      <c r="AG43" s="187"/>
      <c r="AH43" s="187"/>
      <c r="AI43" s="187"/>
      <c r="AJ43" s="187"/>
      <c r="AK43" s="187"/>
      <c r="AL43" s="314"/>
      <c r="AM43" s="269"/>
      <c r="AN43" s="41"/>
      <c r="AO43" s="19"/>
    </row>
    <row r="44" spans="2:78" ht="14.1" customHeight="1" x14ac:dyDescent="0.2">
      <c r="B44" s="22"/>
      <c r="C44" s="38"/>
      <c r="D44" s="53"/>
      <c r="E44" s="187"/>
      <c r="F44" s="187"/>
      <c r="G44" s="53"/>
      <c r="H44" s="45"/>
      <c r="I44" s="45"/>
      <c r="J44" s="45"/>
      <c r="K44" s="187"/>
      <c r="L44" s="187"/>
      <c r="M44" s="187"/>
      <c r="N44" s="187"/>
      <c r="O44" s="187"/>
      <c r="P44" s="376"/>
      <c r="Q44" s="376"/>
      <c r="R44" s="376"/>
      <c r="S44" s="187"/>
      <c r="T44" s="187"/>
      <c r="U44" s="187"/>
      <c r="V44" s="187"/>
      <c r="W44" s="187"/>
      <c r="X44" s="187"/>
      <c r="Y44" s="187"/>
      <c r="Z44" s="187"/>
      <c r="AA44" s="187"/>
      <c r="AB44" s="259"/>
      <c r="AC44" s="259"/>
      <c r="AD44" s="259"/>
      <c r="AE44" s="187"/>
      <c r="AF44" s="187"/>
      <c r="AG44" s="187"/>
      <c r="AH44" s="187"/>
      <c r="AI44" s="187"/>
      <c r="AJ44" s="187"/>
      <c r="AK44" s="187"/>
      <c r="AL44" s="245"/>
      <c r="AM44" s="269"/>
      <c r="AN44" s="41"/>
      <c r="AO44" s="19"/>
    </row>
    <row r="45" spans="2:78" ht="14.1" customHeight="1" x14ac:dyDescent="0.2">
      <c r="B45" s="22"/>
      <c r="C45" s="38"/>
      <c r="D45" s="246"/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259"/>
      <c r="Q45" s="259"/>
      <c r="R45" s="259"/>
      <c r="S45" s="187"/>
      <c r="T45" s="187"/>
      <c r="U45" s="187"/>
      <c r="V45" s="187"/>
      <c r="W45" s="187"/>
      <c r="X45" s="187"/>
      <c r="Y45" s="187"/>
      <c r="Z45" s="187"/>
      <c r="AA45" s="187"/>
      <c r="AB45" s="327"/>
      <c r="AC45" s="327"/>
      <c r="AD45" s="327"/>
      <c r="AE45" s="187"/>
      <c r="AF45" s="187"/>
      <c r="AG45" s="187"/>
      <c r="AH45" s="187"/>
      <c r="AI45" s="187"/>
      <c r="AJ45" s="187"/>
      <c r="AK45" s="187"/>
      <c r="AL45" s="187"/>
      <c r="AM45" s="179"/>
      <c r="AN45" s="41"/>
      <c r="AO45" s="19"/>
    </row>
    <row r="46" spans="2:78" ht="14.1" customHeight="1" x14ac:dyDescent="0.2">
      <c r="B46" s="22"/>
      <c r="C46" s="38"/>
      <c r="D46" s="321"/>
      <c r="E46" s="179"/>
      <c r="F46" s="320"/>
      <c r="G46" s="313"/>
      <c r="H46" s="179"/>
      <c r="I46" s="187"/>
      <c r="J46" s="187"/>
      <c r="K46" s="187"/>
      <c r="L46" s="187"/>
      <c r="M46" s="187"/>
      <c r="N46" s="187"/>
      <c r="O46" s="187"/>
      <c r="P46" s="259"/>
      <c r="Q46" s="259"/>
      <c r="R46" s="259"/>
      <c r="S46" s="187"/>
      <c r="T46" s="187"/>
      <c r="U46" s="187"/>
      <c r="V46" s="187"/>
      <c r="W46" s="187"/>
      <c r="X46" s="187"/>
      <c r="Y46" s="187"/>
      <c r="Z46" s="187"/>
      <c r="AA46" s="187"/>
      <c r="AB46" s="259"/>
      <c r="AC46" s="259"/>
      <c r="AD46" s="259"/>
      <c r="AE46" s="187"/>
      <c r="AF46" s="187"/>
      <c r="AG46" s="187"/>
      <c r="AH46" s="187"/>
      <c r="AI46" s="187"/>
      <c r="AJ46" s="187"/>
      <c r="AK46" s="187"/>
      <c r="AL46" s="187"/>
      <c r="AM46" s="179"/>
      <c r="AN46" s="41"/>
      <c r="AO46" s="19"/>
    </row>
    <row r="47" spans="2:78" ht="14.1" customHeight="1" x14ac:dyDescent="0.2">
      <c r="B47" s="22"/>
      <c r="C47" s="38"/>
      <c r="D47" s="187"/>
      <c r="E47" s="48"/>
      <c r="F47" s="320"/>
      <c r="G47" s="313"/>
      <c r="H47" s="48"/>
      <c r="I47" s="48"/>
      <c r="J47" s="48"/>
      <c r="K47" s="48"/>
      <c r="L47" s="48"/>
      <c r="M47" s="48"/>
      <c r="N47" s="48"/>
      <c r="O47" s="45"/>
      <c r="P47" s="45"/>
      <c r="Q47" s="45"/>
      <c r="R47" s="45"/>
      <c r="S47" s="45"/>
      <c r="T47" s="48"/>
      <c r="U47" s="48"/>
      <c r="V47" s="45"/>
      <c r="W47" s="45"/>
      <c r="X47" s="45"/>
      <c r="Y47" s="45"/>
      <c r="Z47" s="45"/>
      <c r="AA47" s="48"/>
      <c r="AB47" s="260"/>
      <c r="AC47" s="260"/>
      <c r="AD47" s="260"/>
      <c r="AE47" s="45"/>
      <c r="AF47" s="45"/>
      <c r="AG47" s="45"/>
      <c r="AH47" s="48"/>
      <c r="AI47" s="48"/>
      <c r="AJ47" s="48"/>
      <c r="AK47" s="48"/>
      <c r="AL47" s="187"/>
      <c r="AM47" s="23"/>
      <c r="AN47" s="41"/>
      <c r="AO47" s="19"/>
    </row>
    <row r="48" spans="2:78" ht="14.1" customHeight="1" x14ac:dyDescent="0.2">
      <c r="B48" s="22"/>
      <c r="C48" s="38"/>
      <c r="D48" s="313"/>
      <c r="E48" s="179"/>
      <c r="F48" s="320"/>
      <c r="G48" s="187"/>
      <c r="H48" s="179"/>
      <c r="I48" s="179"/>
      <c r="J48" s="179"/>
      <c r="K48" s="179"/>
      <c r="L48" s="179"/>
      <c r="M48" s="179"/>
      <c r="N48" s="179"/>
      <c r="O48" s="179"/>
      <c r="P48" s="199"/>
      <c r="Q48" s="199"/>
      <c r="R48" s="199"/>
      <c r="S48" s="179"/>
      <c r="T48" s="179"/>
      <c r="U48" s="179"/>
      <c r="V48" s="179"/>
      <c r="W48" s="179"/>
      <c r="X48" s="179"/>
      <c r="Y48" s="179"/>
      <c r="Z48" s="179"/>
      <c r="AA48" s="179"/>
      <c r="AB48" s="260"/>
      <c r="AC48" s="260"/>
      <c r="AD48" s="260"/>
      <c r="AE48" s="179"/>
      <c r="AF48" s="179"/>
      <c r="AG48" s="179"/>
      <c r="AH48" s="179"/>
      <c r="AI48" s="179"/>
      <c r="AJ48" s="179"/>
      <c r="AK48" s="179"/>
      <c r="AL48" s="321"/>
      <c r="AM48" s="23"/>
      <c r="AN48" s="41"/>
      <c r="AO48" s="19"/>
    </row>
    <row r="49" spans="2:41" ht="14.1" customHeight="1" x14ac:dyDescent="0.2">
      <c r="B49" s="22"/>
      <c r="C49" s="38"/>
      <c r="D49" s="313"/>
      <c r="E49" s="187"/>
      <c r="F49" s="320"/>
      <c r="G49" s="187"/>
      <c r="H49" s="187"/>
      <c r="I49" s="48"/>
      <c r="J49" s="48"/>
      <c r="K49" s="48"/>
      <c r="L49" s="48"/>
      <c r="M49" s="48"/>
      <c r="N49" s="48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260"/>
      <c r="AC49" s="260"/>
      <c r="AD49" s="260"/>
      <c r="AE49" s="45"/>
      <c r="AF49" s="45"/>
      <c r="AG49" s="45"/>
      <c r="AH49" s="45"/>
      <c r="AI49" s="45"/>
      <c r="AJ49" s="48"/>
      <c r="AK49" s="48"/>
      <c r="AL49" s="187"/>
      <c r="AM49" s="179"/>
      <c r="AN49" s="41"/>
      <c r="AO49" s="19"/>
    </row>
    <row r="50" spans="2:41" ht="14.1" customHeight="1" x14ac:dyDescent="0.2">
      <c r="B50" s="22"/>
      <c r="C50" s="38"/>
      <c r="D50" s="321"/>
      <c r="E50" s="48"/>
      <c r="F50" s="320"/>
      <c r="G50" s="314"/>
      <c r="H50" s="48"/>
      <c r="I50" s="48"/>
      <c r="J50" s="48"/>
      <c r="K50" s="48"/>
      <c r="L50" s="48"/>
      <c r="M50" s="48"/>
      <c r="N50" s="48"/>
      <c r="O50" s="48"/>
      <c r="P50" s="261"/>
      <c r="Q50" s="261"/>
      <c r="R50" s="261"/>
      <c r="S50" s="48"/>
      <c r="T50" s="48"/>
      <c r="U50" s="48"/>
      <c r="V50" s="48"/>
      <c r="W50" s="48"/>
      <c r="X50" s="48"/>
      <c r="Y50" s="48"/>
      <c r="Z50" s="48"/>
      <c r="AA50" s="48"/>
      <c r="AB50" s="260"/>
      <c r="AC50" s="260"/>
      <c r="AD50" s="260"/>
      <c r="AE50" s="48"/>
      <c r="AF50" s="48"/>
      <c r="AG50" s="48"/>
      <c r="AH50" s="48"/>
      <c r="AI50" s="48"/>
      <c r="AJ50" s="48"/>
      <c r="AK50" s="48"/>
      <c r="AL50" s="245"/>
      <c r="AM50" s="23"/>
      <c r="AN50" s="41"/>
      <c r="AO50" s="19"/>
    </row>
    <row r="51" spans="2:41" ht="14.1" customHeight="1" x14ac:dyDescent="0.2">
      <c r="B51" s="22"/>
      <c r="C51" s="38"/>
      <c r="D51" s="53"/>
      <c r="E51" s="45"/>
      <c r="F51" s="320"/>
      <c r="G51" s="270"/>
      <c r="H51" s="45"/>
      <c r="I51" s="45"/>
      <c r="J51" s="45"/>
      <c r="K51" s="45"/>
      <c r="L51" s="45"/>
      <c r="M51" s="45"/>
      <c r="N51" s="45"/>
      <c r="O51" s="72"/>
      <c r="P51" s="262"/>
      <c r="Q51" s="262"/>
      <c r="R51" s="262"/>
      <c r="S51" s="45"/>
      <c r="T51" s="45"/>
      <c r="U51" s="45"/>
      <c r="V51" s="45"/>
      <c r="W51" s="173"/>
      <c r="X51" s="173"/>
      <c r="Y51" s="45"/>
      <c r="Z51" s="45"/>
      <c r="AA51" s="45"/>
      <c r="AB51" s="260"/>
      <c r="AC51" s="260"/>
      <c r="AD51" s="260"/>
      <c r="AE51" s="45"/>
      <c r="AF51" s="45"/>
      <c r="AG51" s="45"/>
      <c r="AH51" s="45"/>
      <c r="AI51" s="45"/>
      <c r="AJ51" s="48"/>
      <c r="AK51" s="48"/>
      <c r="AL51" s="245"/>
      <c r="AM51" s="23"/>
      <c r="AN51" s="41"/>
      <c r="AO51" s="19"/>
    </row>
    <row r="52" spans="2:41" ht="14.1" customHeight="1" x14ac:dyDescent="0.2">
      <c r="B52" s="22"/>
      <c r="C52" s="38"/>
      <c r="D52" s="53"/>
      <c r="E52" s="45"/>
      <c r="F52" s="320"/>
      <c r="G52" s="270"/>
      <c r="H52" s="45"/>
      <c r="I52" s="45"/>
      <c r="J52" s="45"/>
      <c r="K52" s="45"/>
      <c r="L52" s="45"/>
      <c r="M52" s="45"/>
      <c r="N52" s="45"/>
      <c r="O52" s="45"/>
      <c r="P52" s="262"/>
      <c r="Q52" s="262"/>
      <c r="R52" s="262"/>
      <c r="S52" s="45"/>
      <c r="T52" s="45"/>
      <c r="U52" s="45"/>
      <c r="V52" s="45"/>
      <c r="W52" s="45"/>
      <c r="X52" s="45"/>
      <c r="Y52" s="45"/>
      <c r="Z52" s="45"/>
      <c r="AA52" s="45"/>
      <c r="AB52" s="260"/>
      <c r="AC52" s="260"/>
      <c r="AD52" s="260"/>
      <c r="AE52" s="45"/>
      <c r="AF52" s="45"/>
      <c r="AG52" s="45"/>
      <c r="AH52" s="45"/>
      <c r="AI52" s="45"/>
      <c r="AJ52" s="48"/>
      <c r="AK52" s="48"/>
      <c r="AL52" s="245"/>
      <c r="AM52" s="23"/>
      <c r="AN52" s="41"/>
      <c r="AO52" s="19"/>
    </row>
    <row r="53" spans="2:41" ht="14.1" customHeight="1" x14ac:dyDescent="0.2">
      <c r="B53" s="22"/>
      <c r="C53" s="38"/>
      <c r="D53" s="314"/>
      <c r="E53" s="45"/>
      <c r="F53" s="320"/>
      <c r="G53" s="314"/>
      <c r="H53" s="45"/>
      <c r="I53" s="45"/>
      <c r="J53" s="45"/>
      <c r="K53" s="45"/>
      <c r="L53" s="45"/>
      <c r="M53" s="45"/>
      <c r="N53" s="45"/>
      <c r="O53" s="247"/>
      <c r="P53" s="104"/>
      <c r="Q53" s="104"/>
      <c r="R53" s="104"/>
      <c r="S53" s="247"/>
      <c r="T53" s="247"/>
      <c r="U53" s="247"/>
      <c r="V53" s="247"/>
      <c r="W53" s="247"/>
      <c r="X53" s="247"/>
      <c r="Y53" s="45"/>
      <c r="Z53" s="45"/>
      <c r="AA53" s="45"/>
      <c r="AB53" s="260"/>
      <c r="AC53" s="260"/>
      <c r="AD53" s="260"/>
      <c r="AE53" s="45"/>
      <c r="AF53" s="45"/>
      <c r="AG53" s="45"/>
      <c r="AH53" s="45"/>
      <c r="AI53" s="45"/>
      <c r="AJ53" s="48"/>
      <c r="AK53" s="48"/>
      <c r="AL53" s="48"/>
      <c r="AM53" s="23"/>
      <c r="AN53" s="41"/>
      <c r="AO53" s="19"/>
    </row>
    <row r="54" spans="2:41" ht="14.1" customHeight="1" x14ac:dyDescent="0.2">
      <c r="B54" s="22"/>
      <c r="C54" s="38"/>
      <c r="D54" s="314"/>
      <c r="E54" s="45"/>
      <c r="F54" s="320"/>
      <c r="G54" s="287"/>
      <c r="H54" s="45"/>
      <c r="I54" s="45"/>
      <c r="J54" s="45"/>
      <c r="K54" s="45"/>
      <c r="L54" s="45"/>
      <c r="M54" s="45"/>
      <c r="N54" s="45"/>
      <c r="O54" s="45"/>
      <c r="P54" s="104"/>
      <c r="Q54" s="104"/>
      <c r="R54" s="104"/>
      <c r="S54" s="45"/>
      <c r="T54" s="45"/>
      <c r="U54" s="45"/>
      <c r="V54" s="45"/>
      <c r="W54" s="45"/>
      <c r="X54" s="45"/>
      <c r="Y54" s="45"/>
      <c r="Z54" s="45"/>
      <c r="AA54" s="45"/>
      <c r="AB54" s="260"/>
      <c r="AC54" s="260"/>
      <c r="AD54" s="260"/>
      <c r="AE54" s="45"/>
      <c r="AF54" s="45"/>
      <c r="AG54" s="45"/>
      <c r="AH54" s="45"/>
      <c r="AI54" s="45"/>
      <c r="AJ54" s="48"/>
      <c r="AK54" s="48"/>
      <c r="AL54" s="48"/>
      <c r="AM54" s="23"/>
      <c r="AN54" s="41"/>
      <c r="AO54" s="19"/>
    </row>
    <row r="55" spans="2:41" ht="14.1" customHeight="1" x14ac:dyDescent="0.2">
      <c r="B55" s="22"/>
      <c r="C55" s="38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  <c r="AC55" s="187"/>
      <c r="AD55" s="187"/>
      <c r="AE55" s="187"/>
      <c r="AF55" s="187"/>
      <c r="AG55" s="187"/>
      <c r="AH55" s="187"/>
      <c r="AI55" s="187"/>
      <c r="AJ55" s="187"/>
      <c r="AK55" s="187"/>
      <c r="AL55" s="187"/>
      <c r="AM55" s="179"/>
      <c r="AN55" s="41"/>
      <c r="AO55" s="19"/>
    </row>
    <row r="56" spans="2:41" ht="14.1" customHeight="1" x14ac:dyDescent="0.2">
      <c r="B56" s="22"/>
      <c r="C56" s="38"/>
      <c r="D56" s="73"/>
      <c r="E56" s="187"/>
      <c r="F56" s="187"/>
      <c r="G56" s="187"/>
      <c r="H56" s="187"/>
      <c r="I56" s="187"/>
      <c r="J56" s="187"/>
      <c r="K56" s="187"/>
      <c r="L56" s="187"/>
      <c r="M56" s="187"/>
      <c r="N56" s="187"/>
      <c r="O56" s="187"/>
      <c r="P56" s="187"/>
      <c r="Q56" s="187"/>
      <c r="R56" s="187"/>
      <c r="S56" s="187"/>
      <c r="T56" s="187"/>
      <c r="U56" s="187"/>
      <c r="V56" s="187"/>
      <c r="W56" s="187"/>
      <c r="X56" s="187"/>
      <c r="Y56" s="187"/>
      <c r="Z56" s="187"/>
      <c r="AA56" s="187"/>
      <c r="AB56" s="187"/>
      <c r="AC56" s="187"/>
      <c r="AD56" s="187"/>
      <c r="AE56" s="187"/>
      <c r="AF56" s="187"/>
      <c r="AG56" s="187"/>
      <c r="AH56" s="187"/>
      <c r="AI56" s="187"/>
      <c r="AJ56" s="187"/>
      <c r="AK56" s="187"/>
      <c r="AL56" s="187"/>
      <c r="AM56" s="179"/>
      <c r="AN56" s="41"/>
      <c r="AO56" s="19"/>
    </row>
    <row r="57" spans="2:41" ht="14.1" customHeight="1" x14ac:dyDescent="0.2">
      <c r="B57" s="22"/>
      <c r="C57" s="38"/>
      <c r="D57" s="71"/>
      <c r="E57" s="48"/>
      <c r="F57" s="287"/>
      <c r="G57" s="293"/>
      <c r="H57" s="45"/>
      <c r="I57" s="45"/>
      <c r="J57" s="45"/>
      <c r="K57" s="187"/>
      <c r="L57" s="45"/>
      <c r="M57" s="48"/>
      <c r="N57" s="48"/>
      <c r="O57" s="106"/>
      <c r="P57" s="107"/>
      <c r="Q57" s="47"/>
      <c r="R57" s="47"/>
      <c r="S57" s="106"/>
      <c r="T57" s="48"/>
      <c r="U57" s="48"/>
      <c r="V57" s="106"/>
      <c r="W57" s="106"/>
      <c r="X57" s="106"/>
      <c r="Y57" s="106"/>
      <c r="Z57" s="106"/>
      <c r="AA57" s="48"/>
      <c r="AB57" s="320"/>
      <c r="AC57" s="106"/>
      <c r="AD57" s="106"/>
      <c r="AE57" s="106"/>
      <c r="AF57" s="106"/>
      <c r="AG57" s="106"/>
      <c r="AH57" s="48"/>
      <c r="AI57" s="48"/>
      <c r="AJ57" s="48"/>
      <c r="AK57" s="48"/>
      <c r="AL57" s="71"/>
      <c r="AM57" s="23"/>
      <c r="AN57" s="41"/>
      <c r="AO57" s="19"/>
    </row>
    <row r="58" spans="2:41" ht="14.1" customHeight="1" x14ac:dyDescent="0.2">
      <c r="B58" s="22"/>
      <c r="C58" s="38"/>
      <c r="D58" s="53"/>
      <c r="E58" s="48"/>
      <c r="F58" s="287"/>
      <c r="G58" s="53"/>
      <c r="H58" s="45"/>
      <c r="I58" s="45"/>
      <c r="J58" s="45"/>
      <c r="K58" s="187"/>
      <c r="L58" s="45"/>
      <c r="M58" s="48"/>
      <c r="N58" s="48"/>
      <c r="O58" s="106"/>
      <c r="P58" s="107"/>
      <c r="Q58" s="47"/>
      <c r="R58" s="47"/>
      <c r="S58" s="106"/>
      <c r="T58" s="48"/>
      <c r="U58" s="48"/>
      <c r="V58" s="107"/>
      <c r="W58" s="107"/>
      <c r="X58" s="107"/>
      <c r="Y58" s="107"/>
      <c r="Z58" s="107"/>
      <c r="AA58" s="48"/>
      <c r="AB58" s="320"/>
      <c r="AC58" s="106"/>
      <c r="AD58" s="106"/>
      <c r="AE58" s="106"/>
      <c r="AF58" s="106"/>
      <c r="AG58" s="106"/>
      <c r="AH58" s="48"/>
      <c r="AI58" s="48"/>
      <c r="AJ58" s="48"/>
      <c r="AK58" s="48"/>
      <c r="AL58" s="71"/>
      <c r="AM58" s="23"/>
      <c r="AN58" s="41"/>
      <c r="AO58" s="19"/>
    </row>
    <row r="59" spans="2:41" ht="14.1" customHeight="1" x14ac:dyDescent="0.2">
      <c r="B59" s="22"/>
      <c r="C59" s="38"/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N59" s="187"/>
      <c r="O59" s="187"/>
      <c r="P59" s="187"/>
      <c r="Q59" s="187"/>
      <c r="R59" s="187"/>
      <c r="S59" s="187"/>
      <c r="T59" s="187"/>
      <c r="U59" s="187"/>
      <c r="V59" s="187"/>
      <c r="W59" s="187"/>
      <c r="X59" s="187"/>
      <c r="Y59" s="187"/>
      <c r="Z59" s="187"/>
      <c r="AA59" s="187"/>
      <c r="AB59" s="187"/>
      <c r="AC59" s="187"/>
      <c r="AD59" s="187"/>
      <c r="AE59" s="187"/>
      <c r="AF59" s="187"/>
      <c r="AG59" s="187"/>
      <c r="AH59" s="187"/>
      <c r="AI59" s="187"/>
      <c r="AJ59" s="187"/>
      <c r="AK59" s="187"/>
      <c r="AL59" s="187"/>
      <c r="AM59" s="179"/>
      <c r="AN59" s="41"/>
      <c r="AO59" s="19"/>
    </row>
    <row r="60" spans="2:41" ht="14.1" customHeight="1" x14ac:dyDescent="0.2">
      <c r="B60" s="22"/>
      <c r="C60" s="38"/>
      <c r="D60" s="220"/>
      <c r="E60" s="187"/>
      <c r="F60" s="287"/>
      <c r="G60" s="53"/>
      <c r="H60" s="187"/>
      <c r="I60" s="187"/>
      <c r="J60" s="187"/>
      <c r="K60" s="187"/>
      <c r="L60" s="45"/>
      <c r="M60" s="45"/>
      <c r="N60" s="45"/>
      <c r="O60" s="105"/>
      <c r="P60" s="45"/>
      <c r="Q60" s="105"/>
      <c r="R60" s="105"/>
      <c r="S60" s="106"/>
      <c r="T60" s="48"/>
      <c r="U60" s="48"/>
      <c r="V60" s="106"/>
      <c r="W60" s="106"/>
      <c r="X60" s="106"/>
      <c r="Y60" s="106"/>
      <c r="Z60" s="106"/>
      <c r="AA60" s="48"/>
      <c r="AB60" s="48"/>
      <c r="AC60" s="106"/>
      <c r="AD60" s="106"/>
      <c r="AE60" s="106"/>
      <c r="AF60" s="106"/>
      <c r="AG60" s="106"/>
      <c r="AH60" s="48"/>
      <c r="AI60" s="48"/>
      <c r="AJ60" s="48"/>
      <c r="AK60" s="48"/>
      <c r="AL60" s="287"/>
      <c r="AM60" s="23"/>
      <c r="AN60" s="41"/>
      <c r="AO60" s="19"/>
    </row>
    <row r="61" spans="2:41" ht="14.1" customHeight="1" x14ac:dyDescent="0.2">
      <c r="B61" s="22"/>
      <c r="C61" s="38"/>
      <c r="D61" s="308"/>
      <c r="E61" s="319"/>
      <c r="F61" s="319"/>
      <c r="G61" s="319"/>
      <c r="H61" s="319"/>
      <c r="I61" s="319"/>
      <c r="J61" s="319"/>
      <c r="K61" s="319"/>
      <c r="L61" s="319"/>
      <c r="M61" s="319"/>
      <c r="N61" s="319"/>
      <c r="O61" s="319"/>
      <c r="P61" s="308"/>
      <c r="Q61" s="23"/>
      <c r="R61" s="23"/>
      <c r="S61" s="23"/>
      <c r="T61" s="23"/>
      <c r="U61" s="23"/>
      <c r="V61" s="23"/>
      <c r="W61" s="23"/>
      <c r="X61" s="23"/>
      <c r="Y61" s="179"/>
      <c r="Z61" s="179"/>
      <c r="AA61" s="179"/>
      <c r="AB61" s="308"/>
      <c r="AC61" s="23"/>
      <c r="AD61" s="23"/>
      <c r="AE61" s="179"/>
      <c r="AF61" s="179"/>
      <c r="AG61" s="179"/>
      <c r="AH61" s="287"/>
      <c r="AI61" s="287"/>
      <c r="AJ61" s="287"/>
      <c r="AK61" s="287"/>
      <c r="AL61" s="154"/>
      <c r="AM61" s="154"/>
      <c r="AN61" s="56"/>
      <c r="AO61" s="19"/>
    </row>
    <row r="62" spans="2:41" ht="14.1" customHeight="1" x14ac:dyDescent="0.2">
      <c r="B62" s="22"/>
      <c r="C62" s="38"/>
      <c r="D62" s="290"/>
      <c r="E62" s="45"/>
      <c r="F62" s="45"/>
      <c r="G62" s="45"/>
      <c r="H62" s="45"/>
      <c r="I62" s="45"/>
      <c r="J62" s="45"/>
      <c r="K62" s="45"/>
      <c r="L62" s="72"/>
      <c r="M62" s="23"/>
      <c r="N62" s="23"/>
      <c r="O62" s="23"/>
      <c r="P62" s="106"/>
      <c r="Q62" s="106"/>
      <c r="R62" s="106"/>
      <c r="S62" s="108"/>
      <c r="T62" s="23"/>
      <c r="U62" s="23"/>
      <c r="V62" s="108"/>
      <c r="W62" s="108"/>
      <c r="X62" s="108"/>
      <c r="Y62" s="108"/>
      <c r="Z62" s="108"/>
      <c r="AA62" s="23"/>
      <c r="AB62" s="320"/>
      <c r="AC62" s="108"/>
      <c r="AD62" s="108"/>
      <c r="AE62" s="108"/>
      <c r="AF62" s="108"/>
      <c r="AG62" s="108"/>
      <c r="AH62" s="23"/>
      <c r="AI62" s="23"/>
      <c r="AJ62" s="23"/>
      <c r="AK62" s="23"/>
      <c r="AL62" s="287"/>
      <c r="AM62" s="23"/>
      <c r="AN62" s="56"/>
      <c r="AO62" s="19"/>
    </row>
    <row r="63" spans="2:41" ht="14.1" customHeight="1" x14ac:dyDescent="0.2">
      <c r="B63" s="22"/>
      <c r="C63" s="38"/>
      <c r="D63" s="290"/>
      <c r="E63" s="23"/>
      <c r="F63" s="23"/>
      <c r="G63" s="23"/>
      <c r="H63" s="23"/>
      <c r="I63" s="23"/>
      <c r="J63" s="23"/>
      <c r="K63" s="23"/>
      <c r="L63" s="45"/>
      <c r="M63" s="46"/>
      <c r="N63" s="46"/>
      <c r="O63" s="46"/>
      <c r="P63" s="106"/>
      <c r="Q63" s="106"/>
      <c r="R63" s="106"/>
      <c r="S63" s="108"/>
      <c r="T63" s="23"/>
      <c r="U63" s="23"/>
      <c r="V63" s="108"/>
      <c r="W63" s="108"/>
      <c r="X63" s="108"/>
      <c r="Y63" s="108"/>
      <c r="Z63" s="108"/>
      <c r="AA63" s="23"/>
      <c r="AB63" s="320"/>
      <c r="AC63" s="108"/>
      <c r="AD63" s="108"/>
      <c r="AE63" s="108"/>
      <c r="AF63" s="108"/>
      <c r="AG63" s="108"/>
      <c r="AH63" s="23"/>
      <c r="AI63" s="23"/>
      <c r="AJ63" s="23"/>
      <c r="AK63" s="23"/>
      <c r="AL63" s="287"/>
      <c r="AM63" s="23"/>
      <c r="AN63" s="41"/>
      <c r="AO63" s="19"/>
    </row>
    <row r="64" spans="2:41" ht="14.1" customHeight="1" x14ac:dyDescent="0.2">
      <c r="B64" s="22"/>
      <c r="C64" s="38"/>
      <c r="D64" s="179"/>
      <c r="E64" s="179"/>
      <c r="F64" s="179"/>
      <c r="G64" s="179"/>
      <c r="H64" s="179"/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79"/>
      <c r="U64" s="179"/>
      <c r="V64" s="179"/>
      <c r="W64" s="179"/>
      <c r="X64" s="179"/>
      <c r="Y64" s="179"/>
      <c r="Z64" s="179"/>
      <c r="AA64" s="179"/>
      <c r="AB64" s="179"/>
      <c r="AC64" s="179"/>
      <c r="AD64" s="179"/>
      <c r="AE64" s="179"/>
      <c r="AF64" s="179"/>
      <c r="AG64" s="179"/>
      <c r="AH64" s="179"/>
      <c r="AI64" s="179"/>
      <c r="AJ64" s="179"/>
      <c r="AK64" s="179"/>
      <c r="AL64" s="179"/>
      <c r="AM64" s="179"/>
      <c r="AN64" s="41"/>
      <c r="AO64" s="19"/>
    </row>
    <row r="65" spans="2:41" ht="14.1" customHeight="1" x14ac:dyDescent="0.2">
      <c r="B65" s="22"/>
      <c r="C65" s="38"/>
      <c r="D65" s="179"/>
      <c r="E65" s="179"/>
      <c r="F65" s="179"/>
      <c r="G65" s="179"/>
      <c r="H65" s="179"/>
      <c r="I65" s="179"/>
      <c r="J65" s="179"/>
      <c r="K65" s="179"/>
      <c r="L65" s="179"/>
      <c r="M65" s="179"/>
      <c r="N65" s="179"/>
      <c r="O65" s="179"/>
      <c r="P65" s="179"/>
      <c r="Q65" s="179"/>
      <c r="R65" s="179"/>
      <c r="S65" s="179"/>
      <c r="T65" s="179"/>
      <c r="U65" s="179"/>
      <c r="V65" s="179"/>
      <c r="W65" s="179"/>
      <c r="X65" s="179"/>
      <c r="Y65" s="179"/>
      <c r="Z65" s="179"/>
      <c r="AA65" s="179"/>
      <c r="AB65" s="179"/>
      <c r="AC65" s="179"/>
      <c r="AD65" s="179"/>
      <c r="AE65" s="179"/>
      <c r="AF65" s="179"/>
      <c r="AG65" s="179"/>
      <c r="AH65" s="179"/>
      <c r="AI65" s="179"/>
      <c r="AJ65" s="179"/>
      <c r="AK65" s="179"/>
      <c r="AL65" s="179"/>
      <c r="AM65" s="179"/>
      <c r="AN65" s="41"/>
      <c r="AO65" s="19"/>
    </row>
    <row r="66" spans="2:41" ht="14.1" customHeight="1" x14ac:dyDescent="0.2">
      <c r="B66" s="22"/>
      <c r="C66" s="38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41"/>
      <c r="AO66" s="19"/>
    </row>
    <row r="67" spans="2:41" ht="14.1" customHeight="1" x14ac:dyDescent="0.2">
      <c r="B67" s="22"/>
      <c r="C67" s="57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3"/>
      <c r="AO67" s="19"/>
    </row>
    <row r="68" spans="2:41" ht="14.1" customHeight="1" x14ac:dyDescent="0.2">
      <c r="B68" s="18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0"/>
    </row>
  </sheetData>
  <sheetProtection password="CA20" sheet="1" objects="1" scenarios="1"/>
  <mergeCells count="2">
    <mergeCell ref="BR15:BT15"/>
    <mergeCell ref="BI12:BL12"/>
  </mergeCells>
  <printOptions horizontalCentered="1"/>
  <pageMargins left="0.70866141732283472" right="0.39370078740157483" top="0.39370078740157483" bottom="0.39370078740157483" header="0.27559055118110237" footer="0.19685039370078741"/>
  <pageSetup paperSize="9" scale="88" orientation="portrait" r:id="rId1"/>
  <headerFooter>
    <oddHeader>&amp;C&amp;"Tahoma,ธรรมดา"&amp;8STRENGTH  DESIGN  METHOD : SDM Plus</oddHeader>
    <oddFooter>&amp;C&amp;"Tahoma,ธรรมดา"&amp;8Design Calculation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Bearing FB_Pu</vt:lpstr>
      <vt:lpstr>Calculation FB</vt:lpstr>
      <vt:lpstr>Drawing FB</vt:lpstr>
      <vt:lpstr>'Bearing FB_Pu'!Print_Area</vt:lpstr>
      <vt:lpstr>'Calculation FB'!Print_Area</vt:lpstr>
      <vt:lpstr>'Drawing FB'!Print_Area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Ronnarith Phetchsong</cp:lastModifiedBy>
  <cp:lastPrinted>2014-08-21T05:37:17Z</cp:lastPrinted>
  <dcterms:created xsi:type="dcterms:W3CDTF">2013-07-29T14:10:21Z</dcterms:created>
  <dcterms:modified xsi:type="dcterms:W3CDTF">2014-08-21T09:19:06Z</dcterms:modified>
</cp:coreProperties>
</file>