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BUILT UP SECTION" sheetId="1" r:id="rId1"/>
  </sheets>
  <definedNames>
    <definedName name="_xlnm.Print_Area" localSheetId="0">'BUILT UP SECTION'!$A$1:$J$93</definedName>
    <definedName name="_xlnm.Print_Titles" localSheetId="0">'BUILT UP SECTION'!$1:$4</definedName>
    <definedName name="Z_B381FCE2_D8C1_4124_915B_856606DE7547_.wvu.PrintArea" localSheetId="0" hidden="1">'BUILT UP SECTION'!$A$1:$J$97</definedName>
    <definedName name="Z_B381FCE2_D8C1_4124_915B_856606DE7547_.wvu.PrintTitles" localSheetId="0" hidden="1">'BUILT UP SECTION'!$1:$4</definedName>
  </definedNames>
  <calcPr fullCalcOnLoad="1"/>
</workbook>
</file>

<file path=xl/sharedStrings.xml><?xml version="1.0" encoding="utf-8"?>
<sst xmlns="http://schemas.openxmlformats.org/spreadsheetml/2006/main" count="278" uniqueCount="132">
  <si>
    <t>m</t>
  </si>
  <si>
    <t>=</t>
  </si>
  <si>
    <t>t</t>
  </si>
  <si>
    <t>mm</t>
  </si>
  <si>
    <t>1)- APPLIED FORCES :-</t>
  </si>
  <si>
    <t>mt</t>
  </si>
  <si>
    <t>Q</t>
  </si>
  <si>
    <t>cm</t>
  </si>
  <si>
    <t>Y</t>
  </si>
  <si>
    <t>A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</si>
  <si>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</si>
  <si>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</si>
  <si>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</si>
  <si>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</si>
  <si>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</si>
  <si>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</si>
  <si>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</si>
  <si>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</si>
  <si>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</si>
  <si>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</si>
  <si>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</si>
  <si>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</si>
  <si>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</si>
  <si>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</si>
  <si>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</si>
  <si>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t>PROPERTIES OF SECTION :-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</si>
  <si>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</si>
  <si>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</si>
  <si>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</si>
  <si>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</si>
  <si>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</si>
  <si>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</si>
  <si>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</si>
  <si>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t>2)- CHOISE OF SECTION :-</t>
  </si>
  <si>
    <t>CHECK COMPACTNESS :-</t>
  </si>
  <si>
    <t>Lateral torsional buckling of comp.flange</t>
  </si>
  <si>
    <t>Fltb1</t>
  </si>
  <si>
    <t>If</t>
  </si>
  <si>
    <t>Fltb2</t>
  </si>
  <si>
    <t>F</t>
  </si>
  <si>
    <t>Fsec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</si>
  <si>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</si>
  <si>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</si>
  <si>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</si>
  <si>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</si>
  <si>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</si>
  <si>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</si>
  <si>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</si>
  <si>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</si>
  <si>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</si>
  <si>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</si>
  <si>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</si>
  <si>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</si>
  <si>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</si>
  <si>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</si>
  <si>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</si>
  <si>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</si>
  <si>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</si>
  <si>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</si>
  <si>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</si>
  <si>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</si>
  <si>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</si>
  <si>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</si>
  <si>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</si>
  <si>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eqn. 2.2</t>
  </si>
  <si>
    <t>M.Nour</t>
  </si>
  <si>
    <t>CHECKING AND PACKING HALL</t>
  </si>
  <si>
    <r>
      <t>b</t>
    </r>
    <r>
      <rPr>
        <vertAlign val="subscript"/>
        <sz val="11"/>
        <rFont val="Times New Roman"/>
        <family val="1"/>
      </rPr>
      <t>FL</t>
    </r>
  </si>
  <si>
    <r>
      <t>t</t>
    </r>
    <r>
      <rPr>
        <vertAlign val="subscript"/>
        <sz val="11"/>
        <rFont val="Times New Roman"/>
        <family val="1"/>
      </rPr>
      <t>FL</t>
    </r>
  </si>
  <si>
    <t>SEC. BEAM ID :-</t>
  </si>
  <si>
    <t>( SB-1 )</t>
  </si>
  <si>
    <t>Case Combination</t>
  </si>
  <si>
    <t>4)- CHECK SECTION :-</t>
  </si>
  <si>
    <t>St.37</t>
  </si>
  <si>
    <t>St.44</t>
  </si>
  <si>
    <t>St.52</t>
  </si>
  <si>
    <t>Steel grade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</si>
  <si>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</si>
  <si>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</si>
  <si>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P (2)</t>
  </si>
  <si>
    <t xml:space="preserve">      The section is Built up section</t>
  </si>
  <si>
    <r>
      <t>b</t>
    </r>
    <r>
      <rPr>
        <vertAlign val="subscript"/>
        <sz val="11"/>
        <rFont val="Times New Roman"/>
        <family val="1"/>
      </rPr>
      <t>FLU</t>
    </r>
  </si>
  <si>
    <r>
      <t>h</t>
    </r>
    <r>
      <rPr>
        <vertAlign val="subscript"/>
        <sz val="11"/>
        <rFont val="Times New Roman"/>
        <family val="1"/>
      </rPr>
      <t>Web</t>
    </r>
  </si>
  <si>
    <r>
      <t>t</t>
    </r>
    <r>
      <rPr>
        <vertAlign val="subscript"/>
        <sz val="11"/>
        <rFont val="Times New Roman"/>
        <family val="1"/>
      </rPr>
      <t>Web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</si>
  <si>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</si>
  <si>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</si>
  <si>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r>
      <t>S</t>
    </r>
    <r>
      <rPr>
        <vertAlign val="subscript"/>
        <sz val="11"/>
        <rFont val="Times New Roman"/>
        <family val="1"/>
      </rPr>
      <t>x.top</t>
    </r>
  </si>
  <si>
    <r>
      <t>S</t>
    </r>
    <r>
      <rPr>
        <vertAlign val="subscript"/>
        <sz val="11"/>
        <rFont val="Times New Roman"/>
        <family val="1"/>
      </rPr>
      <t>x.bot</t>
    </r>
  </si>
  <si>
    <r>
      <t>M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</si>
  <si>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y</t>
    </r>
  </si>
  <si>
    <r>
      <t>I</t>
    </r>
    <r>
      <rPr>
        <vertAlign val="subscript"/>
        <sz val="11"/>
        <rFont val="Times New Roman"/>
        <family val="1"/>
      </rPr>
      <t>y</t>
    </r>
  </si>
  <si>
    <t>N</t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</si>
  <si>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</si>
  <si>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</si>
  <si>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</si>
  <si>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</si>
  <si>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t>Lu of compressin flg</t>
  </si>
  <si>
    <r>
      <t>K</t>
    </r>
    <r>
      <rPr>
        <vertAlign val="subscript"/>
        <sz val="11"/>
        <rFont val="Times New Roman"/>
        <family val="1"/>
      </rPr>
      <t>in</t>
    </r>
  </si>
  <si>
    <r>
      <t>K</t>
    </r>
    <r>
      <rPr>
        <vertAlign val="subscript"/>
        <sz val="11"/>
        <rFont val="Times New Roman"/>
        <family val="1"/>
      </rPr>
      <t>out</t>
    </r>
  </si>
  <si>
    <r>
      <t>F</t>
    </r>
    <r>
      <rPr>
        <vertAlign val="subscript"/>
        <sz val="11"/>
        <rFont val="Times New Roman"/>
        <family val="1"/>
      </rPr>
      <t>ca</t>
    </r>
  </si>
  <si>
    <t>FCA</t>
  </si>
  <si>
    <r>
      <t>A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</si>
  <si>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</si>
  <si>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</si>
  <si>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</si>
  <si>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C</t>
    </r>
    <r>
      <rPr>
        <vertAlign val="subscript"/>
        <sz val="11"/>
        <rFont val="Times New Roman"/>
        <family val="1"/>
      </rPr>
      <t>mx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</si>
  <si>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</si>
  <si>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f</t>
    </r>
    <r>
      <rPr>
        <vertAlign val="subscript"/>
        <sz val="11"/>
        <rFont val="Times New Roman"/>
        <family val="1"/>
      </rPr>
      <t>ca</t>
    </r>
  </si>
  <si>
    <t>ALLOWABLE STRESS :-</t>
  </si>
  <si>
    <t>ACTUAL STRESS :-</t>
  </si>
  <si>
    <t>alfa</t>
  </si>
  <si>
    <t>ebson</t>
  </si>
  <si>
    <t>3)- BEAM COLUMN DATA :-</t>
  </si>
  <si>
    <t>for web</t>
  </si>
  <si>
    <t>f1=</t>
  </si>
  <si>
    <t>f2=</t>
  </si>
  <si>
    <t>ks=</t>
  </si>
  <si>
    <t>e=</t>
  </si>
  <si>
    <t>hp=</t>
  </si>
  <si>
    <t>R=</t>
  </si>
  <si>
    <t>he=</t>
  </si>
  <si>
    <t>he1=</t>
  </si>
  <si>
    <t>he2=</t>
  </si>
  <si>
    <t>for flange1</t>
  </si>
  <si>
    <t>for flange2</t>
  </si>
  <si>
    <t>( fca / Fc ) + ( fbcx / Fbcx ) A1  =</t>
  </si>
  <si>
    <t>be=</t>
  </si>
  <si>
    <t>FINAL DIMENSIONS :-</t>
  </si>
  <si>
    <r>
      <t>t</t>
    </r>
    <r>
      <rPr>
        <vertAlign val="subscript"/>
        <sz val="11"/>
        <rFont val="Times New Roman"/>
        <family val="1"/>
      </rPr>
      <t>FLU</t>
    </r>
  </si>
  <si>
    <t>FINAL PROPERTIES OF SECTION :-</t>
  </si>
  <si>
    <t>he1</t>
  </si>
  <si>
    <t>he2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</si>
</sst>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4">
    <xf numFmtId="201" fontId="0" fillId="0" borderId="0" xfId="0" applyAlignment="1">
      <alignment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01" fontId="10" fillId="0" borderId="0" xfId="0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5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/>
      <protection hidden="1"/>
    </xf>
    <xf numFmtId="201" fontId="40" fillId="0" borderId="16" xfId="0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0" fontId="0" fillId="0" borderId="0" xfId="57" applyFont="1" applyBorder="1" applyProtection="1">
      <alignment/>
      <protection hidden="1"/>
    </xf>
    <xf numFmtId="2" fontId="0" fillId="0" borderId="0" xfId="57" applyNumberForma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204" fontId="9" fillId="0" borderId="0" xfId="0" applyNumberFormat="1" applyFont="1" applyFill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01" fontId="9" fillId="0" borderId="17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hidden="1"/>
    </xf>
    <xf numFmtId="201" fontId="17" fillId="0" borderId="17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45" fillId="0" borderId="17" xfId="0" applyFont="1" applyFill="1" applyBorder="1" applyAlignment="1" applyProtection="1">
      <alignment horizontal="left"/>
      <protection hidden="1"/>
    </xf>
    <xf numFmtId="201" fontId="0" fillId="0" borderId="0" xfId="0" applyBorder="1" applyAlignment="1" applyProtection="1">
      <alignment/>
      <protection hidden="1"/>
    </xf>
    <xf numFmtId="201" fontId="39" fillId="0" borderId="18" xfId="0" applyFont="1" applyFill="1" applyBorder="1" applyAlignment="1" applyProtection="1">
      <alignment horizontal="left"/>
      <protection hidden="1"/>
    </xf>
    <xf numFmtId="201" fontId="0" fillId="0" borderId="19" xfId="0" applyBorder="1" applyAlignment="1" applyProtection="1">
      <alignment/>
      <protection hidden="1"/>
    </xf>
    <xf numFmtId="201" fontId="0" fillId="0" borderId="20" xfId="0" applyBorder="1" applyAlignment="1" applyProtection="1">
      <alignment/>
      <protection hidden="1"/>
    </xf>
    <xf numFmtId="1" fontId="5" fillId="0" borderId="17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0" fillId="0" borderId="21" xfId="0" applyBorder="1" applyAlignment="1" applyProtection="1">
      <alignment/>
      <protection hidden="1"/>
    </xf>
    <xf numFmtId="1" fontId="8" fillId="0" borderId="17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1" fontId="40" fillId="0" borderId="17" xfId="0" applyFont="1" applyFill="1" applyBorder="1" applyAlignment="1" applyProtection="1">
      <alignment horizontal="left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43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2" xfId="0" applyFont="1" applyFill="1" applyBorder="1" applyAlignment="1" applyProtection="1">
      <alignment horizontal="center" vertical="center"/>
      <protection hidden="1"/>
    </xf>
    <xf numFmtId="201" fontId="40" fillId="0" borderId="25" xfId="0" applyFont="1" applyFill="1" applyBorder="1" applyAlignment="1" applyProtection="1">
      <alignment horizontal="left"/>
      <protection hidden="1"/>
    </xf>
    <xf numFmtId="201" fontId="0" fillId="0" borderId="26" xfId="0" applyBorder="1" applyAlignment="1" applyProtection="1">
      <alignment/>
      <protection hidden="1"/>
    </xf>
    <xf numFmtId="201" fontId="0" fillId="0" borderId="10" xfId="0" applyFont="1" applyFill="1" applyBorder="1" applyAlignment="1" applyProtection="1">
      <alignment horizontal="center" vertical="center"/>
      <protection hidden="1"/>
    </xf>
    <xf numFmtId="201" fontId="0" fillId="0" borderId="27" xfId="0" applyBorder="1" applyAlignment="1" applyProtection="1">
      <alignment/>
      <protection hidden="1"/>
    </xf>
    <xf numFmtId="201" fontId="4" fillId="0" borderId="18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6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38" fillId="0" borderId="28" xfId="0" applyFont="1" applyFill="1" applyBorder="1" applyAlignment="1" applyProtection="1">
      <alignment horizontal="left" vertical="center"/>
      <protection hidden="1"/>
    </xf>
    <xf numFmtId="201" fontId="9" fillId="0" borderId="17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2" fillId="0" borderId="16" xfId="0" applyFont="1" applyBorder="1" applyAlignment="1" applyProtection="1">
      <alignment horizontal="center" vertical="center"/>
      <protection hidden="1"/>
    </xf>
    <xf numFmtId="201" fontId="4" fillId="0" borderId="17" xfId="0" applyFont="1" applyBorder="1" applyAlignment="1" applyProtection="1">
      <alignment vertical="center"/>
      <protection hidden="1"/>
    </xf>
    <xf numFmtId="201" fontId="18" fillId="0" borderId="0" xfId="0" applyFont="1" applyAlignment="1" applyProtection="1">
      <alignment horizontal="center" vertical="center"/>
      <protection hidden="1"/>
    </xf>
    <xf numFmtId="201" fontId="4" fillId="0" borderId="0" xfId="0" applyFont="1" applyAlignment="1" applyProtection="1">
      <alignment vertical="center"/>
      <protection hidden="1"/>
    </xf>
    <xf numFmtId="201" fontId="9" fillId="0" borderId="0" xfId="0" applyFont="1" applyBorder="1" applyAlignment="1" applyProtection="1">
      <alignment horizontal="right"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Alignment="1" applyProtection="1">
      <alignment horizontal="center" vertical="center"/>
      <protection hidden="1"/>
    </xf>
    <xf numFmtId="201" fontId="42" fillId="0" borderId="16" xfId="0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/>
      <protection hidden="1"/>
    </xf>
    <xf numFmtId="201" fontId="9" fillId="0" borderId="17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horizontal="center" vertical="center"/>
      <protection hidden="1"/>
    </xf>
    <xf numFmtId="201" fontId="9" fillId="0" borderId="16" xfId="0" applyFont="1" applyBorder="1" applyAlignment="1" applyProtection="1">
      <alignment vertical="center"/>
      <protection hidden="1"/>
    </xf>
    <xf numFmtId="201" fontId="4" fillId="0" borderId="17" xfId="0" applyFont="1" applyBorder="1" applyAlignment="1" applyProtection="1">
      <alignment horizontal="left" vertical="center"/>
      <protection hidden="1"/>
    </xf>
    <xf numFmtId="201" fontId="12" fillId="0" borderId="17" xfId="0" applyFont="1" applyBorder="1" applyAlignment="1" applyProtection="1">
      <alignment horizontal="left" vertical="center"/>
      <protection hidden="1"/>
    </xf>
    <xf numFmtId="201" fontId="9" fillId="0" borderId="21" xfId="0" applyFont="1" applyBorder="1" applyAlignment="1" applyProtection="1">
      <alignment vertical="center"/>
      <protection hidden="1"/>
    </xf>
    <xf numFmtId="201" fontId="9" fillId="0" borderId="17" xfId="0" applyFont="1" applyBorder="1" applyAlignment="1" applyProtection="1">
      <alignment horizontal="left" vertical="center"/>
      <protection hidden="1"/>
    </xf>
    <xf numFmtId="201" fontId="21" fillId="0" borderId="0" xfId="0" applyFont="1" applyAlignment="1" applyProtection="1">
      <alignment horizontal="center" vertical="center"/>
      <protection hidden="1"/>
    </xf>
    <xf numFmtId="201" fontId="8" fillId="0" borderId="21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04" fontId="10" fillId="0" borderId="0" xfId="0" applyNumberFormat="1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201" fontId="0" fillId="0" borderId="16" xfId="0" applyBorder="1" applyAlignment="1" applyProtection="1">
      <alignment vertical="center"/>
      <protection hidden="1"/>
    </xf>
    <xf numFmtId="201" fontId="8" fillId="0" borderId="16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0" fillId="0" borderId="0" xfId="0" applyAlignment="1" applyProtection="1">
      <alignment horizontal="center"/>
      <protection hidden="1"/>
    </xf>
    <xf numFmtId="201" fontId="9" fillId="0" borderId="17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5" fillId="0" borderId="17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01" fontId="0" fillId="0" borderId="0" xfId="0" applyAlignment="1" applyProtection="1">
      <alignment vertical="center"/>
      <protection hidden="1"/>
    </xf>
    <xf numFmtId="201" fontId="9" fillId="0" borderId="16" xfId="0" applyFont="1" applyBorder="1" applyAlignment="1" applyProtection="1">
      <alignment horizontal="center" vertical="center"/>
      <protection hidden="1"/>
    </xf>
    <xf numFmtId="205" fontId="9" fillId="0" borderId="0" xfId="0" applyNumberFormat="1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left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Border="1" applyAlignment="1" applyProtection="1">
      <alignment horizontal="left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10" fillId="0" borderId="16" xfId="0" applyFont="1" applyBorder="1" applyAlignment="1" applyProtection="1">
      <alignment vertic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15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0" fillId="0" borderId="16" xfId="0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4" fillId="0" borderId="16" xfId="0" applyFont="1" applyBorder="1" applyAlignment="1" applyProtection="1">
      <alignment horizontal="center"/>
      <protection hidden="1"/>
    </xf>
    <xf numFmtId="201" fontId="9" fillId="0" borderId="16" xfId="0" applyFont="1" applyBorder="1" applyAlignment="1" applyProtection="1">
      <alignment/>
      <protection hidden="1"/>
    </xf>
    <xf numFmtId="201" fontId="9" fillId="0" borderId="16" xfId="0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 horizontal="center"/>
      <protection hidden="1"/>
    </xf>
    <xf numFmtId="201" fontId="9" fillId="0" borderId="26" xfId="0" applyFont="1" applyBorder="1" applyAlignment="1" applyProtection="1">
      <alignment horizontal="center"/>
      <protection hidden="1"/>
    </xf>
    <xf numFmtId="2" fontId="9" fillId="0" borderId="26" xfId="0" applyNumberFormat="1" applyFont="1" applyBorder="1" applyAlignment="1" applyProtection="1">
      <alignment horizontal="center"/>
      <protection hidden="1"/>
    </xf>
    <xf numFmtId="201" fontId="9" fillId="0" borderId="26" xfId="0" applyFont="1" applyBorder="1" applyAlignment="1" applyProtection="1">
      <alignment/>
      <protection hidden="1"/>
    </xf>
    <xf numFmtId="201" fontId="9" fillId="0" borderId="29" xfId="0" applyFont="1" applyBorder="1" applyAlignment="1" applyProtection="1">
      <alignment/>
      <protection hidden="1"/>
    </xf>
    <xf numFmtId="201" fontId="42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17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0" fillId="0" borderId="17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vertical="center"/>
      <protection hidden="1"/>
    </xf>
    <xf numFmtId="201" fontId="0" fillId="0" borderId="17" xfId="0" applyBorder="1" applyAlignment="1" applyProtection="1">
      <alignment/>
      <protection hidden="1"/>
    </xf>
    <xf numFmtId="201" fontId="4" fillId="0" borderId="17" xfId="0" applyFont="1" applyBorder="1" applyAlignment="1" applyProtection="1">
      <alignment horizontal="left"/>
      <protection hidden="1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1" fillId="0" borderId="0" xfId="0" applyFont="1" applyAlignment="1" applyProtection="1">
      <alignment/>
      <protection hidden="1"/>
    </xf>
    <xf numFmtId="201" fontId="4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01" fontId="1" fillId="0" borderId="0" xfId="0" applyFont="1" applyAlignment="1" applyProtection="1">
      <alignment horizontal="center"/>
      <protection hidden="1"/>
    </xf>
    <xf numFmtId="201" fontId="5" fillId="0" borderId="0" xfId="0" applyFont="1" applyAlignment="1" applyProtection="1" quotePrefix="1">
      <alignment horizontal="right"/>
      <protection hidden="1"/>
    </xf>
    <xf numFmtId="201" fontId="4" fillId="0" borderId="18" xfId="0" applyFont="1" applyBorder="1" applyAlignment="1" applyProtection="1">
      <alignment horizontal="center"/>
      <protection locked="0"/>
    </xf>
    <xf numFmtId="201" fontId="5" fillId="0" borderId="19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9" fillId="0" borderId="17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41" fillId="0" borderId="18" xfId="0" applyFont="1" applyBorder="1" applyAlignment="1" applyProtection="1">
      <alignment horizontal="center" vertical="center"/>
      <protection hidden="1"/>
    </xf>
    <xf numFmtId="201" fontId="41" fillId="0" borderId="20" xfId="0" applyFont="1" applyBorder="1" applyAlignment="1" applyProtection="1">
      <alignment horizontal="center" vertical="center"/>
      <protection hidden="1"/>
    </xf>
    <xf numFmtId="201" fontId="41" fillId="0" borderId="25" xfId="0" applyFont="1" applyBorder="1" applyAlignment="1" applyProtection="1">
      <alignment horizontal="center" vertical="center"/>
      <protection hidden="1"/>
    </xf>
    <xf numFmtId="201" fontId="41" fillId="0" borderId="27" xfId="0" applyFont="1" applyBorder="1" applyAlignment="1" applyProtection="1">
      <alignment horizontal="center" vertical="center"/>
      <protection hidden="1"/>
    </xf>
    <xf numFmtId="0" fontId="44" fillId="0" borderId="25" xfId="58" applyFont="1" applyBorder="1" applyAlignment="1" applyProtection="1">
      <alignment horizontal="center"/>
      <protection locked="0"/>
    </xf>
    <xf numFmtId="0" fontId="43" fillId="0" borderId="26" xfId="58" applyFont="1" applyBorder="1" applyAlignment="1" applyProtection="1">
      <alignment horizontal="center"/>
      <protection locked="0"/>
    </xf>
    <xf numFmtId="0" fontId="43" fillId="0" borderId="27" xfId="58" applyFont="1" applyBorder="1" applyAlignment="1" applyProtection="1">
      <alignment horizontal="center"/>
      <protection locked="0"/>
    </xf>
    <xf numFmtId="201" fontId="9" fillId="0" borderId="0" xfId="0" applyFont="1" applyAlignment="1" applyProtection="1">
      <alignment horizontal="center" vertic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-VL bracing 2L" xfId="57"/>
    <cellStyle name="Normal_final load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008000"/>
      </font>
      <border/>
    </dxf>
    <dxf>
      <font>
        <color rgb="FFFF0000"/>
      </font>
      <border/>
    </dxf>
    <dxf>
      <font>
        <color rgb="FF3399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67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1265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29</xdr:row>
      <xdr:rowOff>28575</xdr:rowOff>
    </xdr:from>
    <xdr:to>
      <xdr:col>0</xdr:col>
      <xdr:colOff>657225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5619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4791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70</xdr:row>
      <xdr:rowOff>76200</xdr:rowOff>
    </xdr:from>
    <xdr:to>
      <xdr:col>7</xdr:col>
      <xdr:colOff>19050</xdr:colOff>
      <xdr:row>71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5429250" y="1326832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27</xdr:row>
      <xdr:rowOff>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4371975" y="519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27</xdr:row>
      <xdr:rowOff>0</xdr:rowOff>
    </xdr:from>
    <xdr:to>
      <xdr:col>5</xdr:col>
      <xdr:colOff>857250</xdr:colOff>
      <xdr:row>27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162550" y="519112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70</xdr:row>
      <xdr:rowOff>19050</xdr:rowOff>
    </xdr:from>
    <xdr:to>
      <xdr:col>2</xdr:col>
      <xdr:colOff>904875</xdr:colOff>
      <xdr:row>70</xdr:row>
      <xdr:rowOff>19050</xdr:rowOff>
    </xdr:to>
    <xdr:sp>
      <xdr:nvSpPr>
        <xdr:cNvPr id="9" name="Line 10"/>
        <xdr:cNvSpPr>
          <a:spLocks/>
        </xdr:cNvSpPr>
      </xdr:nvSpPr>
      <xdr:spPr>
        <a:xfrm>
          <a:off x="2733675" y="13211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542925</xdr:colOff>
      <xdr:row>54</xdr:row>
      <xdr:rowOff>28575</xdr:rowOff>
    </xdr:from>
    <xdr:to>
      <xdr:col>0</xdr:col>
      <xdr:colOff>657225</xdr:colOff>
      <xdr:row>54</xdr:row>
      <xdr:rowOff>28575</xdr:rowOff>
    </xdr:to>
    <xdr:sp>
      <xdr:nvSpPr>
        <xdr:cNvPr id="12" name="Line 22"/>
        <xdr:cNvSpPr>
          <a:spLocks/>
        </xdr:cNvSpPr>
      </xdr:nvSpPr>
      <xdr:spPr>
        <a:xfrm>
          <a:off x="542925" y="10620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M138"/>
  <sheetViews>
    <sheetView showGridLines="0" tabSelected="1" view="pageBreakPreview" zoomScaleSheetLayoutView="100" workbookViewId="0" topLeftCell="A1">
      <selection activeCell="E97" sqref="E97"/>
    </sheetView>
  </sheetViews>
  <sheetFormatPr defaultColWidth="9.140625" defaultRowHeight="12.75"/>
  <cols>
    <col min="1" max="1" width="17.7109375" style="30" customWidth="1"/>
    <col min="2" max="2" width="13.28125" style="30" customWidth="1"/>
    <col min="3" max="3" width="14.8515625" style="30" bestFit="1" customWidth="1"/>
    <col min="4" max="4" width="9.140625" style="30" customWidth="1"/>
    <col min="5" max="5" width="9.57421875" style="30" bestFit="1" customWidth="1"/>
    <col min="6" max="6" width="12.8515625" style="30" customWidth="1"/>
    <col min="7" max="7" width="9.140625" style="30" customWidth="1"/>
    <col min="8" max="8" width="9.57421875" style="30" bestFit="1" customWidth="1"/>
    <col min="9" max="10" width="9.28125" style="30" customWidth="1"/>
    <col min="11" max="11" width="9.140625" style="30" customWidth="1"/>
    <col min="12" max="12" width="12.8515625" style="30" customWidth="1"/>
    <col min="13" max="13" width="9.140625" style="30" customWidth="1"/>
    <col min="14" max="14" width="9.7109375" style="30" bestFit="1" customWidth="1"/>
    <col min="15" max="15" width="9.140625" style="30" customWidth="1"/>
    <col min="16" max="16" width="9.28125" style="30" bestFit="1" customWidth="1"/>
    <col min="17" max="17" width="9.421875" style="30" bestFit="1" customWidth="1"/>
    <col min="18" max="18" width="10.7109375" style="30" bestFit="1" customWidth="1"/>
    <col min="19" max="19" width="9.57421875" style="30" bestFit="1" customWidth="1"/>
    <col min="20" max="34" width="9.140625" style="30" customWidth="1"/>
    <col min="35" max="35" width="10.57421875" style="30" bestFit="1" customWidth="1"/>
    <col min="36" max="36" width="9.57421875" style="30" bestFit="1" customWidth="1"/>
    <col min="37" max="16384" width="9.140625" style="30" customWidth="1"/>
  </cols>
  <sheetData>
    <row r="1" spans="1:38" ht="19.5" customHeight="1">
      <c r="A1" s="35" t="s">
        <v>48</v>
      </c>
      <c r="B1" s="36"/>
      <c r="C1" s="36"/>
      <c r="D1" s="151" t="s">
        <v>54</v>
      </c>
      <c r="E1" s="152"/>
      <c r="F1" s="152"/>
      <c r="G1" s="153"/>
      <c r="H1" s="156" t="s">
        <v>55</v>
      </c>
      <c r="I1" s="157"/>
      <c r="J1" s="37"/>
      <c r="K1" s="38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AA1" s="96"/>
      <c r="AB1" s="39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9.5" customHeight="1" thickBot="1">
      <c r="A2" s="33" t="s">
        <v>49</v>
      </c>
      <c r="B2" s="34"/>
      <c r="C2" s="34"/>
      <c r="D2" s="160" t="s">
        <v>66</v>
      </c>
      <c r="E2" s="161"/>
      <c r="F2" s="161"/>
      <c r="G2" s="162"/>
      <c r="H2" s="158"/>
      <c r="I2" s="159"/>
      <c r="J2" s="41"/>
      <c r="K2" s="42"/>
      <c r="L2" s="23"/>
      <c r="M2" s="43"/>
      <c r="N2" s="22"/>
      <c r="O2" s="15"/>
      <c r="P2" s="15"/>
      <c r="Q2" s="22"/>
      <c r="R2" s="15"/>
      <c r="S2" s="22"/>
      <c r="T2" s="15"/>
      <c r="U2" s="23"/>
      <c r="V2" s="23"/>
      <c r="AA2" s="16"/>
      <c r="AB2" s="17"/>
      <c r="AC2" s="12"/>
      <c r="AD2" s="22"/>
      <c r="AE2" s="15"/>
      <c r="AF2" s="15"/>
      <c r="AG2" s="15"/>
      <c r="AH2" s="15"/>
      <c r="AI2" s="22"/>
      <c r="AJ2" s="15"/>
      <c r="AK2" s="17"/>
      <c r="AL2" s="17"/>
    </row>
    <row r="3" spans="1:38" ht="19.5" customHeight="1">
      <c r="A3" s="44" t="s">
        <v>50</v>
      </c>
      <c r="B3" s="34"/>
      <c r="C3" s="34"/>
      <c r="D3" s="45" t="s">
        <v>47</v>
      </c>
      <c r="E3" s="46" t="s">
        <v>52</v>
      </c>
      <c r="F3" s="47" t="s">
        <v>53</v>
      </c>
      <c r="G3" s="48" t="s">
        <v>52</v>
      </c>
      <c r="H3" s="49" t="s">
        <v>56</v>
      </c>
      <c r="I3" s="6"/>
      <c r="J3" s="41"/>
      <c r="K3" s="42"/>
      <c r="L3" s="23"/>
      <c r="M3" s="43"/>
      <c r="N3" s="22"/>
      <c r="O3" s="15"/>
      <c r="P3" s="15"/>
      <c r="Q3" s="22"/>
      <c r="R3" s="15"/>
      <c r="S3" s="22"/>
      <c r="T3" s="15"/>
      <c r="U3" s="23"/>
      <c r="V3" s="23"/>
      <c r="AA3" s="16"/>
      <c r="AB3" s="17"/>
      <c r="AC3" s="12"/>
      <c r="AD3" s="22"/>
      <c r="AE3" s="15"/>
      <c r="AF3" s="15"/>
      <c r="AG3" s="15"/>
      <c r="AH3" s="15"/>
      <c r="AI3" s="22"/>
      <c r="AJ3" s="15"/>
      <c r="AK3" s="17"/>
      <c r="AL3" s="17"/>
    </row>
    <row r="4" spans="1:38" ht="19.5" customHeight="1" thickBot="1">
      <c r="A4" s="50" t="s">
        <v>51</v>
      </c>
      <c r="B4" s="51"/>
      <c r="C4" s="51"/>
      <c r="D4" s="1" t="s">
        <v>65</v>
      </c>
      <c r="E4" s="2"/>
      <c r="F4" s="3"/>
      <c r="G4" s="4"/>
      <c r="H4" s="52" t="s">
        <v>57</v>
      </c>
      <c r="I4" s="5"/>
      <c r="J4" s="53"/>
      <c r="K4" s="42"/>
      <c r="L4" s="23"/>
      <c r="M4" s="43"/>
      <c r="N4" s="22"/>
      <c r="O4" s="15"/>
      <c r="P4" s="15"/>
      <c r="Q4" s="22"/>
      <c r="R4" s="15"/>
      <c r="S4" s="22"/>
      <c r="T4" s="15"/>
      <c r="U4" s="23"/>
      <c r="V4" s="23"/>
      <c r="AA4" s="16"/>
      <c r="AB4" s="17"/>
      <c r="AC4" s="12"/>
      <c r="AD4" s="22"/>
      <c r="AE4" s="15"/>
      <c r="AF4" s="15"/>
      <c r="AG4" s="15"/>
      <c r="AH4" s="15"/>
      <c r="AI4" s="22"/>
      <c r="AJ4" s="15"/>
      <c r="AK4" s="17"/>
      <c r="AL4" s="17"/>
    </row>
    <row r="5" spans="1:38" ht="15.75" customHeight="1">
      <c r="A5" s="54" t="s">
        <v>69</v>
      </c>
      <c r="B5" s="11" t="s">
        <v>70</v>
      </c>
      <c r="C5" s="56"/>
      <c r="D5" s="56"/>
      <c r="E5" s="57"/>
      <c r="F5" s="58"/>
      <c r="G5" s="59"/>
      <c r="H5" s="60"/>
      <c r="I5" s="60"/>
      <c r="J5" s="61" t="s">
        <v>46</v>
      </c>
      <c r="K5" s="42"/>
      <c r="L5" s="23"/>
      <c r="M5" s="43"/>
      <c r="N5" s="22"/>
      <c r="O5" s="15"/>
      <c r="P5" s="15"/>
      <c r="Q5" s="22"/>
      <c r="R5" s="15"/>
      <c r="S5" s="22"/>
      <c r="T5" s="15"/>
      <c r="U5" s="23"/>
      <c r="V5" s="23"/>
      <c r="AA5" s="16"/>
      <c r="AB5" s="17"/>
      <c r="AC5" s="12"/>
      <c r="AD5" s="22"/>
      <c r="AE5" s="15"/>
      <c r="AF5" s="15"/>
      <c r="AG5" s="15"/>
      <c r="AH5" s="15"/>
      <c r="AI5" s="22"/>
      <c r="AJ5" s="15"/>
      <c r="AK5" s="17"/>
      <c r="AL5" s="17"/>
    </row>
    <row r="6" spans="1:38" ht="15.75" customHeight="1">
      <c r="A6" s="62"/>
      <c r="B6" s="63"/>
      <c r="C6" s="64"/>
      <c r="D6" s="64"/>
      <c r="E6" s="64"/>
      <c r="F6" s="65" t="s">
        <v>76</v>
      </c>
      <c r="G6" s="7" t="s">
        <v>75</v>
      </c>
      <c r="H6" s="64"/>
      <c r="I6" s="64"/>
      <c r="J6" s="66" t="s">
        <v>63</v>
      </c>
      <c r="K6" s="42"/>
      <c r="L6" s="23"/>
      <c r="M6" s="43"/>
      <c r="N6" s="22"/>
      <c r="O6" s="15"/>
      <c r="P6" s="15"/>
      <c r="Q6" s="22"/>
      <c r="R6" s="15"/>
      <c r="S6" s="22"/>
      <c r="T6" s="15"/>
      <c r="U6" s="23"/>
      <c r="V6" s="23"/>
      <c r="AA6" s="16"/>
      <c r="AB6" s="17"/>
      <c r="AC6" s="12"/>
      <c r="AD6" s="22"/>
      <c r="AE6" s="15"/>
      <c r="AF6" s="15"/>
      <c r="AG6" s="15"/>
      <c r="AH6" s="15"/>
      <c r="AI6" s="22"/>
      <c r="AJ6" s="15"/>
      <c r="AK6" s="17"/>
      <c r="AL6" s="17"/>
    </row>
    <row r="7" spans="1:38" ht="15.75" customHeight="1">
      <c r="A7" s="67"/>
      <c r="B7" s="55"/>
      <c r="C7" s="68"/>
      <c r="D7" s="57"/>
      <c r="E7" s="69"/>
      <c r="F7" s="70" t="s">
        <v>77</v>
      </c>
      <c r="G7" s="71" t="s">
        <v>1</v>
      </c>
      <c r="H7" s="72">
        <f>VLOOKUP(G6,M19:O21,2,FALSE)</f>
        <v>3.6</v>
      </c>
      <c r="I7" s="64" t="s">
        <v>15</v>
      </c>
      <c r="J7" s="14" t="s">
        <v>79</v>
      </c>
      <c r="K7" s="42"/>
      <c r="L7" s="23"/>
      <c r="M7" s="43"/>
      <c r="N7" s="22"/>
      <c r="O7" s="15"/>
      <c r="P7" s="15"/>
      <c r="Q7" s="22"/>
      <c r="R7" s="15"/>
      <c r="S7" s="22"/>
      <c r="T7" s="15"/>
      <c r="U7" s="23"/>
      <c r="V7" s="23"/>
      <c r="AA7" s="16"/>
      <c r="AB7" s="17"/>
      <c r="AC7" s="12"/>
      <c r="AD7" s="22"/>
      <c r="AE7" s="15"/>
      <c r="AF7" s="15"/>
      <c r="AG7" s="15"/>
      <c r="AH7" s="15"/>
      <c r="AI7" s="22"/>
      <c r="AJ7" s="15"/>
      <c r="AK7" s="17"/>
      <c r="AL7" s="17"/>
    </row>
    <row r="8" spans="1:38" ht="15.75" customHeight="1">
      <c r="A8" s="139"/>
      <c r="B8" s="57"/>
      <c r="C8" s="57"/>
      <c r="D8" s="57"/>
      <c r="E8" s="57"/>
      <c r="F8" s="70" t="s">
        <v>78</v>
      </c>
      <c r="G8" s="71" t="s">
        <v>1</v>
      </c>
      <c r="H8" s="72">
        <f>VLOOKUP(G6,M19:O21,3,FALSE)</f>
        <v>5.2</v>
      </c>
      <c r="I8" s="64" t="s">
        <v>15</v>
      </c>
      <c r="J8" s="75" t="s">
        <v>79</v>
      </c>
      <c r="K8" s="76"/>
      <c r="L8" s="23"/>
      <c r="M8" s="22"/>
      <c r="N8" s="22"/>
      <c r="O8" s="15"/>
      <c r="P8" s="15"/>
      <c r="Q8" s="22"/>
      <c r="R8" s="15"/>
      <c r="S8" s="22"/>
      <c r="T8" s="15"/>
      <c r="U8" s="23"/>
      <c r="V8" s="23"/>
      <c r="AA8" s="16"/>
      <c r="AB8" s="17"/>
      <c r="AC8" s="12"/>
      <c r="AD8" s="22"/>
      <c r="AE8" s="15"/>
      <c r="AF8" s="15"/>
      <c r="AG8" s="15"/>
      <c r="AH8" s="15"/>
      <c r="AI8" s="22"/>
      <c r="AJ8" s="15"/>
      <c r="AK8" s="17"/>
      <c r="AL8" s="17"/>
    </row>
    <row r="9" spans="1:38" ht="15.75" customHeight="1">
      <c r="A9" s="67" t="s">
        <v>4</v>
      </c>
      <c r="B9" s="73"/>
      <c r="C9" s="64"/>
      <c r="D9" s="64"/>
      <c r="E9" s="74" t="s">
        <v>71</v>
      </c>
      <c r="F9" s="69"/>
      <c r="G9" s="63"/>
      <c r="H9" s="63"/>
      <c r="I9" s="63"/>
      <c r="J9" s="81"/>
      <c r="K9" s="42"/>
      <c r="L9" s="23"/>
      <c r="M9" s="43"/>
      <c r="N9" s="22"/>
      <c r="O9" s="15"/>
      <c r="P9" s="15"/>
      <c r="Q9" s="22"/>
      <c r="R9" s="15"/>
      <c r="S9" s="22"/>
      <c r="T9" s="15"/>
      <c r="U9" s="23"/>
      <c r="V9" s="23"/>
      <c r="AA9" s="16"/>
      <c r="AB9" s="17"/>
      <c r="AC9" s="12"/>
      <c r="AD9" s="22"/>
      <c r="AE9" s="15"/>
      <c r="AF9" s="15"/>
      <c r="AG9" s="15"/>
      <c r="AH9" s="15"/>
      <c r="AI9" s="22"/>
      <c r="AJ9" s="15"/>
      <c r="AK9" s="17"/>
      <c r="AL9" s="17"/>
    </row>
    <row r="10" spans="1:38" ht="15.75" customHeight="1">
      <c r="A10" s="27" t="s">
        <v>88</v>
      </c>
      <c r="B10" s="78" t="s">
        <v>1</v>
      </c>
      <c r="C10" s="8">
        <v>5.5</v>
      </c>
      <c r="D10" s="64" t="s">
        <v>5</v>
      </c>
      <c r="E10" s="9" t="s">
        <v>10</v>
      </c>
      <c r="F10" s="63"/>
      <c r="G10" s="63"/>
      <c r="H10" s="63"/>
      <c r="I10" s="63"/>
      <c r="J10" s="81"/>
      <c r="K10" s="76"/>
      <c r="L10" s="23"/>
      <c r="M10" s="22"/>
      <c r="N10" s="22"/>
      <c r="O10" s="15"/>
      <c r="P10" s="15"/>
      <c r="Q10" s="22"/>
      <c r="R10" s="15"/>
      <c r="S10" s="22"/>
      <c r="T10" s="15"/>
      <c r="U10" s="23"/>
      <c r="V10" s="23"/>
      <c r="AA10" s="16"/>
      <c r="AB10" s="17"/>
      <c r="AC10" s="12"/>
      <c r="AD10" s="22"/>
      <c r="AE10" s="15"/>
      <c r="AF10" s="15"/>
      <c r="AG10" s="15"/>
      <c r="AH10" s="15"/>
      <c r="AI10" s="22"/>
      <c r="AJ10" s="15"/>
      <c r="AK10" s="17"/>
      <c r="AL10" s="17"/>
    </row>
    <row r="11" spans="1:38" ht="15.75" customHeight="1">
      <c r="A11" s="27" t="s">
        <v>91</v>
      </c>
      <c r="B11" s="78" t="s">
        <v>1</v>
      </c>
      <c r="C11" s="8">
        <v>4</v>
      </c>
      <c r="D11" s="64" t="s">
        <v>2</v>
      </c>
      <c r="E11" s="80"/>
      <c r="F11" s="63"/>
      <c r="G11" s="63"/>
      <c r="H11" s="63"/>
      <c r="I11" s="63"/>
      <c r="J11" s="81"/>
      <c r="K11" s="76"/>
      <c r="L11" s="23"/>
      <c r="M11" s="22"/>
      <c r="N11" s="22"/>
      <c r="O11" s="15"/>
      <c r="P11" s="15"/>
      <c r="Q11" s="22"/>
      <c r="R11" s="15"/>
      <c r="S11" s="22"/>
      <c r="T11" s="15"/>
      <c r="U11" s="23"/>
      <c r="V11" s="23"/>
      <c r="AA11" s="16"/>
      <c r="AB11" s="17"/>
      <c r="AC11" s="12"/>
      <c r="AD11" s="22"/>
      <c r="AE11" s="15"/>
      <c r="AF11" s="15"/>
      <c r="AG11" s="15"/>
      <c r="AH11" s="15"/>
      <c r="AI11" s="22"/>
      <c r="AJ11" s="15"/>
      <c r="AK11" s="17"/>
      <c r="AL11" s="17"/>
    </row>
    <row r="12" spans="1:38" ht="15.75" customHeight="1">
      <c r="A12" s="77" t="s">
        <v>6</v>
      </c>
      <c r="B12" s="78" t="s">
        <v>1</v>
      </c>
      <c r="C12" s="8">
        <v>0</v>
      </c>
      <c r="D12" s="64" t="s">
        <v>2</v>
      </c>
      <c r="E12" s="63"/>
      <c r="F12" s="63"/>
      <c r="G12" s="63"/>
      <c r="H12" s="63"/>
      <c r="I12" s="63"/>
      <c r="J12" s="81"/>
      <c r="K12" s="76"/>
      <c r="L12" s="23"/>
      <c r="M12" s="22"/>
      <c r="N12" s="22"/>
      <c r="O12" s="15"/>
      <c r="P12" s="15"/>
      <c r="Q12" s="22"/>
      <c r="R12" s="15"/>
      <c r="S12" s="22"/>
      <c r="T12" s="15"/>
      <c r="U12" s="23"/>
      <c r="V12" s="23"/>
      <c r="AA12" s="16"/>
      <c r="AB12" s="17"/>
      <c r="AC12" s="12"/>
      <c r="AD12" s="22"/>
      <c r="AE12" s="15"/>
      <c r="AF12" s="15"/>
      <c r="AG12" s="15"/>
      <c r="AH12" s="15"/>
      <c r="AI12" s="22"/>
      <c r="AJ12" s="15"/>
      <c r="AK12" s="17"/>
      <c r="AL12" s="17"/>
    </row>
    <row r="13" spans="1:38" ht="15.75" customHeight="1">
      <c r="A13" s="82" t="s">
        <v>33</v>
      </c>
      <c r="B13" s="72"/>
      <c r="C13" s="64"/>
      <c r="D13" s="64"/>
      <c r="E13" s="64"/>
      <c r="F13" s="64"/>
      <c r="G13" s="64"/>
      <c r="H13" s="64"/>
      <c r="I13" s="64"/>
      <c r="J13" s="81"/>
      <c r="K13" s="76"/>
      <c r="L13" s="23"/>
      <c r="M13" s="22"/>
      <c r="N13" s="22"/>
      <c r="O13" s="15"/>
      <c r="P13" s="15"/>
      <c r="Q13" s="22"/>
      <c r="R13" s="15"/>
      <c r="S13" s="22"/>
      <c r="T13" s="15"/>
      <c r="U13" s="23"/>
      <c r="V13" s="23"/>
      <c r="AA13" s="16"/>
      <c r="AB13" s="17"/>
      <c r="AC13" s="12"/>
      <c r="AD13" s="22"/>
      <c r="AE13" s="15"/>
      <c r="AF13" s="15"/>
      <c r="AG13" s="15"/>
      <c r="AH13" s="15"/>
      <c r="AI13" s="22"/>
      <c r="AJ13" s="15"/>
      <c r="AK13" s="17"/>
      <c r="AL13" s="17"/>
    </row>
    <row r="14" spans="1:38" ht="15.75" customHeight="1">
      <c r="A14" s="83"/>
      <c r="B14" s="72"/>
      <c r="C14" s="64"/>
      <c r="D14" s="64"/>
      <c r="E14" s="64"/>
      <c r="F14" s="64"/>
      <c r="G14" s="64"/>
      <c r="H14" s="64"/>
      <c r="I14" s="84"/>
      <c r="J14" s="81"/>
      <c r="K14" s="76"/>
      <c r="L14" s="23"/>
      <c r="M14" s="22"/>
      <c r="N14" s="22"/>
      <c r="O14" s="15"/>
      <c r="P14" s="15"/>
      <c r="Q14" s="22"/>
      <c r="R14" s="15"/>
      <c r="S14" s="22"/>
      <c r="T14" s="15"/>
      <c r="U14" s="23"/>
      <c r="V14" s="23"/>
      <c r="AA14" s="16"/>
      <c r="AB14" s="17"/>
      <c r="AC14" s="12"/>
      <c r="AD14" s="22"/>
      <c r="AE14" s="15"/>
      <c r="AF14" s="15"/>
      <c r="AG14" s="15"/>
      <c r="AH14" s="15"/>
      <c r="AI14" s="22"/>
      <c r="AJ14" s="15"/>
      <c r="AK14" s="17"/>
      <c r="AL14" s="17"/>
    </row>
    <row r="15" spans="1:38" ht="15.75" customHeight="1">
      <c r="A15" s="85" t="s">
        <v>80</v>
      </c>
      <c r="B15" s="86"/>
      <c r="C15" s="86"/>
      <c r="D15" s="63"/>
      <c r="E15" s="64"/>
      <c r="F15" s="64"/>
      <c r="G15" s="64"/>
      <c r="H15" s="64"/>
      <c r="I15" s="84"/>
      <c r="J15" s="81"/>
      <c r="K15" s="42"/>
      <c r="L15" s="23"/>
      <c r="M15" s="43"/>
      <c r="N15" s="22"/>
      <c r="P15" s="15"/>
      <c r="Q15" s="22"/>
      <c r="R15" s="15"/>
      <c r="S15" s="22"/>
      <c r="T15" s="15"/>
      <c r="U15" s="23"/>
      <c r="V15" s="23"/>
      <c r="AA15" s="16"/>
      <c r="AB15" s="17"/>
      <c r="AC15" s="12"/>
      <c r="AD15" s="22"/>
      <c r="AE15" s="15"/>
      <c r="AF15" s="15"/>
      <c r="AG15" s="15"/>
      <c r="AH15" s="15"/>
      <c r="AI15" s="22"/>
      <c r="AJ15" s="15"/>
      <c r="AK15" s="17"/>
      <c r="AL15" s="17"/>
    </row>
    <row r="16" spans="1:38" ht="15.75" customHeight="1">
      <c r="A16" s="27" t="s">
        <v>67</v>
      </c>
      <c r="B16" s="28" t="s">
        <v>1</v>
      </c>
      <c r="C16" s="29">
        <v>200</v>
      </c>
      <c r="D16" s="64" t="s">
        <v>3</v>
      </c>
      <c r="E16" s="64"/>
      <c r="F16" s="64"/>
      <c r="G16" s="7"/>
      <c r="H16" s="64"/>
      <c r="I16" s="84"/>
      <c r="J16" s="81"/>
      <c r="K16" s="42"/>
      <c r="L16" s="23"/>
      <c r="M16" s="43"/>
      <c r="N16" s="22"/>
      <c r="O16" s="15"/>
      <c r="P16" s="15"/>
      <c r="Q16" s="22"/>
      <c r="R16" s="15"/>
      <c r="S16" s="22"/>
      <c r="T16" s="15"/>
      <c r="U16" s="23"/>
      <c r="V16" s="23"/>
      <c r="AA16" s="16"/>
      <c r="AB16" s="17"/>
      <c r="AC16" s="12"/>
      <c r="AD16" s="22"/>
      <c r="AE16" s="15"/>
      <c r="AF16" s="15"/>
      <c r="AG16" s="15"/>
      <c r="AH16" s="15"/>
      <c r="AI16" s="22"/>
      <c r="AJ16" s="15"/>
      <c r="AK16" s="17"/>
      <c r="AL16" s="17"/>
    </row>
    <row r="17" spans="1:38" ht="15.75" customHeight="1">
      <c r="A17" s="27" t="s">
        <v>68</v>
      </c>
      <c r="B17" s="28" t="s">
        <v>1</v>
      </c>
      <c r="C17" s="29">
        <v>10</v>
      </c>
      <c r="D17" s="64" t="s">
        <v>3</v>
      </c>
      <c r="E17" s="64"/>
      <c r="F17" s="64"/>
      <c r="G17" s="64"/>
      <c r="H17" s="64"/>
      <c r="I17" s="84"/>
      <c r="J17" s="81"/>
      <c r="K17" s="42"/>
      <c r="L17" s="23"/>
      <c r="M17" s="43"/>
      <c r="N17" s="22"/>
      <c r="O17" s="15"/>
      <c r="P17" s="15"/>
      <c r="Q17" s="22"/>
      <c r="R17" s="15"/>
      <c r="S17" s="22"/>
      <c r="T17" s="15"/>
      <c r="U17" s="23"/>
      <c r="V17" s="23"/>
      <c r="AA17" s="43"/>
      <c r="AB17" s="23"/>
      <c r="AC17" s="43"/>
      <c r="AD17" s="22"/>
      <c r="AE17" s="15"/>
      <c r="AF17" s="15"/>
      <c r="AG17" s="22"/>
      <c r="AH17" s="15"/>
      <c r="AI17" s="22"/>
      <c r="AJ17" s="15"/>
      <c r="AK17" s="23"/>
      <c r="AL17" s="23"/>
    </row>
    <row r="18" spans="1:38" ht="15.75" customHeight="1">
      <c r="A18" s="27" t="s">
        <v>82</v>
      </c>
      <c r="B18" s="28" t="s">
        <v>1</v>
      </c>
      <c r="C18" s="29">
        <v>400</v>
      </c>
      <c r="D18" s="64" t="s">
        <v>3</v>
      </c>
      <c r="E18" s="64"/>
      <c r="F18" s="64"/>
      <c r="G18" s="64"/>
      <c r="H18" s="64"/>
      <c r="I18" s="84"/>
      <c r="J18" s="81"/>
      <c r="K18" s="43"/>
      <c r="L18" s="23"/>
      <c r="M18" s="43"/>
      <c r="N18" s="22"/>
      <c r="O18" s="15"/>
      <c r="P18" s="15"/>
      <c r="Q18" s="22"/>
      <c r="R18" s="15"/>
      <c r="S18" s="22"/>
      <c r="T18" s="15"/>
      <c r="U18" s="23"/>
      <c r="V18" s="23"/>
      <c r="AA18" s="43"/>
      <c r="AB18" s="23"/>
      <c r="AC18" s="43"/>
      <c r="AD18" s="22"/>
      <c r="AE18" s="15"/>
      <c r="AF18" s="15"/>
      <c r="AG18" s="22"/>
      <c r="AH18" s="15"/>
      <c r="AI18" s="22"/>
      <c r="AJ18" s="15"/>
      <c r="AK18" s="23"/>
      <c r="AL18" s="23"/>
    </row>
    <row r="19" spans="1:38" ht="15.75" customHeight="1">
      <c r="A19" s="27" t="s">
        <v>83</v>
      </c>
      <c r="B19" s="28" t="s">
        <v>1</v>
      </c>
      <c r="C19" s="29">
        <v>4</v>
      </c>
      <c r="D19" s="64" t="s">
        <v>3</v>
      </c>
      <c r="E19" s="64"/>
      <c r="F19" s="64"/>
      <c r="G19" s="64"/>
      <c r="H19" s="64"/>
      <c r="I19" s="87"/>
      <c r="J19" s="81"/>
      <c r="K19" s="88" t="s">
        <v>10</v>
      </c>
      <c r="L19" s="13"/>
      <c r="M19" s="30" t="s">
        <v>73</v>
      </c>
      <c r="N19" s="30">
        <v>2.4</v>
      </c>
      <c r="O19" s="30">
        <v>3.6</v>
      </c>
      <c r="P19" s="89"/>
      <c r="Q19" s="23"/>
      <c r="R19" s="88"/>
      <c r="S19" s="88"/>
      <c r="T19" s="88"/>
      <c r="U19" s="88"/>
      <c r="AA19" s="43"/>
      <c r="AB19" s="23"/>
      <c r="AC19" s="43"/>
      <c r="AD19" s="22"/>
      <c r="AE19" s="15"/>
      <c r="AF19" s="15"/>
      <c r="AG19" s="22"/>
      <c r="AH19" s="15"/>
      <c r="AI19" s="22"/>
      <c r="AJ19" s="15"/>
      <c r="AK19" s="23"/>
      <c r="AL19" s="23"/>
    </row>
    <row r="20" spans="1:38" ht="15.75" customHeight="1" hidden="1">
      <c r="A20" s="27" t="s">
        <v>84</v>
      </c>
      <c r="B20" s="28" t="s">
        <v>1</v>
      </c>
      <c r="C20" s="143">
        <f>C16</f>
        <v>200</v>
      </c>
      <c r="D20" s="64" t="s">
        <v>3</v>
      </c>
      <c r="E20" s="64"/>
      <c r="F20" s="64"/>
      <c r="G20" s="64"/>
      <c r="H20" s="64"/>
      <c r="I20" s="87"/>
      <c r="J20" s="81"/>
      <c r="K20" s="88" t="s">
        <v>11</v>
      </c>
      <c r="L20" s="13"/>
      <c r="M20" s="30" t="s">
        <v>74</v>
      </c>
      <c r="N20" s="30">
        <v>2.8</v>
      </c>
      <c r="O20" s="30">
        <v>4.4</v>
      </c>
      <c r="P20" s="89"/>
      <c r="Q20" s="23"/>
      <c r="R20" s="88"/>
      <c r="S20" s="88"/>
      <c r="T20" s="88"/>
      <c r="U20" s="88"/>
      <c r="AA20" s="43"/>
      <c r="AB20" s="23"/>
      <c r="AC20" s="43"/>
      <c r="AD20" s="22"/>
      <c r="AE20" s="15"/>
      <c r="AF20" s="15"/>
      <c r="AG20" s="22"/>
      <c r="AH20" s="15"/>
      <c r="AI20" s="22"/>
      <c r="AJ20" s="15"/>
      <c r="AK20" s="23"/>
      <c r="AL20" s="23"/>
    </row>
    <row r="21" spans="1:38" ht="15.75" customHeight="1" hidden="1">
      <c r="A21" s="27" t="s">
        <v>85</v>
      </c>
      <c r="B21" s="28" t="s">
        <v>1</v>
      </c>
      <c r="C21" s="143">
        <f>C17</f>
        <v>10</v>
      </c>
      <c r="D21" s="64" t="s">
        <v>3</v>
      </c>
      <c r="E21" s="64"/>
      <c r="F21" s="64"/>
      <c r="G21" s="64"/>
      <c r="H21" s="64"/>
      <c r="I21" s="87"/>
      <c r="J21" s="81"/>
      <c r="K21" s="88"/>
      <c r="L21" s="13"/>
      <c r="M21" s="30" t="s">
        <v>75</v>
      </c>
      <c r="N21" s="30">
        <v>3.6</v>
      </c>
      <c r="O21" s="30">
        <v>5.2</v>
      </c>
      <c r="P21" s="89"/>
      <c r="Q21" s="23"/>
      <c r="R21" s="88"/>
      <c r="S21" s="88"/>
      <c r="T21" s="88"/>
      <c r="U21" s="88"/>
      <c r="AA21" s="43"/>
      <c r="AB21" s="23"/>
      <c r="AC21" s="43"/>
      <c r="AD21" s="22"/>
      <c r="AE21" s="15"/>
      <c r="AF21" s="15"/>
      <c r="AG21" s="22"/>
      <c r="AH21" s="15"/>
      <c r="AI21" s="22"/>
      <c r="AJ21" s="15"/>
      <c r="AK21" s="23"/>
      <c r="AL21" s="23"/>
    </row>
    <row r="22" spans="1:38" ht="15.75" customHeight="1">
      <c r="A22" s="77"/>
      <c r="B22" s="78"/>
      <c r="C22" s="90"/>
      <c r="D22" s="64"/>
      <c r="E22" s="64"/>
      <c r="F22" s="64"/>
      <c r="G22" s="64"/>
      <c r="H22" s="64"/>
      <c r="I22" s="87"/>
      <c r="J22" s="81"/>
      <c r="K22" s="88"/>
      <c r="L22" s="13"/>
      <c r="M22" s="30">
        <f>((C16-C19)/2)/C17</f>
        <v>9.8</v>
      </c>
      <c r="N22" s="27" t="s">
        <v>81</v>
      </c>
      <c r="P22" s="89"/>
      <c r="Q22" s="88"/>
      <c r="R22" s="88"/>
      <c r="S22" s="88"/>
      <c r="T22" s="88"/>
      <c r="U22" s="88"/>
      <c r="AA22" s="43"/>
      <c r="AB22" s="23"/>
      <c r="AC22" s="43"/>
      <c r="AD22" s="22"/>
      <c r="AE22" s="15"/>
      <c r="AF22" s="15"/>
      <c r="AG22" s="22"/>
      <c r="AH22" s="15"/>
      <c r="AI22" s="22"/>
      <c r="AJ22" s="15"/>
      <c r="AK22" s="23"/>
      <c r="AL22" s="23"/>
    </row>
    <row r="23" spans="1:38" ht="15.75" customHeight="1">
      <c r="A23" s="82" t="s">
        <v>112</v>
      </c>
      <c r="B23" s="63"/>
      <c r="C23" s="91"/>
      <c r="D23" s="63"/>
      <c r="E23" s="92"/>
      <c r="F23" s="92"/>
      <c r="G23" s="92"/>
      <c r="H23" s="92"/>
      <c r="I23" s="87"/>
      <c r="J23" s="81"/>
      <c r="K23" s="43"/>
      <c r="L23" s="23"/>
      <c r="M23" s="30">
        <f>((C20-C19)/2)/C21</f>
        <v>9.8</v>
      </c>
      <c r="N23" s="27" t="s">
        <v>84</v>
      </c>
      <c r="P23" s="15"/>
      <c r="Q23" s="22"/>
      <c r="R23" s="15"/>
      <c r="S23" s="22"/>
      <c r="T23" s="15"/>
      <c r="U23" s="23"/>
      <c r="V23" s="23"/>
      <c r="AA23" s="43"/>
      <c r="AB23" s="23"/>
      <c r="AC23" s="43"/>
      <c r="AD23" s="22"/>
      <c r="AE23" s="15"/>
      <c r="AF23" s="15"/>
      <c r="AG23" s="22"/>
      <c r="AH23" s="15"/>
      <c r="AI23" s="22"/>
      <c r="AJ23" s="15"/>
      <c r="AK23" s="23"/>
      <c r="AL23" s="23"/>
    </row>
    <row r="24" spans="1:38" ht="15.75" customHeight="1">
      <c r="A24" s="77" t="s">
        <v>94</v>
      </c>
      <c r="B24" s="78" t="s">
        <v>1</v>
      </c>
      <c r="C24" s="8">
        <v>11</v>
      </c>
      <c r="D24" s="64" t="s">
        <v>0</v>
      </c>
      <c r="E24" s="65" t="s">
        <v>97</v>
      </c>
      <c r="F24" s="71" t="s">
        <v>1</v>
      </c>
      <c r="G24" s="8">
        <v>0.65</v>
      </c>
      <c r="H24" s="92"/>
      <c r="I24" s="87"/>
      <c r="J24" s="81"/>
      <c r="K24" s="43"/>
      <c r="L24" s="23"/>
      <c r="M24" s="43"/>
      <c r="N24" s="22"/>
      <c r="O24" s="15"/>
      <c r="P24" s="15"/>
      <c r="Q24" s="22"/>
      <c r="R24" s="15"/>
      <c r="S24" s="22"/>
      <c r="T24" s="15"/>
      <c r="U24" s="23"/>
      <c r="V24" s="23"/>
      <c r="AA24" s="43"/>
      <c r="AB24" s="23"/>
      <c r="AC24" s="43"/>
      <c r="AD24" s="22"/>
      <c r="AE24" s="15"/>
      <c r="AF24" s="15"/>
      <c r="AG24" s="22"/>
      <c r="AH24" s="15"/>
      <c r="AI24" s="22"/>
      <c r="AJ24" s="15"/>
      <c r="AK24" s="23"/>
      <c r="AL24" s="23"/>
    </row>
    <row r="25" spans="1:38" ht="15.75" customHeight="1">
      <c r="A25" s="77" t="s">
        <v>95</v>
      </c>
      <c r="B25" s="78" t="s">
        <v>1</v>
      </c>
      <c r="C25" s="8">
        <v>11</v>
      </c>
      <c r="D25" s="64" t="s">
        <v>0</v>
      </c>
      <c r="E25" s="65" t="s">
        <v>98</v>
      </c>
      <c r="F25" s="71" t="s">
        <v>1</v>
      </c>
      <c r="G25" s="8">
        <v>0.5</v>
      </c>
      <c r="H25" s="92"/>
      <c r="I25" s="87"/>
      <c r="J25" s="81"/>
      <c r="K25" s="43"/>
      <c r="L25" s="23"/>
      <c r="M25" s="43"/>
      <c r="N25" s="22"/>
      <c r="O25" s="15"/>
      <c r="P25" s="15"/>
      <c r="Q25" s="22"/>
      <c r="R25" s="15"/>
      <c r="S25" s="22"/>
      <c r="T25" s="15"/>
      <c r="U25" s="23"/>
      <c r="V25" s="23"/>
      <c r="AA25" s="43"/>
      <c r="AB25" s="23"/>
      <c r="AC25" s="43"/>
      <c r="AD25" s="22"/>
      <c r="AE25" s="15"/>
      <c r="AF25" s="15"/>
      <c r="AG25" s="22"/>
      <c r="AH25" s="15"/>
      <c r="AI25" s="22"/>
      <c r="AJ25" s="15"/>
      <c r="AK25" s="23"/>
      <c r="AL25" s="23"/>
    </row>
    <row r="26" spans="1:38" ht="15.75" customHeight="1">
      <c r="A26" s="77" t="s">
        <v>96</v>
      </c>
      <c r="B26" s="78" t="s">
        <v>1</v>
      </c>
      <c r="C26" s="8">
        <v>1.4</v>
      </c>
      <c r="D26" s="64" t="s">
        <v>0</v>
      </c>
      <c r="E26" s="92"/>
      <c r="F26" s="92"/>
      <c r="G26" s="92"/>
      <c r="H26" s="92"/>
      <c r="I26" s="87"/>
      <c r="J26" s="81"/>
      <c r="K26" s="22"/>
      <c r="L26" s="23"/>
      <c r="M26" s="22"/>
      <c r="N26" s="22"/>
      <c r="O26" s="15"/>
      <c r="P26" s="15"/>
      <c r="Q26" s="22"/>
      <c r="R26" s="15"/>
      <c r="S26" s="22"/>
      <c r="T26" s="15"/>
      <c r="U26" s="23"/>
      <c r="V26" s="23"/>
      <c r="AA26" s="43"/>
      <c r="AB26" s="23"/>
      <c r="AC26" s="43"/>
      <c r="AD26" s="22"/>
      <c r="AE26" s="15"/>
      <c r="AF26" s="15"/>
      <c r="AG26" s="22"/>
      <c r="AH26" s="15"/>
      <c r="AI26" s="22"/>
      <c r="AJ26" s="15"/>
      <c r="AK26" s="23"/>
      <c r="AL26" s="23"/>
    </row>
    <row r="27" spans="1:38" ht="15.75" customHeight="1">
      <c r="A27" s="82" t="s">
        <v>72</v>
      </c>
      <c r="B27" s="72"/>
      <c r="C27" s="79"/>
      <c r="D27" s="64"/>
      <c r="E27" s="92"/>
      <c r="F27" s="92"/>
      <c r="G27" s="92"/>
      <c r="H27" s="92"/>
      <c r="I27" s="87"/>
      <c r="J27" s="81"/>
      <c r="K27" s="43"/>
      <c r="L27" s="23"/>
      <c r="M27" s="22">
        <f>C18</f>
        <v>400</v>
      </c>
      <c r="N27" s="22">
        <f>C19</f>
        <v>4</v>
      </c>
      <c r="O27" s="15"/>
      <c r="P27" s="15"/>
      <c r="Q27" s="22"/>
      <c r="R27" s="15"/>
      <c r="S27" s="22"/>
      <c r="T27" s="15"/>
      <c r="U27" s="23"/>
      <c r="V27" s="23"/>
      <c r="AA27" s="22"/>
      <c r="AB27" s="23"/>
      <c r="AC27" s="22"/>
      <c r="AD27" s="22"/>
      <c r="AE27" s="15"/>
      <c r="AF27" s="15"/>
      <c r="AG27" s="22"/>
      <c r="AH27" s="15"/>
      <c r="AI27" s="22"/>
      <c r="AJ27" s="15"/>
      <c r="AK27" s="23"/>
      <c r="AL27" s="23"/>
    </row>
    <row r="28" spans="1:38" ht="15.75" customHeight="1">
      <c r="A28" s="82" t="s">
        <v>25</v>
      </c>
      <c r="B28" s="72"/>
      <c r="C28" s="64"/>
      <c r="D28" s="64"/>
      <c r="E28" s="92"/>
      <c r="F28" s="92"/>
      <c r="G28" s="92"/>
      <c r="H28" s="92"/>
      <c r="I28" s="87"/>
      <c r="J28" s="81"/>
      <c r="K28" s="22"/>
      <c r="L28" s="23"/>
      <c r="M28" s="43" t="s">
        <v>110</v>
      </c>
      <c r="N28" s="93">
        <f>0.5*((C11*100)/(M27*N27*H7)+1)</f>
        <v>0.5347222222222222</v>
      </c>
      <c r="O28" s="15"/>
      <c r="P28" s="15"/>
      <c r="Q28" s="22"/>
      <c r="R28" s="15"/>
      <c r="S28" s="22"/>
      <c r="T28" s="15"/>
      <c r="U28" s="23"/>
      <c r="V28" s="23"/>
      <c r="AA28" s="43"/>
      <c r="AB28" s="23"/>
      <c r="AC28" s="43"/>
      <c r="AD28" s="22"/>
      <c r="AE28" s="15"/>
      <c r="AF28" s="15"/>
      <c r="AG28" s="22"/>
      <c r="AH28" s="15"/>
      <c r="AI28" s="22"/>
      <c r="AJ28" s="15"/>
      <c r="AK28" s="23"/>
      <c r="AL28" s="23"/>
    </row>
    <row r="29" spans="5:38" ht="15.75" customHeight="1">
      <c r="E29" s="95"/>
      <c r="F29" s="95"/>
      <c r="G29" s="95"/>
      <c r="H29" s="95"/>
      <c r="I29" s="87"/>
      <c r="J29" s="81"/>
      <c r="K29" s="22"/>
      <c r="L29" s="23"/>
      <c r="M29" s="22" t="s">
        <v>111</v>
      </c>
      <c r="N29" s="93">
        <f>(-M37+M36)/(-M37-M36)</f>
        <v>-0.790235081374322</v>
      </c>
      <c r="O29" s="15"/>
      <c r="P29" s="15"/>
      <c r="Q29" s="22"/>
      <c r="R29" s="15"/>
      <c r="S29" s="22"/>
      <c r="T29" s="15"/>
      <c r="U29" s="23"/>
      <c r="V29" s="23"/>
      <c r="AA29" s="22"/>
      <c r="AB29" s="23"/>
      <c r="AC29" s="22"/>
      <c r="AD29" s="22"/>
      <c r="AE29" s="15"/>
      <c r="AF29" s="15"/>
      <c r="AG29" s="22"/>
      <c r="AH29" s="15"/>
      <c r="AI29" s="22"/>
      <c r="AJ29" s="15"/>
      <c r="AK29" s="23"/>
      <c r="AL29" s="23"/>
    </row>
    <row r="30" spans="1:38" ht="15.75" customHeight="1">
      <c r="A30" s="77" t="s">
        <v>8</v>
      </c>
      <c r="B30" s="78" t="s">
        <v>1</v>
      </c>
      <c r="C30" s="94">
        <f>((C16*C17*(C17/2+C18+C21)+C18*C19*(C18/2+C21)+C20*C21*(C21/2))/(C16*C17+C18*C19+C20*C21))/10</f>
        <v>21</v>
      </c>
      <c r="D30" s="63" t="s">
        <v>7</v>
      </c>
      <c r="E30" s="64"/>
      <c r="F30" s="64"/>
      <c r="G30" s="64"/>
      <c r="H30" s="64"/>
      <c r="I30" s="87"/>
      <c r="J30" s="81"/>
      <c r="K30" s="22"/>
      <c r="L30" s="23"/>
      <c r="M30" s="22"/>
      <c r="N30" s="22">
        <f>(699/(H7)^0.5)/(13*N28-1)</f>
        <v>61.90241543405453</v>
      </c>
      <c r="O30" s="15">
        <f>(63.6/N28)/(H7)^0.5</f>
        <v>62.687021045207985</v>
      </c>
      <c r="P30" s="15"/>
      <c r="Q30" s="22"/>
      <c r="R30" s="15"/>
      <c r="S30" s="22"/>
      <c r="T30" s="15"/>
      <c r="U30" s="23"/>
      <c r="V30" s="23"/>
      <c r="AA30" s="22"/>
      <c r="AB30" s="23"/>
      <c r="AC30" s="22"/>
      <c r="AD30" s="22"/>
      <c r="AE30" s="15"/>
      <c r="AF30" s="15"/>
      <c r="AG30" s="22"/>
      <c r="AH30" s="15"/>
      <c r="AI30" s="22"/>
      <c r="AJ30" s="15"/>
      <c r="AK30" s="23"/>
      <c r="AL30" s="23"/>
    </row>
    <row r="31" spans="1:38" ht="15.75" customHeight="1">
      <c r="A31" s="77" t="s">
        <v>9</v>
      </c>
      <c r="B31" s="78" t="s">
        <v>1</v>
      </c>
      <c r="C31" s="72">
        <f>(C16*C17+C18*C19+C20*C21)/100</f>
        <v>56</v>
      </c>
      <c r="D31" s="64" t="s">
        <v>13</v>
      </c>
      <c r="E31" s="64"/>
      <c r="F31" s="64"/>
      <c r="G31" s="64"/>
      <c r="H31" s="64"/>
      <c r="I31" s="87"/>
      <c r="J31" s="81"/>
      <c r="K31" s="22"/>
      <c r="L31" s="23"/>
      <c r="M31" s="22"/>
      <c r="N31" s="22">
        <f>(190/(H7)^0.5)/(2+N29)</f>
        <v>82.77541448776573</v>
      </c>
      <c r="O31" s="15">
        <f>(95*(1-N29)*(-N29)^0.5)/(H7)^0.5</f>
        <v>79.68206325952491</v>
      </c>
      <c r="P31" s="15"/>
      <c r="Q31" s="22"/>
      <c r="R31" s="15"/>
      <c r="S31" s="22"/>
      <c r="T31" s="15"/>
      <c r="U31" s="23"/>
      <c r="V31" s="23"/>
      <c r="AA31" s="22"/>
      <c r="AB31" s="23"/>
      <c r="AC31" s="22"/>
      <c r="AD31" s="22"/>
      <c r="AE31" s="15"/>
      <c r="AF31" s="15"/>
      <c r="AG31" s="22"/>
      <c r="AH31" s="15"/>
      <c r="AI31" s="22"/>
      <c r="AJ31" s="15"/>
      <c r="AK31" s="23"/>
      <c r="AL31" s="23"/>
    </row>
    <row r="32" spans="1:38" ht="15.75" customHeight="1">
      <c r="A32" s="77" t="s">
        <v>32</v>
      </c>
      <c r="B32" s="78" t="s">
        <v>1</v>
      </c>
      <c r="C32" s="72">
        <f>(((C16*C17^3)/12+C16*C17*(C30*10-(C17/2+C18+C21))^2)+((C19*C18^3)/12+C18*C19*(C30*10-(C18/2+C21))^2)+((C20*C21^3)/12+C20*C21*(C30*10-(C21/2))^2))/10000</f>
        <v>18946.666666666668</v>
      </c>
      <c r="D32" s="64" t="s">
        <v>16</v>
      </c>
      <c r="E32" s="92"/>
      <c r="F32" s="92"/>
      <c r="G32" s="92"/>
      <c r="H32" s="92"/>
      <c r="I32" s="87"/>
      <c r="J32" s="81"/>
      <c r="K32" s="43"/>
      <c r="L32" s="23"/>
      <c r="M32" s="22"/>
      <c r="N32" s="96">
        <f>IF(N28&gt;0.5,N30,O30)</f>
        <v>61.90241543405453</v>
      </c>
      <c r="O32" s="15"/>
      <c r="P32" s="15"/>
      <c r="Q32" s="22"/>
      <c r="R32" s="15"/>
      <c r="S32" s="22"/>
      <c r="T32" s="15"/>
      <c r="U32" s="23"/>
      <c r="V32" s="23"/>
      <c r="AA32" s="22"/>
      <c r="AB32" s="23"/>
      <c r="AC32" s="22"/>
      <c r="AD32" s="22"/>
      <c r="AE32" s="15"/>
      <c r="AF32" s="15"/>
      <c r="AG32" s="22"/>
      <c r="AH32" s="15"/>
      <c r="AI32" s="22"/>
      <c r="AJ32" s="15"/>
      <c r="AK32" s="23"/>
      <c r="AL32" s="23"/>
    </row>
    <row r="33" spans="1:38" ht="15.75" customHeight="1">
      <c r="A33" s="77" t="s">
        <v>90</v>
      </c>
      <c r="B33" s="78" t="s">
        <v>1</v>
      </c>
      <c r="C33" s="72">
        <f>((C17*C16^3)/12+(C18*C19^3)/12+(C21*C20^3)/12)/10000</f>
        <v>1333.5466666666669</v>
      </c>
      <c r="D33" s="64" t="s">
        <v>16</v>
      </c>
      <c r="E33" s="92"/>
      <c r="F33" s="92"/>
      <c r="G33" s="92"/>
      <c r="H33" s="92"/>
      <c r="I33" s="87"/>
      <c r="J33" s="97"/>
      <c r="K33" s="43"/>
      <c r="L33" s="23"/>
      <c r="M33" s="43"/>
      <c r="N33" s="96">
        <f>IF(N29&gt;-1,N31,O31)</f>
        <v>82.77541448776573</v>
      </c>
      <c r="O33" s="15"/>
      <c r="P33" s="15"/>
      <c r="Q33" s="22"/>
      <c r="R33" s="15"/>
      <c r="S33" s="22"/>
      <c r="T33" s="15"/>
      <c r="U33" s="23"/>
      <c r="V33" s="23"/>
      <c r="AA33" s="22"/>
      <c r="AB33" s="23"/>
      <c r="AC33" s="22"/>
      <c r="AD33" s="22"/>
      <c r="AE33" s="15"/>
      <c r="AF33" s="15"/>
      <c r="AG33" s="22"/>
      <c r="AH33" s="15"/>
      <c r="AI33" s="22"/>
      <c r="AJ33" s="15"/>
      <c r="AK33" s="23"/>
      <c r="AL33" s="23"/>
    </row>
    <row r="34" spans="1:38" ht="15.75" customHeight="1">
      <c r="A34" s="77" t="s">
        <v>86</v>
      </c>
      <c r="B34" s="78" t="s">
        <v>1</v>
      </c>
      <c r="C34" s="94">
        <f>C32/((C18+C17+C21)/10-C30)</f>
        <v>902.2222222222223</v>
      </c>
      <c r="D34" s="64" t="s">
        <v>14</v>
      </c>
      <c r="E34" s="92"/>
      <c r="F34" s="92"/>
      <c r="G34" s="92"/>
      <c r="H34" s="92"/>
      <c r="I34" s="87"/>
      <c r="J34" s="97"/>
      <c r="K34" s="43"/>
      <c r="L34" s="23"/>
      <c r="M34" s="43"/>
      <c r="N34" s="22"/>
      <c r="O34" s="15"/>
      <c r="P34" s="15"/>
      <c r="Q34" s="22"/>
      <c r="R34" s="15"/>
      <c r="S34" s="22"/>
      <c r="T34" s="15"/>
      <c r="U34" s="23"/>
      <c r="V34" s="23"/>
      <c r="AA34" s="43"/>
      <c r="AB34" s="23"/>
      <c r="AC34" s="43"/>
      <c r="AD34" s="22"/>
      <c r="AE34" s="15"/>
      <c r="AF34" s="15"/>
      <c r="AG34" s="22"/>
      <c r="AH34" s="15"/>
      <c r="AI34" s="22"/>
      <c r="AJ34" s="15"/>
      <c r="AK34" s="23"/>
      <c r="AL34" s="23"/>
    </row>
    <row r="35" spans="1:38" ht="15.75" customHeight="1">
      <c r="A35" s="77" t="s">
        <v>87</v>
      </c>
      <c r="B35" s="78" t="s">
        <v>1</v>
      </c>
      <c r="C35" s="72">
        <f>C32/C30</f>
        <v>902.2222222222223</v>
      </c>
      <c r="D35" s="64" t="s">
        <v>14</v>
      </c>
      <c r="E35" s="92"/>
      <c r="F35" s="92"/>
      <c r="G35" s="92"/>
      <c r="H35" s="92"/>
      <c r="I35" s="87"/>
      <c r="J35" s="97"/>
      <c r="K35" s="24"/>
      <c r="L35" s="13"/>
      <c r="M35" s="13"/>
      <c r="N35" s="88"/>
      <c r="O35" s="88"/>
      <c r="P35" s="88"/>
      <c r="Q35" s="88"/>
      <c r="R35" s="88"/>
      <c r="S35" s="88"/>
      <c r="T35" s="88"/>
      <c r="U35" s="88"/>
      <c r="AA35" s="43"/>
      <c r="AB35" s="23"/>
      <c r="AC35" s="43"/>
      <c r="AD35" s="22"/>
      <c r="AE35" s="15"/>
      <c r="AF35" s="15"/>
      <c r="AG35" s="22"/>
      <c r="AH35" s="15"/>
      <c r="AI35" s="22"/>
      <c r="AJ35" s="15"/>
      <c r="AK35" s="23"/>
      <c r="AL35" s="23"/>
    </row>
    <row r="36" spans="1:38" ht="15.75" customHeight="1">
      <c r="A36" s="77" t="s">
        <v>89</v>
      </c>
      <c r="B36" s="78" t="s">
        <v>1</v>
      </c>
      <c r="C36" s="72">
        <f>C33/MAX(C16/20,C20/20)</f>
        <v>133.35466666666667</v>
      </c>
      <c r="D36" s="64" t="s">
        <v>14</v>
      </c>
      <c r="E36" s="92"/>
      <c r="F36" s="92"/>
      <c r="G36" s="92"/>
      <c r="H36" s="92"/>
      <c r="I36" s="87"/>
      <c r="J36" s="97"/>
      <c r="K36" s="24"/>
      <c r="L36" s="13"/>
      <c r="M36" s="13">
        <f>C10*100/MIN(C35,C34)</f>
        <v>0.6096059113300493</v>
      </c>
      <c r="N36" s="88"/>
      <c r="O36" s="88"/>
      <c r="P36" s="88"/>
      <c r="Q36" s="88"/>
      <c r="R36" s="88"/>
      <c r="S36" s="88"/>
      <c r="T36" s="88"/>
      <c r="U36" s="88"/>
      <c r="AA36" s="43"/>
      <c r="AB36" s="23"/>
      <c r="AC36" s="43"/>
      <c r="AD36" s="22"/>
      <c r="AE36" s="15"/>
      <c r="AF36" s="15"/>
      <c r="AG36" s="22"/>
      <c r="AH36" s="15"/>
      <c r="AI36" s="22"/>
      <c r="AJ36" s="15"/>
      <c r="AK36" s="23"/>
      <c r="AL36" s="23"/>
    </row>
    <row r="37" spans="1:38" ht="15.75" customHeight="1">
      <c r="A37" s="77" t="s">
        <v>92</v>
      </c>
      <c r="B37" s="78" t="s">
        <v>1</v>
      </c>
      <c r="C37" s="94">
        <f>(C32/C31)^0.5</f>
        <v>18.393839548428527</v>
      </c>
      <c r="D37" s="64" t="s">
        <v>7</v>
      </c>
      <c r="E37" s="92"/>
      <c r="F37" s="92"/>
      <c r="G37" s="92"/>
      <c r="H37" s="92"/>
      <c r="I37" s="87"/>
      <c r="J37" s="97"/>
      <c r="K37" s="24"/>
      <c r="L37" s="13"/>
      <c r="M37" s="13">
        <f>C11/C31</f>
        <v>0.07142857142857142</v>
      </c>
      <c r="N37" s="88"/>
      <c r="O37" s="88"/>
      <c r="P37" s="88"/>
      <c r="Q37" s="88"/>
      <c r="R37" s="88"/>
      <c r="S37" s="88"/>
      <c r="T37" s="88"/>
      <c r="U37" s="88"/>
      <c r="AA37" s="43"/>
      <c r="AB37" s="23"/>
      <c r="AC37" s="43"/>
      <c r="AD37" s="22"/>
      <c r="AE37" s="15"/>
      <c r="AF37" s="15"/>
      <c r="AG37" s="22"/>
      <c r="AH37" s="15"/>
      <c r="AI37" s="22"/>
      <c r="AJ37" s="15"/>
      <c r="AK37" s="23"/>
      <c r="AL37" s="23"/>
    </row>
    <row r="38" spans="1:38" ht="15.75" customHeight="1">
      <c r="A38" s="77" t="s">
        <v>93</v>
      </c>
      <c r="B38" s="78" t="s">
        <v>1</v>
      </c>
      <c r="C38" s="94">
        <f>(C33/C31)^0.5</f>
        <v>4.879890709158693</v>
      </c>
      <c r="D38" s="64" t="s">
        <v>7</v>
      </c>
      <c r="E38" s="92"/>
      <c r="F38" s="92"/>
      <c r="G38" s="92"/>
      <c r="H38" s="92"/>
      <c r="I38" s="87"/>
      <c r="J38" s="97"/>
      <c r="K38" s="24"/>
      <c r="L38" s="13"/>
      <c r="M38" s="13"/>
      <c r="N38" s="88"/>
      <c r="O38" s="88"/>
      <c r="P38" s="88"/>
      <c r="Q38" s="88"/>
      <c r="R38" s="88"/>
      <c r="S38" s="88"/>
      <c r="T38" s="88"/>
      <c r="U38" s="88"/>
      <c r="AA38" s="43"/>
      <c r="AB38" s="23"/>
      <c r="AC38" s="43"/>
      <c r="AD38" s="22"/>
      <c r="AE38" s="15"/>
      <c r="AF38" s="15"/>
      <c r="AG38" s="22"/>
      <c r="AH38" s="15"/>
      <c r="AI38" s="22"/>
      <c r="AJ38" s="15"/>
      <c r="AK38" s="23"/>
      <c r="AL38" s="23"/>
    </row>
    <row r="39" spans="1:38" ht="15.75" customHeight="1">
      <c r="A39" s="82" t="s">
        <v>34</v>
      </c>
      <c r="B39" s="58"/>
      <c r="C39" s="58"/>
      <c r="D39" s="64"/>
      <c r="E39" s="92"/>
      <c r="F39" s="92"/>
      <c r="G39" s="92"/>
      <c r="H39" s="92"/>
      <c r="I39" s="87"/>
      <c r="J39" s="98"/>
      <c r="K39" s="24"/>
      <c r="L39" s="99"/>
      <c r="M39" s="99"/>
      <c r="N39" s="100"/>
      <c r="R39" s="88"/>
      <c r="S39" s="88"/>
      <c r="T39" s="88"/>
      <c r="U39" s="88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9" ht="15.75" customHeight="1">
      <c r="A40" s="101" t="s">
        <v>29</v>
      </c>
      <c r="B40" s="102" t="s">
        <v>1</v>
      </c>
      <c r="C40" s="102">
        <f>C18/C19</f>
        <v>100</v>
      </c>
      <c r="D40" s="55" t="s">
        <v>44</v>
      </c>
      <c r="E40" s="104" t="str">
        <f>IF(OR(C40&lt;N32,C40=N32),"Compact",IF(AND(C40&gt;N32,OR(C40&lt;N33,C40=N33)),"Non compact","Slender"))</f>
        <v>Slender</v>
      </c>
      <c r="F40" s="57"/>
      <c r="G40" s="57"/>
      <c r="H40" s="57"/>
      <c r="I40" s="103"/>
      <c r="J40" s="75" t="s">
        <v>58</v>
      </c>
      <c r="K40" s="24"/>
      <c r="L40" s="99"/>
      <c r="M40" s="99"/>
      <c r="N40" s="100"/>
      <c r="O40" s="100"/>
      <c r="P40" s="100"/>
      <c r="Q40" s="100"/>
      <c r="R40" s="88"/>
      <c r="S40" s="88"/>
      <c r="T40" s="88"/>
      <c r="U40" s="88"/>
      <c r="AA40" s="13"/>
      <c r="AB40" s="18"/>
      <c r="AC40" s="19"/>
      <c r="AD40" s="20"/>
      <c r="AE40" s="21"/>
      <c r="AF40" s="15"/>
      <c r="AG40" s="22"/>
      <c r="AH40" s="15"/>
      <c r="AI40" s="22"/>
      <c r="AJ40" s="15"/>
      <c r="AK40" s="23"/>
      <c r="AL40" s="23"/>
      <c r="AM40" s="15"/>
    </row>
    <row r="41" spans="1:39" ht="15.75" customHeight="1">
      <c r="A41" s="101" t="s">
        <v>30</v>
      </c>
      <c r="B41" s="102" t="s">
        <v>1</v>
      </c>
      <c r="C41" s="102">
        <f>MAX(M22:M23)</f>
        <v>9.8</v>
      </c>
      <c r="D41" s="55" t="s">
        <v>45</v>
      </c>
      <c r="E41" s="104" t="str">
        <f>IF(OR(C41&lt;(15.3/(H7)^0.5),C41=(15.3/(H7)^0.5)),"Compact",IF(AND(C41&gt;(15.3/(H7)^0.5),OR(C41&lt;(21/(H7)^0.5),C41=(21/(H7)^0.5))),"Non compact","Slender"))</f>
        <v>Non compact</v>
      </c>
      <c r="F41" s="57"/>
      <c r="G41" s="57"/>
      <c r="H41" s="57"/>
      <c r="I41" s="103"/>
      <c r="J41" s="75" t="s">
        <v>59</v>
      </c>
      <c r="K41" s="24"/>
      <c r="L41" s="99"/>
      <c r="M41" s="99"/>
      <c r="N41" s="100"/>
      <c r="O41" s="100"/>
      <c r="P41" s="100"/>
      <c r="Q41" s="100"/>
      <c r="R41" s="88"/>
      <c r="S41" s="88"/>
      <c r="T41" s="88"/>
      <c r="U41" s="88"/>
      <c r="AA41" s="13"/>
      <c r="AB41" s="18"/>
      <c r="AC41" s="19"/>
      <c r="AD41" s="20"/>
      <c r="AE41" s="21"/>
      <c r="AF41" s="15"/>
      <c r="AG41" s="22"/>
      <c r="AH41" s="15"/>
      <c r="AI41" s="22"/>
      <c r="AJ41" s="15"/>
      <c r="AK41" s="23"/>
      <c r="AL41" s="23"/>
      <c r="AM41" s="15"/>
    </row>
    <row r="42" spans="1:39" ht="15.75" customHeight="1">
      <c r="A42" s="105" t="s">
        <v>28</v>
      </c>
      <c r="B42" s="106" t="str">
        <f>IF(AND(E40="Compact",E41="Compact"),"Compact",IF(AND(E40&lt;&gt;"Slender",E41&lt;&gt;"Slender",OR(E40="Non compact",E41="Non compact")),"Non compact","Slender"))</f>
        <v>Slender</v>
      </c>
      <c r="C42" s="56"/>
      <c r="D42" s="64"/>
      <c r="E42" s="57"/>
      <c r="F42" s="57"/>
      <c r="G42" s="57"/>
      <c r="H42" s="57"/>
      <c r="I42" s="103"/>
      <c r="J42" s="98"/>
      <c r="K42" s="24"/>
      <c r="L42" s="34"/>
      <c r="M42" s="34"/>
      <c r="O42" s="100"/>
      <c r="P42" s="100"/>
      <c r="Q42" s="100"/>
      <c r="R42" s="88"/>
      <c r="S42" s="88"/>
      <c r="T42" s="88"/>
      <c r="U42" s="88"/>
      <c r="AA42" s="13"/>
      <c r="AB42" s="18"/>
      <c r="AC42" s="19"/>
      <c r="AD42" s="20"/>
      <c r="AE42" s="21"/>
      <c r="AF42" s="15"/>
      <c r="AG42" s="22"/>
      <c r="AH42" s="15"/>
      <c r="AI42" s="22"/>
      <c r="AJ42" s="15"/>
      <c r="AK42" s="23"/>
      <c r="AL42" s="23"/>
      <c r="AM42" s="15"/>
    </row>
    <row r="43" spans="1:39" ht="15.75" customHeight="1">
      <c r="A43" s="82"/>
      <c r="B43" s="72"/>
      <c r="C43" s="64"/>
      <c r="D43" s="64"/>
      <c r="E43" s="64"/>
      <c r="F43" s="64"/>
      <c r="G43" s="64"/>
      <c r="H43" s="64"/>
      <c r="I43" s="64"/>
      <c r="J43" s="81"/>
      <c r="K43" s="13"/>
      <c r="L43" s="13"/>
      <c r="M43" s="13"/>
      <c r="N43" s="88"/>
      <c r="O43" s="88"/>
      <c r="P43" s="88"/>
      <c r="Q43" s="88"/>
      <c r="R43" s="88"/>
      <c r="S43" s="88"/>
      <c r="T43" s="88"/>
      <c r="U43" s="88"/>
      <c r="AA43" s="13"/>
      <c r="AB43" s="18"/>
      <c r="AC43" s="19"/>
      <c r="AD43" s="20"/>
      <c r="AE43" s="21"/>
      <c r="AF43" s="15"/>
      <c r="AG43" s="22"/>
      <c r="AH43" s="15"/>
      <c r="AI43" s="22"/>
      <c r="AJ43" s="15"/>
      <c r="AK43" s="23"/>
      <c r="AL43" s="23"/>
      <c r="AM43" s="15"/>
    </row>
    <row r="44" spans="1:39" ht="15.75" customHeight="1">
      <c r="A44" s="82" t="s">
        <v>127</v>
      </c>
      <c r="J44" s="121"/>
      <c r="K44" s="24"/>
      <c r="L44" s="13"/>
      <c r="M44" s="13"/>
      <c r="N44" s="88"/>
      <c r="O44" s="88"/>
      <c r="P44" s="88"/>
      <c r="Q44" s="88"/>
      <c r="R44" s="88"/>
      <c r="S44" s="88"/>
      <c r="T44" s="88"/>
      <c r="U44" s="88"/>
      <c r="AA44" s="13"/>
      <c r="AB44" s="18"/>
      <c r="AC44" s="19"/>
      <c r="AD44" s="20"/>
      <c r="AE44" s="21"/>
      <c r="AF44" s="15"/>
      <c r="AG44" s="22"/>
      <c r="AH44" s="15"/>
      <c r="AI44" s="22"/>
      <c r="AJ44" s="15"/>
      <c r="AK44" s="23"/>
      <c r="AL44" s="23"/>
      <c r="AM44" s="15"/>
    </row>
    <row r="45" spans="1:39" ht="15.75" customHeight="1">
      <c r="A45" s="141"/>
      <c r="J45" s="121"/>
      <c r="K45" s="24"/>
      <c r="L45" s="13"/>
      <c r="M45" s="13"/>
      <c r="N45" s="88"/>
      <c r="O45" s="88"/>
      <c r="P45" s="88"/>
      <c r="Q45" s="88"/>
      <c r="R45" s="88"/>
      <c r="S45" s="88"/>
      <c r="T45" s="88"/>
      <c r="U45" s="88"/>
      <c r="AA45" s="13"/>
      <c r="AB45" s="18"/>
      <c r="AC45" s="19"/>
      <c r="AD45" s="20"/>
      <c r="AE45" s="21"/>
      <c r="AF45" s="15"/>
      <c r="AG45" s="22"/>
      <c r="AH45" s="15"/>
      <c r="AI45" s="22"/>
      <c r="AJ45" s="15"/>
      <c r="AK45" s="23"/>
      <c r="AL45" s="23"/>
      <c r="AM45" s="15"/>
    </row>
    <row r="46" spans="1:39" ht="15.75" customHeight="1">
      <c r="A46" s="27" t="s">
        <v>81</v>
      </c>
      <c r="B46" s="28" t="s">
        <v>1</v>
      </c>
      <c r="C46" s="143">
        <f>2*N87</f>
        <v>200</v>
      </c>
      <c r="D46" s="64" t="s">
        <v>3</v>
      </c>
      <c r="J46" s="121"/>
      <c r="K46" s="24"/>
      <c r="L46" s="13"/>
      <c r="M46" s="13"/>
      <c r="N46" s="88"/>
      <c r="O46" s="88"/>
      <c r="P46" s="88"/>
      <c r="Q46" s="88"/>
      <c r="R46" s="88"/>
      <c r="S46" s="88"/>
      <c r="T46" s="88"/>
      <c r="U46" s="88"/>
      <c r="AA46" s="13"/>
      <c r="AB46" s="18"/>
      <c r="AC46" s="19"/>
      <c r="AD46" s="20"/>
      <c r="AE46" s="21"/>
      <c r="AF46" s="15"/>
      <c r="AG46" s="22"/>
      <c r="AH46" s="15"/>
      <c r="AI46" s="22"/>
      <c r="AJ46" s="15"/>
      <c r="AK46" s="23"/>
      <c r="AL46" s="23"/>
      <c r="AM46" s="15"/>
    </row>
    <row r="47" spans="1:39" ht="15.75" customHeight="1">
      <c r="A47" s="27" t="s">
        <v>128</v>
      </c>
      <c r="B47" s="28" t="s">
        <v>1</v>
      </c>
      <c r="C47" s="143">
        <f>C17</f>
        <v>10</v>
      </c>
      <c r="D47" s="64" t="s">
        <v>3</v>
      </c>
      <c r="J47" s="121"/>
      <c r="K47" s="24"/>
      <c r="L47" s="28" t="s">
        <v>36</v>
      </c>
      <c r="M47" s="28" t="s">
        <v>1</v>
      </c>
      <c r="N47" s="109">
        <f>IF(C25=0,0.58*H7,MIN((800*C46*C47*C70)/(1000*C18*C25),0.58*H7))</f>
        <v>0.4727272727272727</v>
      </c>
      <c r="O47" s="13" t="s">
        <v>15</v>
      </c>
      <c r="P47" s="110" t="s">
        <v>37</v>
      </c>
      <c r="Q47" s="110" t="s">
        <v>1</v>
      </c>
      <c r="R47" s="88">
        <f>((C47*C46^3/12)+(C18*C19^3/36))/10000</f>
        <v>666.7377777777778</v>
      </c>
      <c r="S47" s="13" t="s">
        <v>16</v>
      </c>
      <c r="T47" s="88"/>
      <c r="U47" s="88"/>
      <c r="AA47" s="13"/>
      <c r="AB47" s="18"/>
      <c r="AC47" s="19"/>
      <c r="AD47" s="20"/>
      <c r="AE47" s="21"/>
      <c r="AF47" s="15"/>
      <c r="AG47" s="22"/>
      <c r="AH47" s="15"/>
      <c r="AI47" s="22"/>
      <c r="AJ47" s="15"/>
      <c r="AK47" s="23"/>
      <c r="AL47" s="23"/>
      <c r="AM47" s="15"/>
    </row>
    <row r="48" spans="1:39" ht="15.75" customHeight="1">
      <c r="A48" s="27" t="s">
        <v>82</v>
      </c>
      <c r="B48" s="28" t="s">
        <v>1</v>
      </c>
      <c r="C48" s="143">
        <f>IF(N72=1,N77+P77,IF(AND(N72&lt;1,OR(N72&gt;0,N72=0)),N78+P78,N79+R79))</f>
        <v>376.6769684211815</v>
      </c>
      <c r="D48" s="64" t="s">
        <v>3</v>
      </c>
      <c r="J48" s="121"/>
      <c r="K48" s="24"/>
      <c r="L48" s="28" t="s">
        <v>19</v>
      </c>
      <c r="M48" s="28" t="s">
        <v>1</v>
      </c>
      <c r="N48" s="110">
        <f>(C47*C46+C18*C19/6)/100</f>
        <v>22.666666666666664</v>
      </c>
      <c r="O48" s="13" t="s">
        <v>13</v>
      </c>
      <c r="P48" s="110" t="s">
        <v>18</v>
      </c>
      <c r="Q48" s="110" t="s">
        <v>1</v>
      </c>
      <c r="R48" s="88">
        <f>(R47/N48)^0.5</f>
        <v>5.423550678364157</v>
      </c>
      <c r="S48" s="13" t="s">
        <v>7</v>
      </c>
      <c r="T48" s="88"/>
      <c r="U48" s="88"/>
      <c r="AA48" s="24"/>
      <c r="AB48" s="18"/>
      <c r="AC48" s="19"/>
      <c r="AD48" s="20"/>
      <c r="AE48" s="21"/>
      <c r="AF48" s="15"/>
      <c r="AG48" s="22"/>
      <c r="AH48" s="15"/>
      <c r="AI48" s="22"/>
      <c r="AJ48" s="15"/>
      <c r="AK48" s="23"/>
      <c r="AL48" s="23"/>
      <c r="AM48" s="15"/>
    </row>
    <row r="49" spans="1:39" ht="15.75" customHeight="1">
      <c r="A49" s="27" t="s">
        <v>83</v>
      </c>
      <c r="B49" s="28" t="s">
        <v>1</v>
      </c>
      <c r="C49" s="143">
        <f>C19</f>
        <v>4</v>
      </c>
      <c r="D49" s="64" t="s">
        <v>3</v>
      </c>
      <c r="J49" s="121"/>
      <c r="K49" s="24"/>
      <c r="L49" s="28" t="s">
        <v>21</v>
      </c>
      <c r="M49" s="28" t="s">
        <v>1</v>
      </c>
      <c r="N49" s="110">
        <f>C25*100/R48</f>
        <v>202.81916132694462</v>
      </c>
      <c r="O49" s="88"/>
      <c r="P49" s="110">
        <f>84*(C70/H7)^0.5</f>
        <v>50.47771785649585</v>
      </c>
      <c r="Q49" s="110">
        <f>188*(C70/H7)^0.5</f>
        <v>112.97393996453833</v>
      </c>
      <c r="R49" s="88"/>
      <c r="S49" s="13"/>
      <c r="T49" s="88"/>
      <c r="U49" s="88"/>
      <c r="AA49" s="24"/>
      <c r="AB49" s="18"/>
      <c r="AC49" s="19"/>
      <c r="AD49" s="20"/>
      <c r="AE49" s="21"/>
      <c r="AF49" s="15"/>
      <c r="AG49" s="22"/>
      <c r="AH49" s="15"/>
      <c r="AI49" s="22"/>
      <c r="AJ49" s="15"/>
      <c r="AK49" s="23"/>
      <c r="AL49" s="23"/>
      <c r="AM49" s="15"/>
    </row>
    <row r="50" spans="1:39" ht="15.75" customHeight="1">
      <c r="A50" s="27" t="s">
        <v>84</v>
      </c>
      <c r="B50" s="28" t="s">
        <v>1</v>
      </c>
      <c r="C50" s="143">
        <f>2*S87</f>
        <v>200</v>
      </c>
      <c r="D50" s="64" t="s">
        <v>3</v>
      </c>
      <c r="J50" s="121"/>
      <c r="K50" s="24"/>
      <c r="L50" s="28" t="s">
        <v>20</v>
      </c>
      <c r="M50" s="28" t="s">
        <v>1</v>
      </c>
      <c r="N50" s="110">
        <f>0.58*H7</f>
        <v>2.088</v>
      </c>
      <c r="O50" s="13" t="s">
        <v>15</v>
      </c>
      <c r="P50" s="110"/>
      <c r="Q50" s="110"/>
      <c r="R50" s="88"/>
      <c r="S50" s="13"/>
      <c r="T50" s="88"/>
      <c r="U50" s="88"/>
      <c r="AA50" s="13"/>
      <c r="AB50" s="18"/>
      <c r="AC50" s="19"/>
      <c r="AD50" s="20"/>
      <c r="AE50" s="21"/>
      <c r="AF50" s="15"/>
      <c r="AG50" s="22"/>
      <c r="AH50" s="15"/>
      <c r="AI50" s="22"/>
      <c r="AJ50" s="15"/>
      <c r="AK50" s="23"/>
      <c r="AL50" s="23"/>
      <c r="AM50" s="15"/>
    </row>
    <row r="51" spans="1:39" ht="15.75" customHeight="1">
      <c r="A51" s="27" t="s">
        <v>85</v>
      </c>
      <c r="B51" s="28" t="s">
        <v>1</v>
      </c>
      <c r="C51" s="143">
        <f>C17</f>
        <v>10</v>
      </c>
      <c r="D51" s="64" t="s">
        <v>3</v>
      </c>
      <c r="J51" s="121"/>
      <c r="K51" s="24"/>
      <c r="L51" s="28" t="s">
        <v>22</v>
      </c>
      <c r="M51" s="28" t="s">
        <v>1</v>
      </c>
      <c r="N51" s="110">
        <f>IF(ABS(P51)&gt;0.58*H7,0.58*H7,ABS(P51))</f>
        <v>1.1831633577295457</v>
      </c>
      <c r="O51" s="13" t="s">
        <v>15</v>
      </c>
      <c r="P51" s="110">
        <f>(0.64-((N49^2*H7)/(1.176*10^5*C70)))*H7</f>
        <v>-1.1831633577295457</v>
      </c>
      <c r="Q51" s="110"/>
      <c r="R51" s="117"/>
      <c r="S51" s="13"/>
      <c r="T51" s="88"/>
      <c r="U51" s="88"/>
      <c r="AA51" s="13"/>
      <c r="AB51" s="18"/>
      <c r="AC51" s="19"/>
      <c r="AD51" s="20"/>
      <c r="AE51" s="21"/>
      <c r="AF51" s="15"/>
      <c r="AG51" s="22"/>
      <c r="AH51" s="15"/>
      <c r="AI51" s="22"/>
      <c r="AJ51" s="15"/>
      <c r="AK51" s="23"/>
      <c r="AL51" s="23"/>
      <c r="AM51" s="15"/>
    </row>
    <row r="52" spans="1:39" ht="15.75" customHeight="1">
      <c r="A52" s="141"/>
      <c r="J52" s="121"/>
      <c r="K52" s="24"/>
      <c r="L52" s="28" t="s">
        <v>23</v>
      </c>
      <c r="M52" s="28" t="s">
        <v>1</v>
      </c>
      <c r="N52" s="110">
        <f>IF(P52&gt;0.58*H7,0.58*H7,P52)</f>
        <v>0.37923344676713655</v>
      </c>
      <c r="O52" s="13" t="s">
        <v>15</v>
      </c>
      <c r="P52" s="110">
        <f>IF(N49=0,0.58*H7,(12000*C70)/N49^2)</f>
        <v>0.37923344676713655</v>
      </c>
      <c r="Q52" s="110"/>
      <c r="R52" s="88"/>
      <c r="S52" s="88"/>
      <c r="T52" s="88"/>
      <c r="U52" s="88"/>
      <c r="AA52" s="13"/>
      <c r="AB52" s="18"/>
      <c r="AC52" s="19"/>
      <c r="AD52" s="20"/>
      <c r="AE52" s="21"/>
      <c r="AF52" s="15"/>
      <c r="AG52" s="22"/>
      <c r="AH52" s="15"/>
      <c r="AI52" s="22"/>
      <c r="AJ52" s="15"/>
      <c r="AK52" s="23"/>
      <c r="AL52" s="23"/>
      <c r="AM52" s="15"/>
    </row>
    <row r="53" spans="1:39" ht="15.75" customHeight="1">
      <c r="A53" s="82" t="s">
        <v>129</v>
      </c>
      <c r="J53" s="121"/>
      <c r="K53" s="24"/>
      <c r="L53" s="28" t="s">
        <v>38</v>
      </c>
      <c r="M53" s="28" t="s">
        <v>1</v>
      </c>
      <c r="N53" s="110">
        <f>IF(N49&lt;P49,N50,IF(AND(N49&gt;P49,N49&lt;Q49),N51,N52))</f>
        <v>0.37923344676713655</v>
      </c>
      <c r="O53" s="13" t="s">
        <v>15</v>
      </c>
      <c r="P53" s="28" t="s">
        <v>39</v>
      </c>
      <c r="Q53" s="28" t="s">
        <v>1</v>
      </c>
      <c r="R53" s="110">
        <f>(N47^2+N53^2)^0.5</f>
        <v>0.6060437950569644</v>
      </c>
      <c r="S53" s="13" t="s">
        <v>15</v>
      </c>
      <c r="T53" s="88"/>
      <c r="U53" s="88"/>
      <c r="AA53" s="13"/>
      <c r="AB53" s="18"/>
      <c r="AC53" s="19"/>
      <c r="AD53" s="20"/>
      <c r="AE53" s="21"/>
      <c r="AF53" s="15"/>
      <c r="AG53" s="22"/>
      <c r="AH53" s="15"/>
      <c r="AI53" s="22"/>
      <c r="AJ53" s="15"/>
      <c r="AK53" s="23"/>
      <c r="AL53" s="23"/>
      <c r="AM53" s="15"/>
    </row>
    <row r="54" spans="1:38" ht="15.75" customHeight="1">
      <c r="A54" s="141"/>
      <c r="J54" s="121"/>
      <c r="K54" s="24"/>
      <c r="L54" s="28" t="s">
        <v>24</v>
      </c>
      <c r="M54" s="28" t="s">
        <v>1</v>
      </c>
      <c r="N54" s="110">
        <f>IF(R53&gt;0.58*H7,0.58*H7,R53)</f>
        <v>0.6060437950569644</v>
      </c>
      <c r="O54" s="13" t="s">
        <v>15</v>
      </c>
      <c r="P54" s="13"/>
      <c r="Q54" s="88"/>
      <c r="R54" s="88"/>
      <c r="S54" s="88"/>
      <c r="T54" s="88"/>
      <c r="U54" s="88"/>
      <c r="AA54" s="13"/>
      <c r="AB54" s="18"/>
      <c r="AC54" s="19"/>
      <c r="AD54" s="20"/>
      <c r="AE54" s="21"/>
      <c r="AF54" s="15"/>
      <c r="AG54" s="22"/>
      <c r="AH54" s="15"/>
      <c r="AI54" s="22"/>
      <c r="AJ54" s="15"/>
      <c r="AK54" s="23"/>
      <c r="AL54" s="23"/>
    </row>
    <row r="55" spans="1:38" ht="15.75" customHeight="1">
      <c r="A55" s="77" t="s">
        <v>8</v>
      </c>
      <c r="B55" s="78" t="s">
        <v>1</v>
      </c>
      <c r="C55" s="94">
        <f>(((C46*C47)*(C18+C47+C47/2)+(T77*C49)*(C18+C47-T77/2)+(T78*C49)*(T78/2+C47)+(C50*C51)*(C51/2))/((C46*C47)+(T77*C49)+(T78*C49)+(C50*C51)))/10</f>
        <v>20.81653332666901</v>
      </c>
      <c r="D55" s="63" t="s">
        <v>7</v>
      </c>
      <c r="J55" s="121"/>
      <c r="K55" s="119"/>
      <c r="L55" s="28" t="s">
        <v>40</v>
      </c>
      <c r="M55" s="28" t="s">
        <v>1</v>
      </c>
      <c r="N55" s="28">
        <f>IF(B42="Compact",0.64*H7,0.58*H7)</f>
        <v>2.088</v>
      </c>
      <c r="O55" s="13" t="s">
        <v>15</v>
      </c>
      <c r="P55" s="28"/>
      <c r="Q55" s="28"/>
      <c r="R55" s="28"/>
      <c r="S55" s="13"/>
      <c r="T55" s="88"/>
      <c r="U55" s="88"/>
      <c r="AA55" s="13"/>
      <c r="AB55" s="18"/>
      <c r="AC55" s="19"/>
      <c r="AD55" s="20"/>
      <c r="AE55" s="21"/>
      <c r="AF55" s="15"/>
      <c r="AG55" s="22"/>
      <c r="AH55" s="15"/>
      <c r="AI55" s="22"/>
      <c r="AJ55" s="15"/>
      <c r="AK55" s="23"/>
      <c r="AL55" s="23"/>
    </row>
    <row r="56" spans="1:38" ht="15.75" customHeight="1">
      <c r="A56" s="77" t="s">
        <v>9</v>
      </c>
      <c r="B56" s="78" t="s">
        <v>1</v>
      </c>
      <c r="C56" s="72">
        <f>(C46*C47+C48*C49+C50*C51)/100</f>
        <v>55.067078736847265</v>
      </c>
      <c r="D56" s="64" t="s">
        <v>13</v>
      </c>
      <c r="J56" s="121"/>
      <c r="K56" s="24"/>
      <c r="L56" s="120"/>
      <c r="M56" s="120"/>
      <c r="N56" s="120"/>
      <c r="O56" s="120"/>
      <c r="P56" s="120"/>
      <c r="Q56" s="120"/>
      <c r="R56" s="120"/>
      <c r="S56" s="88"/>
      <c r="T56" s="88"/>
      <c r="U56" s="88"/>
      <c r="AA56" s="13"/>
      <c r="AB56" s="18"/>
      <c r="AC56" s="19"/>
      <c r="AD56" s="20"/>
      <c r="AE56" s="21"/>
      <c r="AF56" s="15"/>
      <c r="AG56" s="22"/>
      <c r="AH56" s="15"/>
      <c r="AI56" s="22"/>
      <c r="AJ56" s="15"/>
      <c r="AK56" s="23"/>
      <c r="AL56" s="23"/>
    </row>
    <row r="57" spans="1:38" ht="15.75" customHeight="1">
      <c r="A57" s="77" t="s">
        <v>32</v>
      </c>
      <c r="B57" s="78" t="s">
        <v>1</v>
      </c>
      <c r="C57" s="72">
        <f>((C46*C47^3/12)+C46*C47*(L63*10-C47/2)^2+(C49*T77^3/12)+C49*T77*(L63*10-C47-T77/2)^2+(C49*T78^3/12)+T78*C49*(C55*10-C47-T78/2)^2+(C50*C51^3/12)+C50*C51*(C55*10-C51/2)^2)/10000</f>
        <v>18834.981108583426</v>
      </c>
      <c r="D57" s="64" t="s">
        <v>16</v>
      </c>
      <c r="J57" s="121"/>
      <c r="K57" s="24"/>
      <c r="L57" s="13"/>
      <c r="M57" s="13"/>
      <c r="N57" s="13"/>
      <c r="O57" s="13"/>
      <c r="P57" s="13"/>
      <c r="Q57" s="13"/>
      <c r="R57" s="13"/>
      <c r="S57" s="88"/>
      <c r="T57" s="88"/>
      <c r="U57" s="88"/>
      <c r="AA57" s="13"/>
      <c r="AB57" s="18"/>
      <c r="AC57" s="19"/>
      <c r="AD57" s="20"/>
      <c r="AE57" s="21"/>
      <c r="AF57" s="15"/>
      <c r="AG57" s="22"/>
      <c r="AH57" s="15"/>
      <c r="AI57" s="22"/>
      <c r="AJ57" s="15"/>
      <c r="AK57" s="23"/>
      <c r="AL57" s="23"/>
    </row>
    <row r="58" spans="1:38" ht="15.75" customHeight="1">
      <c r="A58" s="77" t="s">
        <v>90</v>
      </c>
      <c r="B58" s="78" t="s">
        <v>1</v>
      </c>
      <c r="C58" s="72">
        <f>((C47*C46^3/12)+(T77*C49^3/12)+(T78*C49^3/12)+(C51*C50^3/12))/10000</f>
        <v>1333.5342277164914</v>
      </c>
      <c r="D58" s="64" t="s">
        <v>16</v>
      </c>
      <c r="J58" s="121"/>
      <c r="K58" s="119"/>
      <c r="L58" s="122" t="s">
        <v>100</v>
      </c>
      <c r="M58" s="28">
        <f>1.4-0.000065*C76^2</f>
        <v>0.5880550096435523</v>
      </c>
      <c r="N58" s="28"/>
      <c r="O58" s="28"/>
      <c r="P58" s="28"/>
      <c r="Q58" s="28"/>
      <c r="R58" s="28"/>
      <c r="S58" s="88"/>
      <c r="T58" s="88"/>
      <c r="U58" s="88"/>
      <c r="AA58" s="24"/>
      <c r="AB58" s="18"/>
      <c r="AC58" s="19"/>
      <c r="AD58" s="20"/>
      <c r="AE58" s="21"/>
      <c r="AF58" s="15"/>
      <c r="AG58" s="22"/>
      <c r="AH58" s="15"/>
      <c r="AI58" s="22"/>
      <c r="AJ58" s="15"/>
      <c r="AK58" s="23"/>
      <c r="AL58" s="23"/>
    </row>
    <row r="59" spans="1:38" ht="15.75" customHeight="1">
      <c r="A59" s="77" t="s">
        <v>86</v>
      </c>
      <c r="B59" s="78" t="s">
        <v>1</v>
      </c>
      <c r="C59" s="94">
        <f>C57/L63</f>
        <v>889.1359190181936</v>
      </c>
      <c r="D59" s="64" t="s">
        <v>14</v>
      </c>
      <c r="J59" s="121"/>
      <c r="K59" s="24"/>
      <c r="L59" s="28"/>
      <c r="M59" s="28">
        <f>1.6-0.000085*C76^2</f>
        <v>0.5382257818415683</v>
      </c>
      <c r="N59" s="28"/>
      <c r="O59" s="28"/>
      <c r="P59" s="28"/>
      <c r="Q59" s="28"/>
      <c r="R59" s="28"/>
      <c r="S59" s="88"/>
      <c r="T59" s="88"/>
      <c r="U59" s="88"/>
      <c r="AA59" s="24"/>
      <c r="AB59" s="18"/>
      <c r="AC59" s="19"/>
      <c r="AD59" s="20"/>
      <c r="AE59" s="21"/>
      <c r="AF59" s="15"/>
      <c r="AG59" s="22"/>
      <c r="AH59" s="15"/>
      <c r="AI59" s="22"/>
      <c r="AJ59" s="15"/>
      <c r="AK59" s="23"/>
      <c r="AL59" s="23"/>
    </row>
    <row r="60" spans="1:38" ht="15.75" customHeight="1">
      <c r="A60" s="77" t="s">
        <v>87</v>
      </c>
      <c r="B60" s="78" t="s">
        <v>1</v>
      </c>
      <c r="C60" s="72">
        <f>C57/C55</f>
        <v>904.8087312623314</v>
      </c>
      <c r="D60" s="64" t="s">
        <v>14</v>
      </c>
      <c r="J60" s="121"/>
      <c r="K60" s="88"/>
      <c r="L60" s="88"/>
      <c r="M60" s="110">
        <f>2.1-0.000135*C76^2</f>
        <v>0.4136527123366087</v>
      </c>
      <c r="N60" s="88"/>
      <c r="O60" s="88"/>
      <c r="P60" s="88"/>
      <c r="Q60" s="88"/>
      <c r="R60" s="88"/>
      <c r="S60" s="88"/>
      <c r="T60" s="88"/>
      <c r="U60" s="88"/>
      <c r="AA60" s="24"/>
      <c r="AB60" s="18"/>
      <c r="AC60" s="19"/>
      <c r="AD60" s="20"/>
      <c r="AE60" s="21"/>
      <c r="AF60" s="15"/>
      <c r="AG60" s="22"/>
      <c r="AH60" s="15"/>
      <c r="AI60" s="22"/>
      <c r="AJ60" s="15"/>
      <c r="AK60" s="23"/>
      <c r="AL60" s="23"/>
    </row>
    <row r="61" spans="1:38" ht="15.75" customHeight="1">
      <c r="A61" s="77" t="s">
        <v>89</v>
      </c>
      <c r="B61" s="78" t="s">
        <v>1</v>
      </c>
      <c r="C61" s="72">
        <f>C58/MAX(C50/20,C46/20)</f>
        <v>133.35342277164915</v>
      </c>
      <c r="D61" s="64" t="s">
        <v>14</v>
      </c>
      <c r="J61" s="121"/>
      <c r="K61" s="88"/>
      <c r="L61" s="88"/>
      <c r="M61" s="110">
        <f>IF(H7=2.4,M58,IF(H7=2.8,M59,M60))</f>
        <v>0.4136527123366087</v>
      </c>
      <c r="N61" s="88"/>
      <c r="O61" s="88"/>
      <c r="P61" s="88"/>
      <c r="Q61" s="88"/>
      <c r="R61" s="88"/>
      <c r="S61" s="88"/>
      <c r="T61" s="88"/>
      <c r="U61" s="88"/>
      <c r="AA61" s="24"/>
      <c r="AB61" s="18"/>
      <c r="AC61" s="19"/>
      <c r="AD61" s="20"/>
      <c r="AE61" s="21"/>
      <c r="AF61" s="15"/>
      <c r="AG61" s="22"/>
      <c r="AH61" s="15"/>
      <c r="AI61" s="22"/>
      <c r="AJ61" s="15"/>
      <c r="AK61" s="23"/>
      <c r="AL61" s="23"/>
    </row>
    <row r="62" spans="1:38" ht="15.75" customHeight="1">
      <c r="A62" s="77" t="s">
        <v>92</v>
      </c>
      <c r="B62" s="78" t="s">
        <v>1</v>
      </c>
      <c r="C62" s="94">
        <f>(C57/C56)^0.5</f>
        <v>18.49424367220592</v>
      </c>
      <c r="D62" s="64" t="s">
        <v>7</v>
      </c>
      <c r="J62" s="121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AA62" s="24"/>
      <c r="AB62" s="18"/>
      <c r="AC62" s="19"/>
      <c r="AD62" s="20"/>
      <c r="AE62" s="21"/>
      <c r="AF62" s="15"/>
      <c r="AG62" s="22"/>
      <c r="AH62" s="15"/>
      <c r="AI62" s="22"/>
      <c r="AJ62" s="15"/>
      <c r="AK62" s="23"/>
      <c r="AL62" s="23"/>
    </row>
    <row r="63" spans="1:38" ht="15.75" customHeight="1">
      <c r="A63" s="77" t="s">
        <v>93</v>
      </c>
      <c r="B63" s="78" t="s">
        <v>1</v>
      </c>
      <c r="C63" s="94">
        <f>(C58/C56)^0.5</f>
        <v>4.921030588043104</v>
      </c>
      <c r="D63" s="64" t="s">
        <v>7</v>
      </c>
      <c r="J63" s="121"/>
      <c r="K63" s="88"/>
      <c r="L63" s="110">
        <f>(C18+2*C17)/10-C55</f>
        <v>21.18346667333099</v>
      </c>
      <c r="M63" s="88"/>
      <c r="N63" s="88"/>
      <c r="O63" s="88"/>
      <c r="P63" s="88"/>
      <c r="Q63" s="88"/>
      <c r="R63" s="88"/>
      <c r="S63" s="88"/>
      <c r="T63" s="88"/>
      <c r="U63" s="88"/>
      <c r="AA63" s="24"/>
      <c r="AB63" s="18"/>
      <c r="AC63" s="19"/>
      <c r="AD63" s="20"/>
      <c r="AE63" s="21"/>
      <c r="AF63" s="15"/>
      <c r="AG63" s="22"/>
      <c r="AH63" s="15"/>
      <c r="AI63" s="22"/>
      <c r="AJ63" s="15"/>
      <c r="AK63" s="23"/>
      <c r="AL63" s="23"/>
    </row>
    <row r="64" spans="1:38" ht="15.75" customHeight="1">
      <c r="A64" s="141"/>
      <c r="J64" s="121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ht="15.75" customHeight="1" hidden="1">
      <c r="A65" s="141"/>
      <c r="J65" s="121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AA65" s="13"/>
      <c r="AB65" s="25"/>
      <c r="AC65" s="22"/>
      <c r="AD65" s="34"/>
      <c r="AE65" s="34"/>
      <c r="AF65" s="34"/>
      <c r="AG65" s="34"/>
      <c r="AH65" s="34"/>
      <c r="AI65" s="34"/>
      <c r="AJ65" s="34"/>
      <c r="AK65" s="26"/>
      <c r="AL65" s="26"/>
    </row>
    <row r="66" spans="1:38" ht="15.75" customHeight="1" hidden="1">
      <c r="A66" s="141"/>
      <c r="J66" s="121"/>
      <c r="K66" s="88"/>
      <c r="L66" s="88">
        <f>C83/C79</f>
        <v>0.12098177158121863</v>
      </c>
      <c r="M66" s="88"/>
      <c r="N66" s="88"/>
      <c r="Q66" s="88"/>
      <c r="R66" s="88"/>
      <c r="S66" s="88"/>
      <c r="T66" s="88"/>
      <c r="U66" s="88"/>
      <c r="AA66" s="13"/>
      <c r="AB66" s="25"/>
      <c r="AC66" s="22"/>
      <c r="AD66" s="34"/>
      <c r="AE66" s="34"/>
      <c r="AF66" s="34"/>
      <c r="AG66" s="34"/>
      <c r="AH66" s="34"/>
      <c r="AI66" s="34"/>
      <c r="AJ66" s="34"/>
      <c r="AK66" s="26"/>
      <c r="AL66" s="26"/>
    </row>
    <row r="67" spans="1:38" ht="15.75" customHeight="1" hidden="1">
      <c r="A67" s="141"/>
      <c r="J67" s="121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AA67" s="13"/>
      <c r="AB67" s="25"/>
      <c r="AC67" s="22"/>
      <c r="AD67" s="34"/>
      <c r="AE67" s="34"/>
      <c r="AF67" s="34"/>
      <c r="AG67" s="34"/>
      <c r="AH67" s="34"/>
      <c r="AI67" s="34"/>
      <c r="AJ67" s="34"/>
      <c r="AK67" s="26"/>
      <c r="AL67" s="26"/>
    </row>
    <row r="68" spans="1:38" ht="15.75" customHeight="1">
      <c r="A68" s="141"/>
      <c r="J68" s="121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AA68" s="13"/>
      <c r="AB68" s="25"/>
      <c r="AC68" s="22"/>
      <c r="AD68" s="34"/>
      <c r="AE68" s="34"/>
      <c r="AF68" s="34"/>
      <c r="AG68" s="34"/>
      <c r="AH68" s="34"/>
      <c r="AI68" s="34"/>
      <c r="AJ68" s="34"/>
      <c r="AK68" s="26"/>
      <c r="AL68" s="26"/>
    </row>
    <row r="69" spans="1:38" ht="15.75" customHeight="1">
      <c r="A69" s="82" t="s">
        <v>41</v>
      </c>
      <c r="B69" s="72"/>
      <c r="C69" s="63"/>
      <c r="D69" s="63"/>
      <c r="E69" s="63"/>
      <c r="F69" s="64"/>
      <c r="G69" s="64"/>
      <c r="H69" s="64"/>
      <c r="I69" s="64"/>
      <c r="J69" s="81"/>
      <c r="K69" s="88"/>
      <c r="L69" s="88"/>
      <c r="M69" s="145" t="s">
        <v>113</v>
      </c>
      <c r="N69" s="88"/>
      <c r="O69" s="88"/>
      <c r="P69" s="88"/>
      <c r="Q69" s="88"/>
      <c r="R69" s="88"/>
      <c r="S69" s="88"/>
      <c r="T69" s="88"/>
      <c r="U69" s="88"/>
      <c r="AA69" s="13"/>
      <c r="AB69" s="25"/>
      <c r="AC69" s="22"/>
      <c r="AD69" s="34"/>
      <c r="AE69" s="34"/>
      <c r="AF69" s="34"/>
      <c r="AG69" s="34"/>
      <c r="AH69" s="34"/>
      <c r="AI69" s="34"/>
      <c r="AJ69" s="34"/>
      <c r="AK69" s="26"/>
      <c r="AL69" s="26"/>
    </row>
    <row r="70" spans="1:38" ht="15.75" customHeight="1">
      <c r="A70" s="77" t="s">
        <v>17</v>
      </c>
      <c r="B70" s="78" t="s">
        <v>1</v>
      </c>
      <c r="C70" s="10">
        <v>1.3</v>
      </c>
      <c r="D70" s="64"/>
      <c r="E70" s="64"/>
      <c r="F70" s="107"/>
      <c r="G70" s="107"/>
      <c r="H70" s="107"/>
      <c r="I70" s="80"/>
      <c r="J70" s="75" t="s">
        <v>60</v>
      </c>
      <c r="K70" s="88"/>
      <c r="L70" s="88"/>
      <c r="M70" s="88" t="s">
        <v>114</v>
      </c>
      <c r="N70" s="88">
        <f>-C10*100/C34-C11/C31</f>
        <v>-0.6810344827586207</v>
      </c>
      <c r="O70" s="88"/>
      <c r="P70" s="88" t="s">
        <v>116</v>
      </c>
      <c r="Q70" s="88">
        <v>4</v>
      </c>
      <c r="R70" s="88"/>
      <c r="S70" s="88"/>
      <c r="T70" s="88"/>
      <c r="U70" s="88"/>
      <c r="AA70" s="13"/>
      <c r="AB70" s="25"/>
      <c r="AC70" s="22"/>
      <c r="AD70" s="34"/>
      <c r="AE70" s="34"/>
      <c r="AF70" s="34"/>
      <c r="AG70" s="34"/>
      <c r="AH70" s="34"/>
      <c r="AI70" s="34"/>
      <c r="AJ70" s="34"/>
      <c r="AK70" s="26"/>
      <c r="AL70" s="26"/>
    </row>
    <row r="71" spans="1:38" ht="15.75" customHeight="1">
      <c r="A71" s="154" t="s">
        <v>12</v>
      </c>
      <c r="B71" s="155" t="s">
        <v>1</v>
      </c>
      <c r="C71" s="64" t="s">
        <v>26</v>
      </c>
      <c r="D71" s="64"/>
      <c r="E71" s="107"/>
      <c r="F71" s="65">
        <f>20*(C46/1000)/(H7^0.5)</f>
        <v>2.1081851067789197</v>
      </c>
      <c r="G71" s="64" t="s">
        <v>0</v>
      </c>
      <c r="H71" s="163">
        <f>MIN(F71,F72)</f>
        <v>2.1081851067789197</v>
      </c>
      <c r="I71" s="163" t="s">
        <v>0</v>
      </c>
      <c r="J71" s="108" t="s">
        <v>61</v>
      </c>
      <c r="K71" s="88"/>
      <c r="L71" s="88"/>
      <c r="M71" s="88" t="s">
        <v>115</v>
      </c>
      <c r="N71" s="88">
        <f>C10*100/C34-C11/C31</f>
        <v>0.5381773399014779</v>
      </c>
      <c r="O71" s="88"/>
      <c r="P71" s="88"/>
      <c r="Q71" s="88">
        <f>8.2/(1.05+N72)</f>
        <v>31.567003132613994</v>
      </c>
      <c r="R71" s="88"/>
      <c r="S71" s="88"/>
      <c r="T71" s="88"/>
      <c r="U71" s="88"/>
      <c r="AA71" s="13"/>
      <c r="AB71" s="25"/>
      <c r="AC71" s="22"/>
      <c r="AD71" s="34"/>
      <c r="AE71" s="34"/>
      <c r="AF71" s="34"/>
      <c r="AG71" s="34"/>
      <c r="AH71" s="34"/>
      <c r="AI71" s="34"/>
      <c r="AJ71" s="34"/>
      <c r="AK71" s="26"/>
      <c r="AL71" s="26"/>
    </row>
    <row r="72" spans="1:38" ht="15.75" customHeight="1">
      <c r="A72" s="154"/>
      <c r="B72" s="155"/>
      <c r="C72" s="64" t="s">
        <v>27</v>
      </c>
      <c r="D72" s="64"/>
      <c r="E72" s="64"/>
      <c r="F72" s="72">
        <f>(1380*(C46*C47/100)/(H7*C18/10)*C70)/100</f>
        <v>2.4916666666666667</v>
      </c>
      <c r="G72" s="64" t="s">
        <v>0</v>
      </c>
      <c r="H72" s="163"/>
      <c r="I72" s="163"/>
      <c r="J72" s="108" t="s">
        <v>62</v>
      </c>
      <c r="K72" s="88"/>
      <c r="L72" s="88"/>
      <c r="M72" s="88" t="s">
        <v>117</v>
      </c>
      <c r="N72" s="88">
        <f>N71/N70</f>
        <v>-0.790235081374322</v>
      </c>
      <c r="O72" s="88"/>
      <c r="P72" s="88"/>
      <c r="Q72" s="88">
        <v>7.81</v>
      </c>
      <c r="R72" s="88"/>
      <c r="S72" s="88"/>
      <c r="T72" s="88"/>
      <c r="U72" s="88"/>
      <c r="AA72" s="13"/>
      <c r="AB72" s="25"/>
      <c r="AC72" s="22"/>
      <c r="AD72" s="34"/>
      <c r="AE72" s="34"/>
      <c r="AF72" s="34"/>
      <c r="AG72" s="34"/>
      <c r="AH72" s="34"/>
      <c r="AI72" s="34"/>
      <c r="AJ72" s="34"/>
      <c r="AK72" s="26"/>
      <c r="AL72" s="26"/>
    </row>
    <row r="73" spans="1:38" ht="15.75" customHeight="1">
      <c r="A73" s="77"/>
      <c r="B73" s="64" t="s">
        <v>35</v>
      </c>
      <c r="C73" s="64"/>
      <c r="D73" s="64"/>
      <c r="E73" s="64"/>
      <c r="F73" s="111" t="str">
        <f>IF(AND(H71&gt;C26),"There is no LTB","There is LTB")</f>
        <v>There is no LTB</v>
      </c>
      <c r="G73" s="112"/>
      <c r="H73" s="63"/>
      <c r="I73" s="63"/>
      <c r="J73" s="81"/>
      <c r="K73" s="88"/>
      <c r="L73" s="88"/>
      <c r="M73" s="88" t="s">
        <v>118</v>
      </c>
      <c r="N73" s="88">
        <f>((C18/C19)/44)*(H7/Q76)^0.5</f>
        <v>0.9922169096972331</v>
      </c>
      <c r="O73" s="88"/>
      <c r="P73" s="88"/>
      <c r="Q73" s="88">
        <f>7.81-6.29*N72+9.78*N72^2</f>
        <v>18.88790977374767</v>
      </c>
      <c r="R73" s="88"/>
      <c r="S73" s="88"/>
      <c r="T73" s="88"/>
      <c r="U73" s="88"/>
      <c r="AA73" s="24"/>
      <c r="AB73" s="25"/>
      <c r="AC73" s="22"/>
      <c r="AD73" s="34"/>
      <c r="AE73" s="34"/>
      <c r="AF73" s="34"/>
      <c r="AG73" s="34"/>
      <c r="AH73" s="34"/>
      <c r="AI73" s="34"/>
      <c r="AJ73" s="34"/>
      <c r="AK73" s="26"/>
      <c r="AL73" s="26"/>
    </row>
    <row r="74" spans="1:38" ht="15.75" customHeight="1">
      <c r="A74" s="31" t="s">
        <v>102</v>
      </c>
      <c r="B74" s="65" t="s">
        <v>1</v>
      </c>
      <c r="C74" s="65">
        <f>(G24*C24*100)/C62</f>
        <v>38.66067802894465</v>
      </c>
      <c r="D74" s="65" t="str">
        <f>IF(C74&lt;180,"&lt;","&gt;")</f>
        <v>&lt;</v>
      </c>
      <c r="E74" s="113">
        <v>180</v>
      </c>
      <c r="F74" s="114" t="str">
        <f>IF(AND(C74&lt;E74),"SAFE","Unsafe")</f>
        <v>SAFE</v>
      </c>
      <c r="G74" s="114"/>
      <c r="H74" s="115"/>
      <c r="I74" s="115"/>
      <c r="J74" s="116"/>
      <c r="K74" s="88"/>
      <c r="L74" s="88"/>
      <c r="M74" s="88" t="s">
        <v>119</v>
      </c>
      <c r="N74" s="88">
        <f>MIN((N73-0.15-0.05*N72)/N73^2,1)</f>
        <v>0.8956157266589951</v>
      </c>
      <c r="O74" s="88"/>
      <c r="P74" s="88"/>
      <c r="Q74" s="88">
        <v>23.9</v>
      </c>
      <c r="R74" s="88"/>
      <c r="S74" s="88"/>
      <c r="T74" s="88"/>
      <c r="U74" s="88"/>
      <c r="AA74" s="24"/>
      <c r="AB74" s="25"/>
      <c r="AC74" s="22"/>
      <c r="AD74" s="34"/>
      <c r="AE74" s="34"/>
      <c r="AF74" s="34"/>
      <c r="AG74" s="34"/>
      <c r="AH74" s="34"/>
      <c r="AI74" s="34"/>
      <c r="AJ74" s="34"/>
      <c r="AK74" s="26"/>
      <c r="AL74" s="26"/>
    </row>
    <row r="75" spans="1:38" ht="15.75" customHeight="1">
      <c r="A75" s="31" t="s">
        <v>103</v>
      </c>
      <c r="B75" s="65" t="s">
        <v>1</v>
      </c>
      <c r="C75" s="65">
        <f>(G25*C25*100)/C63</f>
        <v>111.76520652734104</v>
      </c>
      <c r="D75" s="65" t="str">
        <f>IF(C75&lt;180,"&lt;","&gt;")</f>
        <v>&lt;</v>
      </c>
      <c r="E75" s="113">
        <v>180</v>
      </c>
      <c r="F75" s="114" t="str">
        <f>IF(AND(C75&lt;E75),"SAFE","Unsafe")</f>
        <v>SAFE</v>
      </c>
      <c r="G75" s="112"/>
      <c r="H75" s="63"/>
      <c r="I75" s="63"/>
      <c r="J75" s="81"/>
      <c r="M75" s="30" t="s">
        <v>120</v>
      </c>
      <c r="N75" s="30">
        <f>IF(N72&lt;0,(C18*N74)/(1-N72),C18*N74)</f>
        <v>200.11131185552497</v>
      </c>
      <c r="Q75" s="30">
        <f>5.98*(1-N72)^2</f>
        <v>19.165551046568286</v>
      </c>
      <c r="AA75" s="13"/>
      <c r="AB75" s="25"/>
      <c r="AC75" s="22"/>
      <c r="AD75" s="34"/>
      <c r="AE75" s="34"/>
      <c r="AF75" s="34"/>
      <c r="AG75" s="34"/>
      <c r="AH75" s="34"/>
      <c r="AI75" s="34"/>
      <c r="AJ75" s="34"/>
      <c r="AK75" s="26"/>
      <c r="AL75" s="26"/>
    </row>
    <row r="76" spans="1:38" ht="15.75" customHeight="1">
      <c r="A76" s="31" t="s">
        <v>104</v>
      </c>
      <c r="B76" s="65" t="s">
        <v>1</v>
      </c>
      <c r="C76" s="65">
        <f>MAX(C74:C75)</f>
        <v>111.76520652734104</v>
      </c>
      <c r="D76" s="64"/>
      <c r="H76" s="64"/>
      <c r="I76" s="64"/>
      <c r="J76" s="81"/>
      <c r="Q76" s="144">
        <f>IF(N72=1,Q70,IF(AND(N72&gt;0,N72&lt;1),Q71,IF(N72=0,Q72,IF(AND(N72&lt;0,N72&gt;-1),Q73,IF(N72=-1,Q74,IF(AND(N72&lt;-1,N72&gt;-2),Q75,FALSE))))))</f>
        <v>18.88790977374767</v>
      </c>
      <c r="AA76" s="13"/>
      <c r="AB76" s="25"/>
      <c r="AC76" s="22"/>
      <c r="AD76" s="34"/>
      <c r="AE76" s="34"/>
      <c r="AF76" s="34"/>
      <c r="AG76" s="34"/>
      <c r="AH76" s="34"/>
      <c r="AI76" s="34"/>
      <c r="AJ76" s="34"/>
      <c r="AK76" s="26"/>
      <c r="AL76" s="26"/>
    </row>
    <row r="77" spans="1:38" ht="15.75" customHeight="1">
      <c r="A77" s="82" t="s">
        <v>108</v>
      </c>
      <c r="B77" s="72"/>
      <c r="C77" s="72"/>
      <c r="D77" s="64"/>
      <c r="E77" s="64"/>
      <c r="F77" s="64"/>
      <c r="G77" s="64"/>
      <c r="H77" s="64"/>
      <c r="I77" s="72"/>
      <c r="J77" s="81"/>
      <c r="M77" s="30" t="s">
        <v>121</v>
      </c>
      <c r="N77" s="149">
        <f>0.5*N75</f>
        <v>100.05565592776249</v>
      </c>
      <c r="O77" s="30" t="s">
        <v>122</v>
      </c>
      <c r="P77" s="149">
        <f>0.5*N75</f>
        <v>100.05565592776249</v>
      </c>
      <c r="S77" s="30" t="s">
        <v>130</v>
      </c>
      <c r="T77" s="30">
        <f>IF(N72=1,N77,IF(AND(N72&lt;1,OR(N72&gt;0,N72=0)),N78,N79))</f>
        <v>80.04452474221</v>
      </c>
      <c r="AA77" s="13"/>
      <c r="AB77" s="25"/>
      <c r="AC77" s="22"/>
      <c r="AD77" s="34"/>
      <c r="AE77" s="34"/>
      <c r="AF77" s="34"/>
      <c r="AG77" s="34"/>
      <c r="AH77" s="34"/>
      <c r="AI77" s="34"/>
      <c r="AJ77" s="34"/>
      <c r="AK77" s="26"/>
      <c r="AL77" s="26"/>
    </row>
    <row r="78" spans="1:38" ht="15.75" customHeight="1">
      <c r="A78" s="77" t="s">
        <v>31</v>
      </c>
      <c r="B78" s="65" t="s">
        <v>1</v>
      </c>
      <c r="C78" s="65">
        <f>IF(F73="There is LTB",N54,N55)</f>
        <v>2.088</v>
      </c>
      <c r="D78" s="64" t="s">
        <v>15</v>
      </c>
      <c r="J78" s="121"/>
      <c r="N78" s="149">
        <f>(2*N75)/(5-N72)</f>
        <v>69.12027199007203</v>
      </c>
      <c r="P78" s="149">
        <f>N75-N78</f>
        <v>130.99103986545293</v>
      </c>
      <c r="S78" s="30" t="s">
        <v>131</v>
      </c>
      <c r="T78" s="30">
        <f>IF(N72=1,P77,IF(AND(N72&lt;1,OR(N72&gt;0,N72=0)),P78,R79))</f>
        <v>296.6324436789715</v>
      </c>
      <c r="AA78" s="13"/>
      <c r="AB78" s="25"/>
      <c r="AC78" s="22"/>
      <c r="AD78" s="34"/>
      <c r="AE78" s="34"/>
      <c r="AF78" s="34"/>
      <c r="AG78" s="34"/>
      <c r="AH78" s="34"/>
      <c r="AI78" s="34"/>
      <c r="AJ78" s="34"/>
      <c r="AK78" s="26"/>
      <c r="AL78" s="26"/>
    </row>
    <row r="79" spans="1:38" ht="15.75" customHeight="1">
      <c r="A79" s="77" t="s">
        <v>99</v>
      </c>
      <c r="B79" s="65" t="s">
        <v>1</v>
      </c>
      <c r="C79" s="65">
        <f>IF(C76&lt;100,M61,7500/C76^2)</f>
        <v>0.6004101334327898</v>
      </c>
      <c r="D79" s="64" t="s">
        <v>15</v>
      </c>
      <c r="J79" s="121"/>
      <c r="N79" s="149">
        <f>0.4*N75</f>
        <v>80.04452474221</v>
      </c>
      <c r="P79" s="100">
        <f>0.6*N75</f>
        <v>120.06678711331497</v>
      </c>
      <c r="R79" s="144">
        <f>C18-C18/(1-N72)+P79</f>
        <v>296.6324436789715</v>
      </c>
      <c r="AA79" s="13"/>
      <c r="AB79" s="25"/>
      <c r="AC79" s="12"/>
      <c r="AD79" s="34"/>
      <c r="AE79" s="34"/>
      <c r="AF79" s="34"/>
      <c r="AG79" s="34"/>
      <c r="AH79" s="34"/>
      <c r="AI79" s="34"/>
      <c r="AJ79" s="34"/>
      <c r="AK79" s="26"/>
      <c r="AL79" s="26"/>
    </row>
    <row r="80" spans="1:38" ht="15.75" customHeight="1">
      <c r="A80" s="77"/>
      <c r="B80" s="65"/>
      <c r="C80" s="65"/>
      <c r="D80" s="64"/>
      <c r="E80" s="72"/>
      <c r="F80" s="64"/>
      <c r="G80" s="140"/>
      <c r="H80" s="63"/>
      <c r="I80" s="63"/>
      <c r="J80" s="75"/>
      <c r="AA80" s="13"/>
      <c r="AB80" s="25"/>
      <c r="AC80" s="12"/>
      <c r="AD80" s="34"/>
      <c r="AE80" s="34"/>
      <c r="AF80" s="34"/>
      <c r="AG80" s="34"/>
      <c r="AH80" s="34"/>
      <c r="AI80" s="34"/>
      <c r="AJ80" s="34"/>
      <c r="AK80" s="26"/>
      <c r="AL80" s="26"/>
    </row>
    <row r="81" spans="1:38" ht="15.75" customHeight="1">
      <c r="A81" s="82" t="s">
        <v>109</v>
      </c>
      <c r="E81" s="64"/>
      <c r="F81" s="64"/>
      <c r="G81" s="64"/>
      <c r="H81" s="64"/>
      <c r="I81" s="64"/>
      <c r="J81" s="81"/>
      <c r="M81" s="145" t="s">
        <v>123</v>
      </c>
      <c r="R81" s="145" t="s">
        <v>124</v>
      </c>
      <c r="AA81" s="13"/>
      <c r="AB81" s="25"/>
      <c r="AC81" s="12"/>
      <c r="AD81" s="34"/>
      <c r="AE81" s="34"/>
      <c r="AF81" s="34"/>
      <c r="AG81" s="34"/>
      <c r="AH81" s="34"/>
      <c r="AI81" s="34"/>
      <c r="AJ81" s="34"/>
      <c r="AK81" s="26"/>
      <c r="AL81" s="26"/>
    </row>
    <row r="82" spans="1:38" ht="15.75" customHeight="1">
      <c r="A82" s="77" t="s">
        <v>106</v>
      </c>
      <c r="B82" s="65" t="s">
        <v>1</v>
      </c>
      <c r="C82" s="65">
        <f>C10*100/MIN(C60,C59)</f>
        <v>0.6185780916457901</v>
      </c>
      <c r="D82" s="64" t="s">
        <v>15</v>
      </c>
      <c r="H82" s="64"/>
      <c r="I82" s="64"/>
      <c r="J82" s="81"/>
      <c r="M82" s="30" t="s">
        <v>114</v>
      </c>
      <c r="N82" s="30">
        <f>-M37-M36</f>
        <v>-0.6810344827586207</v>
      </c>
      <c r="P82" s="30" t="s">
        <v>116</v>
      </c>
      <c r="Q82" s="146">
        <v>0.43</v>
      </c>
      <c r="R82" s="30" t="s">
        <v>114</v>
      </c>
      <c r="S82" s="30">
        <f>M36-M37</f>
        <v>0.5381773399014779</v>
      </c>
      <c r="U82" s="30" t="s">
        <v>116</v>
      </c>
      <c r="V82" s="146">
        <v>0.43</v>
      </c>
      <c r="AA82" s="13"/>
      <c r="AB82" s="25"/>
      <c r="AC82" s="12"/>
      <c r="AD82" s="34"/>
      <c r="AE82" s="34"/>
      <c r="AF82" s="34"/>
      <c r="AG82" s="34"/>
      <c r="AH82" s="34"/>
      <c r="AI82" s="34"/>
      <c r="AJ82" s="34"/>
      <c r="AK82" s="26"/>
      <c r="AL82" s="26"/>
    </row>
    <row r="83" spans="1:38" ht="15.75" customHeight="1">
      <c r="A83" s="77" t="s">
        <v>107</v>
      </c>
      <c r="B83" s="65" t="s">
        <v>1</v>
      </c>
      <c r="C83" s="65">
        <f>C11/C56</f>
        <v>0.07263868161801477</v>
      </c>
      <c r="D83" s="64" t="s">
        <v>15</v>
      </c>
      <c r="E83" s="64"/>
      <c r="F83" s="64"/>
      <c r="G83" s="64"/>
      <c r="H83" s="64"/>
      <c r="I83" s="64"/>
      <c r="J83" s="81"/>
      <c r="M83" s="30" t="s">
        <v>115</v>
      </c>
      <c r="N83" s="30">
        <f>-M37-M36</f>
        <v>-0.6810344827586207</v>
      </c>
      <c r="Q83" s="146"/>
      <c r="R83" s="30" t="s">
        <v>115</v>
      </c>
      <c r="S83" s="30">
        <f>M36-M37</f>
        <v>0.5381773399014779</v>
      </c>
      <c r="V83" s="146"/>
      <c r="AA83" s="24"/>
      <c r="AB83" s="26"/>
      <c r="AC83" s="12"/>
      <c r="AD83" s="34"/>
      <c r="AE83" s="34"/>
      <c r="AF83" s="34"/>
      <c r="AG83" s="34"/>
      <c r="AH83" s="34"/>
      <c r="AI83" s="34"/>
      <c r="AJ83" s="34"/>
      <c r="AK83" s="26"/>
      <c r="AL83" s="26"/>
    </row>
    <row r="84" spans="1:38" ht="15.75" customHeight="1">
      <c r="A84" s="77"/>
      <c r="B84" s="65"/>
      <c r="C84" s="65"/>
      <c r="D84" s="64"/>
      <c r="J84" s="121"/>
      <c r="M84" s="30" t="s">
        <v>117</v>
      </c>
      <c r="N84" s="30">
        <f>N83/N82</f>
        <v>1</v>
      </c>
      <c r="Q84" s="146"/>
      <c r="R84" s="30" t="s">
        <v>117</v>
      </c>
      <c r="S84" s="30">
        <f>S83/S82</f>
        <v>1</v>
      </c>
      <c r="V84" s="146"/>
      <c r="AA84" s="24"/>
      <c r="AB84" s="26"/>
      <c r="AC84" s="12"/>
      <c r="AD84" s="34"/>
      <c r="AE84" s="34"/>
      <c r="AF84" s="34"/>
      <c r="AG84" s="34"/>
      <c r="AH84" s="34"/>
      <c r="AI84" s="34"/>
      <c r="AJ84" s="34"/>
      <c r="AK84" s="26"/>
      <c r="AL84" s="26"/>
    </row>
    <row r="85" spans="1:38" ht="15.75" customHeight="1">
      <c r="A85" s="141"/>
      <c r="B85" s="34"/>
      <c r="C85" s="34"/>
      <c r="D85" s="34"/>
      <c r="E85" s="34"/>
      <c r="F85" s="34"/>
      <c r="G85" s="34"/>
      <c r="H85" s="34"/>
      <c r="I85" s="34"/>
      <c r="J85" s="121"/>
      <c r="M85" s="88" t="s">
        <v>118</v>
      </c>
      <c r="N85" s="88">
        <f>((C16/(C17*2))/44)*(H7/Q82)^0.5</f>
        <v>0.6576038484141983</v>
      </c>
      <c r="Q85" s="146"/>
      <c r="R85" s="88" t="s">
        <v>118</v>
      </c>
      <c r="S85" s="88">
        <f>((C16/(C17*2))/44)*(H7/V82)^0.5</f>
        <v>0.6576038484141983</v>
      </c>
      <c r="V85" s="146"/>
      <c r="AA85" s="24"/>
      <c r="AB85" s="26"/>
      <c r="AC85" s="12"/>
      <c r="AD85" s="34"/>
      <c r="AE85" s="34"/>
      <c r="AF85" s="34"/>
      <c r="AG85" s="34"/>
      <c r="AH85" s="34"/>
      <c r="AI85" s="34"/>
      <c r="AJ85" s="34"/>
      <c r="AK85" s="26"/>
      <c r="AL85" s="26"/>
    </row>
    <row r="86" spans="1:38" ht="15.75" customHeight="1">
      <c r="A86" s="77" t="s">
        <v>101</v>
      </c>
      <c r="B86" s="65" t="s">
        <v>1</v>
      </c>
      <c r="C86" s="72">
        <f>IF(L66&lt;0.15,1,MAX(G86/(1-(C83/(7500/C74^2))),1))</f>
        <v>1</v>
      </c>
      <c r="D86" s="65"/>
      <c r="E86" s="65" t="s">
        <v>105</v>
      </c>
      <c r="F86" s="65" t="s">
        <v>1</v>
      </c>
      <c r="G86" s="10">
        <v>0.85</v>
      </c>
      <c r="H86" s="99"/>
      <c r="I86" s="123"/>
      <c r="J86" s="124"/>
      <c r="M86" s="88" t="s">
        <v>119</v>
      </c>
      <c r="N86" s="88">
        <f>MIN((N85-0.15-0.05*N84)/N85^2,1)</f>
        <v>1</v>
      </c>
      <c r="Q86" s="146"/>
      <c r="R86" s="88" t="s">
        <v>119</v>
      </c>
      <c r="S86" s="88">
        <f>MIN((S85-0.15-0.05*S84)/S85^2,1)</f>
        <v>1</v>
      </c>
      <c r="V86" s="146"/>
      <c r="AA86" s="24"/>
      <c r="AB86" s="26"/>
      <c r="AC86" s="12"/>
      <c r="AD86" s="34"/>
      <c r="AE86" s="34"/>
      <c r="AF86" s="34"/>
      <c r="AG86" s="34"/>
      <c r="AH86" s="34"/>
      <c r="AI86" s="34"/>
      <c r="AJ86" s="34"/>
      <c r="AK86" s="26"/>
      <c r="AL86" s="26"/>
    </row>
    <row r="87" spans="1:38" ht="15.75" customHeight="1">
      <c r="A87" s="77"/>
      <c r="B87" s="65"/>
      <c r="C87" s="72"/>
      <c r="D87" s="64"/>
      <c r="E87" s="65"/>
      <c r="F87" s="65"/>
      <c r="G87" s="10"/>
      <c r="H87" s="13"/>
      <c r="I87" s="13"/>
      <c r="J87" s="125"/>
      <c r="L87" s="28"/>
      <c r="M87" s="122" t="s">
        <v>126</v>
      </c>
      <c r="N87" s="150">
        <f>N86*C16/2</f>
        <v>100</v>
      </c>
      <c r="O87" s="13"/>
      <c r="P87" s="110"/>
      <c r="Q87" s="148"/>
      <c r="R87" s="122" t="s">
        <v>126</v>
      </c>
      <c r="S87" s="150">
        <f>IF(AND(S82&gt;0,S83&gt;0),C16/2,S86*C16/2)</f>
        <v>100</v>
      </c>
      <c r="U87" s="110"/>
      <c r="V87" s="148"/>
      <c r="AA87" s="24"/>
      <c r="AB87" s="26"/>
      <c r="AC87" s="12"/>
      <c r="AD87" s="34"/>
      <c r="AE87" s="34"/>
      <c r="AF87" s="34"/>
      <c r="AG87" s="34"/>
      <c r="AH87" s="34"/>
      <c r="AI87" s="34"/>
      <c r="AJ87" s="34"/>
      <c r="AK87" s="26"/>
      <c r="AL87" s="26"/>
    </row>
    <row r="88" spans="1:38" ht="15.75" customHeight="1">
      <c r="A88" s="27"/>
      <c r="B88" s="23"/>
      <c r="C88" s="23"/>
      <c r="D88" s="13"/>
      <c r="E88" s="23"/>
      <c r="F88" s="99"/>
      <c r="G88" s="123"/>
      <c r="H88" s="13"/>
      <c r="I88" s="13"/>
      <c r="J88" s="126"/>
      <c r="L88" s="28"/>
      <c r="M88" s="28"/>
      <c r="N88" s="110"/>
      <c r="O88" s="13"/>
      <c r="P88" s="110"/>
      <c r="Q88" s="147"/>
      <c r="R88" s="88"/>
      <c r="S88" s="13"/>
      <c r="AA88" s="24"/>
      <c r="AB88" s="26"/>
      <c r="AC88" s="12"/>
      <c r="AD88" s="34"/>
      <c r="AE88" s="34"/>
      <c r="AF88" s="34"/>
      <c r="AG88" s="34"/>
      <c r="AH88" s="34"/>
      <c r="AI88" s="34"/>
      <c r="AJ88" s="34"/>
      <c r="AK88" s="26"/>
      <c r="AL88" s="26"/>
    </row>
    <row r="89" spans="1:19" ht="15.75" customHeight="1">
      <c r="A89" s="32" t="s">
        <v>125</v>
      </c>
      <c r="B89" s="72"/>
      <c r="C89" s="100">
        <f>L66+(C82/C78)*C86</f>
        <v>0.4172356468905051</v>
      </c>
      <c r="D89" s="65" t="s">
        <v>15</v>
      </c>
      <c r="E89" s="78" t="str">
        <f>IF(C89&lt;F89,"&lt;","&gt;")</f>
        <v>&lt;</v>
      </c>
      <c r="F89" s="94">
        <f>IF(E10="a",1,1.2)</f>
        <v>1</v>
      </c>
      <c r="G89" s="114" t="str">
        <f>IF(AND(C89&lt;F89),"SAFE","Unsafe")</f>
        <v>SAFE</v>
      </c>
      <c r="I89" s="13"/>
      <c r="J89" s="125"/>
      <c r="L89" s="28"/>
      <c r="M89" s="28"/>
      <c r="N89" s="110"/>
      <c r="O89" s="88"/>
      <c r="P89" s="110"/>
      <c r="Q89" s="110"/>
      <c r="R89" s="88"/>
      <c r="S89" s="13"/>
    </row>
    <row r="90" spans="1:19" ht="15.75" customHeight="1">
      <c r="A90" s="142"/>
      <c r="B90" s="23"/>
      <c r="C90" s="13"/>
      <c r="D90" s="13"/>
      <c r="E90" s="13"/>
      <c r="F90" s="13"/>
      <c r="G90" s="13"/>
      <c r="H90" s="13"/>
      <c r="I90" s="13"/>
      <c r="J90" s="125"/>
      <c r="L90" s="28"/>
      <c r="M90" s="28"/>
      <c r="N90" s="110"/>
      <c r="O90" s="13"/>
      <c r="P90" s="110"/>
      <c r="Q90" s="110"/>
      <c r="R90" s="88"/>
      <c r="S90" s="13"/>
    </row>
    <row r="91" spans="1:19" ht="15.75" customHeight="1">
      <c r="A91" s="82" t="s">
        <v>42</v>
      </c>
      <c r="B91" s="72"/>
      <c r="C91" s="64"/>
      <c r="D91" s="64"/>
      <c r="E91" s="65"/>
      <c r="F91" s="72"/>
      <c r="G91" s="64"/>
      <c r="H91" s="64"/>
      <c r="I91" s="64"/>
      <c r="J91" s="81"/>
      <c r="L91" s="28"/>
      <c r="M91" s="28"/>
      <c r="N91" s="110"/>
      <c r="O91" s="13"/>
      <c r="P91" s="110"/>
      <c r="Q91" s="110"/>
      <c r="R91" s="117"/>
      <c r="S91" s="13"/>
    </row>
    <row r="92" spans="1:19" ht="15.75" customHeight="1">
      <c r="A92" s="77" t="s">
        <v>43</v>
      </c>
      <c r="B92" s="72" t="s">
        <v>1</v>
      </c>
      <c r="C92" s="72">
        <f>C12*100/(C48*C49)</f>
        <v>0</v>
      </c>
      <c r="D92" s="64" t="s">
        <v>15</v>
      </c>
      <c r="E92" s="72" t="str">
        <f>IF(C92&gt;F92,"&gt;","&lt;")</f>
        <v>&lt;</v>
      </c>
      <c r="F92" s="118">
        <f>0.35*H7</f>
        <v>1.26</v>
      </c>
      <c r="G92" s="114" t="str">
        <f>IF(AND(C92&lt;F92),"SAFE","Unsafe")</f>
        <v>SAFE</v>
      </c>
      <c r="H92" s="64"/>
      <c r="I92" s="64"/>
      <c r="J92" s="108" t="s">
        <v>64</v>
      </c>
      <c r="L92" s="28"/>
      <c r="M92" s="145"/>
      <c r="N92" s="110"/>
      <c r="O92" s="13"/>
      <c r="P92" s="110"/>
      <c r="Q92" s="110"/>
      <c r="R92" s="145"/>
      <c r="S92" s="88"/>
    </row>
    <row r="93" spans="1:22" ht="15.75" customHeight="1" thickBot="1">
      <c r="A93" s="127"/>
      <c r="B93" s="128"/>
      <c r="C93" s="129"/>
      <c r="D93" s="130"/>
      <c r="E93" s="130"/>
      <c r="F93" s="130"/>
      <c r="G93" s="130"/>
      <c r="H93" s="130"/>
      <c r="I93" s="130"/>
      <c r="J93" s="131"/>
      <c r="L93" s="28"/>
      <c r="N93" s="110"/>
      <c r="O93" s="13"/>
      <c r="Q93" s="146"/>
      <c r="S93" s="13"/>
      <c r="V93" s="146"/>
    </row>
    <row r="94" spans="1:22" ht="15.75" customHeight="1">
      <c r="A94" s="134"/>
      <c r="B94" s="23"/>
      <c r="C94" s="23"/>
      <c r="D94" s="13"/>
      <c r="E94" s="13"/>
      <c r="F94" s="13"/>
      <c r="G94" s="13"/>
      <c r="H94" s="13"/>
      <c r="I94" s="13"/>
      <c r="J94" s="13"/>
      <c r="L94" s="28"/>
      <c r="N94" s="110"/>
      <c r="O94" s="13"/>
      <c r="Q94" s="146"/>
      <c r="S94" s="88"/>
      <c r="V94" s="146"/>
    </row>
    <row r="95" spans="1:22" ht="15.75" customHeight="1">
      <c r="A95" s="13"/>
      <c r="B95" s="13"/>
      <c r="C95" s="134"/>
      <c r="D95" s="28"/>
      <c r="E95" s="23"/>
      <c r="F95" s="13"/>
      <c r="G95" s="135"/>
      <c r="H95" s="13"/>
      <c r="I95" s="13"/>
      <c r="J95" s="132"/>
      <c r="L95" s="28"/>
      <c r="M95" s="122"/>
      <c r="N95" s="28"/>
      <c r="O95" s="13"/>
      <c r="Q95" s="146"/>
      <c r="R95" s="122"/>
      <c r="S95" s="13"/>
      <c r="V95" s="146"/>
    </row>
    <row r="96" spans="1:22" ht="15.75" customHeight="1">
      <c r="A96" s="28"/>
      <c r="B96" s="23"/>
      <c r="C96" s="23"/>
      <c r="D96" s="13"/>
      <c r="E96" s="13"/>
      <c r="F96" s="13"/>
      <c r="G96" s="13"/>
      <c r="H96" s="13"/>
      <c r="I96" s="13"/>
      <c r="J96" s="13"/>
      <c r="Q96" s="146"/>
      <c r="V96" s="146"/>
    </row>
    <row r="97" spans="1:22" ht="15.75" customHeight="1">
      <c r="A97" s="28"/>
      <c r="B97" s="23"/>
      <c r="C97" s="23"/>
      <c r="D97" s="13"/>
      <c r="E97" s="136"/>
      <c r="F97" s="136"/>
      <c r="G97" s="136"/>
      <c r="H97" s="13"/>
      <c r="I97" s="13"/>
      <c r="J97" s="13"/>
      <c r="Q97" s="146"/>
      <c r="V97" s="146"/>
    </row>
    <row r="98" spans="1:22" ht="15.75" customHeight="1">
      <c r="A98" s="28"/>
      <c r="B98" s="23"/>
      <c r="C98" s="23"/>
      <c r="D98" s="13"/>
      <c r="E98" s="13"/>
      <c r="F98" s="13"/>
      <c r="G98" s="13"/>
      <c r="H98" s="13"/>
      <c r="I98" s="13"/>
      <c r="J98" s="13"/>
      <c r="L98" s="28"/>
      <c r="M98" s="28"/>
      <c r="N98" s="133"/>
      <c r="O98" s="13"/>
      <c r="P98" s="110"/>
      <c r="Q98" s="148"/>
      <c r="R98" s="88"/>
      <c r="S98" s="13"/>
      <c r="U98" s="110"/>
      <c r="V98" s="148"/>
    </row>
    <row r="99" spans="1:19" ht="15.75" customHeight="1">
      <c r="A99" s="137"/>
      <c r="B99" s="13"/>
      <c r="C99" s="13"/>
      <c r="D99" s="13"/>
      <c r="E99" s="28"/>
      <c r="F99" s="23"/>
      <c r="G99" s="13"/>
      <c r="H99" s="138"/>
      <c r="I99" s="138"/>
      <c r="J99" s="138"/>
      <c r="L99" s="28"/>
      <c r="M99" s="28"/>
      <c r="N99" s="110"/>
      <c r="O99" s="13"/>
      <c r="P99" s="110"/>
      <c r="Q99" s="110"/>
      <c r="R99" s="88"/>
      <c r="S99" s="13"/>
    </row>
    <row r="100" spans="1:19" ht="15.75" customHeight="1">
      <c r="A100" s="13"/>
      <c r="B100" s="13"/>
      <c r="C100" s="13"/>
      <c r="D100" s="13"/>
      <c r="E100" s="28"/>
      <c r="F100" s="93"/>
      <c r="G100" s="23"/>
      <c r="H100" s="99"/>
      <c r="I100" s="123"/>
      <c r="J100" s="28"/>
      <c r="L100" s="28"/>
      <c r="M100" s="28"/>
      <c r="N100" s="110"/>
      <c r="O100" s="88"/>
      <c r="P100" s="110"/>
      <c r="Q100" s="110"/>
      <c r="R100" s="88"/>
      <c r="S100" s="13"/>
    </row>
    <row r="101" spans="1:19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L101" s="28"/>
      <c r="M101" s="28"/>
      <c r="N101" s="110"/>
      <c r="O101" s="13"/>
      <c r="P101" s="110"/>
      <c r="Q101" s="110"/>
      <c r="R101" s="88"/>
      <c r="S101" s="13"/>
    </row>
    <row r="102" spans="1:19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L102" s="28"/>
      <c r="M102" s="28"/>
      <c r="N102" s="110"/>
      <c r="O102" s="13"/>
      <c r="P102" s="110"/>
      <c r="Q102" s="110"/>
      <c r="R102" s="117"/>
      <c r="S102" s="13"/>
    </row>
    <row r="103" spans="1:19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L103" s="28"/>
      <c r="M103" s="28"/>
      <c r="N103" s="110"/>
      <c r="O103" s="13"/>
      <c r="P103" s="110"/>
      <c r="Q103" s="110"/>
      <c r="R103" s="88"/>
      <c r="S103" s="88"/>
    </row>
    <row r="104" spans="1:19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L104" s="28"/>
      <c r="M104" s="28"/>
      <c r="N104" s="110"/>
      <c r="O104" s="13"/>
      <c r="P104" s="28"/>
      <c r="Q104" s="28"/>
      <c r="R104" s="110"/>
      <c r="S104" s="13"/>
    </row>
    <row r="105" spans="1:19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L105" s="28"/>
      <c r="M105" s="28"/>
      <c r="N105" s="110"/>
      <c r="O105" s="13"/>
      <c r="P105" s="13"/>
      <c r="Q105" s="88"/>
      <c r="R105" s="88"/>
      <c r="S105" s="88"/>
    </row>
    <row r="106" spans="1:19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L106" s="28"/>
      <c r="M106" s="28"/>
      <c r="N106" s="28"/>
      <c r="O106" s="13"/>
      <c r="P106" s="28"/>
      <c r="Q106" s="28"/>
      <c r="R106" s="28"/>
      <c r="S106" s="13"/>
    </row>
    <row r="107" spans="1:10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</sheetData>
  <mergeCells count="7">
    <mergeCell ref="D1:G1"/>
    <mergeCell ref="A71:A72"/>
    <mergeCell ref="B71:B72"/>
    <mergeCell ref="H1:I2"/>
    <mergeCell ref="D2:G2"/>
    <mergeCell ref="H71:H72"/>
    <mergeCell ref="I71:I72"/>
  </mergeCells>
  <conditionalFormatting sqref="F74:F75 G92 G89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E40:E41 B42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2" operator="equal" stopIfTrue="1">
      <formula>"Slender"</formula>
    </cfRule>
  </conditionalFormatting>
  <dataValidations count="2">
    <dataValidation type="list" allowBlank="1" showInputMessage="1" showErrorMessage="1" sqref="E10">
      <formula1>$K$19:$K$20</formula1>
    </dataValidation>
    <dataValidation type="list" allowBlank="1" showInputMessage="1" showErrorMessage="1" sqref="G6">
      <formula1>$M$19:$M$21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62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2009-02-26T12:55:19Z</cp:lastPrinted>
  <dcterms:created xsi:type="dcterms:W3CDTF">1997-10-17T07:03:38Z</dcterms:created>
  <dcterms:modified xsi:type="dcterms:W3CDTF">2010-07-19T12:36:38Z</dcterms:modified>
  <cp:category/>
  <cp:version/>
  <cp:contentType/>
  <cp:contentStatus/>
</cp:coreProperties>
</file>