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925" activeTab="0"/>
  </bookViews>
  <sheets>
    <sheet name="Janbu Formula" sheetId="1" r:id="rId1"/>
    <sheet name="Danish Formula" sheetId="2" r:id="rId2"/>
    <sheet name="วิเชียร เต็งอำนวย และ คณะ" sheetId="3" r:id="rId3"/>
    <sheet name="Hiley Formula" sheetId="4" r:id="rId4"/>
  </sheets>
  <definedNames>
    <definedName name="janbu">"Object 4"</definedName>
  </definedNames>
  <calcPr fullCalcOnLoad="1"/>
</workbook>
</file>

<file path=xl/comments1.xml><?xml version="1.0" encoding="utf-8"?>
<comments xmlns="http://schemas.openxmlformats.org/spreadsheetml/2006/main">
  <authors>
    <author>iLLuSioN</author>
    <author>WincoolV5</author>
  </authors>
  <commentList>
    <comment ref="B12" authorId="0">
      <text>
        <r>
          <rPr>
            <sz val="8"/>
            <rFont val="Tahoma"/>
            <family val="2"/>
          </rPr>
          <t>ค่าความปลอดภัย (Factor of Safety)
นิยมใช้ค่าระหว่าง 2-4 (นิยมใช้ค่า 2.5)</t>
        </r>
      </text>
    </comment>
    <comment ref="B13" authorId="0">
      <text>
        <r>
          <rPr>
            <sz val="8"/>
            <rFont val="Tahoma"/>
            <family val="2"/>
          </rPr>
          <t>พื้นที่หน้าตัดของเสาเข็ม</t>
        </r>
      </text>
    </comment>
    <comment ref="B14" authorId="0">
      <text>
        <r>
          <rPr>
            <sz val="8"/>
            <rFont val="Tahoma"/>
            <family val="2"/>
          </rPr>
          <t>น้ำหนักของลูกตุ้ม</t>
        </r>
      </text>
    </comment>
    <comment ref="B15" authorId="0">
      <text>
        <r>
          <rPr>
            <sz val="8"/>
            <rFont val="Tahoma"/>
            <family val="2"/>
          </rPr>
          <t>ระยะยกลูกตุ้ม (30-80 cm. โดยประมาณ)</t>
        </r>
      </text>
    </comment>
    <comment ref="B16" authorId="0">
      <text>
        <r>
          <rPr>
            <sz val="8"/>
            <rFont val="Tahoma"/>
            <family val="2"/>
          </rPr>
          <t>ความยาวของเสาเข็ม</t>
        </r>
      </text>
    </comment>
    <comment ref="B17" authorId="0">
      <text>
        <r>
          <rPr>
            <sz val="8"/>
            <rFont val="Tahoma"/>
            <family val="2"/>
          </rPr>
          <t>น้ำหนักของเสาเข็ม</t>
        </r>
      </text>
    </comment>
    <comment ref="B18" authorId="1">
      <text>
        <r>
          <rPr>
            <sz val="8"/>
            <rFont val="Tahoma"/>
            <family val="2"/>
          </rPr>
          <t>ระยะจมตัว(cm. /ครั้ง)</t>
        </r>
      </text>
    </comment>
  </commentList>
</comments>
</file>

<file path=xl/comments2.xml><?xml version="1.0" encoding="utf-8"?>
<comments xmlns="http://schemas.openxmlformats.org/spreadsheetml/2006/main">
  <authors>
    <author>iLLuSioN</author>
    <author>WincoolV5</author>
  </authors>
  <commentList>
    <comment ref="B12" authorId="0">
      <text>
        <r>
          <rPr>
            <sz val="8"/>
            <rFont val="Tahoma"/>
            <family val="2"/>
          </rPr>
          <t>น้ำหนักบรรทุกปลอดภัยของเสาเข็ม</t>
        </r>
      </text>
    </comment>
    <comment ref="B13" authorId="0">
      <text>
        <r>
          <rPr>
            <sz val="8"/>
            <rFont val="Tahoma"/>
            <family val="2"/>
          </rPr>
          <t>ค่าความปลอดภัย (Factor of Safety)
นิยมใช้ค่าระหว่าง 2-4 (นิยมใช้ค่า 2.5)</t>
        </r>
      </text>
    </comment>
    <comment ref="B14" authorId="0">
      <text>
        <r>
          <rPr>
            <sz val="8"/>
            <rFont val="Tahoma"/>
            <family val="2"/>
          </rPr>
          <t>น้ำหนักบรรทุกสูงสุดของเสาเข็ม</t>
        </r>
      </text>
    </comment>
    <comment ref="B15" authorId="0">
      <text>
        <r>
          <rPr>
            <sz val="8"/>
            <rFont val="Tahoma"/>
            <family val="2"/>
          </rPr>
          <t>พื้นที่หน้าตัดของเสาเข็ม</t>
        </r>
      </text>
    </comment>
    <comment ref="B16" authorId="0">
      <text>
        <r>
          <rPr>
            <sz val="8"/>
            <rFont val="Tahoma"/>
            <family val="2"/>
          </rPr>
          <t>น้ำหนักของลูกตุ้ม</t>
        </r>
      </text>
    </comment>
    <comment ref="B17" authorId="0">
      <text>
        <r>
          <rPr>
            <sz val="8"/>
            <rFont val="Tahoma"/>
            <family val="2"/>
          </rPr>
          <t>ระยะยกลูกตุ้ม (30-80 cm. โดยประมาณ)</t>
        </r>
      </text>
    </comment>
    <comment ref="B18" authorId="0">
      <text>
        <r>
          <rPr>
            <sz val="8"/>
            <rFont val="Tahoma"/>
            <family val="2"/>
          </rPr>
          <t>ความยาวของเสาเข็ม</t>
        </r>
      </text>
    </comment>
    <comment ref="B19" authorId="1">
      <text>
        <r>
          <rPr>
            <sz val="8"/>
            <rFont val="Tahoma"/>
            <family val="2"/>
          </rPr>
          <t>ลูกตุ้มปล่อยด้วยไก (ไกปืน)                       ef = 1.00
ลูกตุ้มปล่อยด้วยลวดสลิงและเครื่องกว้าน   ef = 0.75
Single - Acting Hammer                           ef = 0.75 - 0.85
Diesel Hammer                                        ef = 1.00</t>
        </r>
      </text>
    </comment>
  </commentList>
</comments>
</file>

<file path=xl/comments3.xml><?xml version="1.0" encoding="utf-8"?>
<comments xmlns="http://schemas.openxmlformats.org/spreadsheetml/2006/main">
  <authors>
    <author>iLLuSioN</author>
    <author>WincoolV5</author>
  </authors>
  <commentList>
    <comment ref="B7" authorId="0">
      <text>
        <r>
          <rPr>
            <sz val="8"/>
            <rFont val="Tahoma"/>
            <family val="2"/>
          </rPr>
          <t>เสาเข็มรูปตัว I และ DH</t>
        </r>
      </text>
    </comment>
    <comment ref="B9" authorId="0">
      <text>
        <r>
          <rPr>
            <sz val="8"/>
            <rFont val="Tahoma"/>
            <family val="2"/>
          </rPr>
          <t>เสาเข็มสี่เหลี่ยมจตุรัส</t>
        </r>
      </text>
    </comment>
    <comment ref="C11" authorId="0">
      <text>
        <r>
          <rPr>
            <sz val="8"/>
            <rFont val="Tahoma"/>
            <family val="2"/>
          </rPr>
          <t>เสาเข็มรูปตัว I และ DH พิมพ์  "1"
เสาเข็มสี่เหลี่ยมจตุรัส   พิมพ์  "2"</t>
        </r>
      </text>
    </comment>
    <comment ref="B14" authorId="0">
      <text>
        <r>
          <rPr>
            <sz val="8"/>
            <rFont val="Tahoma"/>
            <family val="2"/>
          </rPr>
          <t>ค่าความปลอดภัย (Factor of Safety)
นิยมใช้ค่าระหว่าง 2-4 (นิยมใช้ค่า 2.5)</t>
        </r>
      </text>
    </comment>
    <comment ref="B15" authorId="0">
      <text>
        <r>
          <rPr>
            <sz val="8"/>
            <rFont val="Tahoma"/>
            <family val="2"/>
          </rPr>
          <t>พื้นที่หน้าตัดของเสาเข็ม</t>
        </r>
      </text>
    </comment>
    <comment ref="B16" authorId="0">
      <text>
        <r>
          <rPr>
            <sz val="8"/>
            <rFont val="Tahoma"/>
            <family val="2"/>
          </rPr>
          <t>น้ำหนักของลูกตุ้ม</t>
        </r>
      </text>
    </comment>
    <comment ref="B17" authorId="0">
      <text>
        <r>
          <rPr>
            <sz val="8"/>
            <rFont val="Tahoma"/>
            <family val="2"/>
          </rPr>
          <t>ระยะยกลูกตุ้ม (0.30 - 0.80 m. โดยประมาณ)</t>
        </r>
      </text>
    </comment>
    <comment ref="B18" authorId="0">
      <text>
        <r>
          <rPr>
            <sz val="8"/>
            <rFont val="Tahoma"/>
            <family val="2"/>
          </rPr>
          <t>ความยาวของเสาเข็ม</t>
        </r>
      </text>
    </comment>
    <comment ref="B19" authorId="0">
      <text>
        <r>
          <rPr>
            <sz val="8"/>
            <rFont val="Tahoma"/>
            <family val="2"/>
          </rPr>
          <t>น้ำหนักของเสาเข็ม</t>
        </r>
      </text>
    </comment>
    <comment ref="B21" authorId="1">
      <text>
        <r>
          <rPr>
            <sz val="8"/>
            <rFont val="Tahoma"/>
            <family val="2"/>
          </rPr>
          <t>ระยะจมตัว(m. /ครั้ง)</t>
        </r>
      </text>
    </comment>
    <comment ref="B20" authorId="1">
      <text>
        <r>
          <rPr>
            <sz val="8"/>
            <rFont val="Tahoma"/>
            <family val="2"/>
          </rPr>
          <t>ด้านแคบที่สุดของหน้าตัดเสาเข็ม</t>
        </r>
      </text>
    </comment>
  </commentList>
</comments>
</file>

<file path=xl/comments4.xml><?xml version="1.0" encoding="utf-8"?>
<comments xmlns="http://schemas.openxmlformats.org/spreadsheetml/2006/main">
  <authors>
    <author>iLLuSioN</author>
    <author>WincoolV5</author>
  </authors>
  <commentList>
    <comment ref="B11" authorId="0">
      <text>
        <r>
          <rPr>
            <sz val="8"/>
            <rFont val="Tahoma"/>
            <family val="2"/>
          </rPr>
          <t>น้ำหนักบรรทุกปลอดภัยของเสาเข็ม</t>
        </r>
      </text>
    </comment>
    <comment ref="B12" authorId="0">
      <text>
        <r>
          <rPr>
            <sz val="8"/>
            <rFont val="Tahoma"/>
            <family val="2"/>
          </rPr>
          <t>ค่าความปลอดภัย (Factor of Safety)
นิยมใช้ค่าระหว่าง 2-4 (นิยมใช้ค่า 2.5)</t>
        </r>
      </text>
    </comment>
    <comment ref="B13" authorId="0">
      <text>
        <r>
          <rPr>
            <sz val="8"/>
            <rFont val="Tahoma"/>
            <family val="2"/>
          </rPr>
          <t>น้ำหนักบรรทุกสูงสุดของเสาเข็ม</t>
        </r>
      </text>
    </comment>
    <comment ref="B14" authorId="0">
      <text>
        <r>
          <rPr>
            <sz val="8"/>
            <rFont val="Tahoma"/>
            <family val="2"/>
          </rPr>
          <t>พื้นที่หน้าตัดของเสาเข็ม</t>
        </r>
      </text>
    </comment>
    <comment ref="B15" authorId="0">
      <text>
        <r>
          <rPr>
            <sz val="8"/>
            <rFont val="Tahoma"/>
            <family val="2"/>
          </rPr>
          <t>น้ำหนักของลูกตุ้ม</t>
        </r>
      </text>
    </comment>
    <comment ref="B16" authorId="0">
      <text>
        <r>
          <rPr>
            <sz val="8"/>
            <rFont val="Tahoma"/>
            <family val="2"/>
          </rPr>
          <t>ระยะยกลูกตุ้ม (30-80 cm. โดยประมาณ)</t>
        </r>
      </text>
    </comment>
    <comment ref="B17" authorId="0">
      <text>
        <r>
          <rPr>
            <sz val="8"/>
            <rFont val="Tahoma"/>
            <family val="2"/>
          </rPr>
          <t>ความยาวของเสาเข็ม</t>
        </r>
      </text>
    </comment>
    <comment ref="B18" authorId="0">
      <text>
        <r>
          <rPr>
            <sz val="8"/>
            <rFont val="Tahoma"/>
            <family val="2"/>
          </rPr>
          <t>น้ำหนักของเสาเข็ม</t>
        </r>
      </text>
    </comment>
    <comment ref="B19" authorId="1">
      <text>
        <r>
          <rPr>
            <sz val="8"/>
            <rFont val="Tahoma"/>
            <family val="2"/>
          </rPr>
          <t xml:space="preserve">         การยุบตัวของหัวเสาเข็มและหมอนรอง
0.25 - 0.40 cm.  สำหรับเสาเข็มไม้เนื้อแข็ง
0.20 - 0.40 cm.  สำหรับเสาเข็มคอนกรีต และรองด้วยไม้
                           บนหัวครอบเหล็ก</t>
        </r>
      </text>
    </comment>
    <comment ref="B22" authorId="1">
      <text>
        <r>
          <rPr>
            <sz val="8"/>
            <rFont val="Tahoma"/>
            <family val="2"/>
          </rPr>
          <t xml:space="preserve">         ชนิดเสาเข็ม                                    วัสดุรองรับ                                n
เสาเข็มคอนกรีตเสริมเหล็ก             แผ่นรองทำด้วยพลาสติก                    0.40
                                                      ไม้แผ่นรองอยู่เหนือครอบเหล็ก         0.25
เสาเข็มเหล๊ก                                  แผ่นรองทำด้วยพลาสติก                    0.50
                                                      ไม้แผ่นรองอยู่เหนือเสาเข็มเหล็ก       0.30
เสาเข็มไม้                                      ตอกบนหัวเสาเข็มโดยตรง                 0.25</t>
        </r>
      </text>
    </comment>
    <comment ref="G22" authorId="1">
      <text>
        <r>
          <rPr>
            <sz val="8"/>
            <rFont val="Tahoma"/>
            <family val="2"/>
          </rPr>
          <t>ลูกตุ้มปล่อยด้วยไก (ไกปืน)                       ef = 1.00
ลูกตุ้มปล่อยด้วยลวดสลิงและเครื่องกว้าน   ef = 0.75
Single - Acting Hammer                           ef = 0.75 - 0.85
Diesel Hammer                                        ef = 1.00</t>
        </r>
      </text>
    </comment>
  </commentList>
</comments>
</file>

<file path=xl/sharedStrings.xml><?xml version="1.0" encoding="utf-8"?>
<sst xmlns="http://schemas.openxmlformats.org/spreadsheetml/2006/main" count="129" uniqueCount="43">
  <si>
    <t>Ultimate  Pile  Capacity</t>
  </si>
  <si>
    <t>Project        :</t>
  </si>
  <si>
    <t>Location     :</t>
  </si>
  <si>
    <t>Owner        :</t>
  </si>
  <si>
    <t>Engineer    :</t>
  </si>
  <si>
    <t>Date    :</t>
  </si>
  <si>
    <t>ชนิดของเสาเข็มที่ใช้</t>
  </si>
  <si>
    <t>ประเภทที่ 1</t>
  </si>
  <si>
    <t>ประเภทที่ 2</t>
  </si>
  <si>
    <t>คำนวณค่า Last Ten Blow Count จากน้ำหนักบรรทุกของเสาเข็ม</t>
  </si>
  <si>
    <r>
      <t>Q</t>
    </r>
    <r>
      <rPr>
        <vertAlign val="subscript"/>
        <sz val="14"/>
        <rFont val="Angsana New"/>
        <family val="1"/>
      </rPr>
      <t>a</t>
    </r>
    <r>
      <rPr>
        <sz val="14"/>
        <rFont val="Angsana New"/>
        <family val="1"/>
      </rPr>
      <t xml:space="preserve"> =</t>
    </r>
  </si>
  <si>
    <t>F.S. =</t>
  </si>
  <si>
    <r>
      <t>Q</t>
    </r>
    <r>
      <rPr>
        <vertAlign val="subscript"/>
        <sz val="14"/>
        <rFont val="Angsana New"/>
        <family val="1"/>
      </rPr>
      <t>u</t>
    </r>
    <r>
      <rPr>
        <sz val="14"/>
        <rFont val="Angsana New"/>
        <family val="1"/>
      </rPr>
      <t xml:space="preserve"> =</t>
    </r>
  </si>
  <si>
    <t>A =</t>
  </si>
  <si>
    <t>W =</t>
  </si>
  <si>
    <t>H =</t>
  </si>
  <si>
    <t>L =</t>
  </si>
  <si>
    <r>
      <t>W</t>
    </r>
    <r>
      <rPr>
        <vertAlign val="subscript"/>
        <sz val="14"/>
        <rFont val="Angsana New"/>
        <family val="1"/>
      </rPr>
      <t>p</t>
    </r>
    <r>
      <rPr>
        <sz val="14"/>
        <rFont val="Angsana New"/>
        <family val="1"/>
      </rPr>
      <t xml:space="preserve"> =</t>
    </r>
  </si>
  <si>
    <t>kg.</t>
  </si>
  <si>
    <r>
      <t>cm</t>
    </r>
    <r>
      <rPr>
        <vertAlign val="superscript"/>
        <sz val="14"/>
        <rFont val="Angsana New"/>
        <family val="1"/>
      </rPr>
      <t>2</t>
    </r>
  </si>
  <si>
    <t>m.</t>
  </si>
  <si>
    <t>ef =</t>
  </si>
  <si>
    <t>C1 =</t>
  </si>
  <si>
    <t>n =</t>
  </si>
  <si>
    <t>t =</t>
  </si>
  <si>
    <t>cm.</t>
  </si>
  <si>
    <t xml:space="preserve">        =</t>
  </si>
  <si>
    <t>คำนวณน้ำหนักบรรทุกของเสาเข็ม</t>
  </si>
  <si>
    <t xml:space="preserve">       S  =</t>
  </si>
  <si>
    <t>cm./Once</t>
  </si>
  <si>
    <t xml:space="preserve">                    Develop  by  Civil 1779</t>
  </si>
  <si>
    <t>Pile No.   :</t>
  </si>
  <si>
    <t xml:space="preserve">  Pile No.    :</t>
  </si>
  <si>
    <r>
      <t xml:space="preserve"> </t>
    </r>
    <r>
      <rPr>
        <sz val="14"/>
        <rFont val="Angsana New"/>
        <family val="1"/>
      </rPr>
      <t>Last Ten  Blow Count   จะต้องทำให้เสาเข็มจมลงไม่เกิน</t>
    </r>
  </si>
  <si>
    <t xml:space="preserve">                =</t>
  </si>
  <si>
    <t xml:space="preserve">    -</t>
  </si>
  <si>
    <t>C2 =</t>
  </si>
  <si>
    <t>C3 =</t>
  </si>
  <si>
    <t>Pile No.     :</t>
  </si>
  <si>
    <t xml:space="preserve">         =</t>
  </si>
  <si>
    <r>
      <t>kg.cm</t>
    </r>
    <r>
      <rPr>
        <vertAlign val="superscript"/>
        <sz val="14"/>
        <rFont val="Angsana New"/>
        <family val="1"/>
      </rPr>
      <t>-1</t>
    </r>
  </si>
  <si>
    <t>m./Once</t>
  </si>
  <si>
    <t>tons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</si>
</sst>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dd/mm/yy;@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"/>
    <numFmt numFmtId="200" formatCode="0.0000E+00"/>
    <numFmt numFmtId="201" formatCode="0.000E+00"/>
  </numFmts>
  <fonts count="46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vertAlign val="subscript"/>
      <sz val="14"/>
      <name val="Angsana New"/>
      <family val="1"/>
    </font>
    <font>
      <vertAlign val="superscript"/>
      <sz val="14"/>
      <name val="Angsana New"/>
      <family val="1"/>
    </font>
    <font>
      <sz val="12"/>
      <name val="CommercialScript BT"/>
      <family val="4"/>
    </font>
    <font>
      <sz val="14"/>
      <name val="Times New Roman"/>
      <family val="1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applyProtection="1">
      <alignment horizontal="center"/>
      <protection hidden="1"/>
    </xf>
    <xf numFmtId="194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1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 hidden="1"/>
    </xf>
    <xf numFmtId="19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5.png" /><Relationship Id="rId4" Type="http://schemas.openxmlformats.org/officeDocument/2006/relationships/image" Target="../media/image14.png" /><Relationship Id="rId5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wmf" /><Relationship Id="rId3" Type="http://schemas.openxmlformats.org/officeDocument/2006/relationships/image" Target="../media/image6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3</xdr:col>
      <xdr:colOff>447675</xdr:colOff>
      <xdr:row>21</xdr:row>
      <xdr:rowOff>238125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5629275"/>
          <a:ext cx="1666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123825</xdr:rowOff>
    </xdr:from>
    <xdr:to>
      <xdr:col>2</xdr:col>
      <xdr:colOff>95250</xdr:colOff>
      <xdr:row>24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3900" y="6105525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24</xdr:row>
      <xdr:rowOff>161925</xdr:rowOff>
    </xdr:from>
    <xdr:to>
      <xdr:col>3</xdr:col>
      <xdr:colOff>381000</xdr:colOff>
      <xdr:row>26</xdr:row>
      <xdr:rowOff>247650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659130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57150</xdr:rowOff>
    </xdr:from>
    <xdr:to>
      <xdr:col>1</xdr:col>
      <xdr:colOff>333375</xdr:colOff>
      <xdr:row>29</xdr:row>
      <xdr:rowOff>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7553325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342900</xdr:colOff>
      <xdr:row>30</xdr:row>
      <xdr:rowOff>9525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7829550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142875</xdr:rowOff>
    </xdr:from>
    <xdr:to>
      <xdr:col>2</xdr:col>
      <xdr:colOff>428625</xdr:colOff>
      <xdr:row>22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6350" y="56959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180975</xdr:rowOff>
    </xdr:from>
    <xdr:to>
      <xdr:col>3</xdr:col>
      <xdr:colOff>304800</xdr:colOff>
      <xdr:row>24</xdr:row>
      <xdr:rowOff>38100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6825" y="61817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25</xdr:row>
      <xdr:rowOff>47625</xdr:rowOff>
    </xdr:from>
    <xdr:to>
      <xdr:col>0</xdr:col>
      <xdr:colOff>361950</xdr:colOff>
      <xdr:row>25</xdr:row>
      <xdr:rowOff>257175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6848475"/>
          <a:ext cx="85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27</xdr:row>
      <xdr:rowOff>57150</xdr:rowOff>
    </xdr:from>
    <xdr:to>
      <xdr:col>0</xdr:col>
      <xdr:colOff>628650</xdr:colOff>
      <xdr:row>28</xdr:row>
      <xdr:rowOff>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7391400"/>
          <a:ext cx="85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24</xdr:row>
      <xdr:rowOff>247650</xdr:rowOff>
    </xdr:from>
    <xdr:to>
      <xdr:col>2</xdr:col>
      <xdr:colOff>28575</xdr:colOff>
      <xdr:row>26</xdr:row>
      <xdr:rowOff>123825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67818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24</xdr:row>
      <xdr:rowOff>219075</xdr:rowOff>
    </xdr:from>
    <xdr:to>
      <xdr:col>4</xdr:col>
      <xdr:colOff>9525</xdr:colOff>
      <xdr:row>26</xdr:row>
      <xdr:rowOff>95250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81150" y="67532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57150</xdr:rowOff>
    </xdr:from>
    <xdr:to>
      <xdr:col>3</xdr:col>
      <xdr:colOff>333375</xdr:colOff>
      <xdr:row>29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76425" y="7553325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66675</xdr:rowOff>
    </xdr:from>
    <xdr:to>
      <xdr:col>3</xdr:col>
      <xdr:colOff>342900</xdr:colOff>
      <xdr:row>30</xdr:row>
      <xdr:rowOff>9525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85950" y="7829550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57150</xdr:rowOff>
    </xdr:from>
    <xdr:to>
      <xdr:col>3</xdr:col>
      <xdr:colOff>0</xdr:colOff>
      <xdr:row>26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6886575"/>
          <a:ext cx="1219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219075</xdr:rowOff>
    </xdr:from>
    <xdr:to>
      <xdr:col>1</xdr:col>
      <xdr:colOff>571500</xdr:colOff>
      <xdr:row>24</xdr:row>
      <xdr:rowOff>85725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621982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31</xdr:row>
      <xdr:rowOff>57150</xdr:rowOff>
    </xdr:from>
    <xdr:to>
      <xdr:col>0</xdr:col>
      <xdr:colOff>628650</xdr:colOff>
      <xdr:row>32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8277225"/>
          <a:ext cx="85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29</xdr:row>
      <xdr:rowOff>66675</xdr:rowOff>
    </xdr:from>
    <xdr:to>
      <xdr:col>4</xdr:col>
      <xdr:colOff>142875</xdr:colOff>
      <xdr:row>30</xdr:row>
      <xdr:rowOff>9525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3175" y="7858125"/>
          <a:ext cx="85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26</xdr:row>
      <xdr:rowOff>209550</xdr:rowOff>
    </xdr:from>
    <xdr:to>
      <xdr:col>2</xdr:col>
      <xdr:colOff>390525</xdr:colOff>
      <xdr:row>28</xdr:row>
      <xdr:rowOff>85725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7305675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9.8515625" style="1" customWidth="1"/>
    <col min="2" max="16384" width="9.140625" style="1" customWidth="1"/>
  </cols>
  <sheetData>
    <row r="1" spans="1:10" ht="27" thickBot="1">
      <c r="A1" s="30"/>
      <c r="B1" s="30"/>
      <c r="C1" s="30"/>
      <c r="D1" s="30"/>
      <c r="E1" s="32" t="s">
        <v>0</v>
      </c>
      <c r="F1" s="33"/>
      <c r="G1" s="33"/>
      <c r="H1" s="30"/>
      <c r="I1" s="30"/>
      <c r="J1" s="30"/>
    </row>
    <row r="2" spans="1:11" ht="21.75" thickTop="1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5"/>
    </row>
    <row r="3" spans="1:11" ht="21">
      <c r="A3" s="25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5"/>
    </row>
    <row r="4" spans="1:11" ht="21">
      <c r="A4" s="25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5"/>
    </row>
    <row r="5" spans="1:11" ht="21.75" thickBot="1">
      <c r="A5" s="26" t="s">
        <v>4</v>
      </c>
      <c r="B5" s="27"/>
      <c r="C5" s="27"/>
      <c r="D5" s="27"/>
      <c r="E5" s="27"/>
      <c r="F5" s="27"/>
      <c r="G5" s="28" t="s">
        <v>5</v>
      </c>
      <c r="H5" s="29">
        <f ca="1">TODAY()</f>
        <v>39700</v>
      </c>
      <c r="I5" s="29"/>
      <c r="J5" s="29"/>
      <c r="K5" s="6"/>
    </row>
    <row r="6" ht="21.75" thickTop="1"/>
    <row r="7" spans="2:3" ht="21">
      <c r="B7" s="19"/>
      <c r="C7" s="19"/>
    </row>
    <row r="8" spans="2:3" ht="21">
      <c r="B8" s="19"/>
      <c r="C8" s="19"/>
    </row>
    <row r="9" ht="21"/>
    <row r="10" ht="21">
      <c r="A10" s="1" t="s">
        <v>27</v>
      </c>
    </row>
    <row r="11" spans="1:3" ht="21">
      <c r="A11" s="4" t="s">
        <v>31</v>
      </c>
      <c r="B11" s="16"/>
      <c r="C11" s="16"/>
    </row>
    <row r="12" spans="1:3" ht="21">
      <c r="A12" s="4" t="s">
        <v>11</v>
      </c>
      <c r="B12" s="16"/>
      <c r="C12" s="16"/>
    </row>
    <row r="13" spans="1:4" ht="23.25">
      <c r="A13" s="4" t="s">
        <v>13</v>
      </c>
      <c r="B13" s="16"/>
      <c r="C13" s="16"/>
      <c r="D13" s="1" t="s">
        <v>19</v>
      </c>
    </row>
    <row r="14" spans="1:4" ht="21">
      <c r="A14" s="4" t="s">
        <v>14</v>
      </c>
      <c r="B14" s="16"/>
      <c r="C14" s="16"/>
      <c r="D14" s="1" t="s">
        <v>18</v>
      </c>
    </row>
    <row r="15" spans="1:4" ht="21">
      <c r="A15" s="4" t="s">
        <v>15</v>
      </c>
      <c r="B15" s="16"/>
      <c r="C15" s="16"/>
      <c r="D15" s="1" t="s">
        <v>25</v>
      </c>
    </row>
    <row r="16" spans="1:4" ht="21">
      <c r="A16" s="4" t="s">
        <v>16</v>
      </c>
      <c r="B16" s="16"/>
      <c r="C16" s="16"/>
      <c r="D16" s="1" t="s">
        <v>20</v>
      </c>
    </row>
    <row r="17" spans="1:4" ht="21">
      <c r="A17" s="4" t="s">
        <v>17</v>
      </c>
      <c r="B17" s="15" t="str">
        <f>IF(B12=0," ",(B13/10000)*2400*B16)</f>
        <v> </v>
      </c>
      <c r="C17" s="15"/>
      <c r="D17" s="1" t="s">
        <v>18</v>
      </c>
    </row>
    <row r="18" spans="1:4" ht="21">
      <c r="A18" s="1" t="s">
        <v>28</v>
      </c>
      <c r="B18" s="16"/>
      <c r="C18" s="16"/>
      <c r="D18" s="1" t="s">
        <v>29</v>
      </c>
    </row>
    <row r="19" ht="21"/>
    <row r="20" ht="21"/>
    <row r="22" spans="2:7" ht="21">
      <c r="B22"/>
      <c r="E22" s="7" t="s">
        <v>26</v>
      </c>
      <c r="F22" s="18" t="str">
        <f>IF(B14=0," ",0.75+(0.15*(B17/B14)))</f>
        <v> </v>
      </c>
      <c r="G22" s="18"/>
    </row>
    <row r="24" spans="3:7" ht="21">
      <c r="C24"/>
      <c r="E24" s="7" t="s">
        <v>26</v>
      </c>
      <c r="F24" s="18" t="str">
        <f>IF(B18=0," ",((B14/1000)*B15*(B16*100)/(B13*2000*(B18^2))))</f>
        <v> </v>
      </c>
      <c r="G24" s="18"/>
    </row>
    <row r="26" spans="3:7" ht="21">
      <c r="C26"/>
      <c r="E26" s="7" t="s">
        <v>26</v>
      </c>
      <c r="F26" s="18" t="str">
        <f>IF(B14=0," ",F22*(1+(SQRT(1+(F24/F22)))))</f>
        <v> </v>
      </c>
      <c r="G26" s="18"/>
    </row>
    <row r="27" ht="21">
      <c r="M27"/>
    </row>
    <row r="28" ht="21">
      <c r="K28"/>
    </row>
    <row r="29" spans="2:5" ht="21">
      <c r="B29"/>
      <c r="C29" s="17" t="str">
        <f>IF(B14=0," ",(B14*B15)/(F26*B18))</f>
        <v> </v>
      </c>
      <c r="D29" s="17"/>
      <c r="E29" s="1" t="s">
        <v>18</v>
      </c>
    </row>
    <row r="30" spans="3:5" ht="21">
      <c r="C30" s="17" t="str">
        <f>IF(B14=0," ",(C29/B12))</f>
        <v> </v>
      </c>
      <c r="D30" s="17"/>
      <c r="E30" s="1" t="s">
        <v>18</v>
      </c>
    </row>
    <row r="31" ht="21">
      <c r="B31"/>
    </row>
    <row r="32" ht="21" hidden="1"/>
    <row r="33" ht="21">
      <c r="M33"/>
    </row>
    <row r="34" spans="1:10" ht="21.75" thickBot="1">
      <c r="A34" s="30"/>
      <c r="B34" s="30"/>
      <c r="C34" s="30"/>
      <c r="D34" s="30"/>
      <c r="E34" s="30"/>
      <c r="F34" s="30"/>
      <c r="G34" s="31" t="s">
        <v>30</v>
      </c>
      <c r="H34" s="31"/>
      <c r="I34" s="31"/>
      <c r="J34" s="31"/>
    </row>
    <row r="35" ht="21.75" thickTop="1"/>
    <row r="40" ht="21">
      <c r="M40"/>
    </row>
  </sheetData>
  <sheetProtection password="D142" sheet="1" objects="1" scenarios="1"/>
  <protectedRanges>
    <protectedRange sqref="B2 B3 B4 B5 H5 B11 B12 B13 B14 B15 B16 B18" name="ช่วง1"/>
  </protectedRanges>
  <mergeCells count="21">
    <mergeCell ref="B4:J4"/>
    <mergeCell ref="B5:F5"/>
    <mergeCell ref="B7:C8"/>
    <mergeCell ref="E1:G1"/>
    <mergeCell ref="B2:J2"/>
    <mergeCell ref="H5:J5"/>
    <mergeCell ref="B3:J3"/>
    <mergeCell ref="B11:C11"/>
    <mergeCell ref="B12:C12"/>
    <mergeCell ref="C29:D29"/>
    <mergeCell ref="C30:D30"/>
    <mergeCell ref="G34:J34"/>
    <mergeCell ref="F22:G22"/>
    <mergeCell ref="F24:G24"/>
    <mergeCell ref="F26:G26"/>
    <mergeCell ref="B17:C17"/>
    <mergeCell ref="B16:C16"/>
    <mergeCell ref="B15:C15"/>
    <mergeCell ref="B14:C14"/>
    <mergeCell ref="B13:C13"/>
    <mergeCell ref="B18:C18"/>
  </mergeCells>
  <printOptions/>
  <pageMargins left="0.75" right="0.19" top="1" bottom="1" header="0.5" footer="0.5"/>
  <pageSetup orientation="portrait" paperSize="9" r:id="rId6"/>
  <drawing r:id="rId5"/>
  <legacyDrawing r:id="rId4"/>
  <oleObjects>
    <oleObject progId="AutoCAD.Drawing.16" shapeId="431154" r:id="rId2"/>
    <oleObject progId="Equation.3" shapeId="4311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9.8515625" style="1" customWidth="1"/>
    <col min="2" max="16384" width="9.140625" style="1" customWidth="1"/>
  </cols>
  <sheetData>
    <row r="1" spans="1:10" ht="27" thickBot="1">
      <c r="A1" s="30"/>
      <c r="B1" s="30"/>
      <c r="C1" s="30"/>
      <c r="D1" s="30"/>
      <c r="E1" s="32" t="s">
        <v>0</v>
      </c>
      <c r="F1" s="33"/>
      <c r="G1" s="33"/>
      <c r="H1" s="30"/>
      <c r="I1" s="30"/>
      <c r="J1" s="30"/>
    </row>
    <row r="2" spans="1:11" ht="21.75" thickTop="1">
      <c r="A2" s="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5"/>
    </row>
    <row r="3" spans="1:11" ht="21">
      <c r="A3" s="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5"/>
    </row>
    <row r="4" spans="1:11" ht="21">
      <c r="A4" s="25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5"/>
    </row>
    <row r="5" spans="1:11" ht="21.75" thickBot="1">
      <c r="A5" s="26" t="s">
        <v>4</v>
      </c>
      <c r="B5" s="27"/>
      <c r="C5" s="27"/>
      <c r="D5" s="27"/>
      <c r="E5" s="27"/>
      <c r="F5" s="27"/>
      <c r="G5" s="28" t="s">
        <v>5</v>
      </c>
      <c r="H5" s="29">
        <f ca="1">TODAY()</f>
        <v>39700</v>
      </c>
      <c r="I5" s="29"/>
      <c r="J5" s="29"/>
      <c r="K5" s="6"/>
    </row>
    <row r="6" ht="21.75" thickTop="1"/>
    <row r="7" spans="2:4" ht="21">
      <c r="B7" s="19"/>
      <c r="C7" s="19"/>
      <c r="D7" s="19"/>
    </row>
    <row r="8" spans="2:4" ht="21">
      <c r="B8" s="19"/>
      <c r="C8" s="19"/>
      <c r="D8" s="19"/>
    </row>
    <row r="9" spans="2:4" ht="21">
      <c r="B9" s="19"/>
      <c r="C9" s="19"/>
      <c r="D9" s="19"/>
    </row>
    <row r="10" ht="21">
      <c r="A10" s="1" t="s">
        <v>9</v>
      </c>
    </row>
    <row r="11" spans="1:3" ht="21">
      <c r="A11" s="1" t="s">
        <v>32</v>
      </c>
      <c r="B11" s="16"/>
      <c r="C11" s="16"/>
    </row>
    <row r="12" spans="1:4" ht="21">
      <c r="A12" s="4" t="s">
        <v>10</v>
      </c>
      <c r="B12" s="16"/>
      <c r="C12" s="16"/>
      <c r="D12" s="1" t="s">
        <v>18</v>
      </c>
    </row>
    <row r="13" spans="1:3" ht="21">
      <c r="A13" s="4" t="s">
        <v>11</v>
      </c>
      <c r="B13" s="16"/>
      <c r="C13" s="16"/>
    </row>
    <row r="14" spans="1:4" ht="21">
      <c r="A14" s="4" t="s">
        <v>12</v>
      </c>
      <c r="B14" s="15" t="str">
        <f>IF(B13=0," ",B13*B12)</f>
        <v> </v>
      </c>
      <c r="C14" s="15"/>
      <c r="D14" s="1" t="s">
        <v>18</v>
      </c>
    </row>
    <row r="15" spans="1:4" ht="23.25">
      <c r="A15" s="4" t="s">
        <v>13</v>
      </c>
      <c r="B15" s="16"/>
      <c r="C15" s="16"/>
      <c r="D15" s="1" t="s">
        <v>19</v>
      </c>
    </row>
    <row r="16" spans="1:4" ht="21">
      <c r="A16" s="4" t="s">
        <v>14</v>
      </c>
      <c r="B16" s="16"/>
      <c r="C16" s="16"/>
      <c r="D16" s="1" t="s">
        <v>18</v>
      </c>
    </row>
    <row r="17" spans="1:4" ht="21">
      <c r="A17" s="4" t="s">
        <v>15</v>
      </c>
      <c r="B17" s="16"/>
      <c r="C17" s="16"/>
      <c r="D17" s="1" t="s">
        <v>25</v>
      </c>
    </row>
    <row r="18" spans="1:4" ht="21">
      <c r="A18" s="4" t="s">
        <v>16</v>
      </c>
      <c r="B18" s="16"/>
      <c r="C18" s="16"/>
      <c r="D18" s="1" t="s">
        <v>20</v>
      </c>
    </row>
    <row r="19" spans="1:3" ht="21">
      <c r="A19" s="4" t="s">
        <v>21</v>
      </c>
      <c r="B19" s="16"/>
      <c r="C19" s="16"/>
    </row>
    <row r="20" ht="21"/>
    <row r="22" spans="5:7" ht="21">
      <c r="E22" s="7" t="s">
        <v>26</v>
      </c>
      <c r="F22" s="18" t="str">
        <f>IF(B12=0," ",(B19*(B16)*B17)/(B14))</f>
        <v> </v>
      </c>
      <c r="G22" s="18"/>
    </row>
    <row r="23" ht="21">
      <c r="C23"/>
    </row>
    <row r="24" spans="3:7" ht="21">
      <c r="C24"/>
      <c r="E24" s="7" t="s">
        <v>26</v>
      </c>
      <c r="F24" s="18" t="str">
        <f>IF(B12=0," ",(2*B19*(((B16/1000)*B17*(B18*100))/(B15*2000)))^0.5)</f>
        <v> </v>
      </c>
      <c r="G24" s="18"/>
    </row>
    <row r="26" spans="1:8" ht="21">
      <c r="A26" s="1" t="s">
        <v>34</v>
      </c>
      <c r="C26" s="1" t="s">
        <v>35</v>
      </c>
      <c r="D26"/>
      <c r="E26" s="7" t="s">
        <v>26</v>
      </c>
      <c r="F26" s="18" t="str">
        <f>IF(B12=0," ",F22-F24)</f>
        <v> </v>
      </c>
      <c r="G26" s="18"/>
      <c r="H26" s="1" t="s">
        <v>29</v>
      </c>
    </row>
    <row r="27" ht="21">
      <c r="M27"/>
    </row>
    <row r="28" spans="2:11" ht="21">
      <c r="B28" s="11" t="s">
        <v>33</v>
      </c>
      <c r="G28" s="10" t="str">
        <f>IF(B12=0," ",10*F26)</f>
        <v> </v>
      </c>
      <c r="H28" s="4" t="s">
        <v>25</v>
      </c>
      <c r="K28"/>
    </row>
    <row r="32" ht="21" hidden="1"/>
    <row r="33" ht="21">
      <c r="M33"/>
    </row>
    <row r="34" spans="1:10" ht="21.75" thickBot="1">
      <c r="A34" s="30"/>
      <c r="B34" s="30"/>
      <c r="C34" s="30"/>
      <c r="D34" s="30"/>
      <c r="E34" s="30"/>
      <c r="F34" s="30"/>
      <c r="G34" s="31" t="s">
        <v>30</v>
      </c>
      <c r="H34" s="31"/>
      <c r="I34" s="31"/>
      <c r="J34" s="31"/>
    </row>
    <row r="35" ht="21.75" thickTop="1"/>
    <row r="40" ht="21">
      <c r="M40"/>
    </row>
  </sheetData>
  <sheetProtection password="DD42" sheet="1" objects="1" scenarios="1"/>
  <protectedRanges>
    <protectedRange sqref="B2 B3 B4 B5 H5 B11 B12 B13 B15 B16 B17 B18 B19" name="ช่วง1"/>
  </protectedRanges>
  <mergeCells count="20">
    <mergeCell ref="E1:G1"/>
    <mergeCell ref="H5:J5"/>
    <mergeCell ref="B2:J2"/>
    <mergeCell ref="B3:J3"/>
    <mergeCell ref="B4:J4"/>
    <mergeCell ref="B15:C15"/>
    <mergeCell ref="B16:C16"/>
    <mergeCell ref="B12:C12"/>
    <mergeCell ref="B5:F5"/>
    <mergeCell ref="B7:D9"/>
    <mergeCell ref="B19:C19"/>
    <mergeCell ref="B11:C11"/>
    <mergeCell ref="G34:J34"/>
    <mergeCell ref="F22:G22"/>
    <mergeCell ref="F24:G24"/>
    <mergeCell ref="F26:G26"/>
    <mergeCell ref="B17:C17"/>
    <mergeCell ref="B18:C18"/>
    <mergeCell ref="B13:C13"/>
    <mergeCell ref="B14:C14"/>
  </mergeCells>
  <printOptions/>
  <pageMargins left="0.75" right="0.19" top="1" bottom="1" header="0.5" footer="0.5"/>
  <pageSetup orientation="portrait" paperSize="9" r:id="rId6"/>
  <drawing r:id="rId5"/>
  <legacyDrawing r:id="rId4"/>
  <oleObjects>
    <oleObject progId="AutoCAD.Drawing.16" shapeId="430953" r:id="rId2"/>
    <oleObject progId="Equation.3" shapeId="45176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9.8515625" style="1" customWidth="1"/>
    <col min="2" max="16384" width="9.140625" style="1" customWidth="1"/>
  </cols>
  <sheetData>
    <row r="1" spans="1:10" ht="27" thickBot="1">
      <c r="A1" s="30"/>
      <c r="B1" s="30"/>
      <c r="C1" s="30"/>
      <c r="D1" s="30"/>
      <c r="E1" s="32" t="s">
        <v>0</v>
      </c>
      <c r="F1" s="33"/>
      <c r="G1" s="33"/>
      <c r="H1" s="30"/>
      <c r="I1" s="30"/>
      <c r="J1" s="30"/>
    </row>
    <row r="2" spans="1:11" ht="21.75" thickTop="1">
      <c r="A2" s="2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5"/>
    </row>
    <row r="3" spans="1:11" ht="21">
      <c r="A3" s="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5"/>
    </row>
    <row r="4" spans="1:11" ht="21">
      <c r="A4" s="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5"/>
    </row>
    <row r="5" spans="1:11" ht="21.75" thickBot="1">
      <c r="A5" s="26" t="s">
        <v>4</v>
      </c>
      <c r="B5" s="27"/>
      <c r="C5" s="27"/>
      <c r="D5" s="27"/>
      <c r="E5" s="27"/>
      <c r="F5" s="27"/>
      <c r="G5" s="28" t="s">
        <v>5</v>
      </c>
      <c r="H5" s="29">
        <f ca="1">TODAY()</f>
        <v>39700</v>
      </c>
      <c r="I5" s="29"/>
      <c r="J5" s="29"/>
      <c r="K5" s="6"/>
    </row>
    <row r="6" ht="21.75" thickTop="1"/>
    <row r="7" spans="1:5" ht="21">
      <c r="A7" s="21" t="s">
        <v>7</v>
      </c>
      <c r="B7" s="19"/>
      <c r="C7" s="20"/>
      <c r="D7" s="20"/>
      <c r="E7" s="20"/>
    </row>
    <row r="8" spans="1:5" ht="21">
      <c r="A8" s="21"/>
      <c r="B8" s="20"/>
      <c r="C8" s="20"/>
      <c r="D8" s="20"/>
      <c r="E8" s="20"/>
    </row>
    <row r="9" spans="1:5" ht="21">
      <c r="A9" s="21" t="s">
        <v>8</v>
      </c>
      <c r="B9" s="19"/>
      <c r="C9" s="20"/>
      <c r="D9" s="20"/>
      <c r="E9" s="20"/>
    </row>
    <row r="10" spans="1:5" ht="21">
      <c r="A10" s="21"/>
      <c r="B10" s="20"/>
      <c r="C10" s="20"/>
      <c r="D10" s="20"/>
      <c r="E10" s="20"/>
    </row>
    <row r="11" spans="1:4" ht="21">
      <c r="A11" s="19" t="s">
        <v>6</v>
      </c>
      <c r="B11" s="20"/>
      <c r="C11" s="4">
        <v>1</v>
      </c>
      <c r="D11" s="3"/>
    </row>
    <row r="12" ht="21">
      <c r="A12" s="1" t="s">
        <v>27</v>
      </c>
    </row>
    <row r="13" spans="1:3" ht="21">
      <c r="A13" s="4" t="s">
        <v>31</v>
      </c>
      <c r="B13" s="16"/>
      <c r="C13" s="16"/>
    </row>
    <row r="14" spans="1:3" ht="21">
      <c r="A14" s="4" t="s">
        <v>11</v>
      </c>
      <c r="B14" s="16"/>
      <c r="C14" s="16"/>
    </row>
    <row r="15" spans="1:4" ht="23.25">
      <c r="A15" s="4" t="s">
        <v>13</v>
      </c>
      <c r="B15" s="16"/>
      <c r="C15" s="16"/>
      <c r="D15" s="1" t="s">
        <v>19</v>
      </c>
    </row>
    <row r="16" spans="1:4" ht="21">
      <c r="A16" s="4" t="s">
        <v>14</v>
      </c>
      <c r="B16" s="16"/>
      <c r="C16" s="16"/>
      <c r="D16" s="1" t="s">
        <v>42</v>
      </c>
    </row>
    <row r="17" spans="1:4" ht="21">
      <c r="A17" s="4" t="s">
        <v>15</v>
      </c>
      <c r="B17" s="16"/>
      <c r="C17" s="16"/>
      <c r="D17" s="1" t="s">
        <v>20</v>
      </c>
    </row>
    <row r="18" spans="1:4" ht="21">
      <c r="A18" s="4" t="s">
        <v>16</v>
      </c>
      <c r="B18" s="16"/>
      <c r="C18" s="16"/>
      <c r="D18" s="1" t="s">
        <v>20</v>
      </c>
    </row>
    <row r="19" spans="1:4" ht="21">
      <c r="A19" s="4" t="s">
        <v>17</v>
      </c>
      <c r="B19" s="17">
        <f>IF(B15=0,"",(2400*(B15/10000)*B18)/1000)</f>
      </c>
      <c r="C19" s="17"/>
      <c r="D19" s="1" t="s">
        <v>42</v>
      </c>
    </row>
    <row r="20" spans="1:4" ht="21">
      <c r="A20" s="4" t="s">
        <v>24</v>
      </c>
      <c r="B20" s="16"/>
      <c r="C20" s="16"/>
      <c r="D20" s="1" t="s">
        <v>20</v>
      </c>
    </row>
    <row r="21" spans="1:4" ht="21">
      <c r="A21" s="1" t="s">
        <v>28</v>
      </c>
      <c r="B21" s="16"/>
      <c r="C21" s="16"/>
      <c r="D21" s="1" t="s">
        <v>41</v>
      </c>
    </row>
    <row r="23" spans="4:5" ht="21">
      <c r="D23" s="13" t="str">
        <f>IF(C11=1," ","a   =")</f>
        <v> </v>
      </c>
      <c r="E23" s="8" t="str">
        <f>IF(C11=1," ",0.8*B16*B17)</f>
        <v> </v>
      </c>
    </row>
    <row r="24" spans="4:5" ht="21">
      <c r="D24" s="13" t="str">
        <f>IF(C11=1," ","b   =")</f>
        <v> </v>
      </c>
      <c r="E24" s="8" t="str">
        <f>IF(C11=1," ",B18/((B15/10000)*2000000))</f>
        <v> </v>
      </c>
    </row>
    <row r="25" spans="4:5" ht="21">
      <c r="D25" s="14" t="str">
        <f>IF(C11=1," ","λ =")</f>
        <v> </v>
      </c>
      <c r="E25" s="8" t="str">
        <f>IF(C11=1," ",(B16*B17*B18)/((B15/10000)*1800000*(B21^2)))</f>
        <v> </v>
      </c>
    </row>
    <row r="26" spans="4:5" ht="21">
      <c r="D26" s="13" t="str">
        <f>IF(C11=1," ","C  =")</f>
        <v> </v>
      </c>
      <c r="E26" s="8" t="str">
        <f>IF(C11=1," ",0.75+(0.15*(B19/B16)))</f>
        <v> </v>
      </c>
    </row>
    <row r="27" spans="4:13" ht="21">
      <c r="D27" s="13" t="str">
        <f>IF(C11=1," ","K  =")</f>
        <v> </v>
      </c>
      <c r="E27" s="8" t="str">
        <f>IF(C11=1," ",E26*(1+(SQRT(1+(E25/E26)))))</f>
        <v> </v>
      </c>
      <c r="M27"/>
    </row>
    <row r="28" ht="21">
      <c r="K28"/>
    </row>
    <row r="29" spans="4:7" ht="21">
      <c r="D29"/>
      <c r="E29" s="17" t="str">
        <f>IF(B14=0," ",IF(C11=1,(SQRT(B16*B17))*((44.6*LOG(B20/B21,10))+8.22),(2.14*B16*B17)/((E27*B21)+SQRT(0.5*E23*E24))))</f>
        <v> </v>
      </c>
      <c r="F29" s="17"/>
      <c r="G29" s="1" t="s">
        <v>42</v>
      </c>
    </row>
    <row r="30" spans="5:7" ht="21">
      <c r="E30" s="17" t="str">
        <f>IF(B14=0," ",E29/B14)</f>
        <v> </v>
      </c>
      <c r="F30" s="17"/>
      <c r="G30" s="1" t="s">
        <v>42</v>
      </c>
    </row>
    <row r="33" ht="21">
      <c r="M33"/>
    </row>
    <row r="35" spans="1:10" ht="21.75" thickBot="1">
      <c r="A35" s="30"/>
      <c r="B35" s="30"/>
      <c r="C35" s="30"/>
      <c r="D35" s="30"/>
      <c r="E35" s="30"/>
      <c r="F35" s="30"/>
      <c r="G35" s="31" t="s">
        <v>30</v>
      </c>
      <c r="H35" s="31"/>
      <c r="I35" s="31"/>
      <c r="J35" s="31"/>
    </row>
    <row r="36" ht="21.75" thickTop="1"/>
    <row r="40" ht="21">
      <c r="M40"/>
    </row>
  </sheetData>
  <sheetProtection password="D942" sheet="1" objects="1" scenarios="1"/>
  <protectedRanges>
    <protectedRange sqref="B2 B3 B4 B5 H5 C11 B13 B14 B15 B16 B17 B18 B20 B21" name="ช่วง1"/>
  </protectedRanges>
  <mergeCells count="23">
    <mergeCell ref="B2:J2"/>
    <mergeCell ref="B7:E8"/>
    <mergeCell ref="B9:E10"/>
    <mergeCell ref="H5:J5"/>
    <mergeCell ref="B4:J4"/>
    <mergeCell ref="B3:J3"/>
    <mergeCell ref="B13:C13"/>
    <mergeCell ref="B14:C14"/>
    <mergeCell ref="A11:B11"/>
    <mergeCell ref="A7:A8"/>
    <mergeCell ref="A9:A10"/>
    <mergeCell ref="E1:G1"/>
    <mergeCell ref="B5:F5"/>
    <mergeCell ref="B16:C16"/>
    <mergeCell ref="B15:C15"/>
    <mergeCell ref="E29:F29"/>
    <mergeCell ref="E30:F30"/>
    <mergeCell ref="G35:J35"/>
    <mergeCell ref="B21:C21"/>
    <mergeCell ref="B20:C20"/>
    <mergeCell ref="B19:C19"/>
    <mergeCell ref="B18:C18"/>
    <mergeCell ref="B17:C17"/>
  </mergeCells>
  <printOptions/>
  <pageMargins left="0.67" right="0.13" top="1" bottom="0.6" header="0.5" footer="0.5"/>
  <pageSetup orientation="portrait" paperSize="9" r:id="rId7"/>
  <drawing r:id="rId6"/>
  <legacyDrawing r:id="rId5"/>
  <oleObjects>
    <oleObject progId="AutoCAD.Drawing.16" shapeId="428002" r:id="rId2"/>
    <oleObject progId="Equation.3" shapeId="470695" r:id="rId3"/>
    <oleObject progId="Equation.3" shapeId="471174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9.8515625" style="1" customWidth="1"/>
    <col min="2" max="5" width="9.140625" style="1" customWidth="1"/>
    <col min="6" max="6" width="10.8515625" style="1" bestFit="1" customWidth="1"/>
    <col min="7" max="7" width="10.00390625" style="1" bestFit="1" customWidth="1"/>
    <col min="8" max="16384" width="9.140625" style="1" customWidth="1"/>
  </cols>
  <sheetData>
    <row r="1" spans="1:10" ht="27" thickBot="1">
      <c r="A1" s="30"/>
      <c r="B1" s="30"/>
      <c r="C1" s="30"/>
      <c r="D1" s="30"/>
      <c r="E1" s="32" t="s">
        <v>0</v>
      </c>
      <c r="F1" s="33"/>
      <c r="G1" s="33"/>
      <c r="H1" s="30"/>
      <c r="I1" s="30"/>
      <c r="J1" s="30"/>
    </row>
    <row r="2" spans="1:11" ht="21.75" thickTop="1">
      <c r="A2" s="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5"/>
    </row>
    <row r="3" spans="1:11" ht="21">
      <c r="A3" s="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5"/>
    </row>
    <row r="4" spans="1:11" ht="21">
      <c r="A4" s="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5"/>
    </row>
    <row r="5" spans="1:11" ht="21.75" thickBot="1">
      <c r="A5" s="26" t="s">
        <v>4</v>
      </c>
      <c r="B5" s="27"/>
      <c r="C5" s="27"/>
      <c r="D5" s="27"/>
      <c r="E5" s="27"/>
      <c r="F5" s="27"/>
      <c r="G5" s="28" t="s">
        <v>5</v>
      </c>
      <c r="H5" s="29">
        <f ca="1">TODAY()</f>
        <v>39700</v>
      </c>
      <c r="I5" s="29"/>
      <c r="J5" s="29"/>
      <c r="K5" s="6"/>
    </row>
    <row r="6" ht="21.75" thickTop="1"/>
    <row r="7" spans="2:5" ht="21">
      <c r="B7" s="19"/>
      <c r="C7" s="19"/>
      <c r="D7" s="19"/>
      <c r="E7" s="19"/>
    </row>
    <row r="8" spans="2:5" ht="21">
      <c r="B8" s="19"/>
      <c r="C8" s="19"/>
      <c r="D8" s="19"/>
      <c r="E8" s="19"/>
    </row>
    <row r="9" ht="21">
      <c r="A9" s="1" t="s">
        <v>9</v>
      </c>
    </row>
    <row r="10" spans="1:3" ht="21">
      <c r="A10" s="1" t="s">
        <v>38</v>
      </c>
      <c r="B10" s="16"/>
      <c r="C10" s="16"/>
    </row>
    <row r="11" spans="1:4" ht="21">
      <c r="A11" s="4" t="s">
        <v>10</v>
      </c>
      <c r="B11" s="16"/>
      <c r="C11" s="16"/>
      <c r="D11" s="1" t="s">
        <v>18</v>
      </c>
    </row>
    <row r="12" spans="1:3" ht="21">
      <c r="A12" s="4" t="s">
        <v>11</v>
      </c>
      <c r="B12" s="16"/>
      <c r="C12" s="16"/>
    </row>
    <row r="13" spans="1:4" ht="21">
      <c r="A13" s="4" t="s">
        <v>12</v>
      </c>
      <c r="B13" s="15" t="str">
        <f>IF(B11=0," ",B11*B12)</f>
        <v> </v>
      </c>
      <c r="C13" s="15"/>
      <c r="D13" s="1" t="s">
        <v>18</v>
      </c>
    </row>
    <row r="14" spans="1:4" ht="23.25">
      <c r="A14" s="4" t="s">
        <v>13</v>
      </c>
      <c r="B14" s="16"/>
      <c r="C14" s="16"/>
      <c r="D14" s="1" t="s">
        <v>19</v>
      </c>
    </row>
    <row r="15" spans="1:4" ht="21">
      <c r="A15" s="4" t="s">
        <v>14</v>
      </c>
      <c r="B15" s="16"/>
      <c r="C15" s="16"/>
      <c r="D15" s="1" t="s">
        <v>18</v>
      </c>
    </row>
    <row r="16" spans="1:4" ht="21">
      <c r="A16" s="4" t="s">
        <v>15</v>
      </c>
      <c r="B16" s="16"/>
      <c r="C16" s="16"/>
      <c r="D16" s="1" t="s">
        <v>25</v>
      </c>
    </row>
    <row r="17" spans="1:4" ht="21">
      <c r="A17" s="4" t="s">
        <v>16</v>
      </c>
      <c r="B17" s="16"/>
      <c r="C17" s="16"/>
      <c r="D17" s="1" t="s">
        <v>20</v>
      </c>
    </row>
    <row r="18" spans="1:4" ht="21">
      <c r="A18" s="4" t="s">
        <v>17</v>
      </c>
      <c r="B18" s="17" t="str">
        <f>IF(B14=0," ",(B14/10000)*2400*B17)</f>
        <v> </v>
      </c>
      <c r="C18" s="17"/>
      <c r="D18" s="1" t="s">
        <v>18</v>
      </c>
    </row>
    <row r="19" spans="1:4" ht="21">
      <c r="A19" s="4" t="s">
        <v>22</v>
      </c>
      <c r="B19" s="22"/>
      <c r="C19" s="22"/>
      <c r="D19" s="1" t="s">
        <v>25</v>
      </c>
    </row>
    <row r="20" spans="1:4" ht="21">
      <c r="A20" s="4" t="s">
        <v>36</v>
      </c>
      <c r="B20" s="17" t="str">
        <f>IF(B14=0," ",((B13/1000)*B17*100)/(B14*2000))</f>
        <v> </v>
      </c>
      <c r="C20" s="17"/>
      <c r="D20" s="1" t="s">
        <v>25</v>
      </c>
    </row>
    <row r="21" spans="1:4" ht="21">
      <c r="A21" s="4" t="s">
        <v>37</v>
      </c>
      <c r="B21" s="16">
        <v>0.25</v>
      </c>
      <c r="C21" s="16"/>
      <c r="D21" s="1" t="s">
        <v>25</v>
      </c>
    </row>
    <row r="22" spans="1:8" ht="21">
      <c r="A22" s="4" t="s">
        <v>23</v>
      </c>
      <c r="B22" s="16"/>
      <c r="C22" s="16"/>
      <c r="F22" s="4" t="s">
        <v>21</v>
      </c>
      <c r="G22" s="16"/>
      <c r="H22" s="16"/>
    </row>
    <row r="23" ht="21"/>
    <row r="24" spans="5:8" ht="23.25">
      <c r="E24" s="7" t="s">
        <v>39</v>
      </c>
      <c r="F24" s="12" t="str">
        <f>IF(B15=0," ",1/(G22*B16*B15))</f>
        <v> </v>
      </c>
      <c r="G24" s="1" t="s">
        <v>40</v>
      </c>
      <c r="H24"/>
    </row>
    <row r="25" ht="21">
      <c r="C25"/>
    </row>
    <row r="26" spans="3:7" ht="21">
      <c r="C26"/>
      <c r="E26" s="7" t="s">
        <v>39</v>
      </c>
      <c r="F26" s="9" t="str">
        <f>IF(B19=0," ",0.5*(B19+B20+0.25))</f>
        <v> </v>
      </c>
      <c r="G26" s="1" t="s">
        <v>25</v>
      </c>
    </row>
    <row r="27" ht="21">
      <c r="M27"/>
    </row>
    <row r="28" spans="3:11" ht="21">
      <c r="C28"/>
      <c r="E28" s="7" t="s">
        <v>39</v>
      </c>
      <c r="F28" s="10" t="str">
        <f>IF(B22=0," ",(B13*(B15+B18))/(B15+((B22^2)*B18)))</f>
        <v> </v>
      </c>
      <c r="G28" s="1" t="s">
        <v>18</v>
      </c>
      <c r="K28"/>
    </row>
    <row r="30" spans="5:7" ht="21">
      <c r="E30" s="1" t="s">
        <v>39</v>
      </c>
      <c r="F30" s="9" t="str">
        <f>IF(B22=0," ",(1/(F24*F28))-F26)</f>
        <v> </v>
      </c>
      <c r="G30" s="1" t="s">
        <v>29</v>
      </c>
    </row>
    <row r="32" spans="2:8" ht="21">
      <c r="B32" s="11" t="s">
        <v>33</v>
      </c>
      <c r="G32" s="10" t="str">
        <f>IF(B22=0," ",10*F30)</f>
        <v> </v>
      </c>
      <c r="H32" s="4" t="s">
        <v>25</v>
      </c>
    </row>
    <row r="33" ht="21">
      <c r="M33"/>
    </row>
    <row r="34" spans="1:10" ht="21.75" thickBot="1">
      <c r="A34" s="30"/>
      <c r="B34" s="30"/>
      <c r="C34" s="30"/>
      <c r="D34" s="30"/>
      <c r="E34" s="30"/>
      <c r="F34" s="30"/>
      <c r="G34" s="31" t="s">
        <v>30</v>
      </c>
      <c r="H34" s="31"/>
      <c r="I34" s="31"/>
      <c r="J34" s="31"/>
    </row>
    <row r="35" ht="21.75" thickTop="1"/>
    <row r="40" ht="21">
      <c r="M40"/>
    </row>
  </sheetData>
  <sheetProtection password="C542" sheet="1" objects="1" scenarios="1"/>
  <protectedRanges>
    <protectedRange sqref="B2 B3 B4 B5 H5 B10 B11 B12 B14 B15 B16 B17 B19 B22 G22" name="ช่วง1"/>
  </protectedRanges>
  <mergeCells count="22">
    <mergeCell ref="B5:F5"/>
    <mergeCell ref="H5:J5"/>
    <mergeCell ref="B2:J2"/>
    <mergeCell ref="B3:J3"/>
    <mergeCell ref="B4:J4"/>
    <mergeCell ref="B19:C19"/>
    <mergeCell ref="B15:C15"/>
    <mergeCell ref="B16:C16"/>
    <mergeCell ref="B17:C17"/>
    <mergeCell ref="B18:C18"/>
    <mergeCell ref="E1:G1"/>
    <mergeCell ref="B7:E8"/>
    <mergeCell ref="B20:C20"/>
    <mergeCell ref="B21:C21"/>
    <mergeCell ref="B10:C10"/>
    <mergeCell ref="G22:H22"/>
    <mergeCell ref="G34:J34"/>
    <mergeCell ref="B11:C11"/>
    <mergeCell ref="B12:C12"/>
    <mergeCell ref="B13:C13"/>
    <mergeCell ref="B14:C14"/>
    <mergeCell ref="B22:C22"/>
  </mergeCells>
  <printOptions/>
  <pageMargins left="0.75" right="0.18" top="1" bottom="0.89" header="0.5" footer="0.5"/>
  <pageSetup orientation="portrait" paperSize="9" r:id="rId6"/>
  <drawing r:id="rId5"/>
  <legacyDrawing r:id="rId4"/>
  <oleObjects>
    <oleObject progId="AutoCAD.Drawing.16" shapeId="110539" r:id="rId2"/>
    <oleObject progId="Equation.3" shapeId="45381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WincoolV5</cp:lastModifiedBy>
  <cp:lastPrinted>2008-09-09T15:59:14Z</cp:lastPrinted>
  <dcterms:created xsi:type="dcterms:W3CDTF">2007-12-07T16:47:06Z</dcterms:created>
  <dcterms:modified xsi:type="dcterms:W3CDTF">2008-09-09T16:03:22Z</dcterms:modified>
  <cp:category/>
  <cp:version/>
  <cp:contentType/>
  <cp:contentStatus/>
</cp:coreProperties>
</file>