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bmp" ContentType="image/bmp"/>
  <Default Extension="wmf" ContentType="image/x-wmf"/>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1280" windowHeight="4695" activeTab="0"/>
  </bookViews>
  <sheets>
    <sheet name="Footing 6 pile" sheetId="1" r:id="rId1"/>
    <sheet name="Piles (&lt;=25)(metric) (2)" sheetId="2" state="hidden" r:id="rId2"/>
    <sheet name="Sheet3" sheetId="3" r:id="rId3"/>
    <sheet name="Sheet2" sheetId="4" r:id="rId4"/>
  </sheets>
  <definedNames>
    <definedName name="case">'Footing 6 pile'!#REF!</definedName>
    <definedName name="IND1">#REF!</definedName>
    <definedName name="_xlnm.Print_Area" localSheetId="0">'Footing 6 pile'!$B$2:$V$253</definedName>
    <definedName name="_xlnm.Print_Area" localSheetId="1">'Piles (&lt;=25)(metric) (2)'!$A$54:$I$103</definedName>
    <definedName name="Shape">#REF!</definedName>
  </definedNames>
  <calcPr fullCalcOnLoad="1"/>
</workbook>
</file>

<file path=xl/comments1.xml><?xml version="1.0" encoding="utf-8"?>
<comments xmlns="http://schemas.openxmlformats.org/spreadsheetml/2006/main">
  <authors>
    <author>ATOMANOV</author>
    <author>IT</author>
  </authors>
  <commentList>
    <comment ref="H26" authorId="0">
      <text>
        <r>
          <rPr>
            <sz val="8"/>
            <rFont val="Tahoma"/>
            <family val="2"/>
          </rPr>
          <t>'Pz' is the vertical (Z-axis) load to be applied at the pier location.
Sign convention: - = upward (out of page)
                            +  = downward (into page) for gravity loads</t>
        </r>
      </text>
    </comment>
    <comment ref="H27" authorId="0">
      <text>
        <r>
          <rPr>
            <sz val="8"/>
            <rFont val="Tahoma"/>
            <family val="2"/>
          </rPr>
          <t>'Mx' is the X-axis moment to be applied at the pier location.
Sign convention: + = by "Right-Hand-Rule" about +X-axis</t>
        </r>
      </text>
    </comment>
    <comment ref="H28" authorId="0">
      <text>
        <r>
          <rPr>
            <sz val="8"/>
            <rFont val="Tahoma"/>
            <family val="2"/>
          </rPr>
          <t>'My' is the Y-axis moment to be applied at the pier location.
Sign convention: + = by "Right-Hand-Rule" about +Y-axis</t>
        </r>
      </text>
    </comment>
    <comment ref="C74" authorId="1">
      <text>
        <r>
          <rPr>
            <b/>
            <sz val="8"/>
            <color indexed="9"/>
            <rFont val="Tahoma"/>
            <family val="2"/>
          </rPr>
          <t>if x&lt; -15 , P' = 0
if x &gt;= 15 , P' = P
if -15&lt; x&lt;0 , P' = 1/30 *(x+15)*P
if  0&lt;x&lt;=15 , P' = 1/30 *(x+15)*P</t>
        </r>
        <r>
          <rPr>
            <sz val="8"/>
            <rFont val="Tahoma"/>
            <family val="2"/>
          </rPr>
          <t xml:space="preserve">
</t>
        </r>
      </text>
    </comment>
    <comment ref="C83" authorId="1">
      <text>
        <r>
          <rPr>
            <b/>
            <sz val="8"/>
            <color indexed="9"/>
            <rFont val="Tahoma"/>
            <family val="2"/>
          </rPr>
          <t>if x&lt; -15 , P' = 0
if x &gt;= 15 , P' = P
if -15&lt; x&lt;0 , P' = 1/30 *(x+15)*P
if  0&lt;x&lt;=15 , P' = 1/30 *(x+15)*P</t>
        </r>
        <r>
          <rPr>
            <sz val="8"/>
            <rFont val="Tahoma"/>
            <family val="2"/>
          </rPr>
          <t xml:space="preserve">
</t>
        </r>
      </text>
    </comment>
    <comment ref="C101" authorId="1">
      <text>
        <r>
          <rPr>
            <b/>
            <sz val="8"/>
            <color indexed="9"/>
            <rFont val="Tahoma"/>
            <family val="2"/>
          </rPr>
          <t>if x&lt; -15 , P' = 0
if x &gt;= 15 , P' = P
if -15&lt; x&lt;0 , P' = 1/30 *(x+15)*P
if  0&lt;x&lt;=15 , P' = 1/30 *(x+15)*P</t>
        </r>
        <r>
          <rPr>
            <sz val="8"/>
            <rFont val="Tahoma"/>
            <family val="2"/>
          </rPr>
          <t xml:space="preserve">
</t>
        </r>
      </text>
    </comment>
    <comment ref="C110" authorId="1">
      <text>
        <r>
          <rPr>
            <b/>
            <sz val="8"/>
            <color indexed="9"/>
            <rFont val="Tahoma"/>
            <family val="2"/>
          </rPr>
          <t>if x&lt; -15 , P' = 0
if x &gt;= 15 , P' = P
if -15&lt; x&lt;0 , P' = 1/30 *(x+15)*P
if  0&lt;x&lt;=15 , P' = 1/30 *(x+15)*P</t>
        </r>
        <r>
          <rPr>
            <sz val="8"/>
            <rFont val="Tahoma"/>
            <family val="2"/>
          </rPr>
          <t xml:space="preserve">
</t>
        </r>
      </text>
    </comment>
  </commentList>
</comments>
</file>

<file path=xl/comments2.xml><?xml version="1.0" encoding="utf-8"?>
<comments xmlns="http://schemas.openxmlformats.org/spreadsheetml/2006/main">
  <authors>
    <author>Bob Dalpiaz</author>
    <author>4892</author>
    <author>ATOMANOV</author>
    <author>O'Neal User</author>
  </authors>
  <commentList>
    <comment ref="AA1" authorId="0">
      <text>
        <r>
          <rPr>
            <sz val="8"/>
            <rFont val="Tahoma"/>
            <family val="2"/>
          </rPr>
          <t xml:space="preserve">              "</t>
        </r>
        <r>
          <rPr>
            <b/>
            <sz val="8"/>
            <rFont val="Tahoma"/>
            <family val="2"/>
          </rPr>
          <t>PILEGRP.xls</t>
        </r>
        <r>
          <rPr>
            <sz val="8"/>
            <rFont val="Tahoma"/>
            <family val="2"/>
          </rPr>
          <t>"
written by:  Alex Tomanovich, P.E.</t>
        </r>
      </text>
    </comment>
    <comment ref="H30" authorId="1">
      <text>
        <r>
          <rPr>
            <sz val="8"/>
            <rFont val="Tahoma"/>
            <family val="2"/>
          </rPr>
          <t xml:space="preserve">The location of the centroidal Y-axis from the origin Y-axis is calculated as follows:
   Xc = </t>
        </r>
        <r>
          <rPr>
            <sz val="8"/>
            <rFont val="Symbol"/>
            <family val="1"/>
          </rPr>
          <t>S</t>
        </r>
        <r>
          <rPr>
            <sz val="8"/>
            <rFont val="Tahoma"/>
            <family val="2"/>
          </rPr>
          <t xml:space="preserve"> (Xo)/Np
where:
   Np = total number of piles in group</t>
        </r>
      </text>
    </comment>
    <comment ref="H31" authorId="1">
      <text>
        <r>
          <rPr>
            <sz val="8"/>
            <rFont val="Tahoma"/>
            <family val="2"/>
          </rPr>
          <t xml:space="preserve">The location of the centroidal X-axis from the origin X-axis is calculated as follows:
   Yc = </t>
        </r>
        <r>
          <rPr>
            <sz val="8"/>
            <rFont val="Symbol"/>
            <family val="1"/>
          </rPr>
          <t>S</t>
        </r>
        <r>
          <rPr>
            <sz val="8"/>
            <rFont val="Tahoma"/>
            <family val="2"/>
          </rPr>
          <t xml:space="preserve"> (Yo)/Np
where:
   Np = total number of piles in group</t>
        </r>
      </text>
    </comment>
    <comment ref="H36" authorId="1">
      <text>
        <r>
          <rPr>
            <sz val="8"/>
            <rFont val="Tahoma"/>
            <family val="2"/>
          </rPr>
          <t>The orientation of the principal axes, is defined by the rotation angle, '</t>
        </r>
        <r>
          <rPr>
            <sz val="8"/>
            <rFont val="Symbol"/>
            <family val="1"/>
          </rPr>
          <t xml:space="preserve">q </t>
        </r>
        <r>
          <rPr>
            <sz val="8"/>
            <rFont val="Tahoma"/>
            <family val="2"/>
          </rPr>
          <t xml:space="preserve">', from the centroidal axes and is calculated as follows:
   </t>
        </r>
        <r>
          <rPr>
            <sz val="8"/>
            <rFont val="Symbol"/>
            <family val="1"/>
          </rPr>
          <t>q</t>
        </r>
        <r>
          <rPr>
            <sz val="8"/>
            <rFont val="Tahoma"/>
            <family val="2"/>
          </rPr>
          <t xml:space="preserve"> = (ATAN(-2*Ixy/(Ix-Iy)))/2
Note: sign convention is positive (+) ccw.
           '</t>
        </r>
        <r>
          <rPr>
            <sz val="8"/>
            <rFont val="Symbol"/>
            <family val="1"/>
          </rPr>
          <t xml:space="preserve">q </t>
        </r>
        <r>
          <rPr>
            <sz val="8"/>
            <rFont val="Tahoma"/>
            <family val="2"/>
          </rPr>
          <t>' = 0  for a pile group with at least one
          axis of symmetry.</t>
        </r>
      </text>
    </comment>
    <comment ref="B40" authorId="2">
      <text>
        <r>
          <rPr>
            <sz val="8"/>
            <rFont val="Tahoma"/>
            <family val="2"/>
          </rPr>
          <t xml:space="preserve">All piers must be located in the positive 1st quadrant.  That is, all pier X, Y coordinate values must be &gt;= 0.
</t>
        </r>
        <r>
          <rPr>
            <b/>
            <sz val="8"/>
            <rFont val="Tahoma"/>
            <family val="2"/>
          </rPr>
          <t>Note: The user should make sure to either clear the contents of all cells that are not used for input of pier coordinates, or those cell values should be input = 0.</t>
        </r>
      </text>
    </comment>
    <comment ref="B41" authorId="2">
      <text>
        <r>
          <rPr>
            <sz val="8"/>
            <rFont val="Tahoma"/>
            <family val="2"/>
          </rPr>
          <t>The 'X' coordinate is the x-distance from the origin axis to a particular pier/loading.</t>
        </r>
      </text>
    </comment>
    <comment ref="B42" authorId="2">
      <text>
        <r>
          <rPr>
            <sz val="8"/>
            <rFont val="Tahoma"/>
            <family val="2"/>
          </rPr>
          <t>The 'Y' coordinate is the y-distance from the origin axis to a particular pier/loading.</t>
        </r>
      </text>
    </comment>
    <comment ref="B43" authorId="2">
      <text>
        <r>
          <rPr>
            <sz val="8"/>
            <rFont val="Tahoma"/>
            <family val="2"/>
          </rPr>
          <t>The vertical distance, 'h',  from the point of application of any horizontal loads (Hx, Hy) to the top of the piles. This 'h' distance should always be a positive number, but it may be input = 0 if there are no horizontal loads at that pier.  The 'h' distance is used in conjunction with the horizontal loads to obtain any additional moments (Mx, My) that are to be eventually summed with the applied moments.</t>
        </r>
      </text>
    </comment>
    <comment ref="B44" authorId="2">
      <text>
        <r>
          <rPr>
            <sz val="8"/>
            <rFont val="Tahoma"/>
            <family val="2"/>
          </rPr>
          <t>'Pz' is the vertical (Z-axis) load to be applied at the pier location.
Sign convention: + = upward (out of page)
                            -  = downward (into page) for gravity loads</t>
        </r>
      </text>
    </comment>
    <comment ref="B45" authorId="2">
      <text>
        <r>
          <rPr>
            <sz val="8"/>
            <rFont val="Tahoma"/>
            <family val="2"/>
          </rPr>
          <t>'Hx' is the horizontal (X-axis) load to be applied at the pier location.
Sign convention: + = to right</t>
        </r>
      </text>
    </comment>
    <comment ref="B46" authorId="2">
      <text>
        <r>
          <rPr>
            <sz val="8"/>
            <rFont val="Tahoma"/>
            <family val="2"/>
          </rPr>
          <t>'Hy' is the horizontal (Y-axis) load to be applied at the pier location.
Sign convention: + = up the page</t>
        </r>
      </text>
    </comment>
    <comment ref="B47" authorId="2">
      <text>
        <r>
          <rPr>
            <sz val="8"/>
            <rFont val="Tahoma"/>
            <family val="2"/>
          </rPr>
          <t>'Mx' is the X-axis moment to be applied at the pier location.
Sign convention: + = by "Right-Hand-Rule" about +X-axis</t>
        </r>
      </text>
    </comment>
    <comment ref="B48" authorId="2">
      <text>
        <r>
          <rPr>
            <sz val="8"/>
            <rFont val="Tahoma"/>
            <family val="2"/>
          </rPr>
          <t>'My' is the Y-axis moment to be applied at the pier location.
Sign convention: + = by "Right-Hand-Rule" about +Y-axis</t>
        </r>
      </text>
    </comment>
    <comment ref="B49" authorId="2">
      <text>
        <r>
          <rPr>
            <sz val="8"/>
            <rFont val="Tahoma"/>
            <family val="2"/>
          </rPr>
          <t>'Mz' is the Z-axis moment to be applied at the pier location.
Sign convention: + = by "Right-Hand-Rule" about +Z-axis</t>
        </r>
      </text>
    </comment>
    <comment ref="H39" authorId="2">
      <text>
        <r>
          <rPr>
            <sz val="8"/>
            <rFont val="Symbol"/>
            <family val="1"/>
          </rPr>
          <t xml:space="preserve">S </t>
        </r>
        <r>
          <rPr>
            <sz val="8"/>
            <rFont val="Tahoma"/>
            <family val="2"/>
          </rPr>
          <t xml:space="preserve"> Pz = sum of all applied vertical (Z-axis) loads translated to the centroid of the pile group.
Sign convention: positive in +Z-axis direction</t>
        </r>
      </text>
    </comment>
    <comment ref="H40" authorId="2">
      <text>
        <r>
          <rPr>
            <sz val="8"/>
            <rFont val="Symbol"/>
            <family val="1"/>
          </rPr>
          <t xml:space="preserve">S </t>
        </r>
        <r>
          <rPr>
            <sz val="8"/>
            <rFont val="Tahoma"/>
            <family val="2"/>
          </rPr>
          <t xml:space="preserve"> Hx = sum of all applied horizontal (X-axis) loads translated to the centroid of the pile group.
Sign convention: positive in +X-axis direction</t>
        </r>
      </text>
    </comment>
    <comment ref="H41" authorId="2">
      <text>
        <r>
          <rPr>
            <sz val="8"/>
            <rFont val="Symbol"/>
            <family val="1"/>
          </rPr>
          <t xml:space="preserve">S </t>
        </r>
        <r>
          <rPr>
            <sz val="8"/>
            <rFont val="Tahoma"/>
            <family val="2"/>
          </rPr>
          <t xml:space="preserve"> Hy = sum of all applied horizontal (Y-axis) loads translated to the centroid of the pile group.
Sign convention: positive in +Y-axis direction</t>
        </r>
      </text>
    </comment>
    <comment ref="H42" authorId="2">
      <text>
        <r>
          <rPr>
            <sz val="8"/>
            <rFont val="Symbol"/>
            <family val="1"/>
          </rPr>
          <t xml:space="preserve">S </t>
        </r>
        <r>
          <rPr>
            <sz val="8"/>
            <rFont val="Tahoma"/>
            <family val="2"/>
          </rPr>
          <t xml:space="preserve"> Mx = sum of all applied X-axis moments calculated at the top of the piles and  translated to the centroid of the pile group.
Sign convention: positive by "Right-Hand-Rule"
                            about +X-axis</t>
        </r>
      </text>
    </comment>
    <comment ref="H43" authorId="2">
      <text>
        <r>
          <rPr>
            <sz val="8"/>
            <rFont val="Symbol"/>
            <family val="1"/>
          </rPr>
          <t xml:space="preserve">S </t>
        </r>
        <r>
          <rPr>
            <sz val="8"/>
            <rFont val="Tahoma"/>
            <family val="2"/>
          </rPr>
          <t xml:space="preserve"> My = sum of all applied Y-axis moments calculated at the top of the piles and  translated to the centroid of the pile group.
Sign convention: positive by "Right-Hand-Rule"
                            about +Y-axis</t>
        </r>
      </text>
    </comment>
    <comment ref="H44" authorId="2">
      <text>
        <r>
          <rPr>
            <sz val="8"/>
            <rFont val="Symbol"/>
            <family val="1"/>
          </rPr>
          <t xml:space="preserve">S </t>
        </r>
        <r>
          <rPr>
            <sz val="8"/>
            <rFont val="Tahoma"/>
            <family val="2"/>
          </rPr>
          <t xml:space="preserve"> Mz = sum of all applied Z-axis moments translated to the centroid of the pile group.
Sign convention: positive by "Right-Hand-Rule" 
                           about +Z-axis</t>
        </r>
      </text>
    </comment>
    <comment ref="E11" authorId="1">
      <text>
        <r>
          <rPr>
            <sz val="8"/>
            <rFont val="Tahoma"/>
            <family val="2"/>
          </rPr>
          <t>The Vertical Pile Reaction, 'Rz', at each pile is calculated as follows:
   Rz = (-</t>
        </r>
        <r>
          <rPr>
            <sz val="8"/>
            <rFont val="Symbol"/>
            <family val="1"/>
          </rPr>
          <t>S</t>
        </r>
        <r>
          <rPr>
            <sz val="8"/>
            <rFont val="Tahoma"/>
            <family val="2"/>
          </rPr>
          <t xml:space="preserve"> Pz)/Np +</t>
        </r>
        <r>
          <rPr>
            <sz val="8"/>
            <rFont val="Symbol"/>
            <family val="1"/>
          </rPr>
          <t xml:space="preserve"> ((S</t>
        </r>
        <r>
          <rPr>
            <sz val="8"/>
            <rFont val="Tahoma"/>
            <family val="2"/>
          </rPr>
          <t xml:space="preserve"> My)*Ix-(-</t>
        </r>
        <r>
          <rPr>
            <sz val="8"/>
            <rFont val="Symbol"/>
            <family val="1"/>
          </rPr>
          <t>S</t>
        </r>
        <r>
          <rPr>
            <sz val="8"/>
            <rFont val="Tahoma"/>
            <family val="2"/>
          </rPr>
          <t xml:space="preserve"> Mx)*Ixy)/(Ix*Iy-Ixy^2)*Xp + ((</t>
        </r>
        <r>
          <rPr>
            <sz val="8"/>
            <rFont val="Symbol"/>
            <family val="1"/>
          </rPr>
          <t>S</t>
        </r>
        <r>
          <rPr>
            <sz val="8"/>
            <rFont val="Tahoma"/>
            <family val="2"/>
          </rPr>
          <t xml:space="preserve"> Mx)*Iy-(</t>
        </r>
        <r>
          <rPr>
            <sz val="8"/>
            <rFont val="Symbol"/>
            <family val="1"/>
          </rPr>
          <t>S</t>
        </r>
        <r>
          <rPr>
            <sz val="8"/>
            <rFont val="Tahoma"/>
            <family val="2"/>
          </rPr>
          <t xml:space="preserve"> My)*Ixy)/(Ix*Iy-Ixy^2)*Yp
where:
   Xp = x-distance of pile from centroidal Y-axis
   Yp = y-distance of pile from centroidal X-axis
Sign convention for 'Rz' is as follows:
   positive (+) = compression pile reaction
   negative (-) = tension (uplift) pile reaction</t>
        </r>
      </text>
    </comment>
    <comment ref="F11" authorId="1">
      <text>
        <r>
          <rPr>
            <sz val="8"/>
            <rFont val="Tahoma"/>
            <family val="2"/>
          </rPr>
          <t>The Horizontal Pile Reaction, 'Rh', at each pile is calculated as follows:
   Rh = (((</t>
        </r>
        <r>
          <rPr>
            <sz val="8"/>
            <rFont val="Symbol"/>
            <family val="1"/>
          </rPr>
          <t>S</t>
        </r>
        <r>
          <rPr>
            <sz val="8"/>
            <rFont val="Tahoma"/>
            <family val="2"/>
          </rPr>
          <t xml:space="preserve"> Hx)/Np +</t>
        </r>
        <r>
          <rPr>
            <sz val="8"/>
            <rFont val="Symbol"/>
            <family val="1"/>
          </rPr>
          <t xml:space="preserve"> (S</t>
        </r>
        <r>
          <rPr>
            <sz val="8"/>
            <rFont val="Tahoma"/>
            <family val="2"/>
          </rPr>
          <t xml:space="preserve"> Mz)*Yp/J)^2 + ((</t>
        </r>
        <r>
          <rPr>
            <sz val="8"/>
            <rFont val="Symbol"/>
            <family val="1"/>
          </rPr>
          <t>S</t>
        </r>
        <r>
          <rPr>
            <sz val="8"/>
            <rFont val="Tahoma"/>
            <family val="2"/>
          </rPr>
          <t xml:space="preserve"> Hy)/Np + (</t>
        </r>
        <r>
          <rPr>
            <sz val="8"/>
            <rFont val="Symbol"/>
            <family val="1"/>
          </rPr>
          <t>S</t>
        </r>
        <r>
          <rPr>
            <sz val="8"/>
            <rFont val="Tahoma"/>
            <family val="2"/>
          </rPr>
          <t xml:space="preserve"> Mz)*Xp/J)^2)^(1/2)
where:
   Xp = x-distance of pile from centroidal Y-axis
   Yp = y-distance of pile from centroidal X-axis
Note: 'Rh' is an "absolute" value with no particular sign convention, thus no
          directional sense.</t>
        </r>
      </text>
    </comment>
    <comment ref="C10" authorId="2">
      <text>
        <r>
          <rPr>
            <sz val="8"/>
            <rFont val="Tahoma"/>
            <family val="2"/>
          </rPr>
          <t xml:space="preserve">All piles must be located in the positive 1st quadrant.  That is, all pile Xo, Yo coordinate values must be &gt;= 0.
</t>
        </r>
        <r>
          <rPr>
            <b/>
            <sz val="8"/>
            <rFont val="Tahoma"/>
            <family val="2"/>
          </rPr>
          <t>Note: The user should make sure to either clear the contents of all cells that are not used for input of pile coordinates, or those cell values should be input = 0.</t>
        </r>
      </text>
    </comment>
    <comment ref="B11" authorId="2">
      <text>
        <r>
          <rPr>
            <sz val="8"/>
            <rFont val="Tahoma"/>
            <family val="2"/>
          </rPr>
          <t>The 'Xo' coordinate is the x-distance from the origin axis to a particular pile.</t>
        </r>
      </text>
    </comment>
    <comment ref="C11" authorId="2">
      <text>
        <r>
          <rPr>
            <sz val="8"/>
            <rFont val="Tahoma"/>
            <family val="2"/>
          </rPr>
          <t>The 'Yo' coordinate is the y-distance from the origin axis to a particular pile.</t>
        </r>
      </text>
    </comment>
    <comment ref="H47" authorId="1">
      <text>
        <r>
          <rPr>
            <sz val="8"/>
            <rFont val="Tahoma"/>
            <family val="2"/>
          </rPr>
          <t>Sign convention for 'Rz(max)' is as follows:
   positive (+) = compression pile reaction
   negative (-) = tension (uplift) pile reaction</t>
        </r>
      </text>
    </comment>
    <comment ref="H48" authorId="1">
      <text>
        <r>
          <rPr>
            <sz val="8"/>
            <rFont val="Tahoma"/>
            <family val="2"/>
          </rPr>
          <t>Sign convention for 'Rz(min)' is as follows:
   positive (+) = compression pile reaction
   negative (-) = tension (uplift) pile reaction</t>
        </r>
      </text>
    </comment>
    <comment ref="H49" authorId="1">
      <text>
        <r>
          <rPr>
            <sz val="8"/>
            <rFont val="Tahoma"/>
            <family val="2"/>
          </rPr>
          <t>Note: 'Rh(max)' is an "absolute" value
          with no particular sign convention,
          thus no directional sense.</t>
        </r>
      </text>
    </comment>
    <comment ref="AC2" authorId="3">
      <text>
        <r>
          <rPr>
            <sz val="8"/>
            <rFont val="Tahoma"/>
            <family val="2"/>
          </rPr>
          <t>The user may manually adjust the scaling of the plotted pile group by adjusting the "X" and "Y" plot scale factors below.  The object is to try to equalize the maximum X-axis and Y-axis values which are shown.</t>
        </r>
      </text>
    </comment>
    <comment ref="C9" authorId="2">
      <text>
        <r>
          <rPr>
            <b/>
            <sz val="8"/>
            <rFont val="Tahoma"/>
            <family val="2"/>
          </rPr>
          <t>The minimum number of piles = 2.
The maximum number of piles = 25.</t>
        </r>
      </text>
    </comment>
    <comment ref="AG58" authorId="2">
      <text>
        <r>
          <rPr>
            <b/>
            <sz val="8"/>
            <rFont val="Tahoma"/>
            <family val="2"/>
          </rPr>
          <t>The minimum number of piles = 3.
The maximum number of piles = 25.</t>
        </r>
      </text>
    </comment>
    <comment ref="H32" authorId="1">
      <text>
        <r>
          <rPr>
            <sz val="8"/>
            <rFont val="Tahoma"/>
            <family val="2"/>
          </rPr>
          <t>The X-axis Moment of Inertia, 'Ix',  for the pile group is calculated as follows:
   Ix = Ap*</t>
        </r>
        <r>
          <rPr>
            <sz val="8"/>
            <rFont val="Symbol"/>
            <family val="1"/>
          </rPr>
          <t>S</t>
        </r>
        <r>
          <rPr>
            <sz val="8"/>
            <rFont val="Tahoma"/>
            <family val="2"/>
          </rPr>
          <t xml:space="preserve"> (dy)^2
where:
   Ap = Area of pile assumed = unity (1) 
   dy = y-distance of each pile from
               centroidal X-axis </t>
        </r>
      </text>
    </comment>
    <comment ref="H33" authorId="1">
      <text>
        <r>
          <rPr>
            <sz val="8"/>
            <rFont val="Tahoma"/>
            <family val="2"/>
          </rPr>
          <t>The Y-axis Moment of Inertia, 'Iy',  for the pile group is calculated as follows:
   Iy = Ap*</t>
        </r>
        <r>
          <rPr>
            <sz val="8"/>
            <rFont val="Symbol"/>
            <family val="1"/>
          </rPr>
          <t>S</t>
        </r>
        <r>
          <rPr>
            <sz val="8"/>
            <rFont val="Tahoma"/>
            <family val="2"/>
          </rPr>
          <t xml:space="preserve"> (dx)^2
where:
   Ap = Area of pile assumed = unity (1)  
   dx = x-distance of each pile from
               centroidal Y-axis </t>
        </r>
      </text>
    </comment>
    <comment ref="H34" authorId="1">
      <text>
        <r>
          <rPr>
            <sz val="8"/>
            <rFont val="Tahoma"/>
            <family val="2"/>
          </rPr>
          <t>The Polar Moment of Inertia for the pile group is calculated as follows:
   J = Ix+Iy</t>
        </r>
      </text>
    </comment>
    <comment ref="H35" authorId="1">
      <text>
        <r>
          <rPr>
            <sz val="8"/>
            <rFont val="Tahoma"/>
            <family val="2"/>
          </rPr>
          <t>The Product Moment of Inertia, 'Ixy', for the pile group is calculated as follows:
   Ixy = Ap*</t>
        </r>
        <r>
          <rPr>
            <sz val="8"/>
            <rFont val="Symbol"/>
            <family val="1"/>
          </rPr>
          <t>S</t>
        </r>
        <r>
          <rPr>
            <sz val="8"/>
            <rFont val="Tahoma"/>
            <family val="2"/>
          </rPr>
          <t xml:space="preserve"> (dx*dy)
where:
   Ap = Area of pile assumed = unity (1) 
   dx = x-distance of each pile from
               centroidal Y-axis
   dy = y-distance of each pile from
               centroidal X-axis
Note:  'Ixy' = 0  for a pile group with at
           least one axis of symmetry.</t>
        </r>
      </text>
    </comment>
    <comment ref="C63" authorId="2">
      <text>
        <r>
          <rPr>
            <sz val="8"/>
            <rFont val="Tahoma"/>
            <family val="2"/>
          </rPr>
          <t xml:space="preserve">All piles must be located in the positive 1st quadrant.  That is, all pile Xo, Yo coordinate values must be &gt;= 0.
</t>
        </r>
        <r>
          <rPr>
            <b/>
            <sz val="8"/>
            <rFont val="Tahoma"/>
            <family val="2"/>
          </rPr>
          <t>Note: The user should make sure to either clear the contents of all cells that are not used for input of pile coordinates, or those cell values should be input = 0.</t>
        </r>
      </text>
    </comment>
    <comment ref="B64" authorId="2">
      <text>
        <r>
          <rPr>
            <sz val="8"/>
            <rFont val="Tahoma"/>
            <family val="2"/>
          </rPr>
          <t>The 'Xo' coordinate is the x-distance from the origin axis to a particular pile.</t>
        </r>
      </text>
    </comment>
    <comment ref="C64" authorId="2">
      <text>
        <r>
          <rPr>
            <sz val="8"/>
            <rFont val="Tahoma"/>
            <family val="2"/>
          </rPr>
          <t>The 'Yo' coordinate is the y-distance from the origin axis to a particular pile.</t>
        </r>
      </text>
    </comment>
    <comment ref="E64" authorId="1">
      <text>
        <r>
          <rPr>
            <sz val="8"/>
            <rFont val="Tahoma"/>
            <family val="2"/>
          </rPr>
          <t>The Vertical Pile Reaction, 'Rz', at each pile is calculated as follows:
   Rz = (-</t>
        </r>
        <r>
          <rPr>
            <sz val="8"/>
            <rFont val="Symbol"/>
            <family val="1"/>
          </rPr>
          <t>S</t>
        </r>
        <r>
          <rPr>
            <sz val="8"/>
            <rFont val="Tahoma"/>
            <family val="2"/>
          </rPr>
          <t xml:space="preserve"> Pz)/Np +</t>
        </r>
        <r>
          <rPr>
            <sz val="8"/>
            <rFont val="Symbol"/>
            <family val="1"/>
          </rPr>
          <t xml:space="preserve"> ((S</t>
        </r>
        <r>
          <rPr>
            <sz val="8"/>
            <rFont val="Tahoma"/>
            <family val="2"/>
          </rPr>
          <t xml:space="preserve"> My)*Ix-(-</t>
        </r>
        <r>
          <rPr>
            <sz val="8"/>
            <rFont val="Symbol"/>
            <family val="1"/>
          </rPr>
          <t>S</t>
        </r>
        <r>
          <rPr>
            <sz val="8"/>
            <rFont val="Tahoma"/>
            <family val="2"/>
          </rPr>
          <t xml:space="preserve"> Mx)*Ixy)/(Ix*Iy-Ixy^2)*Xp + ((</t>
        </r>
        <r>
          <rPr>
            <sz val="8"/>
            <rFont val="Symbol"/>
            <family val="1"/>
          </rPr>
          <t>S</t>
        </r>
        <r>
          <rPr>
            <sz val="8"/>
            <rFont val="Tahoma"/>
            <family val="2"/>
          </rPr>
          <t xml:space="preserve"> Mx)*Iy-(</t>
        </r>
        <r>
          <rPr>
            <sz val="8"/>
            <rFont val="Symbol"/>
            <family val="1"/>
          </rPr>
          <t>S</t>
        </r>
        <r>
          <rPr>
            <sz val="8"/>
            <rFont val="Tahoma"/>
            <family val="2"/>
          </rPr>
          <t xml:space="preserve"> My)*Ixy)/(Ix*Iy-Ixy^2)*Yp
where:
   Xp = x-distance of pile from centroidal Y-axis
   Yp = y-distance of pile from centroidal X-axis
Sign convention for 'Rz' is as follows:
   positive (+) = compression pile reaction
   negative (-) = tension (uplift) pile reaction</t>
        </r>
      </text>
    </comment>
    <comment ref="F64" authorId="1">
      <text>
        <r>
          <rPr>
            <sz val="8"/>
            <rFont val="Tahoma"/>
            <family val="2"/>
          </rPr>
          <t>The Horizontal Pile Reaction, 'Rh', at each pile is calculated as follows:
   Rh = (((</t>
        </r>
        <r>
          <rPr>
            <sz val="8"/>
            <rFont val="Symbol"/>
            <family val="1"/>
          </rPr>
          <t>S</t>
        </r>
        <r>
          <rPr>
            <sz val="8"/>
            <rFont val="Tahoma"/>
            <family val="2"/>
          </rPr>
          <t xml:space="preserve"> Hx)/Np +</t>
        </r>
        <r>
          <rPr>
            <sz val="8"/>
            <rFont val="Symbol"/>
            <family val="1"/>
          </rPr>
          <t xml:space="preserve"> (S</t>
        </r>
        <r>
          <rPr>
            <sz val="8"/>
            <rFont val="Tahoma"/>
            <family val="2"/>
          </rPr>
          <t xml:space="preserve"> Mz)*Yp/J)^2 + ((</t>
        </r>
        <r>
          <rPr>
            <sz val="8"/>
            <rFont val="Symbol"/>
            <family val="1"/>
          </rPr>
          <t>S</t>
        </r>
        <r>
          <rPr>
            <sz val="8"/>
            <rFont val="Tahoma"/>
            <family val="2"/>
          </rPr>
          <t xml:space="preserve"> Hy)/Np + (</t>
        </r>
        <r>
          <rPr>
            <sz val="8"/>
            <rFont val="Symbol"/>
            <family val="1"/>
          </rPr>
          <t>S</t>
        </r>
        <r>
          <rPr>
            <sz val="8"/>
            <rFont val="Tahoma"/>
            <family val="2"/>
          </rPr>
          <t xml:space="preserve"> Mz)*Xp/J)^2)^(1/2)
where:
   Xp = x-distance of pile from centroidal Y-axis
   Yp = y-distance of pile from centroidal X-axis
Note: 'Rh' is an "absolute" value with no particular sign convention, thus no
          directional sense.</t>
        </r>
      </text>
    </comment>
    <comment ref="H83" authorId="1">
      <text>
        <r>
          <rPr>
            <sz val="8"/>
            <rFont val="Tahoma"/>
            <family val="2"/>
          </rPr>
          <t xml:space="preserve">The location of the centroidal Y-axis from the origin Y-axis is calculated as follows:
   Xc = </t>
        </r>
        <r>
          <rPr>
            <sz val="8"/>
            <rFont val="Symbol"/>
            <family val="1"/>
          </rPr>
          <t>S</t>
        </r>
        <r>
          <rPr>
            <sz val="8"/>
            <rFont val="Tahoma"/>
            <family val="2"/>
          </rPr>
          <t xml:space="preserve"> (Xo)/Np
where:
   Np = total number of piles in group</t>
        </r>
      </text>
    </comment>
    <comment ref="H84" authorId="1">
      <text>
        <r>
          <rPr>
            <sz val="8"/>
            <rFont val="Tahoma"/>
            <family val="2"/>
          </rPr>
          <t xml:space="preserve">The location of the centroidal X-axis from the origin X-axis is calculated as follows:
   Yc = </t>
        </r>
        <r>
          <rPr>
            <sz val="8"/>
            <rFont val="Symbol"/>
            <family val="1"/>
          </rPr>
          <t>S</t>
        </r>
        <r>
          <rPr>
            <sz val="8"/>
            <rFont val="Tahoma"/>
            <family val="2"/>
          </rPr>
          <t xml:space="preserve"> (Yo)/Np
where:
   Np = total number of piles in group</t>
        </r>
      </text>
    </comment>
    <comment ref="H85" authorId="1">
      <text>
        <r>
          <rPr>
            <sz val="8"/>
            <rFont val="Tahoma"/>
            <family val="2"/>
          </rPr>
          <t>The X-axis Moment of Inertia, 'Ix',  for the pile group is calculated as follows:
   Ix = Ap*</t>
        </r>
        <r>
          <rPr>
            <sz val="8"/>
            <rFont val="Symbol"/>
            <family val="1"/>
          </rPr>
          <t>S</t>
        </r>
        <r>
          <rPr>
            <sz val="8"/>
            <rFont val="Tahoma"/>
            <family val="2"/>
          </rPr>
          <t xml:space="preserve"> (dy)^2
where:
   Ap = Area of pile assumed = unity (1) 
   dy = y-distance of each pile from
               centroidal X-axis </t>
        </r>
      </text>
    </comment>
    <comment ref="H86" authorId="1">
      <text>
        <r>
          <rPr>
            <sz val="8"/>
            <rFont val="Tahoma"/>
            <family val="2"/>
          </rPr>
          <t>The Y-axis Moment of Inertia, 'Iy',  for the pile group is calculated as follows:
   Iy = Ap*</t>
        </r>
        <r>
          <rPr>
            <sz val="8"/>
            <rFont val="Symbol"/>
            <family val="1"/>
          </rPr>
          <t>S</t>
        </r>
        <r>
          <rPr>
            <sz val="8"/>
            <rFont val="Tahoma"/>
            <family val="2"/>
          </rPr>
          <t xml:space="preserve"> (dx)^2
where:
   Ap = Area of pile assumed = unity (1)  
   dx = x-distance of each pile from
               centroidal Y-axis </t>
        </r>
      </text>
    </comment>
    <comment ref="H87" authorId="1">
      <text>
        <r>
          <rPr>
            <sz val="8"/>
            <rFont val="Tahoma"/>
            <family val="2"/>
          </rPr>
          <t>The Polar Moment of Inertia for the pile group is calculated as follows:
   J = Ix+Iy</t>
        </r>
      </text>
    </comment>
    <comment ref="H88" authorId="1">
      <text>
        <r>
          <rPr>
            <sz val="8"/>
            <rFont val="Tahoma"/>
            <family val="2"/>
          </rPr>
          <t>The Product Moment of Inertia, 'Ixy', for the pile group is calculated as follows:
   Ixy = Ap*</t>
        </r>
        <r>
          <rPr>
            <sz val="8"/>
            <rFont val="Symbol"/>
            <family val="1"/>
          </rPr>
          <t>S</t>
        </r>
        <r>
          <rPr>
            <sz val="8"/>
            <rFont val="Tahoma"/>
            <family val="2"/>
          </rPr>
          <t xml:space="preserve"> (dx*dy)
where:
   Ap = Area of pile assumed = unity (1) 
   dx = x-distance of each pile from
               centroidal Y-axis
   dy = y-distance of each pile from
               centroidal X-axis
Note:  'Ixy' = 0  for a pile group with at
           least one axis of symmetry.</t>
        </r>
      </text>
    </comment>
    <comment ref="H89" authorId="1">
      <text>
        <r>
          <rPr>
            <sz val="8"/>
            <rFont val="Tahoma"/>
            <family val="2"/>
          </rPr>
          <t>The orientation of the principal axes, is defined by the rotation angle, '</t>
        </r>
        <r>
          <rPr>
            <sz val="8"/>
            <rFont val="Symbol"/>
            <family val="1"/>
          </rPr>
          <t xml:space="preserve">q </t>
        </r>
        <r>
          <rPr>
            <sz val="8"/>
            <rFont val="Tahoma"/>
            <family val="2"/>
          </rPr>
          <t xml:space="preserve">', from the centroidal axes and is calculated as follows:
   </t>
        </r>
        <r>
          <rPr>
            <sz val="8"/>
            <rFont val="Symbol"/>
            <family val="1"/>
          </rPr>
          <t>q</t>
        </r>
        <r>
          <rPr>
            <sz val="8"/>
            <rFont val="Tahoma"/>
            <family val="2"/>
          </rPr>
          <t xml:space="preserve"> = (ATAN(-2*Ixy/(Ix-Iy)))/2
Note: sign convention is positive (+) ccw.
           '</t>
        </r>
        <r>
          <rPr>
            <sz val="8"/>
            <rFont val="Symbol"/>
            <family val="1"/>
          </rPr>
          <t xml:space="preserve">q </t>
        </r>
        <r>
          <rPr>
            <sz val="8"/>
            <rFont val="Tahoma"/>
            <family val="2"/>
          </rPr>
          <t>' = 0  for a pile group with at least one
          axis of symmetry.</t>
        </r>
      </text>
    </comment>
    <comment ref="H92" authorId="2">
      <text>
        <r>
          <rPr>
            <sz val="8"/>
            <rFont val="Symbol"/>
            <family val="1"/>
          </rPr>
          <t xml:space="preserve">S </t>
        </r>
        <r>
          <rPr>
            <sz val="8"/>
            <rFont val="Tahoma"/>
            <family val="2"/>
          </rPr>
          <t xml:space="preserve"> Pz = sum of all applied vertical (Z-axis) loads translated to the centroid of the pile group.
Sign convention: positive in +Z-axis direction</t>
        </r>
      </text>
    </comment>
    <comment ref="H93" authorId="2">
      <text>
        <r>
          <rPr>
            <sz val="8"/>
            <rFont val="Symbol"/>
            <family val="1"/>
          </rPr>
          <t xml:space="preserve">S </t>
        </r>
        <r>
          <rPr>
            <sz val="8"/>
            <rFont val="Tahoma"/>
            <family val="2"/>
          </rPr>
          <t xml:space="preserve"> Hx = sum of all applied horizontal (X-axis) loads translated to the centroid of the pile group.
Sign convention: positive in +X-axis direction</t>
        </r>
      </text>
    </comment>
    <comment ref="B94" authorId="2">
      <text>
        <r>
          <rPr>
            <sz val="8"/>
            <rFont val="Tahoma"/>
            <family val="2"/>
          </rPr>
          <t>The 'X' coordinate is the x-distance from the origin axis to a particular pier/loading.</t>
        </r>
      </text>
    </comment>
    <comment ref="H94" authorId="2">
      <text>
        <r>
          <rPr>
            <sz val="8"/>
            <rFont val="Symbol"/>
            <family val="1"/>
          </rPr>
          <t xml:space="preserve">S </t>
        </r>
        <r>
          <rPr>
            <sz val="8"/>
            <rFont val="Tahoma"/>
            <family val="2"/>
          </rPr>
          <t xml:space="preserve"> Hy = sum of all applied horizontal (Y-axis) loads translated to the centroid of the pile group.
Sign convention: positive in +Y-axis direction</t>
        </r>
      </text>
    </comment>
    <comment ref="B95" authorId="2">
      <text>
        <r>
          <rPr>
            <sz val="8"/>
            <rFont val="Tahoma"/>
            <family val="2"/>
          </rPr>
          <t>The 'Y' coordinate is the y-distance from the origin axis to a particular pier/loading.</t>
        </r>
      </text>
    </comment>
    <comment ref="H95" authorId="2">
      <text>
        <r>
          <rPr>
            <sz val="8"/>
            <rFont val="Symbol"/>
            <family val="1"/>
          </rPr>
          <t xml:space="preserve">S </t>
        </r>
        <r>
          <rPr>
            <sz val="8"/>
            <rFont val="Tahoma"/>
            <family val="2"/>
          </rPr>
          <t xml:space="preserve"> Mx = sum of all applied X-axis moments calculated at the top of the piles and  translated to the centroid of the pile group.
Sign convention: positive by "Right-Hand-Rule"
                            about +X-axis</t>
        </r>
      </text>
    </comment>
    <comment ref="B96" authorId="2">
      <text>
        <r>
          <rPr>
            <sz val="8"/>
            <rFont val="Tahoma"/>
            <family val="2"/>
          </rPr>
          <t>The vertical distance, 'h',  from the point of application of any horizontal loads (Hx, Hy) to the top of the piles. This 'h' distance should always be a positive number, but it may be input = 0 if there are no horizontal loads at that pier.  The 'h' distance is used in conjunction with the horizontal loads to obtain any additional moments (Mx, My) that are to be eventually summed with the applied moments.</t>
        </r>
      </text>
    </comment>
    <comment ref="H96" authorId="2">
      <text>
        <r>
          <rPr>
            <sz val="8"/>
            <rFont val="Symbol"/>
            <family val="1"/>
          </rPr>
          <t xml:space="preserve">S </t>
        </r>
        <r>
          <rPr>
            <sz val="8"/>
            <rFont val="Tahoma"/>
            <family val="2"/>
          </rPr>
          <t xml:space="preserve"> My = sum of all applied Y-axis moments calculated at the top of the piles and  translated to the centroid of the pile group.
Sign convention: positive by "Right-Hand-Rule"
                            about +Y-axis</t>
        </r>
      </text>
    </comment>
    <comment ref="B97" authorId="2">
      <text>
        <r>
          <rPr>
            <sz val="8"/>
            <rFont val="Tahoma"/>
            <family val="2"/>
          </rPr>
          <t>'Pz' is the vertical (Z-axis) load to be applied at the pier location.
Sign convention: + = upward (out of page)
                            -  = downward (into page) for gravity loads</t>
        </r>
      </text>
    </comment>
    <comment ref="H97" authorId="2">
      <text>
        <r>
          <rPr>
            <sz val="8"/>
            <rFont val="Symbol"/>
            <family val="1"/>
          </rPr>
          <t xml:space="preserve">S </t>
        </r>
        <r>
          <rPr>
            <sz val="8"/>
            <rFont val="Tahoma"/>
            <family val="2"/>
          </rPr>
          <t xml:space="preserve"> Mz = sum of all applied Z-axis moments translated to the centroid of the pile group.
Sign convention: positive by "Right-Hand-Rule" 
                           about +Z-axis</t>
        </r>
      </text>
    </comment>
    <comment ref="B98" authorId="2">
      <text>
        <r>
          <rPr>
            <sz val="8"/>
            <rFont val="Tahoma"/>
            <family val="2"/>
          </rPr>
          <t>'Hx' is the horizontal (X-axis) load to be applied at the pier location.
Sign convention: + = to right</t>
        </r>
      </text>
    </comment>
    <comment ref="B99" authorId="2">
      <text>
        <r>
          <rPr>
            <sz val="8"/>
            <rFont val="Tahoma"/>
            <family val="2"/>
          </rPr>
          <t>'Hy' is the horizontal (Y-axis) load to be applied at the pier location.
Sign convention: + = up the page</t>
        </r>
      </text>
    </comment>
    <comment ref="B100" authorId="2">
      <text>
        <r>
          <rPr>
            <sz val="8"/>
            <rFont val="Tahoma"/>
            <family val="2"/>
          </rPr>
          <t>'Mx' is the X-axis moment to be applied at the pier location.
Sign convention: + = by "Right-Hand-Rule" about +X-axis</t>
        </r>
      </text>
    </comment>
    <comment ref="H100" authorId="1">
      <text>
        <r>
          <rPr>
            <sz val="8"/>
            <rFont val="Tahoma"/>
            <family val="2"/>
          </rPr>
          <t>Sign convention for 'Rz(max)' is as follows:
   positive (+) = compression pile reaction
   negative (-) = tension (uplift) pile reaction</t>
        </r>
      </text>
    </comment>
    <comment ref="B101" authorId="2">
      <text>
        <r>
          <rPr>
            <sz val="8"/>
            <rFont val="Tahoma"/>
            <family val="2"/>
          </rPr>
          <t>'My' is the Y-axis moment to be applied at the pier location.
Sign convention: + = by "Right-Hand-Rule" about +Y-axis</t>
        </r>
      </text>
    </comment>
    <comment ref="H101" authorId="1">
      <text>
        <r>
          <rPr>
            <sz val="8"/>
            <rFont val="Tahoma"/>
            <family val="2"/>
          </rPr>
          <t>Sign convention for 'Rz(min)' is as follows:
   positive (+) = compression pile reaction
   negative (-) = tension (uplift) pile reaction</t>
        </r>
      </text>
    </comment>
    <comment ref="B102" authorId="2">
      <text>
        <r>
          <rPr>
            <sz val="8"/>
            <rFont val="Tahoma"/>
            <family val="2"/>
          </rPr>
          <t>'Mz' is the Z-axis moment to be applied at the pier location.
Sign convention: + = by "Right-Hand-Rule" about +Z-axis</t>
        </r>
      </text>
    </comment>
    <comment ref="H102" authorId="1">
      <text>
        <r>
          <rPr>
            <sz val="8"/>
            <rFont val="Tahoma"/>
            <family val="2"/>
          </rPr>
          <t>Note: 'Rh(max)' is an "absolute" value
          with no particular sign convention,
          thus no directional sense.</t>
        </r>
      </text>
    </comment>
  </commentList>
</comments>
</file>

<file path=xl/sharedStrings.xml><?xml version="1.0" encoding="utf-8"?>
<sst xmlns="http://schemas.openxmlformats.org/spreadsheetml/2006/main" count="714" uniqueCount="357">
  <si>
    <t>n</t>
  </si>
  <si>
    <t>k</t>
  </si>
  <si>
    <t>R</t>
  </si>
  <si>
    <t xml:space="preserve"> Es/Ec</t>
  </si>
  <si>
    <t>=</t>
  </si>
  <si>
    <t xml:space="preserve"> 1/[1+fs/(n fc)]</t>
  </si>
  <si>
    <t xml:space="preserve"> 1 - k/3</t>
  </si>
  <si>
    <t>fc j k / 2</t>
  </si>
  <si>
    <t>A:</t>
  </si>
  <si>
    <t>B:</t>
  </si>
  <si>
    <t>C:</t>
  </si>
  <si>
    <t>D:</t>
  </si>
  <si>
    <t>kg.</t>
  </si>
  <si>
    <t>P</t>
  </si>
  <si>
    <t>Mx</t>
  </si>
  <si>
    <t>My</t>
  </si>
  <si>
    <t>Ix</t>
  </si>
  <si>
    <t>Iy</t>
  </si>
  <si>
    <t>b</t>
  </si>
  <si>
    <t>Sx</t>
  </si>
  <si>
    <t>Sy</t>
  </si>
  <si>
    <t>Msx, Fbx*Sx</t>
  </si>
  <si>
    <t>Msy, Fby*Sy</t>
  </si>
  <si>
    <t>ebx</t>
  </si>
  <si>
    <t>eax</t>
  </si>
  <si>
    <t>eay</t>
  </si>
  <si>
    <t>eby</t>
  </si>
  <si>
    <r>
      <t>r</t>
    </r>
    <r>
      <rPr>
        <sz val="8.8"/>
        <color indexed="8"/>
        <rFont val="Times New Roman"/>
        <family val="1"/>
      </rPr>
      <t>g, Ast/Ag</t>
    </r>
  </si>
  <si>
    <t>(0.67*rg</t>
  </si>
  <si>
    <t>m</t>
  </si>
  <si>
    <t>kg.-m.</t>
  </si>
  <si>
    <t>E:</t>
  </si>
  <si>
    <t>F:</t>
  </si>
  <si>
    <t>x</t>
  </si>
  <si>
    <t>y</t>
  </si>
  <si>
    <t>G:</t>
  </si>
  <si>
    <t>f'c</t>
  </si>
  <si>
    <t>fc</t>
  </si>
  <si>
    <t>Ec</t>
  </si>
  <si>
    <t>fy</t>
  </si>
  <si>
    <t>j</t>
  </si>
  <si>
    <t>no.</t>
  </si>
  <si>
    <t>x-x</t>
  </si>
  <si>
    <t>y-y</t>
  </si>
  <si>
    <t>y1</t>
  </si>
  <si>
    <t>y2</t>
  </si>
  <si>
    <t>x1</t>
  </si>
  <si>
    <t>x2</t>
  </si>
  <si>
    <t>Df</t>
  </si>
  <si>
    <t>Lx</t>
  </si>
  <si>
    <t>Ly</t>
  </si>
  <si>
    <t>a</t>
  </si>
  <si>
    <t>PILE GROUP ANALYSIS FOR RIGID PILE CAP</t>
  </si>
  <si>
    <t>CALCULATIONS:</t>
  </si>
  <si>
    <t>Version 3.5</t>
  </si>
  <si>
    <t>Using the Elastic Method for up to 25 Total Piles</t>
  </si>
  <si>
    <t>Plot Scale Factors</t>
  </si>
  <si>
    <t>(For Metric Units)</t>
  </si>
  <si>
    <t>Pile Dist. to X,Y axis:</t>
  </si>
  <si>
    <t>Moments of Inertia:</t>
  </si>
  <si>
    <t>Pile Dist. to C.G.:</t>
  </si>
  <si>
    <t>Pile Reactions:</t>
  </si>
  <si>
    <t>X-axis</t>
  </si>
  <si>
    <t>Y-axis</t>
  </si>
  <si>
    <t>Job Name:</t>
  </si>
  <si>
    <t>Subject:</t>
  </si>
  <si>
    <t>Pile No.:</t>
  </si>
  <si>
    <t>dy</t>
  </si>
  <si>
    <t>dx</t>
  </si>
  <si>
    <t>Ixy</t>
  </si>
  <si>
    <t>Xp</t>
  </si>
  <si>
    <t>Yp</t>
  </si>
  <si>
    <t>Vert. Rz</t>
  </si>
  <si>
    <t>Horiz. Rh</t>
  </si>
  <si>
    <t>Job Number:</t>
  </si>
  <si>
    <t>Originator:</t>
  </si>
  <si>
    <t>Checker:</t>
  </si>
  <si>
    <t>below from Metric to English Units, and use</t>
  </si>
  <si>
    <t>Input Data:</t>
  </si>
  <si>
    <t>"Paste Special, Values" function to paste into</t>
  </si>
  <si>
    <t>Results:</t>
  </si>
  <si>
    <t>appropriate input cells in English worksheet.</t>
  </si>
  <si>
    <t>Number of Piles, Np =</t>
  </si>
  <si>
    <t xml:space="preserve"> </t>
  </si>
  <si>
    <t>Pile Coordinates:</t>
  </si>
  <si>
    <t>English Units Pile Coordinates:</t>
  </si>
  <si>
    <t>Pile Group Properties:</t>
  </si>
  <si>
    <t>Xc =</t>
  </si>
  <si>
    <t>Yc =</t>
  </si>
  <si>
    <t>Pier Data and Loads:</t>
  </si>
  <si>
    <t>Ix =</t>
  </si>
  <si>
    <t>m^2</t>
  </si>
  <si>
    <t>Pier #1</t>
  </si>
  <si>
    <t>Pier #2</t>
  </si>
  <si>
    <t>Pier #3</t>
  </si>
  <si>
    <t>Pier #4</t>
  </si>
  <si>
    <t>Iy =</t>
  </si>
  <si>
    <t>J =</t>
  </si>
  <si>
    <t>Ixy =</t>
  </si>
  <si>
    <t>Mx(Pz)</t>
  </si>
  <si>
    <t>deg.</t>
  </si>
  <si>
    <t>My(Pz)</t>
  </si>
  <si>
    <t>Mx(Hy)</t>
  </si>
  <si>
    <t>Number of Piers, N =</t>
  </si>
  <si>
    <t>My(Hx)</t>
  </si>
  <si>
    <t>kN</t>
  </si>
  <si>
    <t>Mz(Hx)</t>
  </si>
  <si>
    <t>Pier/Loading Data:</t>
  </si>
  <si>
    <t>Mz(Hy)</t>
  </si>
  <si>
    <t>English Units Pier/Loading Data:</t>
  </si>
  <si>
    <t>kN-m</t>
  </si>
  <si>
    <t>Pile Reaction Summary:</t>
  </si>
  <si>
    <t>Kn-m</t>
  </si>
  <si>
    <t>Rz(max) =</t>
  </si>
  <si>
    <t>Rz(min) =</t>
  </si>
  <si>
    <t>Rh(max) =</t>
  </si>
  <si>
    <t>Circular Pile Pattern:</t>
  </si>
  <si>
    <t xml:space="preserve">          of pile coordinates for a circular pattern:</t>
  </si>
  <si>
    <t>Input (Metric Units):</t>
  </si>
  <si>
    <t>No. of Piles, Np =</t>
  </si>
  <si>
    <t>Pile Circle, Dc =</t>
  </si>
  <si>
    <t>Center of Circle, Xo =</t>
  </si>
  <si>
    <t>Center of Circle, Yo =</t>
  </si>
  <si>
    <t>Xo (m)</t>
  </si>
  <si>
    <t>Yo (m)</t>
  </si>
  <si>
    <t>Input which can be copied</t>
  </si>
  <si>
    <t>(See notes below)</t>
  </si>
  <si>
    <t xml:space="preserve">            3. When modeling multiple pile circles, remember to always use the center coordinates of the </t>
  </si>
  <si>
    <t xml:space="preserve">                largest pile circle for all the other smaller pile circles.</t>
  </si>
  <si>
    <r>
      <t>Note:</t>
    </r>
    <r>
      <rPr>
        <b/>
        <i/>
        <sz val="10"/>
        <color indexed="10"/>
        <rFont val="Arial"/>
        <family val="2"/>
      </rPr>
      <t xml:space="preserve">  User may copy the values converted </t>
    </r>
  </si>
  <si>
    <r>
      <t xml:space="preserve">Pile Reactions </t>
    </r>
    <r>
      <rPr>
        <b/>
        <sz val="8"/>
        <rFont val="Arial"/>
        <family val="2"/>
      </rPr>
      <t>(kN)</t>
    </r>
  </si>
  <si>
    <r>
      <t xml:space="preserve">Xo </t>
    </r>
    <r>
      <rPr>
        <sz val="8"/>
        <rFont val="Arial"/>
        <family val="2"/>
      </rPr>
      <t>(m)</t>
    </r>
  </si>
  <si>
    <r>
      <t xml:space="preserve">Yo </t>
    </r>
    <r>
      <rPr>
        <sz val="8"/>
        <rFont val="Arial"/>
        <family val="2"/>
      </rPr>
      <t>(m)</t>
    </r>
  </si>
  <si>
    <r>
      <t xml:space="preserve">Xo </t>
    </r>
    <r>
      <rPr>
        <sz val="8"/>
        <color indexed="12"/>
        <rFont val="Arial"/>
        <family val="2"/>
      </rPr>
      <t>(ft.)</t>
    </r>
  </si>
  <si>
    <r>
      <t xml:space="preserve">Yo </t>
    </r>
    <r>
      <rPr>
        <sz val="8"/>
        <color indexed="12"/>
        <rFont val="Arial"/>
        <family val="2"/>
      </rPr>
      <t>(ft.)</t>
    </r>
  </si>
  <si>
    <r>
      <t>S</t>
    </r>
    <r>
      <rPr>
        <sz val="10"/>
        <color indexed="12"/>
        <rFont val="Arial"/>
        <family val="2"/>
      </rPr>
      <t xml:space="preserve"> Xo =</t>
    </r>
  </si>
  <si>
    <r>
      <t>S</t>
    </r>
    <r>
      <rPr>
        <sz val="10"/>
        <color indexed="12"/>
        <rFont val="Arial"/>
        <family val="2"/>
      </rPr>
      <t xml:space="preserve"> Yo =</t>
    </r>
  </si>
  <si>
    <r>
      <t>q</t>
    </r>
    <r>
      <rPr>
        <sz val="10"/>
        <color indexed="8"/>
        <rFont val="Arial"/>
        <family val="2"/>
      </rPr>
      <t xml:space="preserve"> =</t>
    </r>
  </si>
  <si>
    <r>
      <t>S</t>
    </r>
    <r>
      <rPr>
        <b/>
        <u val="single"/>
        <sz val="10"/>
        <color indexed="8"/>
        <rFont val="Arial"/>
        <family val="2"/>
      </rPr>
      <t xml:space="preserve"> Pier Loads @ C.G. of Group:</t>
    </r>
  </si>
  <si>
    <r>
      <t>S</t>
    </r>
    <r>
      <rPr>
        <sz val="10"/>
        <color indexed="8"/>
        <rFont val="Arial"/>
        <family val="2"/>
      </rPr>
      <t xml:space="preserve"> Pz =</t>
    </r>
  </si>
  <si>
    <r>
      <t>S</t>
    </r>
    <r>
      <rPr>
        <sz val="10"/>
        <color indexed="8"/>
        <rFont val="Arial"/>
        <family val="2"/>
      </rPr>
      <t xml:space="preserve"> Hx =</t>
    </r>
  </si>
  <si>
    <r>
      <t>q</t>
    </r>
    <r>
      <rPr>
        <sz val="10"/>
        <color indexed="12"/>
        <rFont val="Arial"/>
        <family val="2"/>
      </rPr>
      <t xml:space="preserve"> =</t>
    </r>
  </si>
  <si>
    <r>
      <t xml:space="preserve">X-Coordinate </t>
    </r>
    <r>
      <rPr>
        <sz val="8"/>
        <rFont val="Arial"/>
        <family val="2"/>
      </rPr>
      <t>(m)</t>
    </r>
    <r>
      <rPr>
        <sz val="10"/>
        <rFont val="Arial"/>
        <family val="2"/>
      </rPr>
      <t xml:space="preserve"> =</t>
    </r>
  </si>
  <si>
    <r>
      <t>S</t>
    </r>
    <r>
      <rPr>
        <sz val="10"/>
        <color indexed="8"/>
        <rFont val="Arial"/>
        <family val="2"/>
      </rPr>
      <t xml:space="preserve"> Hy =</t>
    </r>
  </si>
  <si>
    <r>
      <t xml:space="preserve">X-Coordinate </t>
    </r>
    <r>
      <rPr>
        <sz val="8"/>
        <color indexed="12"/>
        <rFont val="Arial"/>
        <family val="2"/>
      </rPr>
      <t>(ft.)</t>
    </r>
    <r>
      <rPr>
        <sz val="10"/>
        <color indexed="12"/>
        <rFont val="Arial"/>
        <family val="2"/>
      </rPr>
      <t xml:space="preserve"> =</t>
    </r>
  </si>
  <si>
    <r>
      <t xml:space="preserve">Y-Coordinate </t>
    </r>
    <r>
      <rPr>
        <sz val="8"/>
        <rFont val="Arial"/>
        <family val="2"/>
      </rPr>
      <t>(m)</t>
    </r>
    <r>
      <rPr>
        <sz val="10"/>
        <rFont val="Arial"/>
        <family val="2"/>
      </rPr>
      <t xml:space="preserve"> =</t>
    </r>
  </si>
  <si>
    <r>
      <t>S</t>
    </r>
    <r>
      <rPr>
        <sz val="10"/>
        <color indexed="8"/>
        <rFont val="Arial"/>
        <family val="2"/>
      </rPr>
      <t xml:space="preserve"> Mx =</t>
    </r>
  </si>
  <si>
    <r>
      <t>S</t>
    </r>
    <r>
      <rPr>
        <u val="single"/>
        <sz val="10"/>
        <color indexed="12"/>
        <rFont val="Arial"/>
        <family val="2"/>
      </rPr>
      <t xml:space="preserve"> Pier Loads @ C.G. of Pile Group:</t>
    </r>
  </si>
  <si>
    <r>
      <t xml:space="preserve">Y-Coordinate </t>
    </r>
    <r>
      <rPr>
        <sz val="8"/>
        <color indexed="12"/>
        <rFont val="Arial"/>
        <family val="2"/>
      </rPr>
      <t>(ft.)</t>
    </r>
    <r>
      <rPr>
        <sz val="10"/>
        <color indexed="12"/>
        <rFont val="Arial"/>
        <family val="2"/>
      </rPr>
      <t xml:space="preserve"> =</t>
    </r>
  </si>
  <si>
    <r>
      <t xml:space="preserve">Dist. to T/Piles, h </t>
    </r>
    <r>
      <rPr>
        <sz val="8"/>
        <rFont val="Arial"/>
        <family val="2"/>
      </rPr>
      <t>(m)</t>
    </r>
    <r>
      <rPr>
        <sz val="10"/>
        <rFont val="Arial"/>
        <family val="2"/>
      </rPr>
      <t xml:space="preserve"> =</t>
    </r>
  </si>
  <si>
    <r>
      <t>S</t>
    </r>
    <r>
      <rPr>
        <sz val="10"/>
        <color indexed="8"/>
        <rFont val="Arial"/>
        <family val="2"/>
      </rPr>
      <t xml:space="preserve"> My =</t>
    </r>
  </si>
  <si>
    <r>
      <t>S</t>
    </r>
    <r>
      <rPr>
        <sz val="10"/>
        <color indexed="12"/>
        <rFont val="Arial"/>
        <family val="2"/>
      </rPr>
      <t xml:space="preserve"> Pz =</t>
    </r>
  </si>
  <si>
    <r>
      <t xml:space="preserve">Dist. to T/Piles, h </t>
    </r>
    <r>
      <rPr>
        <sz val="8"/>
        <color indexed="12"/>
        <rFont val="Arial"/>
        <family val="2"/>
      </rPr>
      <t>(ft.)</t>
    </r>
    <r>
      <rPr>
        <sz val="10"/>
        <color indexed="12"/>
        <rFont val="Arial"/>
        <family val="2"/>
      </rPr>
      <t xml:space="preserve"> =</t>
    </r>
  </si>
  <si>
    <r>
      <t xml:space="preserve">Vertical Load, Pz </t>
    </r>
    <r>
      <rPr>
        <sz val="8"/>
        <rFont val="Arial"/>
        <family val="2"/>
      </rPr>
      <t>(kN)</t>
    </r>
    <r>
      <rPr>
        <sz val="10"/>
        <rFont val="Arial"/>
        <family val="2"/>
      </rPr>
      <t xml:space="preserve"> =</t>
    </r>
  </si>
  <si>
    <r>
      <t>S</t>
    </r>
    <r>
      <rPr>
        <sz val="10"/>
        <color indexed="8"/>
        <rFont val="Arial"/>
        <family val="2"/>
      </rPr>
      <t xml:space="preserve"> Mz =</t>
    </r>
  </si>
  <si>
    <r>
      <t>S</t>
    </r>
    <r>
      <rPr>
        <sz val="10"/>
        <color indexed="12"/>
        <rFont val="Arial"/>
        <family val="2"/>
      </rPr>
      <t xml:space="preserve"> Hx =</t>
    </r>
  </si>
  <si>
    <r>
      <t xml:space="preserve">Vertical Load, Pz </t>
    </r>
    <r>
      <rPr>
        <sz val="8"/>
        <color indexed="12"/>
        <rFont val="Arial"/>
        <family val="2"/>
      </rPr>
      <t>(k)</t>
    </r>
    <r>
      <rPr>
        <sz val="10"/>
        <color indexed="12"/>
        <rFont val="Arial"/>
        <family val="2"/>
      </rPr>
      <t xml:space="preserve"> =</t>
    </r>
  </si>
  <si>
    <r>
      <t xml:space="preserve">Horiz. Load, Hx </t>
    </r>
    <r>
      <rPr>
        <sz val="8"/>
        <rFont val="Arial"/>
        <family val="2"/>
      </rPr>
      <t>(kN)</t>
    </r>
    <r>
      <rPr>
        <sz val="10"/>
        <rFont val="Arial"/>
        <family val="2"/>
      </rPr>
      <t xml:space="preserve"> =</t>
    </r>
  </si>
  <si>
    <r>
      <t>S</t>
    </r>
    <r>
      <rPr>
        <sz val="10"/>
        <color indexed="12"/>
        <rFont val="Arial"/>
        <family val="2"/>
      </rPr>
      <t xml:space="preserve"> Hy =</t>
    </r>
  </si>
  <si>
    <r>
      <t xml:space="preserve">Horiz. Load, Hx </t>
    </r>
    <r>
      <rPr>
        <sz val="8"/>
        <color indexed="12"/>
        <rFont val="Arial"/>
        <family val="2"/>
      </rPr>
      <t>(k)</t>
    </r>
    <r>
      <rPr>
        <sz val="10"/>
        <color indexed="12"/>
        <rFont val="Arial"/>
        <family val="2"/>
      </rPr>
      <t xml:space="preserve"> =</t>
    </r>
  </si>
  <si>
    <r>
      <t xml:space="preserve">Horiz. Load, Hy </t>
    </r>
    <r>
      <rPr>
        <sz val="8"/>
        <rFont val="Arial"/>
        <family val="2"/>
      </rPr>
      <t>(kN)</t>
    </r>
    <r>
      <rPr>
        <sz val="10"/>
        <rFont val="Arial"/>
        <family val="2"/>
      </rPr>
      <t xml:space="preserve"> =</t>
    </r>
  </si>
  <si>
    <r>
      <t>S</t>
    </r>
    <r>
      <rPr>
        <sz val="10"/>
        <color indexed="12"/>
        <rFont val="Arial"/>
        <family val="2"/>
      </rPr>
      <t xml:space="preserve"> Mx =</t>
    </r>
  </si>
  <si>
    <r>
      <t xml:space="preserve">Horiz. Load, Hy </t>
    </r>
    <r>
      <rPr>
        <sz val="8"/>
        <color indexed="12"/>
        <rFont val="Arial"/>
        <family val="2"/>
      </rPr>
      <t>(k)</t>
    </r>
    <r>
      <rPr>
        <sz val="10"/>
        <color indexed="12"/>
        <rFont val="Arial"/>
        <family val="2"/>
      </rPr>
      <t xml:space="preserve"> =</t>
    </r>
  </si>
  <si>
    <r>
      <t xml:space="preserve">Moment, Mx </t>
    </r>
    <r>
      <rPr>
        <sz val="8"/>
        <rFont val="Arial"/>
        <family val="2"/>
      </rPr>
      <t>(kN-m)</t>
    </r>
    <r>
      <rPr>
        <sz val="10"/>
        <rFont val="Arial"/>
        <family val="2"/>
      </rPr>
      <t xml:space="preserve"> =</t>
    </r>
  </si>
  <si>
    <r>
      <t>S</t>
    </r>
    <r>
      <rPr>
        <sz val="10"/>
        <color indexed="12"/>
        <rFont val="Arial"/>
        <family val="2"/>
      </rPr>
      <t xml:space="preserve"> My =</t>
    </r>
  </si>
  <si>
    <r>
      <t xml:space="preserve">Moment, Mx </t>
    </r>
    <r>
      <rPr>
        <sz val="8"/>
        <color indexed="12"/>
        <rFont val="Arial"/>
        <family val="2"/>
      </rPr>
      <t>(ft-k)</t>
    </r>
    <r>
      <rPr>
        <sz val="10"/>
        <color indexed="12"/>
        <rFont val="Arial"/>
        <family val="2"/>
      </rPr>
      <t xml:space="preserve"> =</t>
    </r>
  </si>
  <si>
    <r>
      <t xml:space="preserve">Moment, My </t>
    </r>
    <r>
      <rPr>
        <sz val="8"/>
        <rFont val="Arial"/>
        <family val="2"/>
      </rPr>
      <t>(kN-m)</t>
    </r>
    <r>
      <rPr>
        <sz val="10"/>
        <rFont val="Arial"/>
        <family val="2"/>
      </rPr>
      <t xml:space="preserve"> =</t>
    </r>
  </si>
  <si>
    <r>
      <t>S</t>
    </r>
    <r>
      <rPr>
        <sz val="10"/>
        <color indexed="12"/>
        <rFont val="Arial"/>
        <family val="2"/>
      </rPr>
      <t xml:space="preserve"> Mz =</t>
    </r>
  </si>
  <si>
    <r>
      <t xml:space="preserve">Moment, My </t>
    </r>
    <r>
      <rPr>
        <sz val="8"/>
        <color indexed="12"/>
        <rFont val="Arial"/>
        <family val="2"/>
      </rPr>
      <t>(ft-k)</t>
    </r>
    <r>
      <rPr>
        <sz val="10"/>
        <color indexed="12"/>
        <rFont val="Arial"/>
        <family val="2"/>
      </rPr>
      <t xml:space="preserve"> =</t>
    </r>
  </si>
  <si>
    <r>
      <t xml:space="preserve">Moment, Mz </t>
    </r>
    <r>
      <rPr>
        <sz val="8"/>
        <rFont val="Arial"/>
        <family val="2"/>
      </rPr>
      <t>(kN-m)</t>
    </r>
    <r>
      <rPr>
        <sz val="10"/>
        <rFont val="Arial"/>
        <family val="2"/>
      </rPr>
      <t xml:space="preserve"> =</t>
    </r>
  </si>
  <si>
    <r>
      <t xml:space="preserve">Moment, Mz </t>
    </r>
    <r>
      <rPr>
        <sz val="8"/>
        <color indexed="12"/>
        <rFont val="Arial"/>
        <family val="2"/>
      </rPr>
      <t>(ft-k)</t>
    </r>
    <r>
      <rPr>
        <sz val="10"/>
        <color indexed="12"/>
        <rFont val="Arial"/>
        <family val="2"/>
      </rPr>
      <t xml:space="preserve"> =</t>
    </r>
  </si>
  <si>
    <r>
      <t>Note:</t>
    </r>
    <r>
      <rPr>
        <b/>
        <sz val="10"/>
        <color indexed="12"/>
        <rFont val="Arial"/>
        <family val="2"/>
      </rPr>
      <t xml:space="preserve">  The following may be used to facilitate input </t>
    </r>
  </si>
  <si>
    <r>
      <t xml:space="preserve">Angle to Pile #1, </t>
    </r>
    <r>
      <rPr>
        <sz val="10"/>
        <color indexed="12"/>
        <rFont val="Symbol"/>
        <family val="1"/>
      </rPr>
      <t>q</t>
    </r>
    <r>
      <rPr>
        <sz val="10"/>
        <color indexed="12"/>
        <rFont val="Arial"/>
        <family val="2"/>
      </rPr>
      <t>1 =</t>
    </r>
  </si>
  <si>
    <r>
      <t xml:space="preserve">Pile Reactions </t>
    </r>
    <r>
      <rPr>
        <b/>
        <sz val="8"/>
        <rFont val="Arial"/>
        <family val="2"/>
      </rPr>
      <t>(kg)</t>
    </r>
  </si>
  <si>
    <r>
      <t>Notes:</t>
    </r>
    <r>
      <rPr>
        <sz val="10"/>
        <color indexed="12"/>
        <rFont val="Arial"/>
        <family val="2"/>
      </rPr>
      <t xml:space="preserve">  1. Copy only the block of cells from </t>
    </r>
    <r>
      <rPr>
        <b/>
        <sz val="10"/>
        <color indexed="12"/>
        <rFont val="Arial"/>
        <family val="2"/>
      </rPr>
      <t>AF66</t>
    </r>
    <r>
      <rPr>
        <sz val="10"/>
        <color indexed="12"/>
        <rFont val="Arial"/>
        <family val="2"/>
      </rPr>
      <t xml:space="preserve"> to </t>
    </r>
    <r>
      <rPr>
        <b/>
        <sz val="10"/>
        <color indexed="12"/>
        <rFont val="Arial"/>
        <family val="2"/>
      </rPr>
      <t>AG90</t>
    </r>
    <r>
      <rPr>
        <sz val="10"/>
        <color indexed="12"/>
        <rFont val="Arial"/>
        <family val="2"/>
      </rPr>
      <t xml:space="preserve"> above, and "Paste Special" only their "values"</t>
    </r>
  </si>
  <si>
    <r>
      <t xml:space="preserve">                in the appropriate position, starting at cell </t>
    </r>
    <r>
      <rPr>
        <b/>
        <sz val="10"/>
        <color indexed="12"/>
        <rFont val="Arial"/>
        <family val="2"/>
      </rPr>
      <t>B12</t>
    </r>
    <r>
      <rPr>
        <sz val="10"/>
        <color indexed="12"/>
        <rFont val="Arial"/>
        <family val="2"/>
      </rPr>
      <t xml:space="preserve"> on the input page. </t>
    </r>
  </si>
  <si>
    <r>
      <t xml:space="preserve">            2. Remember to account for the correct total number of piles in cell </t>
    </r>
    <r>
      <rPr>
        <b/>
        <sz val="10"/>
        <color indexed="12"/>
        <rFont val="Arial"/>
        <family val="2"/>
      </rPr>
      <t>C9</t>
    </r>
    <r>
      <rPr>
        <sz val="10"/>
        <color indexed="12"/>
        <rFont val="Arial"/>
        <family val="2"/>
      </rPr>
      <t xml:space="preserve"> on the input page.</t>
    </r>
  </si>
  <si>
    <r>
      <t xml:space="preserve">Vertical Load, Pz </t>
    </r>
    <r>
      <rPr>
        <sz val="8"/>
        <rFont val="Arial"/>
        <family val="2"/>
      </rPr>
      <t>(kg.)</t>
    </r>
    <r>
      <rPr>
        <sz val="10"/>
        <rFont val="Arial"/>
        <family val="2"/>
      </rPr>
      <t xml:space="preserve"> =</t>
    </r>
  </si>
  <si>
    <r>
      <t xml:space="preserve">Horiz. Load, Hx </t>
    </r>
    <r>
      <rPr>
        <sz val="8"/>
        <rFont val="Arial"/>
        <family val="2"/>
      </rPr>
      <t>(kg.)</t>
    </r>
    <r>
      <rPr>
        <sz val="10"/>
        <rFont val="Arial"/>
        <family val="2"/>
      </rPr>
      <t xml:space="preserve"> =</t>
    </r>
  </si>
  <si>
    <r>
      <t xml:space="preserve">Horiz. Load, Hy </t>
    </r>
    <r>
      <rPr>
        <sz val="8"/>
        <rFont val="Arial"/>
        <family val="2"/>
      </rPr>
      <t>(kg.)</t>
    </r>
    <r>
      <rPr>
        <sz val="10"/>
        <rFont val="Arial"/>
        <family val="2"/>
      </rPr>
      <t xml:space="preserve"> =</t>
    </r>
  </si>
  <si>
    <r>
      <t xml:space="preserve">Moment, Mx </t>
    </r>
    <r>
      <rPr>
        <sz val="8"/>
        <rFont val="Arial"/>
        <family val="2"/>
      </rPr>
      <t>(kg.-m.)</t>
    </r>
    <r>
      <rPr>
        <sz val="10"/>
        <rFont val="Arial"/>
        <family val="2"/>
      </rPr>
      <t xml:space="preserve"> =</t>
    </r>
  </si>
  <si>
    <r>
      <t xml:space="preserve">Moment, My </t>
    </r>
    <r>
      <rPr>
        <sz val="8"/>
        <rFont val="Arial"/>
        <family val="2"/>
      </rPr>
      <t>(kg-m)</t>
    </r>
    <r>
      <rPr>
        <sz val="10"/>
        <rFont val="Arial"/>
        <family val="2"/>
      </rPr>
      <t xml:space="preserve"> =</t>
    </r>
  </si>
  <si>
    <r>
      <t xml:space="preserve">Moment, Mz </t>
    </r>
    <r>
      <rPr>
        <sz val="8"/>
        <rFont val="Arial"/>
        <family val="2"/>
      </rPr>
      <t>(kg-m)</t>
    </r>
    <r>
      <rPr>
        <sz val="10"/>
        <rFont val="Arial"/>
        <family val="2"/>
      </rPr>
      <t xml:space="preserve"> =</t>
    </r>
  </si>
  <si>
    <t>Pmax</t>
  </si>
  <si>
    <t>d</t>
  </si>
  <si>
    <t>D</t>
  </si>
  <si>
    <t>d/2</t>
  </si>
  <si>
    <t>H:</t>
  </si>
  <si>
    <t>status</t>
  </si>
  <si>
    <t xml:space="preserve">As req'd </t>
  </si>
  <si>
    <t>Mmax/(fs*j*d)</t>
  </si>
  <si>
    <t>As min</t>
  </si>
  <si>
    <t>(14/fy)*b*d</t>
  </si>
  <si>
    <t>No.</t>
  </si>
  <si>
    <t>I:</t>
  </si>
  <si>
    <r>
      <t>∑</t>
    </r>
    <r>
      <rPr>
        <sz val="8"/>
        <color indexed="8"/>
        <rFont val="Times New Roman"/>
        <family val="1"/>
      </rPr>
      <t>o req'd , v / (</t>
    </r>
    <r>
      <rPr>
        <sz val="8"/>
        <color indexed="8"/>
        <rFont val="Arial"/>
        <family val="2"/>
      </rPr>
      <t>µ*j*d)</t>
    </r>
  </si>
  <si>
    <t>vy</t>
  </si>
  <si>
    <t>vx</t>
  </si>
  <si>
    <t>J:</t>
  </si>
  <si>
    <t>K:</t>
  </si>
  <si>
    <t>I-22x22</t>
  </si>
  <si>
    <t>0,0,0</t>
  </si>
  <si>
    <t>P1</t>
  </si>
  <si>
    <t>P2</t>
  </si>
  <si>
    <t>bo</t>
  </si>
  <si>
    <t>P3</t>
  </si>
  <si>
    <t>P4</t>
  </si>
  <si>
    <t>Around x-x</t>
  </si>
  <si>
    <t>SD-30</t>
  </si>
  <si>
    <t>-x</t>
  </si>
  <si>
    <t>P5</t>
  </si>
  <si>
    <t>-</t>
  </si>
  <si>
    <r>
      <t>x</t>
    </r>
    <r>
      <rPr>
        <sz val="8"/>
        <color indexed="8"/>
        <rFont val="Arial"/>
        <family val="2"/>
      </rPr>
      <t>≥</t>
    </r>
    <r>
      <rPr>
        <sz val="8"/>
        <color indexed="8"/>
        <rFont val="Times New Roman"/>
        <family val="1"/>
      </rPr>
      <t>15</t>
    </r>
  </si>
  <si>
    <r>
      <t>x</t>
    </r>
    <r>
      <rPr>
        <sz val="8"/>
        <color indexed="8"/>
        <rFont val="Arial"/>
        <family val="2"/>
      </rPr>
      <t>≤</t>
    </r>
    <r>
      <rPr>
        <sz val="8"/>
        <color indexed="8"/>
        <rFont val="Times New Roman"/>
        <family val="1"/>
      </rPr>
      <t>-</t>
    </r>
    <r>
      <rPr>
        <sz val="8"/>
        <color indexed="8"/>
        <rFont val="Times New Roman"/>
        <family val="1"/>
      </rPr>
      <t>15</t>
    </r>
  </si>
  <si>
    <t>+x</t>
  </si>
  <si>
    <t>P'=0</t>
  </si>
  <si>
    <t>P'</t>
  </si>
  <si>
    <t>P'=P/2</t>
  </si>
  <si>
    <t>P' = P</t>
  </si>
  <si>
    <t>P' = P/30 *(x+15)</t>
  </si>
  <si>
    <t>P6</t>
  </si>
  <si>
    <t>+15</t>
  </si>
  <si>
    <t>RB</t>
  </si>
  <si>
    <t>โครงการ :</t>
  </si>
  <si>
    <t>อาคารคอนกรีตเสริมเหล็ก 2 ชั้น</t>
  </si>
  <si>
    <t>รายการ :</t>
  </si>
  <si>
    <t>หน้า</t>
  </si>
  <si>
    <t>เจ้าของ :</t>
  </si>
  <si>
    <t>นาย สุธีร์   แก้วคำ</t>
  </si>
  <si>
    <t>วิศวกรโครงสร้าง :</t>
  </si>
  <si>
    <t>ของ</t>
  </si>
  <si>
    <t>ที่ตั้ง :</t>
  </si>
  <si>
    <t>กรุงเทพ</t>
  </si>
  <si>
    <t>วันที่:</t>
  </si>
  <si>
    <t>คุณสมบัติของวัสดุ</t>
  </si>
  <si>
    <t>คอนกรีต</t>
  </si>
  <si>
    <t>กำลังอัดประลัย</t>
  </si>
  <si>
    <t>หน่วยแรงอัดที่ยอมให้</t>
  </si>
  <si>
    <t>ตัวคูณลดกำลัง</t>
  </si>
  <si>
    <t>โมดูลัสยืดหยุ่น , 15210√f'c</t>
  </si>
  <si>
    <t>เหล็กเสริม</t>
  </si>
  <si>
    <t>ชั้นคุณภาพ   ("SD-xx or" SR-xx)</t>
  </si>
  <si>
    <t>กำลังคราก</t>
  </si>
  <si>
    <t>หน่วยแรงดึงที่ยอมให้</t>
  </si>
  <si>
    <t>โมดูลัสยืดหยุ่น</t>
  </si>
  <si>
    <t>พารามิเตอร์</t>
  </si>
  <si>
    <t>ออกแบบเสาเข็ม</t>
  </si>
  <si>
    <t>ชนิดเสาเข็ม</t>
  </si>
  <si>
    <t>น้ำหนักบรรทุกปลอดภัยแนวดิ่ง</t>
  </si>
  <si>
    <t>แรงดึงปลอดภัย</t>
  </si>
  <si>
    <t>แรงทางด้านข้างปลอดภัย</t>
  </si>
  <si>
    <t>แรงตามแนว</t>
  </si>
  <si>
    <t>โมเมนต์ดัดรอบแกน x-x</t>
  </si>
  <si>
    <t>โมเมนต์ดัดรอบแกน y-y</t>
  </si>
  <si>
    <t>น้ำหนัก ฐานราก+ตอม่อ+ดินถม,wf+wp+ws</t>
  </si>
  <si>
    <t>แรงแนวดิ่งทั้งหมดที่ถ่ายลงฐานราก</t>
  </si>
  <si>
    <t>ระยะดินถมถึงใต้ฐานราก</t>
  </si>
  <si>
    <t>ขนาดฐานรากด้านยาว x-x</t>
  </si>
  <si>
    <t>ขนาดฐานรากด้านลึก y-t</t>
  </si>
  <si>
    <t>ขนาดตอม่อด้านยาว x-x</t>
  </si>
  <si>
    <t>ขนาดตอม่อด้านลึก y-y</t>
  </si>
  <si>
    <t>แรงปฎิกริยาที่เสาเข็ม</t>
  </si>
  <si>
    <t>พิกัดเสาเข็ม Pile1</t>
  </si>
  <si>
    <t>พิกัดเสาเข็ม Pile2</t>
  </si>
  <si>
    <t>พิกัดเสาเข็ม Pile3</t>
  </si>
  <si>
    <t>พิกัดเสาเข็ม Pile4</t>
  </si>
  <si>
    <t>พิกัดเสาเข็ม Pile5</t>
  </si>
  <si>
    <t>พิกัดเสาเข็ม Pile6</t>
  </si>
  <si>
    <t xml:space="preserve">พิกัดเสาตอม่อ </t>
  </si>
  <si>
    <t>แรงปฎิกิริยาที่เสาเข็ม Pile1</t>
  </si>
  <si>
    <t>แรงปฎิกิริยาที่เสาเข็ม Pile2</t>
  </si>
  <si>
    <t>แรงปฎิกิริยาที่เสาเข็ม Pile3</t>
  </si>
  <si>
    <t>แรงปฎิกิริยาที่เสาเข็ม Pile4</t>
  </si>
  <si>
    <t>แรงปฎิกิริยาที่เสาเข็ม Pile5</t>
  </si>
  <si>
    <t>แรงปฎิกิริยาที่เสาเข็ม Pile6</t>
  </si>
  <si>
    <t>กรณี 1 เสาเข็มรับแรงอัด</t>
  </si>
  <si>
    <t>ค่าแรงอัดสูงสุดที่เกิดขึ้น</t>
  </si>
  <si>
    <t>กรณี 2 เสาเข็มรับแรงดึง</t>
  </si>
  <si>
    <t>ค่าแรงดึงสูงสุดที่เกิดขึ้น</t>
  </si>
  <si>
    <t>ตรวจสอบโมเมนต์ดัดที่ขอบของเสาตอม่อ</t>
  </si>
  <si>
    <t>รอบแกน y-y</t>
  </si>
  <si>
    <t>พิกัดเสาเข็มถึงศูนย์กลางตอม่อ,Lx1</t>
  </si>
  <si>
    <t>โมเมนต์ดัดรอบแกน y-y คิดที่ขอบเสาตอม่อ</t>
  </si>
  <si>
    <t xml:space="preserve">โมเมนต์ดัดสูงสุดรอบแกน y-y </t>
  </si>
  <si>
    <t>รอบแกน x-x</t>
  </si>
  <si>
    <t>พิกัดเสาเข็มถึงศูนย์กลางตอม่อ,Ly1</t>
  </si>
  <si>
    <t>โมเมนต์ดัดรอบแกน x-x คิดที่ขอบเสาตอม่อ</t>
  </si>
  <si>
    <t>โมเมนต์ดัดสูงสุดรอบแกน x-x</t>
  </si>
  <si>
    <t>ความลึกประสิทธิผล,√Mmax/Rb ,d req'd</t>
  </si>
  <si>
    <t>ความลึกประสิทธิผลที่ออกแบบ</t>
  </si>
  <si>
    <t>ความหนาของฐานรากที่ออกแบบ</t>
  </si>
  <si>
    <t>ตรวจสอบแรงเฉือนแบบคานที่ระยะ d</t>
  </si>
  <si>
    <t>พิกัดเสาเข็มถึงขอบเสาตอม่อ</t>
  </si>
  <si>
    <t>พิกัดเสาเข็มถึงระยะ d</t>
  </si>
  <si>
    <t>แรงปฎิกิริยาที่เสาเข็ม</t>
  </si>
  <si>
    <r>
      <t>แรงเฉือนที่ยอมให้,Vc=0.29</t>
    </r>
    <r>
      <rPr>
        <sz val="8"/>
        <color indexed="8"/>
        <rFont val="Arial"/>
        <family val="2"/>
      </rPr>
      <t>√</t>
    </r>
    <r>
      <rPr>
        <sz val="8"/>
        <color indexed="8"/>
        <rFont val="Times New Roman"/>
        <family val="1"/>
      </rPr>
      <t>fc'*Ly*d</t>
    </r>
  </si>
  <si>
    <t>แรงเฉือนรอบแกน y-y (P1+P4)</t>
  </si>
  <si>
    <t>แรงเฉือนรอบแกน y-y (P3+P6)</t>
  </si>
  <si>
    <t>แรงเฉือนสูงสุดรอบแกน y-y</t>
  </si>
  <si>
    <r>
      <t>แรงเฉือนที่ยอมให้,Vc=0.29</t>
    </r>
    <r>
      <rPr>
        <sz val="8"/>
        <color indexed="8"/>
        <rFont val="Arial"/>
        <family val="2"/>
      </rPr>
      <t>√</t>
    </r>
    <r>
      <rPr>
        <sz val="8"/>
        <color indexed="8"/>
        <rFont val="Times New Roman"/>
        <family val="1"/>
      </rPr>
      <t>fc'*Lx*d</t>
    </r>
  </si>
  <si>
    <t>แรงเฉือนรอบแกน x-x (P1+P2+P3)</t>
  </si>
  <si>
    <t>แรงเฉือนรอบแกน x-x (P4+P5+P6)</t>
  </si>
  <si>
    <t>แรงเฉือนสูงสุดรอบแกน x-x</t>
  </si>
  <si>
    <t>ตรวจสอบแรงเฉือนเจาะทะลุที่ระยะ d/2</t>
  </si>
  <si>
    <t xml:space="preserve">พิกัดเสาเข็มถึงระยะ d/2 </t>
  </si>
  <si>
    <r>
      <t>แรงเฉือนเจาะทะลุที่ยอมให้,Vc=0.53</t>
    </r>
    <r>
      <rPr>
        <sz val="7"/>
        <color indexed="8"/>
        <rFont val="Arial"/>
        <family val="2"/>
      </rPr>
      <t>√</t>
    </r>
    <r>
      <rPr>
        <sz val="7"/>
        <color indexed="8"/>
        <rFont val="Times New Roman"/>
        <family val="1"/>
      </rPr>
      <t>fc'*bo*d</t>
    </r>
  </si>
  <si>
    <t>แรงเฉือนเจาะทะลุรอบแกน y-y (P1+P4)</t>
  </si>
  <si>
    <t>แรงเฉือนเจาะทะลุรอบแกน y-y (P3+P6)</t>
  </si>
  <si>
    <t>แรงเฉือนเจาะทะลุสูงสุด y-y (P1+P2+P3+P4+P5+P6)</t>
  </si>
  <si>
    <t>แรงเฉือนเจาะทะลุรอบแกน x-x (P1+P2)</t>
  </si>
  <si>
    <t>แรงเฉือนเจาะทะลุรอบแกน x-x (P3+P4)</t>
  </si>
  <si>
    <t>แรงเฉือนเจาะทะลุสูงสุด x-x (P1+P2+P3+P4+P5+P6)</t>
  </si>
  <si>
    <t>ออกแบบเหล็กเสริม</t>
  </si>
  <si>
    <t xml:space="preserve">ด้านขนานแกน x-x </t>
  </si>
  <si>
    <t>ด้านขนานแกน y-y</t>
  </si>
  <si>
    <t>รายการ</t>
  </si>
  <si>
    <t>หน่วย</t>
  </si>
  <si>
    <t>ต้องการ</t>
  </si>
  <si>
    <t>ออกแบบ</t>
  </si>
  <si>
    <t>จำนวนเหล็กเสริมที่ต้องการ</t>
  </si>
  <si>
    <t>ขนาดเหล็กเสริม</t>
  </si>
  <si>
    <t>เหล็กรัดรอบ</t>
  </si>
  <si>
    <t>ตรวจสอบแรงยึดเหนี่ยว</t>
  </si>
  <si>
    <t xml:space="preserve">แรงเฉือนสูงสุดรอบแกน y-y </t>
  </si>
  <si>
    <t>รายละเอียดฐานราก</t>
  </si>
  <si>
    <t>ระดับดินถม</t>
  </si>
  <si>
    <t>คอนกรีตหยาบ 1:3:5</t>
  </si>
  <si>
    <t>ทรายหยาบอัดแน่น</t>
  </si>
  <si>
    <t>ทิศทางเหล็กเสริม</t>
  </si>
  <si>
    <t>กก./ตร.ซม.</t>
  </si>
  <si>
    <t>ตัน</t>
  </si>
  <si>
    <t>ตัน-ม.</t>
  </si>
  <si>
    <t>ตัน ( น้ำหนักดิน1900 กก./ลบ.ม. )</t>
  </si>
  <si>
    <t>ตัน (P+wf+wp+ws)</t>
  </si>
  <si>
    <t>ม.</t>
  </si>
  <si>
    <t>Xo,ม.</t>
  </si>
  <si>
    <t>Yo,ม.</t>
  </si>
  <si>
    <t>X1,ม.</t>
  </si>
  <si>
    <t>Y1,ม.</t>
  </si>
  <si>
    <t>Y2,ม.</t>
  </si>
  <si>
    <t>X2,ม.</t>
  </si>
  <si>
    <t>กก.-ม.</t>
  </si>
  <si>
    <t>ซม.</t>
  </si>
  <si>
    <t>มม.</t>
  </si>
  <si>
    <t>กก.</t>
  </si>
  <si>
    <t>ตร.ซม.</t>
  </si>
  <si>
    <t>± 0.00 ม.</t>
  </si>
  <si>
    <t>0.05 ม.</t>
  </si>
  <si>
    <t>0.10 ม.</t>
  </si>
  <si>
    <t>หน้าตัดวิกฤติ</t>
  </si>
  <si>
    <t>ขอบล่างถึงศูนย์ถ่วงของกลุ่มเหล็กเสริม d'</t>
  </si>
  <si>
    <t>ออกแบบฐานรากคอนกรีตเสริมเหล็ก วางบนเข็ม  6 ต้น - วิธีหน่วยแรงใช้งาน</t>
  </si>
  <si>
    <t>ออกแบบขนาดฐานราก</t>
  </si>
  <si>
    <t>นาย สุธีร์     แก้วคำ  สย.9698</t>
  </si>
  <si>
    <t>F6A</t>
  </si>
  <si>
    <t>รายการคำนวณออกแบบ</t>
  </si>
  <si>
    <t>คอนกรีตเสริมเหล็ก</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</si>
</sst>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t&quot;$&quot;#,##0_);\(t&quot;$&quot;#,##0\)"/>
    <numFmt numFmtId="196" formatCode="t&quot;$&quot;#,##0_);[Red]\(t&quot;$&quot;#,##0\)"/>
    <numFmt numFmtId="197" formatCode="t&quot;$&quot;#,##0.00_);\(t&quot;$&quot;#,##0.00\)"/>
    <numFmt numFmtId="198" formatCode="t&quot;$&quot;#,##0.00_);[Red]\(t&quot;$&quot;#,##0.00\)"/>
    <numFmt numFmtId="199" formatCode="m/d"/>
    <numFmt numFmtId="200" formatCode="[$-1010409]d\ mmmm\ yyyy;@"/>
    <numFmt numFmtId="201" formatCode="0.000"/>
    <numFmt numFmtId="202" formatCode="0.0"/>
    <numFmt numFmtId="203" formatCode="0.00_ ;\-0.00\ "/>
    <numFmt numFmtId="204" formatCode="[$-1070000]d/mm/yyyy;@"/>
    <numFmt numFmtId="205" formatCode="0.0000"/>
    <numFmt numFmtId="206" formatCode="0.000E+00"/>
    <numFmt numFmtId="207" formatCode="&quot;$&quot;#,##0\ ;\(&quot;$&quot;#,##0\)"/>
    <numFmt numFmtId="208" formatCode="#,##0.00&quot; m.&quot;"/>
    <numFmt numFmtId="209" formatCode="#,##0.0&quot; m.&quot;"/>
    <numFmt numFmtId="210" formatCode="0.00000"/>
    <numFmt numFmtId="211" formatCode="[$-101041E]d\ mmmm\ yyyy;@"/>
    <numFmt numFmtId="212" formatCode="[$-41E]d\ mmmm\ yyyy"/>
    <numFmt numFmtId="213" formatCode="#,##0.00&quot; ม.&quot;"/>
  </numFmts>
  <fonts count="101">
    <font>
      <sz val="16"/>
      <color theme="1"/>
      <name val="AngsanaUPC"/>
      <family val="2"/>
    </font>
    <font>
      <sz val="16"/>
      <color indexed="8"/>
      <name val="AngsanaUPC"/>
      <family val="2"/>
    </font>
    <font>
      <sz val="9"/>
      <name val="Times New Roman"/>
      <family val="1"/>
    </font>
    <font>
      <b/>
      <sz val="8"/>
      <name val="Times New Roman"/>
      <family val="1"/>
    </font>
    <font>
      <sz val="8"/>
      <name val="Times New Roman"/>
      <family val="1"/>
    </font>
    <font>
      <sz val="8"/>
      <color indexed="12"/>
      <name val="Times New Roman"/>
      <family val="1"/>
    </font>
    <font>
      <sz val="8"/>
      <color indexed="8"/>
      <name val="Times New Roman"/>
      <family val="1"/>
    </font>
    <font>
      <sz val="8"/>
      <color indexed="8"/>
      <name val="Symbol"/>
      <family val="1"/>
    </font>
    <font>
      <sz val="8.8"/>
      <color indexed="8"/>
      <name val="Times New Roman"/>
      <family val="1"/>
    </font>
    <font>
      <b/>
      <sz val="8"/>
      <color indexed="8"/>
      <name val="Times New Roman"/>
      <family val="1"/>
    </font>
    <font>
      <sz val="10"/>
      <color indexed="8"/>
      <name val="Times New Roman"/>
      <family val="1"/>
    </font>
    <font>
      <b/>
      <sz val="8"/>
      <color indexed="14"/>
      <name val="Times New Roman"/>
      <family val="1"/>
    </font>
    <font>
      <b/>
      <i/>
      <sz val="8"/>
      <color indexed="8"/>
      <name val="Times New Roman"/>
      <family val="1"/>
    </font>
    <font>
      <b/>
      <sz val="8"/>
      <color indexed="12"/>
      <name val="Times New Roman"/>
      <family val="1"/>
    </font>
    <font>
      <sz val="8"/>
      <color indexed="8"/>
      <name val="Calibri"/>
      <family val="2"/>
    </font>
    <font>
      <b/>
      <sz val="10"/>
      <color indexed="8"/>
      <name val="Times New Roman"/>
      <family val="1"/>
    </font>
    <font>
      <sz val="8"/>
      <name val="AngsanaUPC"/>
      <family val="2"/>
    </font>
    <font>
      <u val="single"/>
      <sz val="16.8"/>
      <color indexed="12"/>
      <name val="AngsanaUPC"/>
      <family val="2"/>
    </font>
    <font>
      <u val="single"/>
      <sz val="16.8"/>
      <color indexed="36"/>
      <name val="AngsanaUPC"/>
      <family val="2"/>
    </font>
    <font>
      <sz val="10"/>
      <name val="Arial"/>
      <family val="2"/>
    </font>
    <font>
      <sz val="10"/>
      <color indexed="24"/>
      <name val="Arial"/>
      <family val="2"/>
    </font>
    <font>
      <sz val="8"/>
      <name val="Arial"/>
      <family val="2"/>
    </font>
    <font>
      <b/>
      <sz val="12"/>
      <name val="Arial"/>
      <family val="2"/>
    </font>
    <font>
      <b/>
      <sz val="10"/>
      <name val="Arial"/>
      <family val="2"/>
    </font>
    <font>
      <u val="single"/>
      <sz val="10"/>
      <color indexed="12"/>
      <name val="Arial"/>
      <family val="2"/>
    </font>
    <font>
      <sz val="8"/>
      <color indexed="12"/>
      <name val="Arial"/>
      <family val="2"/>
    </font>
    <font>
      <sz val="10"/>
      <color indexed="12"/>
      <name val="Arial"/>
      <family val="2"/>
    </font>
    <font>
      <b/>
      <sz val="10"/>
      <color indexed="10"/>
      <name val="Arial"/>
      <family val="2"/>
    </font>
    <font>
      <b/>
      <sz val="10"/>
      <color indexed="8"/>
      <name val="Arial"/>
      <family val="2"/>
    </font>
    <font>
      <sz val="10"/>
      <color indexed="8"/>
      <name val="Arial"/>
      <family val="2"/>
    </font>
    <font>
      <b/>
      <sz val="10"/>
      <color indexed="12"/>
      <name val="Arial"/>
      <family val="2"/>
    </font>
    <font>
      <sz val="9"/>
      <color indexed="8"/>
      <name val="Arial"/>
      <family val="2"/>
    </font>
    <font>
      <b/>
      <i/>
      <sz val="10"/>
      <color indexed="10"/>
      <name val="Arial"/>
      <family val="2"/>
    </font>
    <font>
      <b/>
      <i/>
      <u val="single"/>
      <sz val="10"/>
      <color indexed="10"/>
      <name val="Arial"/>
      <family val="2"/>
    </font>
    <font>
      <b/>
      <u val="single"/>
      <sz val="10"/>
      <name val="Arial"/>
      <family val="2"/>
    </font>
    <font>
      <b/>
      <u val="single"/>
      <sz val="10"/>
      <color indexed="8"/>
      <name val="Arial"/>
      <family val="2"/>
    </font>
    <font>
      <b/>
      <sz val="8"/>
      <name val="Arial"/>
      <family val="2"/>
    </font>
    <font>
      <b/>
      <u val="single"/>
      <sz val="10"/>
      <color indexed="12"/>
      <name val="Arial"/>
      <family val="2"/>
    </font>
    <font>
      <sz val="8"/>
      <color indexed="8"/>
      <name val="Arial"/>
      <family val="2"/>
    </font>
    <font>
      <sz val="10"/>
      <color indexed="12"/>
      <name val="Symbol"/>
      <family val="1"/>
    </font>
    <font>
      <sz val="10"/>
      <color indexed="8"/>
      <name val="Symbol"/>
      <family val="1"/>
    </font>
    <font>
      <b/>
      <u val="single"/>
      <sz val="10"/>
      <color indexed="8"/>
      <name val="Symbol"/>
      <family val="1"/>
    </font>
    <font>
      <u val="single"/>
      <sz val="10"/>
      <color indexed="12"/>
      <name val="Symbol"/>
      <family val="1"/>
    </font>
    <font>
      <u val="single"/>
      <sz val="10"/>
      <name val="Arial"/>
      <family val="2"/>
    </font>
    <font>
      <sz val="9"/>
      <color indexed="12"/>
      <name val="Arial"/>
      <family val="2"/>
    </font>
    <font>
      <sz val="8"/>
      <name val="Tahoma"/>
      <family val="2"/>
    </font>
    <font>
      <b/>
      <sz val="8"/>
      <name val="Tahoma"/>
      <family val="2"/>
    </font>
    <font>
      <sz val="8"/>
      <name val="Symbol"/>
      <family val="1"/>
    </font>
    <font>
      <b/>
      <sz val="8"/>
      <color indexed="9"/>
      <name val="Times New Roman"/>
      <family val="1"/>
    </font>
    <font>
      <b/>
      <sz val="8"/>
      <color indexed="9"/>
      <name val="Tahoma"/>
      <family val="2"/>
    </font>
    <font>
      <sz val="7"/>
      <color indexed="8"/>
      <name val="Times New Roman"/>
      <family val="1"/>
    </font>
    <font>
      <sz val="7.5"/>
      <color indexed="8"/>
      <name val="Times New Roman"/>
      <family val="1"/>
    </font>
    <font>
      <sz val="7"/>
      <color indexed="8"/>
      <name val="Arial"/>
      <family val="2"/>
    </font>
    <font>
      <sz val="7.5"/>
      <name val="Times New Roman"/>
      <family val="1"/>
    </font>
    <font>
      <b/>
      <sz val="9"/>
      <name val="Times New Roman"/>
      <family val="1"/>
    </font>
    <font>
      <b/>
      <sz val="11"/>
      <name val="Times New Roman"/>
      <family val="1"/>
    </font>
    <font>
      <sz val="16"/>
      <color indexed="9"/>
      <name val="AngsanaUPC"/>
      <family val="2"/>
    </font>
    <font>
      <sz val="16"/>
      <color indexed="20"/>
      <name val="AngsanaUPC"/>
      <family val="2"/>
    </font>
    <font>
      <b/>
      <sz val="16"/>
      <color indexed="52"/>
      <name val="AngsanaUPC"/>
      <family val="2"/>
    </font>
    <font>
      <b/>
      <sz val="16"/>
      <color indexed="9"/>
      <name val="AngsanaUPC"/>
      <family val="2"/>
    </font>
    <font>
      <i/>
      <sz val="16"/>
      <color indexed="23"/>
      <name val="AngsanaUPC"/>
      <family val="2"/>
    </font>
    <font>
      <sz val="16"/>
      <color indexed="17"/>
      <name val="AngsanaUPC"/>
      <family val="2"/>
    </font>
    <font>
      <b/>
      <sz val="15"/>
      <color indexed="56"/>
      <name val="AngsanaUPC"/>
      <family val="2"/>
    </font>
    <font>
      <b/>
      <sz val="13"/>
      <color indexed="56"/>
      <name val="AngsanaUPC"/>
      <family val="2"/>
    </font>
    <font>
      <b/>
      <sz val="11"/>
      <color indexed="56"/>
      <name val="AngsanaUPC"/>
      <family val="2"/>
    </font>
    <font>
      <sz val="16"/>
      <color indexed="62"/>
      <name val="AngsanaUPC"/>
      <family val="2"/>
    </font>
    <font>
      <sz val="16"/>
      <color indexed="52"/>
      <name val="AngsanaUPC"/>
      <family val="2"/>
    </font>
    <font>
      <sz val="16"/>
      <color indexed="60"/>
      <name val="AngsanaUPC"/>
      <family val="2"/>
    </font>
    <font>
      <b/>
      <sz val="16"/>
      <color indexed="63"/>
      <name val="AngsanaUPC"/>
      <family val="2"/>
    </font>
    <font>
      <b/>
      <sz val="18"/>
      <color indexed="56"/>
      <name val="Tahoma"/>
      <family val="2"/>
    </font>
    <font>
      <b/>
      <sz val="16"/>
      <color indexed="8"/>
      <name val="AngsanaUPC"/>
      <family val="2"/>
    </font>
    <font>
      <sz val="16"/>
      <color indexed="10"/>
      <name val="AngsanaUPC"/>
      <family val="2"/>
    </font>
    <font>
      <sz val="10"/>
      <color indexed="8"/>
      <name val="Tahoma"/>
      <family val="0"/>
    </font>
    <font>
      <sz val="12"/>
      <color indexed="8"/>
      <name val="AngsanaUPC"/>
      <family val="0"/>
    </font>
    <font>
      <b/>
      <sz val="12"/>
      <color indexed="8"/>
      <name val="AngsanaUPC"/>
      <family val="0"/>
    </font>
    <font>
      <sz val="4.25"/>
      <color indexed="8"/>
      <name val="Arial"/>
      <family val="0"/>
    </font>
    <font>
      <sz val="6"/>
      <color indexed="8"/>
      <name val="Arial"/>
      <family val="0"/>
    </font>
    <font>
      <b/>
      <sz val="8"/>
      <color indexed="8"/>
      <name val="Arial"/>
      <family val="0"/>
    </font>
    <font>
      <b/>
      <u val="single"/>
      <sz val="8"/>
      <color indexed="8"/>
      <name val="Arial"/>
      <family val="0"/>
    </font>
    <font>
      <b/>
      <sz val="9"/>
      <color indexed="12"/>
      <name val="Arial"/>
      <family val="0"/>
    </font>
    <font>
      <b/>
      <sz val="8"/>
      <color indexed="12"/>
      <name val="Arial"/>
      <family val="0"/>
    </font>
    <font>
      <sz val="16"/>
      <color theme="0"/>
      <name val="AngsanaUPC"/>
      <family val="2"/>
    </font>
    <font>
      <sz val="16"/>
      <color rgb="FF9C0006"/>
      <name val="AngsanaUPC"/>
      <family val="2"/>
    </font>
    <font>
      <b/>
      <sz val="16"/>
      <color rgb="FFFA7D00"/>
      <name val="AngsanaUPC"/>
      <family val="2"/>
    </font>
    <font>
      <b/>
      <sz val="16"/>
      <color theme="0"/>
      <name val="AngsanaUPC"/>
      <family val="2"/>
    </font>
    <font>
      <i/>
      <sz val="16"/>
      <color rgb="FF7F7F7F"/>
      <name val="AngsanaUPC"/>
      <family val="2"/>
    </font>
    <font>
      <sz val="16"/>
      <color rgb="FF006100"/>
      <name val="AngsanaUPC"/>
      <family val="2"/>
    </font>
    <font>
      <b/>
      <sz val="15"/>
      <color theme="3"/>
      <name val="AngsanaUPC"/>
      <family val="2"/>
    </font>
    <font>
      <b/>
      <sz val="13"/>
      <color theme="3"/>
      <name val="AngsanaUPC"/>
      <family val="2"/>
    </font>
    <font>
      <b/>
      <sz val="11"/>
      <color theme="3"/>
      <name val="AngsanaUPC"/>
      <family val="2"/>
    </font>
    <font>
      <sz val="16"/>
      <color rgb="FF3F3F76"/>
      <name val="AngsanaUPC"/>
      <family val="2"/>
    </font>
    <font>
      <sz val="16"/>
      <color rgb="FFFA7D00"/>
      <name val="AngsanaUPC"/>
      <family val="2"/>
    </font>
    <font>
      <sz val="16"/>
      <color rgb="FF9C6500"/>
      <name val="AngsanaUPC"/>
      <family val="2"/>
    </font>
    <font>
      <b/>
      <sz val="16"/>
      <color rgb="FF3F3F3F"/>
      <name val="AngsanaUPC"/>
      <family val="2"/>
    </font>
    <font>
      <b/>
      <sz val="18"/>
      <color theme="3"/>
      <name val="Cambria"/>
      <family val="2"/>
    </font>
    <font>
      <b/>
      <sz val="16"/>
      <color theme="1"/>
      <name val="AngsanaUPC"/>
      <family val="2"/>
    </font>
    <font>
      <sz val="16"/>
      <color rgb="FFFF0000"/>
      <name val="AngsanaUPC"/>
      <family val="2"/>
    </font>
    <font>
      <sz val="8"/>
      <color theme="1"/>
      <name val="Times New Roman"/>
      <family val="1"/>
    </font>
    <font>
      <b/>
      <sz val="8"/>
      <color rgb="FF2504EC"/>
      <name val="Times New Roman"/>
      <family val="1"/>
    </font>
    <font>
      <b/>
      <sz val="8"/>
      <color theme="1"/>
      <name val="Times New Roman"/>
      <family val="1"/>
    </font>
    <font>
      <b/>
      <sz val="8"/>
      <name val="AngsanaUPC"/>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2"/>
        <bgColor indexed="64"/>
      </patternFill>
    </fill>
    <fill>
      <patternFill patternType="solid">
        <fgColor indexed="13"/>
        <bgColor indexed="64"/>
      </patternFill>
    </fill>
    <fill>
      <patternFill patternType="solid">
        <fgColor indexed="29"/>
        <bgColor indexed="64"/>
      </patternFill>
    </fill>
    <fill>
      <patternFill patternType="solid">
        <fgColor indexed="40"/>
        <bgColor indexed="64"/>
      </patternFill>
    </fill>
    <fill>
      <patternFill patternType="solid">
        <fgColor indexed="49"/>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47"/>
        <bgColor indexed="64"/>
      </patternFill>
    </fill>
    <fill>
      <patternFill patternType="solid">
        <fgColor indexed="44"/>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
      <patternFill patternType="solid">
        <fgColor indexed="12"/>
        <bgColor indexed="64"/>
      </patternFill>
    </fill>
    <fill>
      <patternFill patternType="solid">
        <fgColor indexed="53"/>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style="medium"/>
      <top/>
      <bottom/>
    </border>
    <border>
      <left/>
      <right/>
      <top/>
      <bottom style="medium"/>
    </border>
    <border>
      <left/>
      <right style="medium"/>
      <top/>
      <bottom style="medium"/>
    </border>
    <border>
      <left style="thin"/>
      <right style="thin"/>
      <top style="thin"/>
      <bottom style="thin"/>
    </border>
    <border>
      <left style="mediumDashed">
        <color indexed="10"/>
      </left>
      <right/>
      <top/>
      <bottom/>
    </border>
    <border>
      <left/>
      <right style="mediumDashed">
        <color indexed="10"/>
      </right>
      <top/>
      <bottom/>
    </border>
    <border>
      <left/>
      <right style="medium"/>
      <top style="medium"/>
      <bottom/>
    </border>
    <border>
      <left style="medium"/>
      <right/>
      <top/>
      <bottom/>
    </border>
    <border>
      <left style="medium"/>
      <right/>
      <top/>
      <bottom style="medium"/>
    </border>
    <border>
      <left>
        <color indexed="63"/>
      </left>
      <right>
        <color indexed="63"/>
      </right>
      <top>
        <color indexed="63"/>
      </top>
      <bottom style="dotted"/>
    </border>
    <border>
      <left style="hair"/>
      <right style="hair"/>
      <top style="hair"/>
      <bottom style="hair"/>
    </border>
    <border>
      <left style="hair"/>
      <right style="thin"/>
      <top style="hair"/>
      <bottom style="hair"/>
    </border>
    <border>
      <left>
        <color indexed="63"/>
      </left>
      <right>
        <color indexed="63"/>
      </right>
      <top style="dashDot"/>
      <bottom>
        <color indexed="63"/>
      </bottom>
    </border>
    <border>
      <left>
        <color indexed="63"/>
      </left>
      <right>
        <color indexed="63"/>
      </right>
      <top style="dashDot"/>
      <bottom style="dashDot"/>
    </border>
    <border>
      <left>
        <color indexed="63"/>
      </left>
      <right>
        <color indexed="63"/>
      </right>
      <top>
        <color indexed="63"/>
      </top>
      <bottom style="dashDot"/>
    </border>
    <border>
      <left>
        <color indexed="63"/>
      </left>
      <right>
        <color indexed="63"/>
      </right>
      <top>
        <color indexed="63"/>
      </top>
      <bottom style="mediumDashed">
        <color indexed="12"/>
      </bottom>
    </border>
    <border>
      <left style="medium"/>
      <right/>
      <top style="medium"/>
      <bottom/>
    </border>
    <border>
      <left>
        <color indexed="63"/>
      </left>
      <right style="medium"/>
      <top style="dashDot"/>
      <bottom>
        <color indexed="63"/>
      </bottom>
    </border>
    <border>
      <left>
        <color indexed="63"/>
      </left>
      <right style="medium"/>
      <top>
        <color indexed="63"/>
      </top>
      <bottom style="dashDot"/>
    </border>
    <border>
      <left style="dashDot"/>
      <right>
        <color indexed="63"/>
      </right>
      <top>
        <color indexed="63"/>
      </top>
      <bottom>
        <color indexed="63"/>
      </bottom>
    </border>
    <border>
      <left style="dashDot"/>
      <right>
        <color indexed="63"/>
      </right>
      <top>
        <color indexed="63"/>
      </top>
      <bottom style="medium"/>
    </border>
    <border>
      <left>
        <color indexed="63"/>
      </left>
      <right style="dashDot"/>
      <top>
        <color indexed="63"/>
      </top>
      <bottom>
        <color indexed="63"/>
      </bottom>
    </border>
    <border>
      <left>
        <color indexed="63"/>
      </left>
      <right style="dashDo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hair"/>
      <top style="thin"/>
      <bottom style="hair"/>
    </border>
    <border>
      <left style="hair"/>
      <right style="thin"/>
      <top style="thin"/>
      <bottom style="hair"/>
    </border>
    <border>
      <left style="thin"/>
      <right style="thin"/>
      <top style="thin"/>
      <bottom style="thin">
        <color indexed="22"/>
      </bottom>
    </border>
    <border>
      <left>
        <color indexed="63"/>
      </left>
      <right style="thin"/>
      <top style="thin"/>
      <bottom style="thin">
        <color indexed="22"/>
      </bottom>
    </border>
    <border>
      <left style="thin"/>
      <right style="hair"/>
      <top style="hair"/>
      <bottom style="hair"/>
    </border>
    <border>
      <left style="thin"/>
      <right style="thin"/>
      <top style="thin">
        <color indexed="22"/>
      </top>
      <bottom style="thin">
        <color indexed="22"/>
      </bottom>
    </border>
    <border>
      <left>
        <color indexed="63"/>
      </left>
      <right style="thin"/>
      <top style="thin">
        <color indexed="22"/>
      </top>
      <bottom style="thin">
        <color indexed="22"/>
      </bottom>
    </border>
    <border>
      <left style="thin"/>
      <right style="hair"/>
      <top style="hair"/>
      <bottom style="thin"/>
    </border>
    <border>
      <left style="hair"/>
      <right style="thin"/>
      <top style="hair"/>
      <bottom style="thin"/>
    </border>
    <border>
      <left style="thin"/>
      <right style="thin"/>
      <top style="thin">
        <color indexed="22"/>
      </top>
      <bottom style="thin"/>
    </border>
    <border>
      <left>
        <color indexed="63"/>
      </left>
      <right style="thin"/>
      <top style="thin">
        <color indexed="22"/>
      </top>
      <bottom style="thin"/>
    </border>
    <border>
      <left style="thin"/>
      <right style="thin"/>
      <top style="thin"/>
      <bottom style="hair"/>
    </border>
    <border>
      <left>
        <color indexed="63"/>
      </left>
      <right>
        <color indexed="63"/>
      </right>
      <top style="thin"/>
      <bottom style="thin">
        <color indexed="22"/>
      </bottom>
    </border>
    <border>
      <left style="thin"/>
      <right style="thin"/>
      <top style="hair"/>
      <bottom style="hair"/>
    </border>
    <border>
      <left>
        <color indexed="63"/>
      </left>
      <right>
        <color indexed="63"/>
      </right>
      <top style="thin">
        <color indexed="22"/>
      </top>
      <bottom style="thin">
        <color indexed="22"/>
      </bottom>
    </border>
    <border>
      <left style="thin"/>
      <right style="thin"/>
      <top style="hair"/>
      <bottom style="thin"/>
    </border>
    <border>
      <left>
        <color indexed="63"/>
      </left>
      <right>
        <color indexed="63"/>
      </right>
      <top style="thin">
        <color indexed="22"/>
      </top>
      <bottom style="thin"/>
    </border>
    <border>
      <left style="thin"/>
      <right style="thin"/>
      <top>
        <color indexed="63"/>
      </top>
      <bottom>
        <color indexed="63"/>
      </bottom>
    </border>
    <border>
      <left style="thin"/>
      <right style="thin"/>
      <top>
        <color indexed="63"/>
      </top>
      <bottom style="thin">
        <color indexed="22"/>
      </bottom>
    </border>
    <border>
      <left style="thick">
        <color indexed="53"/>
      </left>
      <right>
        <color indexed="63"/>
      </right>
      <top style="thick">
        <color indexed="12"/>
      </top>
      <bottom>
        <color indexed="63"/>
      </bottom>
    </border>
    <border>
      <left style="thick">
        <color indexed="53"/>
      </left>
      <right>
        <color indexed="63"/>
      </right>
      <top>
        <color indexed="63"/>
      </top>
      <bottom>
        <color indexed="63"/>
      </bottom>
    </border>
    <border>
      <left style="mediumDashed">
        <color indexed="10"/>
      </left>
      <right>
        <color indexed="63"/>
      </right>
      <top style="mediumDashed">
        <color indexed="10"/>
      </top>
      <bottom>
        <color indexed="63"/>
      </bottom>
    </border>
    <border>
      <left>
        <color indexed="63"/>
      </left>
      <right>
        <color indexed="63"/>
      </right>
      <top style="mediumDashed">
        <color indexed="10"/>
      </top>
      <bottom>
        <color indexed="63"/>
      </bottom>
    </border>
    <border>
      <left>
        <color indexed="63"/>
      </left>
      <right style="mediumDashed">
        <color indexed="10"/>
      </right>
      <top style="mediumDashed">
        <color indexed="10"/>
      </top>
      <bottom>
        <color indexed="63"/>
      </bottom>
    </border>
    <border>
      <left>
        <color indexed="63"/>
      </left>
      <right style="medium"/>
      <top style="dashDotDot"/>
      <bottom>
        <color indexed="63"/>
      </bottom>
    </border>
    <border>
      <left style="medium"/>
      <right style="medium"/>
      <top style="mediumDashed"/>
      <bottom>
        <color indexed="63"/>
      </bottom>
    </border>
    <border>
      <left style="medium"/>
      <right style="medium"/>
      <top>
        <color indexed="63"/>
      </top>
      <bottom>
        <color indexed="63"/>
      </bottom>
    </border>
    <border>
      <left style="mediumDashed"/>
      <right>
        <color indexed="63"/>
      </right>
      <top>
        <color indexed="63"/>
      </top>
      <bottom>
        <color indexed="63"/>
      </bottom>
    </border>
    <border>
      <left style="mediumDashed"/>
      <right>
        <color indexed="63"/>
      </right>
      <top style="medium"/>
      <bottom>
        <color indexed="63"/>
      </bottom>
    </border>
    <border>
      <left style="mediumDashed"/>
      <right>
        <color indexed="63"/>
      </right>
      <top>
        <color indexed="63"/>
      </top>
      <bottom style="medium"/>
    </border>
    <border>
      <left>
        <color indexed="63"/>
      </left>
      <right>
        <color indexed="63"/>
      </right>
      <top style="mediumDashed"/>
      <bottom>
        <color indexed="63"/>
      </bottom>
    </border>
    <border>
      <left style="medium"/>
      <right style="medium"/>
      <top style="dashDot"/>
      <bottom>
        <color indexed="63"/>
      </bottom>
    </border>
    <border>
      <left style="medium"/>
      <right style="medium"/>
      <top>
        <color indexed="63"/>
      </top>
      <bottom style="dashDot"/>
    </border>
    <border>
      <left style="medium"/>
      <right style="medium"/>
      <top/>
      <bottom style="medium"/>
    </border>
    <border>
      <left style="medium"/>
      <right style="medium"/>
      <top style="medium"/>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color indexed="53"/>
      </left>
      <right>
        <color indexed="63"/>
      </right>
      <top>
        <color indexed="63"/>
      </top>
      <bottom style="thick">
        <color indexed="12"/>
      </bottom>
    </border>
    <border>
      <left>
        <color indexed="63"/>
      </left>
      <right>
        <color indexed="63"/>
      </right>
      <top>
        <color indexed="63"/>
      </top>
      <bottom style="thick">
        <color indexed="12"/>
      </bottom>
    </border>
  </borders>
  <cellStyleXfs count="6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0" applyNumberFormat="0" applyBorder="0" applyAlignment="0" applyProtection="0"/>
    <xf numFmtId="0" fontId="83" fillId="27" borderId="1" applyNumberFormat="0" applyAlignment="0" applyProtection="0"/>
    <xf numFmtId="0" fontId="8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3" fontId="2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7" fontId="20" fillId="0" borderId="0" applyFont="0" applyFill="0" applyBorder="0" applyAlignment="0" applyProtection="0"/>
    <xf numFmtId="0" fontId="20" fillId="0" borderId="0" applyFont="0" applyFill="0" applyBorder="0" applyAlignment="0" applyProtection="0"/>
    <xf numFmtId="0" fontId="85" fillId="0" borderId="0" applyNumberFormat="0" applyFill="0" applyBorder="0" applyAlignment="0" applyProtection="0"/>
    <xf numFmtId="2" fontId="20" fillId="0" borderId="0" applyFont="0" applyFill="0" applyBorder="0" applyAlignment="0" applyProtection="0"/>
    <xf numFmtId="0" fontId="18"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17"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0" fontId="19" fillId="0" borderId="0">
      <alignment/>
      <protection/>
    </xf>
    <xf numFmtId="0" fontId="1" fillId="32" borderId="7" applyNumberFormat="0" applyFont="0" applyAlignment="0" applyProtection="0"/>
    <xf numFmtId="0" fontId="93" fillId="27" borderId="8" applyNumberFormat="0" applyAlignment="0" applyProtection="0"/>
    <xf numFmtId="9" fontId="1"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xf numFmtId="0" fontId="2" fillId="0" borderId="0">
      <alignment/>
      <protection/>
    </xf>
  </cellStyleXfs>
  <cellXfs count="559">
    <xf numFmtId="0" fontId="0" fillId="0" borderId="0" xfId="0" applyAlignment="1">
      <alignment/>
    </xf>
    <xf numFmtId="14" fontId="5" fillId="0" borderId="0" xfId="68" applyNumberFormat="1" applyFont="1" applyFill="1" applyBorder="1" applyAlignment="1" applyProtection="1">
      <alignment/>
      <protection/>
    </xf>
    <xf numFmtId="0" fontId="5" fillId="0" borderId="0" xfId="68" applyNumberFormat="1" applyFont="1" applyFill="1" applyBorder="1" applyAlignment="1" applyProtection="1">
      <alignment/>
      <protection/>
    </xf>
    <xf numFmtId="0" fontId="6" fillId="0" borderId="0" xfId="0" applyFont="1" applyFill="1" applyBorder="1" applyAlignment="1" applyProtection="1">
      <alignment/>
      <protection/>
    </xf>
    <xf numFmtId="0" fontId="6" fillId="33" borderId="0" xfId="0" applyFont="1" applyFill="1" applyAlignment="1" applyProtection="1">
      <alignment vertical="center"/>
      <protection/>
    </xf>
    <xf numFmtId="0" fontId="4" fillId="0" borderId="0" xfId="0" applyFont="1" applyFill="1" applyBorder="1" applyAlignment="1" applyProtection="1">
      <alignment/>
      <protection/>
    </xf>
    <xf numFmtId="0" fontId="5" fillId="0" borderId="0" xfId="0" applyFont="1" applyFill="1" applyBorder="1" applyAlignment="1" applyProtection="1">
      <alignment/>
      <protection/>
    </xf>
    <xf numFmtId="0" fontId="6" fillId="0" borderId="0" xfId="0" applyFont="1" applyFill="1" applyAlignment="1" applyProtection="1">
      <alignment horizontal="center"/>
      <protection/>
    </xf>
    <xf numFmtId="2" fontId="6" fillId="0" borderId="0" xfId="0" applyNumberFormat="1" applyFont="1" applyFill="1" applyBorder="1" applyAlignment="1" applyProtection="1">
      <alignment/>
      <protection/>
    </xf>
    <xf numFmtId="0" fontId="6" fillId="0" borderId="0" xfId="0" applyFont="1" applyFill="1" applyAlignment="1" applyProtection="1">
      <alignment/>
      <protection/>
    </xf>
    <xf numFmtId="0" fontId="4" fillId="0" borderId="10" xfId="68" applyFont="1" applyFill="1" applyBorder="1" applyAlignment="1" applyProtection="1">
      <alignment/>
      <protection/>
    </xf>
    <xf numFmtId="199" fontId="5" fillId="0" borderId="10" xfId="68" applyNumberFormat="1" applyFont="1" applyFill="1" applyBorder="1" applyAlignment="1" applyProtection="1">
      <alignment/>
      <protection/>
    </xf>
    <xf numFmtId="0" fontId="5" fillId="0" borderId="10" xfId="68" applyFont="1" applyFill="1" applyBorder="1" applyAlignment="1" applyProtection="1">
      <alignment/>
      <protection/>
    </xf>
    <xf numFmtId="0" fontId="6" fillId="0" borderId="10" xfId="0" applyFont="1" applyFill="1" applyBorder="1" applyAlignment="1" applyProtection="1">
      <alignment/>
      <protection/>
    </xf>
    <xf numFmtId="0" fontId="6" fillId="33" borderId="0" xfId="0" applyFont="1" applyFill="1" applyAlignment="1" applyProtection="1">
      <alignment/>
      <protection/>
    </xf>
    <xf numFmtId="0" fontId="4" fillId="0" borderId="0" xfId="68" applyFont="1" applyFill="1" applyBorder="1" applyAlignment="1" applyProtection="1">
      <alignment/>
      <protection/>
    </xf>
    <xf numFmtId="199" fontId="5" fillId="0" borderId="0" xfId="68" applyNumberFormat="1" applyFont="1" applyFill="1" applyBorder="1" applyAlignment="1" applyProtection="1">
      <alignment/>
      <protection/>
    </xf>
    <xf numFmtId="0" fontId="5" fillId="0" borderId="0" xfId="68" applyFont="1" applyFill="1" applyBorder="1" applyAlignment="1" applyProtection="1">
      <alignment/>
      <protection/>
    </xf>
    <xf numFmtId="0" fontId="6" fillId="0" borderId="11" xfId="0" applyFont="1" applyFill="1" applyBorder="1" applyAlignment="1" applyProtection="1">
      <alignment/>
      <protection/>
    </xf>
    <xf numFmtId="0" fontId="6" fillId="0" borderId="0" xfId="0" applyFont="1" applyFill="1" applyBorder="1" applyAlignment="1" applyProtection="1">
      <alignment shrinkToFit="1"/>
      <protection/>
    </xf>
    <xf numFmtId="0" fontId="6" fillId="0" borderId="12" xfId="0" applyFont="1" applyFill="1" applyBorder="1" applyAlignment="1" applyProtection="1">
      <alignment/>
      <protection/>
    </xf>
    <xf numFmtId="0" fontId="6" fillId="0" borderId="13" xfId="0" applyFont="1" applyFill="1" applyBorder="1" applyAlignment="1" applyProtection="1">
      <alignment/>
      <protection/>
    </xf>
    <xf numFmtId="0" fontId="10" fillId="0" borderId="0" xfId="0" applyFont="1" applyFill="1" applyBorder="1" applyAlignment="1" applyProtection="1">
      <alignment/>
      <protection/>
    </xf>
    <xf numFmtId="0" fontId="7" fillId="0" borderId="0" xfId="0" applyFont="1" applyAlignment="1">
      <alignment/>
    </xf>
    <xf numFmtId="0" fontId="6"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6" fillId="0" borderId="14"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6" fillId="33" borderId="0" xfId="0" applyFont="1" applyFill="1" applyBorder="1" applyAlignment="1" applyProtection="1">
      <alignment horizontal="center"/>
      <protection/>
    </xf>
    <xf numFmtId="0" fontId="6" fillId="33" borderId="0" xfId="0" applyFont="1" applyFill="1" applyBorder="1" applyAlignment="1" applyProtection="1">
      <alignment horizontal="center" vertical="center"/>
      <protection/>
    </xf>
    <xf numFmtId="0" fontId="6" fillId="33" borderId="0" xfId="0" applyFont="1" applyFill="1" applyAlignment="1" applyProtection="1">
      <alignment horizontal="center"/>
      <protection/>
    </xf>
    <xf numFmtId="0" fontId="9" fillId="0" borderId="0" xfId="0" applyFont="1" applyFill="1" applyBorder="1" applyAlignment="1" applyProtection="1">
      <alignment/>
      <protection/>
    </xf>
    <xf numFmtId="0" fontId="6" fillId="0" borderId="0" xfId="0" applyFont="1" applyFill="1" applyBorder="1" applyAlignment="1" applyProtection="1">
      <alignment horizontal="center"/>
      <protection/>
    </xf>
    <xf numFmtId="0" fontId="6" fillId="0" borderId="15" xfId="0" applyFont="1" applyFill="1" applyBorder="1" applyAlignment="1" applyProtection="1">
      <alignment/>
      <protection/>
    </xf>
    <xf numFmtId="0" fontId="6" fillId="0" borderId="16" xfId="0" applyFont="1" applyFill="1" applyBorder="1" applyAlignment="1" applyProtection="1">
      <alignment/>
      <protection/>
    </xf>
    <xf numFmtId="0" fontId="3" fillId="0" borderId="0" xfId="0" applyFont="1" applyFill="1" applyBorder="1" applyAlignment="1" applyProtection="1">
      <alignment/>
      <protection/>
    </xf>
    <xf numFmtId="2" fontId="6" fillId="0" borderId="0" xfId="0" applyNumberFormat="1" applyFont="1" applyFill="1" applyBorder="1" applyAlignment="1" applyProtection="1">
      <alignment horizontal="center"/>
      <protection/>
    </xf>
    <xf numFmtId="0" fontId="3" fillId="0" borderId="10" xfId="68" applyFont="1" applyFill="1" applyBorder="1" applyAlignment="1" applyProtection="1">
      <alignment/>
      <protection/>
    </xf>
    <xf numFmtId="0" fontId="3" fillId="0" borderId="0" xfId="68" applyFont="1" applyFill="1" applyBorder="1" applyAlignment="1" applyProtection="1">
      <alignment/>
      <protection/>
    </xf>
    <xf numFmtId="0" fontId="3" fillId="0" borderId="12" xfId="68" applyFont="1" applyFill="1" applyBorder="1" applyAlignment="1" applyProtection="1">
      <alignment/>
      <protection/>
    </xf>
    <xf numFmtId="200" fontId="3" fillId="0" borderId="12" xfId="0" applyNumberFormat="1" applyFont="1" applyFill="1" applyBorder="1" applyAlignment="1" applyProtection="1">
      <alignment horizontal="left"/>
      <protection/>
    </xf>
    <xf numFmtId="0" fontId="4" fillId="0" borderId="12" xfId="68" applyFont="1" applyFill="1" applyBorder="1" applyAlignment="1" applyProtection="1">
      <alignment/>
      <protection/>
    </xf>
    <xf numFmtId="14" fontId="5" fillId="0" borderId="12" xfId="68" applyNumberFormat="1" applyFont="1" applyFill="1" applyBorder="1" applyAlignment="1" applyProtection="1">
      <alignment/>
      <protection/>
    </xf>
    <xf numFmtId="0" fontId="5" fillId="0" borderId="12" xfId="68" applyNumberFormat="1" applyFont="1" applyFill="1" applyBorder="1" applyAlignment="1" applyProtection="1">
      <alignment/>
      <protection/>
    </xf>
    <xf numFmtId="0" fontId="9" fillId="0" borderId="12" xfId="0" applyFont="1" applyFill="1" applyBorder="1" applyAlignment="1" applyProtection="1">
      <alignment/>
      <protection/>
    </xf>
    <xf numFmtId="0" fontId="4" fillId="0" borderId="12" xfId="0"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6" fillId="0" borderId="17" xfId="0" applyFont="1" applyFill="1" applyBorder="1" applyAlignment="1" applyProtection="1">
      <alignment/>
      <protection/>
    </xf>
    <xf numFmtId="0" fontId="3" fillId="0" borderId="18" xfId="68" applyFont="1" applyFill="1" applyBorder="1" applyAlignment="1" applyProtection="1">
      <alignment/>
      <protection/>
    </xf>
    <xf numFmtId="0" fontId="3" fillId="0" borderId="19" xfId="68" applyFont="1" applyFill="1" applyBorder="1" applyAlignment="1" applyProtection="1">
      <alignment/>
      <protection/>
    </xf>
    <xf numFmtId="0" fontId="6" fillId="0" borderId="20" xfId="0" applyFont="1" applyFill="1" applyBorder="1" applyAlignment="1" applyProtection="1">
      <alignment/>
      <protection/>
    </xf>
    <xf numFmtId="0" fontId="6" fillId="33" borderId="0" xfId="0" applyFont="1" applyFill="1" applyAlignment="1" applyProtection="1">
      <alignment horizontal="center" vertical="center"/>
      <protection/>
    </xf>
    <xf numFmtId="0" fontId="9" fillId="33" borderId="0" xfId="0" applyFont="1" applyFill="1" applyAlignment="1" applyProtection="1">
      <alignment horizontal="center" vertical="center"/>
      <protection/>
    </xf>
    <xf numFmtId="0" fontId="6" fillId="34" borderId="14" xfId="0" applyFont="1" applyFill="1" applyBorder="1" applyAlignment="1" applyProtection="1">
      <alignment horizontal="center" vertical="center"/>
      <protection/>
    </xf>
    <xf numFmtId="0" fontId="6" fillId="35" borderId="14" xfId="0" applyFont="1" applyFill="1" applyBorder="1" applyAlignment="1" applyProtection="1">
      <alignment horizontal="center" vertical="center"/>
      <protection/>
    </xf>
    <xf numFmtId="0" fontId="6" fillId="36" borderId="14" xfId="0" applyFont="1" applyFill="1" applyBorder="1" applyAlignment="1" applyProtection="1">
      <alignment horizontal="center" vertical="center"/>
      <protection/>
    </xf>
    <xf numFmtId="1" fontId="6" fillId="33" borderId="14" xfId="0" applyNumberFormat="1" applyFont="1" applyFill="1" applyBorder="1" applyAlignment="1" applyProtection="1">
      <alignment horizontal="center" vertical="center"/>
      <protection/>
    </xf>
    <xf numFmtId="0" fontId="6" fillId="37" borderId="21" xfId="0" applyFont="1" applyFill="1" applyBorder="1" applyAlignment="1" applyProtection="1">
      <alignment horizontal="center" vertical="center"/>
      <protection/>
    </xf>
    <xf numFmtId="0" fontId="6" fillId="37" borderId="22"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xf>
    <xf numFmtId="0" fontId="6" fillId="35"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12" xfId="0" applyFont="1" applyFill="1" applyBorder="1" applyAlignment="1" applyProtection="1">
      <alignment horizontal="center"/>
      <protection/>
    </xf>
    <xf numFmtId="1" fontId="6" fillId="0" borderId="12" xfId="0" applyNumberFormat="1" applyFont="1" applyFill="1" applyBorder="1" applyAlignment="1" applyProtection="1">
      <alignment horizontal="center" vertical="center"/>
      <protection/>
    </xf>
    <xf numFmtId="0" fontId="6" fillId="0" borderId="12" xfId="0" applyFont="1" applyFill="1" applyBorder="1" applyAlignment="1" applyProtection="1">
      <alignment shrinkToFit="1"/>
      <protection/>
    </xf>
    <xf numFmtId="0" fontId="6" fillId="0" borderId="23" xfId="0" applyFont="1" applyFill="1" applyBorder="1" applyAlignment="1" applyProtection="1">
      <alignment/>
      <protection/>
    </xf>
    <xf numFmtId="0" fontId="6" fillId="0" borderId="24" xfId="0" applyFont="1" applyFill="1" applyBorder="1" applyAlignment="1" applyProtection="1">
      <alignment/>
      <protection/>
    </xf>
    <xf numFmtId="0" fontId="6" fillId="0" borderId="25" xfId="0" applyFont="1" applyFill="1" applyBorder="1" applyAlignment="1" applyProtection="1">
      <alignment/>
      <protection/>
    </xf>
    <xf numFmtId="0" fontId="14" fillId="0" borderId="0" xfId="0" applyFont="1" applyFill="1" applyBorder="1" applyAlignment="1" applyProtection="1">
      <alignment vertical="center"/>
      <protection/>
    </xf>
    <xf numFmtId="202" fontId="9" fillId="0" borderId="0" xfId="0" applyNumberFormat="1" applyFont="1" applyFill="1" applyBorder="1" applyAlignment="1" applyProtection="1">
      <alignment vertical="center"/>
      <protection/>
    </xf>
    <xf numFmtId="0" fontId="15" fillId="0" borderId="0" xfId="0" applyFont="1" applyFill="1" applyBorder="1" applyAlignment="1" applyProtection="1">
      <alignment vertical="center"/>
      <protection/>
    </xf>
    <xf numFmtId="1" fontId="13" fillId="0" borderId="0" xfId="0" applyNumberFormat="1" applyFont="1" applyFill="1" applyBorder="1" applyAlignment="1" applyProtection="1">
      <alignment/>
      <protection/>
    </xf>
    <xf numFmtId="1" fontId="13" fillId="0" borderId="0" xfId="0" applyNumberFormat="1" applyFont="1" applyFill="1" applyBorder="1" applyAlignment="1" applyProtection="1">
      <alignment vertical="center"/>
      <protection/>
    </xf>
    <xf numFmtId="1" fontId="13" fillId="0" borderId="0" xfId="0" applyNumberFormat="1" applyFont="1" applyFill="1" applyBorder="1" applyAlignment="1" applyProtection="1">
      <alignment horizontal="center" vertical="center"/>
      <protection/>
    </xf>
    <xf numFmtId="1" fontId="9" fillId="0" borderId="0" xfId="0" applyNumberFormat="1" applyFont="1" applyFill="1" applyBorder="1" applyAlignment="1" applyProtection="1">
      <alignment/>
      <protection/>
    </xf>
    <xf numFmtId="0" fontId="6" fillId="0" borderId="26" xfId="0" applyFont="1" applyFill="1" applyBorder="1" applyAlignment="1" applyProtection="1">
      <alignment/>
      <protection/>
    </xf>
    <xf numFmtId="0" fontId="9" fillId="0" borderId="0" xfId="0" applyFont="1" applyFill="1" applyBorder="1" applyAlignment="1" applyProtection="1">
      <alignment horizontal="center" vertical="center"/>
      <protection/>
    </xf>
    <xf numFmtId="0" fontId="6" fillId="33" borderId="0" xfId="0" applyFont="1" applyFill="1" applyBorder="1" applyAlignment="1" applyProtection="1">
      <alignment/>
      <protection/>
    </xf>
    <xf numFmtId="0" fontId="4" fillId="33" borderId="0" xfId="0" applyFont="1" applyFill="1" applyBorder="1" applyAlignment="1" applyProtection="1">
      <alignment horizontal="center" vertical="center"/>
      <protection/>
    </xf>
    <xf numFmtId="0" fontId="4" fillId="33" borderId="0" xfId="0" applyFont="1" applyFill="1" applyBorder="1" applyAlignment="1" applyProtection="1">
      <alignment/>
      <protection/>
    </xf>
    <xf numFmtId="1" fontId="4" fillId="33" borderId="0" xfId="0" applyNumberFormat="1" applyFont="1" applyFill="1" applyBorder="1" applyAlignment="1" applyProtection="1">
      <alignment horizontal="center" vertical="center"/>
      <protection/>
    </xf>
    <xf numFmtId="0" fontId="4" fillId="33" borderId="0" xfId="0" applyFont="1" applyFill="1" applyBorder="1" applyAlignment="1" applyProtection="1">
      <alignment horizontal="center"/>
      <protection/>
    </xf>
    <xf numFmtId="1" fontId="4" fillId="33" borderId="0" xfId="0" applyNumberFormat="1" applyFont="1" applyFill="1" applyBorder="1" applyAlignment="1" applyProtection="1">
      <alignment horizontal="center"/>
      <protection/>
    </xf>
    <xf numFmtId="0" fontId="9" fillId="33" borderId="0" xfId="0" applyFont="1" applyFill="1" applyBorder="1" applyAlignment="1" applyProtection="1">
      <alignment horizontal="center"/>
      <protection/>
    </xf>
    <xf numFmtId="0" fontId="9" fillId="33" borderId="0" xfId="0" applyFont="1" applyFill="1" applyBorder="1" applyAlignment="1" applyProtection="1">
      <alignment/>
      <protection/>
    </xf>
    <xf numFmtId="0" fontId="9" fillId="33" borderId="0" xfId="0" applyFont="1" applyFill="1" applyBorder="1" applyAlignment="1" applyProtection="1">
      <alignment horizontal="left"/>
      <protection/>
    </xf>
    <xf numFmtId="0" fontId="9" fillId="33" borderId="0" xfId="0" applyFont="1" applyFill="1" applyBorder="1" applyAlignment="1" applyProtection="1">
      <alignment horizontal="center" vertical="center"/>
      <protection/>
    </xf>
    <xf numFmtId="0" fontId="13" fillId="33" borderId="0" xfId="0" applyFont="1" applyFill="1" applyBorder="1" applyAlignment="1" applyProtection="1">
      <alignment/>
      <protection/>
    </xf>
    <xf numFmtId="1" fontId="5" fillId="0" borderId="11" xfId="0" applyNumberFormat="1" applyFont="1" applyFill="1" applyBorder="1" applyAlignment="1" applyProtection="1">
      <alignment/>
      <protection/>
    </xf>
    <xf numFmtId="0" fontId="6" fillId="0" borderId="27" xfId="0" applyFont="1" applyFill="1" applyBorder="1" applyAlignment="1" applyProtection="1">
      <alignment/>
      <protection/>
    </xf>
    <xf numFmtId="0" fontId="6" fillId="0" borderId="18" xfId="0" applyFont="1" applyFill="1" applyBorder="1" applyAlignment="1" applyProtection="1">
      <alignment/>
      <protection/>
    </xf>
    <xf numFmtId="0" fontId="6" fillId="0" borderId="19" xfId="0" applyFont="1" applyFill="1" applyBorder="1" applyAlignment="1" applyProtection="1">
      <alignment/>
      <protection/>
    </xf>
    <xf numFmtId="0" fontId="6" fillId="0" borderId="28" xfId="0" applyFont="1" applyFill="1" applyBorder="1" applyAlignment="1" applyProtection="1">
      <alignment/>
      <protection/>
    </xf>
    <xf numFmtId="0" fontId="6" fillId="0" borderId="29" xfId="0" applyFont="1" applyFill="1" applyBorder="1" applyAlignment="1" applyProtection="1">
      <alignment/>
      <protection/>
    </xf>
    <xf numFmtId="0" fontId="6" fillId="0" borderId="30" xfId="0" applyFont="1" applyFill="1" applyBorder="1" applyAlignment="1" applyProtection="1">
      <alignment/>
      <protection/>
    </xf>
    <xf numFmtId="0" fontId="6" fillId="0" borderId="31" xfId="0" applyFont="1" applyFill="1" applyBorder="1" applyAlignment="1" applyProtection="1">
      <alignment/>
      <protection/>
    </xf>
    <xf numFmtId="0" fontId="6" fillId="0" borderId="32" xfId="0" applyFont="1" applyFill="1" applyBorder="1" applyAlignment="1" applyProtection="1">
      <alignment/>
      <protection/>
    </xf>
    <xf numFmtId="0" fontId="6" fillId="0" borderId="33" xfId="0" applyFont="1" applyFill="1" applyBorder="1" applyAlignment="1" applyProtection="1">
      <alignment/>
      <protection/>
    </xf>
    <xf numFmtId="0" fontId="13" fillId="0" borderId="0" xfId="0" applyFont="1" applyFill="1" applyBorder="1" applyAlignment="1" applyProtection="1">
      <alignment/>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center" vertical="center"/>
      <protection/>
    </xf>
    <xf numFmtId="1" fontId="4" fillId="0" borderId="0" xfId="0" applyNumberFormat="1" applyFont="1" applyFill="1" applyBorder="1" applyAlignment="1" applyProtection="1">
      <alignment horizontal="center"/>
      <protection/>
    </xf>
    <xf numFmtId="0" fontId="22" fillId="38" borderId="34" xfId="61" applyFont="1" applyFill="1" applyBorder="1" applyAlignment="1" applyProtection="1">
      <alignment horizontal="centerContinuous"/>
      <protection hidden="1"/>
    </xf>
    <xf numFmtId="0" fontId="19" fillId="38" borderId="35" xfId="61" applyFill="1" applyBorder="1" applyAlignment="1" applyProtection="1">
      <alignment horizontal="centerContinuous"/>
      <protection hidden="1"/>
    </xf>
    <xf numFmtId="0" fontId="23" fillId="38" borderId="35" xfId="61" applyFont="1" applyFill="1" applyBorder="1" applyAlignment="1" applyProtection="1">
      <alignment horizontal="centerContinuous"/>
      <protection hidden="1"/>
    </xf>
    <xf numFmtId="0" fontId="19" fillId="38" borderId="36" xfId="61" applyFill="1" applyBorder="1" applyAlignment="1" applyProtection="1">
      <alignment horizontal="centerContinuous"/>
      <protection hidden="1"/>
    </xf>
    <xf numFmtId="0" fontId="19" fillId="39" borderId="0" xfId="61" applyFill="1" applyBorder="1">
      <alignment/>
      <protection/>
    </xf>
    <xf numFmtId="0" fontId="24" fillId="39" borderId="0" xfId="61" applyFont="1" applyFill="1" applyBorder="1">
      <alignment/>
      <protection/>
    </xf>
    <xf numFmtId="0" fontId="19" fillId="39" borderId="0" xfId="61" applyFill="1">
      <alignment/>
      <protection/>
    </xf>
    <xf numFmtId="0" fontId="25" fillId="0" borderId="14" xfId="61" applyFont="1" applyBorder="1" applyAlignment="1" applyProtection="1">
      <alignment horizontal="center"/>
      <protection hidden="1"/>
    </xf>
    <xf numFmtId="0" fontId="26" fillId="39" borderId="0" xfId="61" applyFont="1" applyFill="1" applyAlignment="1">
      <alignment horizontal="center"/>
      <protection/>
    </xf>
    <xf numFmtId="0" fontId="27" fillId="38" borderId="37" xfId="61" applyFont="1" applyFill="1" applyBorder="1" applyAlignment="1" applyProtection="1">
      <alignment horizontal="centerContinuous"/>
      <protection hidden="1"/>
    </xf>
    <xf numFmtId="0" fontId="23" fillId="38" borderId="0" xfId="61" applyFont="1" applyFill="1" applyBorder="1" applyAlignment="1" applyProtection="1">
      <alignment horizontal="centerContinuous"/>
      <protection hidden="1"/>
    </xf>
    <xf numFmtId="0" fontId="27" fillId="38" borderId="0" xfId="61" applyFont="1" applyFill="1" applyBorder="1" applyAlignment="1" applyProtection="1">
      <alignment horizontal="centerContinuous"/>
      <protection hidden="1"/>
    </xf>
    <xf numFmtId="0" fontId="19" fillId="38" borderId="0" xfId="61" applyFill="1" applyBorder="1" applyAlignment="1" applyProtection="1">
      <alignment horizontal="centerContinuous"/>
      <protection hidden="1"/>
    </xf>
    <xf numFmtId="0" fontId="19" fillId="38" borderId="38" xfId="61" applyFill="1" applyBorder="1" applyAlignment="1" applyProtection="1">
      <alignment horizontal="centerContinuous"/>
      <protection hidden="1"/>
    </xf>
    <xf numFmtId="0" fontId="28" fillId="38" borderId="39" xfId="61" applyFont="1" applyFill="1" applyBorder="1" applyAlignment="1" applyProtection="1">
      <alignment horizontal="centerContinuous" vertical="justify"/>
      <protection hidden="1"/>
    </xf>
    <xf numFmtId="0" fontId="29" fillId="38" borderId="36" xfId="61" applyFont="1" applyFill="1" applyBorder="1" applyAlignment="1" applyProtection="1">
      <alignment horizontal="centerContinuous" vertical="justify"/>
      <protection hidden="1"/>
    </xf>
    <xf numFmtId="0" fontId="27" fillId="38" borderId="40" xfId="61" applyFont="1" applyFill="1" applyBorder="1" applyAlignment="1" applyProtection="1">
      <alignment horizontal="centerContinuous"/>
      <protection hidden="1"/>
    </xf>
    <xf numFmtId="0" fontId="23" fillId="38" borderId="41" xfId="61" applyFont="1" applyFill="1" applyBorder="1" applyAlignment="1" applyProtection="1">
      <alignment horizontal="centerContinuous"/>
      <protection hidden="1"/>
    </xf>
    <xf numFmtId="0" fontId="19" fillId="38" borderId="41" xfId="61" applyFill="1" applyBorder="1" applyAlignment="1" applyProtection="1">
      <alignment horizontal="centerContinuous"/>
      <protection hidden="1"/>
    </xf>
    <xf numFmtId="0" fontId="19" fillId="38" borderId="42" xfId="61" applyFill="1" applyBorder="1" applyAlignment="1" applyProtection="1">
      <alignment horizontal="centerContinuous"/>
      <protection hidden="1"/>
    </xf>
    <xf numFmtId="0" fontId="24" fillId="39" borderId="0" xfId="61" applyFont="1" applyFill="1" applyAlignment="1">
      <alignment horizontal="centerContinuous"/>
      <protection/>
    </xf>
    <xf numFmtId="0" fontId="19" fillId="39" borderId="0" xfId="61" applyFill="1" applyAlignment="1">
      <alignment horizontal="centerContinuous"/>
      <protection/>
    </xf>
    <xf numFmtId="0" fontId="19" fillId="39" borderId="0" xfId="61" applyFill="1" applyBorder="1" applyAlignment="1">
      <alignment horizontal="centerContinuous"/>
      <protection/>
    </xf>
    <xf numFmtId="0" fontId="26" fillId="39" borderId="0" xfId="61" applyFont="1" applyFill="1" applyAlignment="1">
      <alignment horizontal="centerContinuous"/>
      <protection/>
    </xf>
    <xf numFmtId="0" fontId="29" fillId="38" borderId="14" xfId="61" applyFont="1" applyFill="1" applyBorder="1" applyAlignment="1" applyProtection="1">
      <alignment horizontal="center"/>
      <protection hidden="1"/>
    </xf>
    <xf numFmtId="0" fontId="19" fillId="39" borderId="43" xfId="61" applyFill="1" applyBorder="1" applyAlignment="1" applyProtection="1">
      <alignment horizontal="right"/>
      <protection hidden="1"/>
    </xf>
    <xf numFmtId="49" fontId="26" fillId="39" borderId="34" xfId="61" applyNumberFormat="1" applyFont="1" applyFill="1" applyBorder="1" applyAlignment="1" applyProtection="1">
      <alignment horizontal="left"/>
      <protection locked="0"/>
    </xf>
    <xf numFmtId="49" fontId="30" fillId="39" borderId="35" xfId="61" applyNumberFormat="1" applyFont="1" applyFill="1" applyBorder="1" applyProtection="1">
      <alignment/>
      <protection locked="0"/>
    </xf>
    <xf numFmtId="0" fontId="29" fillId="39" borderId="14" xfId="61" applyFont="1" applyFill="1" applyBorder="1" applyAlignment="1" applyProtection="1">
      <alignment horizontal="center"/>
      <protection hidden="1"/>
    </xf>
    <xf numFmtId="49" fontId="26" fillId="39" borderId="44" xfId="61" applyNumberFormat="1" applyFont="1" applyFill="1" applyBorder="1" applyAlignment="1" applyProtection="1">
      <alignment horizontal="left"/>
      <protection locked="0"/>
    </xf>
    <xf numFmtId="49" fontId="26" fillId="39" borderId="44" xfId="61" applyNumberFormat="1" applyFont="1" applyFill="1" applyBorder="1" applyProtection="1">
      <alignment/>
      <protection locked="0"/>
    </xf>
    <xf numFmtId="49" fontId="26" fillId="39" borderId="45" xfId="61" applyNumberFormat="1" applyFont="1" applyFill="1" applyBorder="1" applyProtection="1">
      <alignment/>
      <protection locked="0"/>
    </xf>
    <xf numFmtId="0" fontId="26" fillId="39" borderId="0" xfId="61" applyFont="1" applyFill="1" applyBorder="1">
      <alignment/>
      <protection/>
    </xf>
    <xf numFmtId="0" fontId="26" fillId="39" borderId="0" xfId="61" applyFont="1" applyFill="1" applyBorder="1" applyAlignment="1" applyProtection="1">
      <alignment horizontal="right"/>
      <protection/>
    </xf>
    <xf numFmtId="0" fontId="26" fillId="39" borderId="0" xfId="61" applyFont="1" applyFill="1" applyBorder="1" applyAlignment="1">
      <alignment horizontal="center"/>
      <protection/>
    </xf>
    <xf numFmtId="0" fontId="26" fillId="39" borderId="0" xfId="61" applyFont="1" applyFill="1" applyBorder="1" applyAlignment="1">
      <alignment horizontal="center"/>
      <protection/>
    </xf>
    <xf numFmtId="0" fontId="26" fillId="39" borderId="0" xfId="61" applyFont="1" applyFill="1" applyAlignment="1">
      <alignment horizontal="center"/>
      <protection/>
    </xf>
    <xf numFmtId="0" fontId="26" fillId="40" borderId="14" xfId="61" applyFont="1" applyFill="1" applyBorder="1" applyAlignment="1" applyProtection="1">
      <alignment horizontal="center"/>
      <protection locked="0"/>
    </xf>
    <xf numFmtId="0" fontId="26" fillId="40" borderId="42" xfId="61" applyFont="1" applyFill="1" applyBorder="1" applyAlignment="1" applyProtection="1">
      <alignment horizontal="center"/>
      <protection locked="0"/>
    </xf>
    <xf numFmtId="49" fontId="26" fillId="39" borderId="46" xfId="61" applyNumberFormat="1" applyFont="1" applyFill="1" applyBorder="1" applyAlignment="1" applyProtection="1" quotePrefix="1">
      <alignment horizontal="left"/>
      <protection locked="0"/>
    </xf>
    <xf numFmtId="0" fontId="29" fillId="39" borderId="43" xfId="61" applyFont="1" applyFill="1" applyBorder="1" applyAlignment="1" applyProtection="1">
      <alignment horizontal="center"/>
      <protection hidden="1"/>
    </xf>
    <xf numFmtId="49" fontId="26" fillId="39" borderId="14" xfId="61" applyNumberFormat="1" applyFont="1" applyFill="1" applyBorder="1" applyAlignment="1" applyProtection="1">
      <alignment horizontal="left"/>
      <protection locked="0"/>
    </xf>
    <xf numFmtId="0" fontId="31" fillId="39" borderId="14" xfId="61" applyFont="1" applyFill="1" applyBorder="1" applyAlignment="1" applyProtection="1">
      <alignment horizontal="center"/>
      <protection hidden="1"/>
    </xf>
    <xf numFmtId="49" fontId="26" fillId="39" borderId="14" xfId="61" applyNumberFormat="1" applyFont="1" applyFill="1" applyBorder="1" applyProtection="1">
      <alignment/>
      <protection locked="0"/>
    </xf>
    <xf numFmtId="201" fontId="26" fillId="39" borderId="0" xfId="61" applyNumberFormat="1" applyFont="1" applyFill="1" applyBorder="1" applyAlignment="1">
      <alignment horizontal="center"/>
      <protection/>
    </xf>
    <xf numFmtId="2" fontId="26" fillId="39" borderId="0" xfId="61" applyNumberFormat="1" applyFont="1" applyFill="1" applyBorder="1" applyAlignment="1">
      <alignment horizontal="center"/>
      <protection/>
    </xf>
    <xf numFmtId="201" fontId="26" fillId="39" borderId="0" xfId="61" applyNumberFormat="1" applyFont="1" applyFill="1" applyAlignment="1">
      <alignment horizontal="center"/>
      <protection/>
    </xf>
    <xf numFmtId="2" fontId="26" fillId="39" borderId="0" xfId="61" applyNumberFormat="1" applyFont="1" applyFill="1" applyAlignment="1">
      <alignment horizontal="center"/>
      <protection/>
    </xf>
    <xf numFmtId="0" fontId="33" fillId="39" borderId="0" xfId="61" applyFont="1" applyFill="1">
      <alignment/>
      <protection/>
    </xf>
    <xf numFmtId="0" fontId="32" fillId="39" borderId="0" xfId="61" applyFont="1" applyFill="1">
      <alignment/>
      <protection/>
    </xf>
    <xf numFmtId="0" fontId="19" fillId="39" borderId="37" xfId="61" applyFill="1" applyBorder="1" applyAlignment="1" applyProtection="1">
      <alignment horizontal="right"/>
      <protection hidden="1"/>
    </xf>
    <xf numFmtId="0" fontId="26" fillId="39" borderId="0" xfId="61" applyFont="1" applyFill="1" applyBorder="1" applyProtection="1">
      <alignment/>
      <protection locked="0"/>
    </xf>
    <xf numFmtId="0" fontId="26" fillId="39" borderId="0" xfId="61" applyFont="1" applyFill="1" applyBorder="1" applyAlignment="1" applyProtection="1">
      <alignment horizontal="center"/>
      <protection locked="0"/>
    </xf>
    <xf numFmtId="14" fontId="26" fillId="39" borderId="38" xfId="61" applyNumberFormat="1" applyFont="1" applyFill="1" applyBorder="1" applyAlignment="1" applyProtection="1">
      <alignment horizontal="center"/>
      <protection locked="0"/>
    </xf>
    <xf numFmtId="0" fontId="34" fillId="39" borderId="37" xfId="61" applyFont="1" applyFill="1" applyBorder="1" applyProtection="1">
      <alignment/>
      <protection hidden="1"/>
    </xf>
    <xf numFmtId="0" fontId="30" fillId="39" borderId="0" xfId="61" applyFont="1" applyFill="1" applyBorder="1" applyProtection="1">
      <alignment/>
      <protection locked="0"/>
    </xf>
    <xf numFmtId="18" fontId="26" fillId="39" borderId="38" xfId="61" applyNumberFormat="1" applyFont="1" applyFill="1" applyBorder="1" applyAlignment="1" applyProtection="1">
      <alignment horizontal="center"/>
      <protection locked="0"/>
    </xf>
    <xf numFmtId="0" fontId="19" fillId="39" borderId="37" xfId="61" applyFill="1" applyBorder="1" applyProtection="1">
      <alignment/>
      <protection hidden="1"/>
    </xf>
    <xf numFmtId="0" fontId="30" fillId="39" borderId="0" xfId="61" applyFont="1" applyFill="1" applyBorder="1" applyAlignment="1" applyProtection="1">
      <alignment horizontal="left"/>
      <protection locked="0"/>
    </xf>
    <xf numFmtId="0" fontId="35" fillId="39" borderId="0" xfId="61" applyFont="1" applyFill="1" applyBorder="1" applyAlignment="1" applyProtection="1">
      <alignment horizontal="centerContinuous"/>
      <protection hidden="1"/>
    </xf>
    <xf numFmtId="0" fontId="19" fillId="39" borderId="0" xfId="61" applyFill="1" applyBorder="1" applyAlignment="1" applyProtection="1">
      <alignment horizontal="centerContinuous"/>
      <protection hidden="1"/>
    </xf>
    <xf numFmtId="0" fontId="29" fillId="39" borderId="0" xfId="61" applyFont="1" applyFill="1" applyBorder="1" applyAlignment="1" applyProtection="1">
      <alignment/>
      <protection hidden="1"/>
    </xf>
    <xf numFmtId="0" fontId="19" fillId="39" borderId="0" xfId="61" applyFill="1" applyBorder="1" applyAlignment="1" applyProtection="1">
      <alignment horizontal="center"/>
      <protection hidden="1"/>
    </xf>
    <xf numFmtId="0" fontId="26" fillId="39" borderId="38" xfId="61" applyFont="1" applyFill="1" applyBorder="1" applyAlignment="1" applyProtection="1">
      <alignment horizontal="center"/>
      <protection locked="0"/>
    </xf>
    <xf numFmtId="0" fontId="23" fillId="39" borderId="0" xfId="61" applyFont="1" applyFill="1" applyBorder="1" applyAlignment="1" applyProtection="1">
      <alignment horizontal="right"/>
      <protection hidden="1"/>
    </xf>
    <xf numFmtId="0" fontId="26" fillId="41" borderId="14" xfId="61" applyFont="1" applyFill="1" applyBorder="1" applyAlignment="1" applyProtection="1">
      <alignment horizontal="center"/>
      <protection locked="0"/>
    </xf>
    <xf numFmtId="0" fontId="27" fillId="39" borderId="0" xfId="61" applyFont="1" applyFill="1" applyBorder="1" applyProtection="1">
      <alignment/>
      <protection hidden="1"/>
    </xf>
    <xf numFmtId="0" fontId="34" fillId="39" borderId="0" xfId="61" applyFont="1" applyFill="1" applyBorder="1" applyAlignment="1" applyProtection="1">
      <alignment horizontal="centerContinuous"/>
      <protection hidden="1"/>
    </xf>
    <xf numFmtId="0" fontId="19" fillId="39" borderId="0" xfId="61" applyFill="1" applyBorder="1" applyProtection="1">
      <alignment/>
      <protection hidden="1"/>
    </xf>
    <xf numFmtId="0" fontId="19" fillId="39" borderId="38" xfId="61" applyFill="1" applyBorder="1" applyProtection="1">
      <alignment/>
      <protection hidden="1"/>
    </xf>
    <xf numFmtId="0" fontId="23" fillId="39" borderId="0" xfId="61" applyFont="1" applyFill="1" applyBorder="1" applyAlignment="1" applyProtection="1">
      <alignment horizontal="centerContinuous"/>
      <protection hidden="1"/>
    </xf>
    <xf numFmtId="0" fontId="19" fillId="39" borderId="37" xfId="61" applyFill="1" applyBorder="1" applyAlignment="1" applyProtection="1">
      <alignment horizontal="centerContinuous"/>
      <protection hidden="1"/>
    </xf>
    <xf numFmtId="0" fontId="23" fillId="38" borderId="46" xfId="61" applyFont="1" applyFill="1" applyBorder="1" applyAlignment="1" applyProtection="1">
      <alignment horizontal="centerContinuous"/>
      <protection hidden="1"/>
    </xf>
    <xf numFmtId="0" fontId="19" fillId="38" borderId="45" xfId="61" applyFill="1" applyBorder="1" applyAlignment="1" applyProtection="1">
      <alignment horizontal="centerContinuous"/>
      <protection hidden="1"/>
    </xf>
    <xf numFmtId="0" fontId="37" fillId="39" borderId="0" xfId="61" applyFont="1" applyFill="1" applyBorder="1" applyAlignment="1" applyProtection="1">
      <alignment horizontal="centerContinuous"/>
      <protection hidden="1"/>
    </xf>
    <xf numFmtId="0" fontId="26" fillId="39" borderId="0" xfId="61" applyFont="1" applyFill="1">
      <alignment/>
      <protection/>
    </xf>
    <xf numFmtId="0" fontId="19" fillId="39" borderId="41" xfId="61" applyFill="1" applyBorder="1" applyAlignment="1" applyProtection="1">
      <alignment horizontal="center"/>
      <protection hidden="1"/>
    </xf>
    <xf numFmtId="0" fontId="19" fillId="38" borderId="39" xfId="61" applyFill="1" applyBorder="1" applyAlignment="1" applyProtection="1">
      <alignment horizontal="center"/>
      <protection hidden="1"/>
    </xf>
    <xf numFmtId="0" fontId="19" fillId="38" borderId="38" xfId="61" applyFill="1" applyBorder="1" applyAlignment="1" applyProtection="1">
      <alignment horizontal="center"/>
      <protection hidden="1"/>
    </xf>
    <xf numFmtId="0" fontId="26" fillId="39" borderId="0" xfId="61" applyFont="1" applyFill="1" applyBorder="1" applyProtection="1">
      <alignment/>
      <protection hidden="1"/>
    </xf>
    <xf numFmtId="0" fontId="26" fillId="39" borderId="0" xfId="61" applyFont="1" applyFill="1" applyBorder="1" applyAlignment="1" applyProtection="1">
      <alignment horizontal="center"/>
      <protection hidden="1"/>
    </xf>
    <xf numFmtId="0" fontId="21" fillId="39" borderId="37" xfId="61" applyFont="1" applyFill="1" applyBorder="1" applyAlignment="1" applyProtection="1">
      <alignment horizontal="right"/>
      <protection hidden="1"/>
    </xf>
    <xf numFmtId="201" fontId="26" fillId="41" borderId="47" xfId="61" applyNumberFormat="1" applyFont="1" applyFill="1" applyBorder="1" applyAlignment="1" applyProtection="1">
      <alignment horizontal="center"/>
      <protection locked="0"/>
    </xf>
    <xf numFmtId="201" fontId="26" fillId="41" borderId="48" xfId="61" applyNumberFormat="1" applyFont="1" applyFill="1" applyBorder="1" applyAlignment="1" applyProtection="1">
      <alignment horizontal="center"/>
      <protection locked="0"/>
    </xf>
    <xf numFmtId="0" fontId="21" fillId="39" borderId="38" xfId="61" applyFont="1" applyFill="1" applyBorder="1" applyAlignment="1" applyProtection="1">
      <alignment horizontal="right"/>
      <protection hidden="1"/>
    </xf>
    <xf numFmtId="2" fontId="26" fillId="39" borderId="49" xfId="61" applyNumberFormat="1" applyFont="1" applyFill="1" applyBorder="1" applyAlignment="1" applyProtection="1">
      <alignment horizontal="center"/>
      <protection hidden="1"/>
    </xf>
    <xf numFmtId="2" fontId="26" fillId="39" borderId="50" xfId="61" applyNumberFormat="1" applyFont="1" applyFill="1" applyBorder="1" applyAlignment="1" applyProtection="1">
      <alignment horizontal="center"/>
      <protection hidden="1"/>
    </xf>
    <xf numFmtId="0" fontId="25" fillId="39" borderId="0" xfId="61" applyFont="1" applyFill="1" applyBorder="1" applyAlignment="1" applyProtection="1">
      <alignment horizontal="right"/>
      <protection hidden="1"/>
    </xf>
    <xf numFmtId="201" fontId="26" fillId="40" borderId="49" xfId="61" applyNumberFormat="1" applyFont="1" applyFill="1" applyBorder="1" applyAlignment="1" applyProtection="1">
      <alignment horizontal="center"/>
      <protection/>
    </xf>
    <xf numFmtId="201" fontId="26" fillId="40" borderId="50" xfId="61" applyNumberFormat="1" applyFont="1" applyFill="1" applyBorder="1" applyAlignment="1" applyProtection="1">
      <alignment horizontal="center"/>
      <protection/>
    </xf>
    <xf numFmtId="201" fontId="26" fillId="41" borderId="51" xfId="61" applyNumberFormat="1" applyFont="1" applyFill="1" applyBorder="1" applyAlignment="1" applyProtection="1">
      <alignment horizontal="center"/>
      <protection locked="0"/>
    </xf>
    <xf numFmtId="201" fontId="26" fillId="41" borderId="22" xfId="61" applyNumberFormat="1" applyFont="1" applyFill="1" applyBorder="1" applyAlignment="1" applyProtection="1">
      <alignment horizontal="center"/>
      <protection locked="0"/>
    </xf>
    <xf numFmtId="2" fontId="26" fillId="39" borderId="52" xfId="61" applyNumberFormat="1" applyFont="1" applyFill="1" applyBorder="1" applyAlignment="1" applyProtection="1">
      <alignment horizontal="center"/>
      <protection hidden="1"/>
    </xf>
    <xf numFmtId="2" fontId="26" fillId="39" borderId="53" xfId="61" applyNumberFormat="1" applyFont="1" applyFill="1" applyBorder="1" applyAlignment="1" applyProtection="1">
      <alignment horizontal="center"/>
      <protection hidden="1"/>
    </xf>
    <xf numFmtId="201" fontId="26" fillId="40" borderId="52" xfId="61" applyNumberFormat="1" applyFont="1" applyFill="1" applyBorder="1" applyAlignment="1" applyProtection="1">
      <alignment horizontal="center"/>
      <protection/>
    </xf>
    <xf numFmtId="201" fontId="26" fillId="40" borderId="53" xfId="61" applyNumberFormat="1" applyFont="1" applyFill="1" applyBorder="1" applyAlignment="1" applyProtection="1">
      <alignment horizontal="center"/>
      <protection/>
    </xf>
    <xf numFmtId="0" fontId="19" fillId="39" borderId="38" xfId="61" applyFill="1" applyBorder="1" applyAlignment="1" applyProtection="1">
      <alignment horizontal="centerContinuous"/>
      <protection hidden="1"/>
    </xf>
    <xf numFmtId="0" fontId="29" fillId="39" borderId="0" xfId="61" applyFont="1" applyFill="1" applyBorder="1" applyAlignment="1" applyProtection="1">
      <alignment horizontal="right"/>
      <protection hidden="1"/>
    </xf>
    <xf numFmtId="201" fontId="26" fillId="39" borderId="49" xfId="61" applyNumberFormat="1" applyFont="1" applyFill="1" applyBorder="1" applyAlignment="1" applyProtection="1">
      <alignment horizontal="center"/>
      <protection hidden="1"/>
    </xf>
    <xf numFmtId="0" fontId="21" fillId="39" borderId="38" xfId="61" applyFont="1" applyFill="1" applyBorder="1" applyAlignment="1" applyProtection="1">
      <alignment horizontal="left"/>
      <protection hidden="1"/>
    </xf>
    <xf numFmtId="201" fontId="26" fillId="39" borderId="52" xfId="61" applyNumberFormat="1" applyFont="1" applyFill="1" applyBorder="1" applyAlignment="1" applyProtection="1">
      <alignment horizontal="center"/>
      <protection hidden="1"/>
    </xf>
    <xf numFmtId="0" fontId="24" fillId="39" borderId="0" xfId="61" applyFont="1" applyFill="1">
      <alignment/>
      <protection/>
    </xf>
    <xf numFmtId="2" fontId="26" fillId="39" borderId="0" xfId="61" applyNumberFormat="1" applyFont="1" applyFill="1" applyBorder="1" applyAlignment="1">
      <alignment horizontal="center"/>
      <protection/>
    </xf>
    <xf numFmtId="0" fontId="24" fillId="39" borderId="0" xfId="61" applyFont="1" applyFill="1" applyAlignment="1">
      <alignment horizontal="left"/>
      <protection/>
    </xf>
    <xf numFmtId="0" fontId="26" fillId="39" borderId="0" xfId="61" applyFont="1" applyFill="1">
      <alignment/>
      <protection/>
    </xf>
    <xf numFmtId="205" fontId="29" fillId="39" borderId="0" xfId="61" applyNumberFormat="1" applyFont="1" applyFill="1" applyBorder="1" applyAlignment="1" applyProtection="1">
      <alignment horizontal="right"/>
      <protection hidden="1"/>
    </xf>
    <xf numFmtId="2" fontId="26" fillId="39" borderId="52" xfId="61" applyNumberFormat="1" applyFont="1" applyFill="1" applyBorder="1" applyAlignment="1" applyProtection="1">
      <alignment horizontal="center"/>
      <protection hidden="1"/>
    </xf>
    <xf numFmtId="0" fontId="38" fillId="39" borderId="38" xfId="61" applyFont="1" applyFill="1" applyBorder="1" applyAlignment="1" applyProtection="1">
      <alignment horizontal="left"/>
      <protection hidden="1"/>
    </xf>
    <xf numFmtId="0" fontId="39" fillId="39" borderId="0" xfId="61" applyFont="1" applyFill="1" applyBorder="1" applyAlignment="1">
      <alignment horizontal="right"/>
      <protection/>
    </xf>
    <xf numFmtId="201" fontId="26" fillId="39" borderId="0" xfId="61" applyNumberFormat="1" applyFont="1" applyFill="1" applyBorder="1" applyAlignment="1">
      <alignment horizontal="center"/>
      <protection/>
    </xf>
    <xf numFmtId="0" fontId="26" fillId="39" borderId="0" xfId="61" applyFont="1" applyFill="1" applyBorder="1" applyAlignment="1">
      <alignment horizontal="right"/>
      <protection/>
    </xf>
    <xf numFmtId="201" fontId="26" fillId="41" borderId="54" xfId="61" applyNumberFormat="1" applyFont="1" applyFill="1" applyBorder="1" applyAlignment="1" applyProtection="1">
      <alignment horizontal="center"/>
      <protection locked="0"/>
    </xf>
    <xf numFmtId="201" fontId="26" fillId="41" borderId="55" xfId="61" applyNumberFormat="1" applyFont="1" applyFill="1" applyBorder="1" applyAlignment="1" applyProtection="1">
      <alignment horizontal="center"/>
      <protection locked="0"/>
    </xf>
    <xf numFmtId="2" fontId="26" fillId="39" borderId="56" xfId="61" applyNumberFormat="1" applyFont="1" applyFill="1" applyBorder="1" applyAlignment="1" applyProtection="1">
      <alignment horizontal="center"/>
      <protection hidden="1"/>
    </xf>
    <xf numFmtId="2" fontId="26" fillId="39" borderId="57" xfId="61" applyNumberFormat="1" applyFont="1" applyFill="1" applyBorder="1" applyAlignment="1" applyProtection="1">
      <alignment horizontal="center"/>
      <protection hidden="1"/>
    </xf>
    <xf numFmtId="0" fontId="40" fillId="39" borderId="0" xfId="61" applyFont="1" applyFill="1" applyBorder="1" applyAlignment="1" applyProtection="1">
      <alignment horizontal="right"/>
      <protection hidden="1"/>
    </xf>
    <xf numFmtId="201" fontId="26" fillId="39" borderId="56" xfId="61" applyNumberFormat="1" applyFont="1" applyFill="1" applyBorder="1" applyAlignment="1" applyProtection="1">
      <alignment horizontal="center"/>
      <protection hidden="1"/>
    </xf>
    <xf numFmtId="205" fontId="26" fillId="39" borderId="0" xfId="61" applyNumberFormat="1" applyFont="1" applyFill="1" applyBorder="1" applyAlignment="1">
      <alignment horizontal="right"/>
      <protection/>
    </xf>
    <xf numFmtId="206" fontId="26" fillId="39" borderId="0" xfId="61" applyNumberFormat="1" applyFont="1" applyFill="1" applyBorder="1" applyAlignment="1">
      <alignment horizontal="center"/>
      <protection/>
    </xf>
    <xf numFmtId="201" fontId="26" fillId="40" borderId="56" xfId="61" applyNumberFormat="1" applyFont="1" applyFill="1" applyBorder="1" applyAlignment="1" applyProtection="1">
      <alignment horizontal="center"/>
      <protection/>
    </xf>
    <xf numFmtId="201" fontId="26" fillId="40" borderId="57" xfId="61" applyNumberFormat="1" applyFont="1" applyFill="1" applyBorder="1" applyAlignment="1" applyProtection="1">
      <alignment horizontal="center"/>
      <protection/>
    </xf>
    <xf numFmtId="0" fontId="27" fillId="39" borderId="0" xfId="61" applyFont="1" applyFill="1" applyBorder="1" applyAlignment="1" applyProtection="1">
      <alignment horizontal="left"/>
      <protection hidden="1"/>
    </xf>
    <xf numFmtId="0" fontId="41" fillId="39" borderId="0" xfId="61" applyFont="1" applyFill="1" applyBorder="1" applyAlignment="1" applyProtection="1">
      <alignment horizontal="centerContinuous"/>
      <protection hidden="1"/>
    </xf>
    <xf numFmtId="0" fontId="19" fillId="39" borderId="0" xfId="61" applyFill="1" applyBorder="1" applyProtection="1">
      <alignment/>
      <protection locked="0"/>
    </xf>
    <xf numFmtId="2" fontId="26" fillId="39" borderId="0" xfId="61" applyNumberFormat="1" applyFont="1" applyFill="1" applyAlignment="1">
      <alignment horizontal="center"/>
      <protection/>
    </xf>
    <xf numFmtId="0" fontId="37" fillId="39" borderId="0" xfId="61" applyFont="1" applyFill="1" applyBorder="1" applyAlignment="1" applyProtection="1">
      <alignment horizontal="right"/>
      <protection hidden="1"/>
    </xf>
    <xf numFmtId="0" fontId="19" fillId="39" borderId="37" xfId="61" applyFill="1" applyBorder="1" applyAlignment="1" applyProtection="1">
      <alignment horizontal="left"/>
      <protection hidden="1"/>
    </xf>
    <xf numFmtId="0" fontId="19" fillId="39" borderId="0" xfId="61" applyFill="1" applyBorder="1" applyAlignment="1" applyProtection="1">
      <alignment horizontal="right"/>
      <protection hidden="1"/>
    </xf>
    <xf numFmtId="2" fontId="26" fillId="41" borderId="58" xfId="61" applyNumberFormat="1" applyFont="1" applyFill="1" applyBorder="1" applyAlignment="1" applyProtection="1">
      <alignment horizontal="center"/>
      <protection locked="0"/>
    </xf>
    <xf numFmtId="0" fontId="26" fillId="39" borderId="0" xfId="61" applyFont="1" applyFill="1" applyBorder="1" applyAlignment="1" applyProtection="1">
      <alignment horizontal="right"/>
      <protection hidden="1"/>
    </xf>
    <xf numFmtId="201" fontId="26" fillId="40" borderId="59" xfId="61" applyNumberFormat="1" applyFont="1" applyFill="1" applyBorder="1" applyAlignment="1" applyProtection="1">
      <alignment horizontal="center"/>
      <protection/>
    </xf>
    <xf numFmtId="2" fontId="26" fillId="41" borderId="60" xfId="61" applyNumberFormat="1" applyFont="1" applyFill="1" applyBorder="1" applyAlignment="1" applyProtection="1">
      <alignment horizontal="center"/>
      <protection locked="0"/>
    </xf>
    <xf numFmtId="0" fontId="42" fillId="39" borderId="0" xfId="61" applyFont="1" applyFill="1" applyBorder="1" applyAlignment="1">
      <alignment horizontal="left"/>
      <protection/>
    </xf>
    <xf numFmtId="201" fontId="26" fillId="40" borderId="61" xfId="61" applyNumberFormat="1" applyFont="1" applyFill="1" applyBorder="1" applyAlignment="1" applyProtection="1">
      <alignment horizontal="center"/>
      <protection/>
    </xf>
    <xf numFmtId="0" fontId="19" fillId="39" borderId="0" xfId="61" applyFill="1" applyBorder="1" applyAlignment="1">
      <alignment/>
      <protection/>
    </xf>
    <xf numFmtId="2" fontId="26" fillId="40" borderId="52" xfId="61" applyNumberFormat="1" applyFont="1" applyFill="1" applyBorder="1" applyAlignment="1" applyProtection="1">
      <alignment horizontal="center"/>
      <protection/>
    </xf>
    <xf numFmtId="2" fontId="26" fillId="40" borderId="61" xfId="61" applyNumberFormat="1" applyFont="1" applyFill="1" applyBorder="1" applyAlignment="1" applyProtection="1">
      <alignment horizontal="center"/>
      <protection/>
    </xf>
    <xf numFmtId="2" fontId="26" fillId="40" borderId="53" xfId="61" applyNumberFormat="1" applyFont="1" applyFill="1" applyBorder="1" applyAlignment="1" applyProtection="1">
      <alignment horizontal="center"/>
      <protection/>
    </xf>
    <xf numFmtId="0" fontId="43" fillId="39" borderId="0" xfId="61" applyFont="1" applyFill="1" applyBorder="1" applyAlignment="1" applyProtection="1">
      <alignment horizontal="centerContinuous"/>
      <protection hidden="1"/>
    </xf>
    <xf numFmtId="0" fontId="43" fillId="39" borderId="38" xfId="61" applyFont="1" applyFill="1" applyBorder="1" applyAlignment="1" applyProtection="1">
      <alignment horizontal="centerContinuous"/>
      <protection hidden="1"/>
    </xf>
    <xf numFmtId="2" fontId="26" fillId="41" borderId="62" xfId="61" applyNumberFormat="1" applyFont="1" applyFill="1" applyBorder="1" applyAlignment="1" applyProtection="1">
      <alignment horizontal="center"/>
      <protection locked="0"/>
    </xf>
    <xf numFmtId="201" fontId="29" fillId="39" borderId="0" xfId="61" applyNumberFormat="1" applyFont="1" applyFill="1" applyBorder="1" applyAlignment="1" applyProtection="1">
      <alignment horizontal="right"/>
      <protection hidden="1"/>
    </xf>
    <xf numFmtId="2" fontId="26" fillId="40" borderId="56" xfId="61" applyNumberFormat="1" applyFont="1" applyFill="1" applyBorder="1" applyAlignment="1" applyProtection="1">
      <alignment horizontal="center"/>
      <protection/>
    </xf>
    <xf numFmtId="2" fontId="26" fillId="40" borderId="63" xfId="61" applyNumberFormat="1" applyFont="1" applyFill="1" applyBorder="1" applyAlignment="1" applyProtection="1">
      <alignment horizontal="center"/>
      <protection/>
    </xf>
    <xf numFmtId="2" fontId="26" fillId="40" borderId="57" xfId="61" applyNumberFormat="1" applyFont="1" applyFill="1" applyBorder="1" applyAlignment="1" applyProtection="1">
      <alignment horizontal="center"/>
      <protection/>
    </xf>
    <xf numFmtId="0" fontId="19" fillId="39" borderId="40" xfId="61" applyFill="1" applyBorder="1" applyProtection="1">
      <alignment/>
      <protection hidden="1"/>
    </xf>
    <xf numFmtId="0" fontId="19" fillId="39" borderId="41" xfId="61" applyFill="1" applyBorder="1" applyProtection="1">
      <alignment/>
      <protection hidden="1"/>
    </xf>
    <xf numFmtId="0" fontId="19" fillId="39" borderId="42" xfId="61" applyFill="1" applyBorder="1" applyProtection="1">
      <alignment/>
      <protection hidden="1"/>
    </xf>
    <xf numFmtId="0" fontId="19" fillId="42" borderId="0" xfId="61" applyFill="1" applyBorder="1" applyProtection="1">
      <alignment/>
      <protection hidden="1"/>
    </xf>
    <xf numFmtId="2" fontId="35" fillId="42" borderId="0" xfId="61" applyNumberFormat="1" applyFont="1" applyFill="1" applyBorder="1" applyAlignment="1" applyProtection="1">
      <alignment/>
      <protection hidden="1"/>
    </xf>
    <xf numFmtId="2" fontId="26" fillId="42" borderId="0" xfId="61" applyNumberFormat="1" applyFont="1" applyFill="1" applyBorder="1" applyAlignment="1" applyProtection="1">
      <alignment horizontal="center"/>
      <protection hidden="1"/>
    </xf>
    <xf numFmtId="0" fontId="19" fillId="42" borderId="0" xfId="61" applyFill="1" applyBorder="1" applyAlignment="1" applyProtection="1">
      <alignment horizontal="left"/>
      <protection hidden="1"/>
    </xf>
    <xf numFmtId="2" fontId="29" fillId="42" borderId="0" xfId="61" applyNumberFormat="1" applyFont="1" applyFill="1" applyBorder="1" applyAlignment="1" applyProtection="1">
      <alignment horizontal="left"/>
      <protection hidden="1"/>
    </xf>
    <xf numFmtId="0" fontId="37" fillId="39" borderId="0" xfId="61" applyFont="1" applyFill="1" applyProtection="1">
      <alignment/>
      <protection hidden="1"/>
    </xf>
    <xf numFmtId="0" fontId="44" fillId="39" borderId="0" xfId="61" applyFont="1" applyFill="1" applyProtection="1">
      <alignment/>
      <protection hidden="1"/>
    </xf>
    <xf numFmtId="0" fontId="19" fillId="42" borderId="0" xfId="61" applyFont="1" applyFill="1" applyBorder="1" applyAlignment="1" applyProtection="1">
      <alignment/>
      <protection hidden="1"/>
    </xf>
    <xf numFmtId="0" fontId="44" fillId="39" borderId="0" xfId="61" applyFont="1" applyFill="1" applyBorder="1" applyProtection="1">
      <alignment/>
      <protection hidden="1"/>
    </xf>
    <xf numFmtId="0" fontId="22" fillId="41" borderId="34" xfId="61" applyFont="1" applyFill="1" applyBorder="1" applyAlignment="1" applyProtection="1">
      <alignment horizontal="centerContinuous"/>
      <protection hidden="1"/>
    </xf>
    <xf numFmtId="0" fontId="19" fillId="41" borderId="35" xfId="61" applyFill="1" applyBorder="1" applyAlignment="1" applyProtection="1">
      <alignment horizontal="centerContinuous"/>
      <protection hidden="1"/>
    </xf>
    <xf numFmtId="0" fontId="23" fillId="41" borderId="35" xfId="61" applyFont="1" applyFill="1" applyBorder="1" applyAlignment="1" applyProtection="1">
      <alignment horizontal="centerContinuous"/>
      <protection hidden="1"/>
    </xf>
    <xf numFmtId="0" fontId="19" fillId="41" borderId="36" xfId="61" applyFill="1" applyBorder="1" applyAlignment="1" applyProtection="1">
      <alignment horizontal="centerContinuous"/>
      <protection hidden="1"/>
    </xf>
    <xf numFmtId="0" fontId="37" fillId="39" borderId="0" xfId="61" applyFont="1" applyFill="1" applyBorder="1" applyAlignment="1" applyProtection="1">
      <alignment horizontal="left"/>
      <protection hidden="1"/>
    </xf>
    <xf numFmtId="0" fontId="30" fillId="39" borderId="0" xfId="61" applyFont="1" applyFill="1" applyBorder="1" applyAlignment="1" applyProtection="1">
      <alignment horizontal="left"/>
      <protection hidden="1"/>
    </xf>
    <xf numFmtId="0" fontId="26" fillId="39" borderId="0" xfId="61" applyFont="1" applyFill="1" applyBorder="1" applyAlignment="1" applyProtection="1">
      <alignment horizontal="centerContinuous"/>
      <protection hidden="1"/>
    </xf>
    <xf numFmtId="0" fontId="30" fillId="41" borderId="37" xfId="61" applyFont="1" applyFill="1" applyBorder="1" applyAlignment="1" applyProtection="1">
      <alignment horizontal="centerContinuous"/>
      <protection hidden="1"/>
    </xf>
    <xf numFmtId="0" fontId="30" fillId="41" borderId="0" xfId="61" applyFont="1" applyFill="1" applyBorder="1" applyAlignment="1" applyProtection="1">
      <alignment horizontal="centerContinuous"/>
      <protection hidden="1"/>
    </xf>
    <xf numFmtId="0" fontId="26" fillId="41" borderId="0" xfId="61" applyFont="1" applyFill="1" applyBorder="1" applyAlignment="1" applyProtection="1">
      <alignment horizontal="centerContinuous"/>
      <protection hidden="1"/>
    </xf>
    <xf numFmtId="0" fontId="26" fillId="41" borderId="38" xfId="61" applyFont="1" applyFill="1" applyBorder="1" applyAlignment="1" applyProtection="1">
      <alignment horizontal="centerContinuous"/>
      <protection hidden="1"/>
    </xf>
    <xf numFmtId="0" fontId="30" fillId="39" borderId="0" xfId="61" applyFont="1" applyFill="1" applyProtection="1">
      <alignment/>
      <protection hidden="1"/>
    </xf>
    <xf numFmtId="0" fontId="26" fillId="39" borderId="0" xfId="61" applyFont="1" applyFill="1" applyBorder="1" applyProtection="1">
      <alignment/>
      <protection hidden="1"/>
    </xf>
    <xf numFmtId="0" fontId="30" fillId="41" borderId="40" xfId="61" applyFont="1" applyFill="1" applyBorder="1" applyAlignment="1" applyProtection="1">
      <alignment horizontal="centerContinuous"/>
      <protection hidden="1"/>
    </xf>
    <xf numFmtId="0" fontId="30" fillId="41" borderId="41" xfId="61" applyFont="1" applyFill="1" applyBorder="1" applyAlignment="1" applyProtection="1">
      <alignment horizontal="centerContinuous"/>
      <protection hidden="1"/>
    </xf>
    <xf numFmtId="0" fontId="26" fillId="41" borderId="41" xfId="61" applyFont="1" applyFill="1" applyBorder="1" applyAlignment="1" applyProtection="1">
      <alignment horizontal="centerContinuous"/>
      <protection hidden="1"/>
    </xf>
    <xf numFmtId="0" fontId="26" fillId="41" borderId="42" xfId="61" applyFont="1" applyFill="1" applyBorder="1" applyAlignment="1" applyProtection="1">
      <alignment horizontal="centerContinuous"/>
      <protection hidden="1"/>
    </xf>
    <xf numFmtId="0" fontId="26" fillId="39" borderId="0" xfId="61" applyFont="1" applyFill="1" applyProtection="1">
      <alignment/>
      <protection hidden="1"/>
    </xf>
    <xf numFmtId="0" fontId="26" fillId="39" borderId="0" xfId="61" applyFont="1" applyFill="1" applyBorder="1" applyAlignment="1" applyProtection="1">
      <alignment horizontal="left"/>
      <protection hidden="1"/>
    </xf>
    <xf numFmtId="0" fontId="26" fillId="40" borderId="49" xfId="61" applyFont="1" applyFill="1" applyBorder="1" applyAlignment="1" applyProtection="1">
      <alignment horizontal="center"/>
      <protection locked="0"/>
    </xf>
    <xf numFmtId="0" fontId="44" fillId="39" borderId="0" xfId="61" applyFont="1" applyFill="1" applyBorder="1" applyAlignment="1" applyProtection="1">
      <alignment horizontal="right"/>
      <protection hidden="1"/>
    </xf>
    <xf numFmtId="205" fontId="26" fillId="40" borderId="52" xfId="61" applyNumberFormat="1" applyFont="1" applyFill="1" applyBorder="1" applyAlignment="1" applyProtection="1">
      <alignment horizontal="center"/>
      <protection locked="0"/>
    </xf>
    <xf numFmtId="0" fontId="25" fillId="39" borderId="0" xfId="61" applyFont="1" applyFill="1" applyBorder="1" applyProtection="1">
      <alignment/>
      <protection hidden="1"/>
    </xf>
    <xf numFmtId="0" fontId="26" fillId="39" borderId="0" xfId="61" applyFont="1" applyFill="1" applyAlignment="1" applyProtection="1">
      <alignment horizontal="right"/>
      <protection hidden="1"/>
    </xf>
    <xf numFmtId="205" fontId="26" fillId="40" borderId="56" xfId="61" applyNumberFormat="1" applyFont="1" applyFill="1" applyBorder="1" applyAlignment="1" applyProtection="1">
      <alignment horizontal="center"/>
      <protection locked="0"/>
    </xf>
    <xf numFmtId="0" fontId="23" fillId="41" borderId="46" xfId="61" applyFont="1" applyFill="1" applyBorder="1" applyAlignment="1" applyProtection="1">
      <alignment horizontal="centerContinuous"/>
      <protection hidden="1"/>
    </xf>
    <xf numFmtId="0" fontId="19" fillId="41" borderId="45" xfId="61" applyFill="1" applyBorder="1" applyAlignment="1" applyProtection="1">
      <alignment horizontal="centerContinuous"/>
      <protection hidden="1"/>
    </xf>
    <xf numFmtId="0" fontId="19" fillId="41" borderId="39" xfId="61" applyFill="1" applyBorder="1" applyAlignment="1" applyProtection="1">
      <alignment horizontal="center"/>
      <protection hidden="1"/>
    </xf>
    <xf numFmtId="0" fontId="19" fillId="41" borderId="38" xfId="61" applyFill="1" applyBorder="1" applyAlignment="1" applyProtection="1">
      <alignment horizontal="center"/>
      <protection hidden="1"/>
    </xf>
    <xf numFmtId="0" fontId="30" fillId="39" borderId="0" xfId="61" applyFont="1" applyFill="1" applyBorder="1" applyAlignment="1" applyProtection="1">
      <alignment/>
      <protection hidden="1"/>
    </xf>
    <xf numFmtId="0" fontId="26" fillId="39" borderId="0" xfId="61" applyFont="1" applyFill="1" applyBorder="1" applyAlignment="1" applyProtection="1">
      <alignment/>
      <protection hidden="1"/>
    </xf>
    <xf numFmtId="201" fontId="26" fillId="40" borderId="49" xfId="61" applyNumberFormat="1" applyFont="1" applyFill="1" applyBorder="1" applyAlignment="1" applyProtection="1">
      <alignment horizontal="center"/>
      <protection locked="0"/>
    </xf>
    <xf numFmtId="201" fontId="26" fillId="40" borderId="50" xfId="61" applyNumberFormat="1" applyFont="1" applyFill="1" applyBorder="1" applyAlignment="1" applyProtection="1">
      <alignment horizontal="center"/>
      <protection locked="0"/>
    </xf>
    <xf numFmtId="0" fontId="26" fillId="39" borderId="0" xfId="61" applyFont="1" applyFill="1" applyBorder="1" applyAlignment="1" applyProtection="1">
      <alignment horizontal="center"/>
      <protection hidden="1"/>
    </xf>
    <xf numFmtId="201" fontId="26" fillId="40" borderId="52" xfId="61" applyNumberFormat="1" applyFont="1" applyFill="1" applyBorder="1" applyAlignment="1" applyProtection="1">
      <alignment horizontal="center"/>
      <protection locked="0"/>
    </xf>
    <xf numFmtId="201" fontId="26" fillId="40" borderId="53" xfId="61" applyNumberFormat="1" applyFont="1" applyFill="1" applyBorder="1" applyAlignment="1" applyProtection="1">
      <alignment horizontal="center"/>
      <protection locked="0"/>
    </xf>
    <xf numFmtId="0" fontId="25" fillId="39" borderId="0" xfId="61" applyFont="1" applyFill="1" applyAlignment="1" applyProtection="1">
      <alignment horizontal="right"/>
      <protection hidden="1"/>
    </xf>
    <xf numFmtId="10" fontId="44" fillId="39" borderId="0" xfId="61" applyNumberFormat="1" applyFont="1" applyFill="1" applyBorder="1" applyAlignment="1" applyProtection="1" quotePrefix="1">
      <alignment horizontal="center"/>
      <protection hidden="1"/>
    </xf>
    <xf numFmtId="0" fontId="26" fillId="39" borderId="0" xfId="61" applyFont="1" applyFill="1" applyAlignment="1" applyProtection="1">
      <alignment horizontal="left"/>
      <protection hidden="1"/>
    </xf>
    <xf numFmtId="10" fontId="44" fillId="39" borderId="0" xfId="61" applyNumberFormat="1" applyFont="1" applyFill="1" applyAlignment="1" applyProtection="1" quotePrefix="1">
      <alignment horizontal="center"/>
      <protection hidden="1"/>
    </xf>
    <xf numFmtId="201" fontId="26" fillId="40" borderId="56" xfId="61" applyNumberFormat="1" applyFont="1" applyFill="1" applyBorder="1" applyAlignment="1" applyProtection="1">
      <alignment horizontal="center"/>
      <protection locked="0"/>
    </xf>
    <xf numFmtId="201" fontId="26" fillId="40" borderId="57" xfId="61" applyNumberFormat="1" applyFont="1" applyFill="1" applyBorder="1" applyAlignment="1" applyProtection="1">
      <alignment horizontal="center"/>
      <protection locked="0"/>
    </xf>
    <xf numFmtId="201" fontId="26" fillId="40" borderId="64" xfId="61" applyNumberFormat="1" applyFont="1" applyFill="1" applyBorder="1" applyAlignment="1" applyProtection="1">
      <alignment horizontal="center"/>
      <protection/>
    </xf>
    <xf numFmtId="0" fontId="26" fillId="39" borderId="0" xfId="61" applyFont="1" applyFill="1" applyAlignment="1" applyProtection="1">
      <alignment horizontal="center"/>
      <protection hidden="1"/>
    </xf>
    <xf numFmtId="0" fontId="26" fillId="39" borderId="0" xfId="61" applyFont="1" applyFill="1" applyBorder="1" applyAlignment="1" applyProtection="1">
      <alignment horizontal="left"/>
      <protection hidden="1"/>
    </xf>
    <xf numFmtId="201" fontId="26" fillId="40" borderId="59" xfId="61" applyNumberFormat="1" applyFont="1" applyFill="1" applyBorder="1" applyAlignment="1" applyProtection="1">
      <alignment horizontal="center"/>
      <protection locked="0"/>
    </xf>
    <xf numFmtId="201" fontId="26" fillId="40" borderId="61" xfId="61" applyNumberFormat="1" applyFont="1" applyFill="1" applyBorder="1" applyAlignment="1" applyProtection="1">
      <alignment horizontal="center"/>
      <protection locked="0"/>
    </xf>
    <xf numFmtId="2" fontId="26" fillId="40" borderId="52" xfId="61" applyNumberFormat="1" applyFont="1" applyFill="1" applyBorder="1" applyAlignment="1" applyProtection="1">
      <alignment horizontal="center"/>
      <protection locked="0"/>
    </xf>
    <xf numFmtId="2" fontId="26" fillId="40" borderId="61" xfId="61" applyNumberFormat="1" applyFont="1" applyFill="1" applyBorder="1" applyAlignment="1" applyProtection="1">
      <alignment horizontal="center"/>
      <protection locked="0"/>
    </xf>
    <xf numFmtId="2" fontId="26" fillId="40" borderId="53" xfId="61" applyNumberFormat="1" applyFont="1" applyFill="1" applyBorder="1" applyAlignment="1" applyProtection="1">
      <alignment horizontal="center"/>
      <protection locked="0"/>
    </xf>
    <xf numFmtId="2" fontId="26" fillId="40" borderId="56" xfId="61" applyNumberFormat="1" applyFont="1" applyFill="1" applyBorder="1" applyAlignment="1" applyProtection="1">
      <alignment horizontal="center"/>
      <protection locked="0"/>
    </xf>
    <xf numFmtId="2" fontId="26" fillId="40" borderId="63" xfId="61" applyNumberFormat="1" applyFont="1" applyFill="1" applyBorder="1" applyAlignment="1" applyProtection="1">
      <alignment horizontal="center"/>
      <protection locked="0"/>
    </xf>
    <xf numFmtId="2" fontId="26" fillId="40" borderId="57" xfId="61" applyNumberFormat="1" applyFont="1" applyFill="1" applyBorder="1" applyAlignment="1" applyProtection="1">
      <alignment horizontal="center"/>
      <protection locked="0"/>
    </xf>
    <xf numFmtId="0" fontId="19" fillId="39" borderId="0" xfId="61" applyFill="1" applyProtection="1">
      <alignment/>
      <protection hidden="1"/>
    </xf>
    <xf numFmtId="201" fontId="26" fillId="40" borderId="39" xfId="61" applyNumberFormat="1" applyFont="1" applyFill="1" applyBorder="1" applyAlignment="1" applyProtection="1">
      <alignment horizontal="center"/>
      <protection locked="0"/>
    </xf>
    <xf numFmtId="201" fontId="26" fillId="40" borderId="65" xfId="61" applyNumberFormat="1" applyFont="1" applyFill="1" applyBorder="1" applyAlignment="1" applyProtection="1">
      <alignment horizontal="center"/>
      <protection locked="0"/>
    </xf>
    <xf numFmtId="0" fontId="4" fillId="0" borderId="0" xfId="0" applyFont="1" applyFill="1" applyBorder="1" applyAlignment="1" applyProtection="1">
      <alignment horizontal="left" vertical="center"/>
      <protection/>
    </xf>
    <xf numFmtId="0" fontId="9" fillId="0" borderId="18" xfId="0" applyFont="1" applyFill="1" applyBorder="1" applyAlignment="1" applyProtection="1">
      <alignment horizontal="center" vertical="center"/>
      <protection/>
    </xf>
    <xf numFmtId="1" fontId="6" fillId="0" borderId="0" xfId="0" applyNumberFormat="1" applyFont="1" applyFill="1" applyBorder="1" applyAlignment="1" applyProtection="1">
      <alignment horizontal="center" vertical="center"/>
      <protection/>
    </xf>
    <xf numFmtId="2" fontId="6" fillId="0" borderId="0" xfId="0" applyNumberFormat="1" applyFont="1" applyFill="1" applyBorder="1" applyAlignment="1" applyProtection="1">
      <alignment horizontal="center" vertical="center"/>
      <protection/>
    </xf>
    <xf numFmtId="0" fontId="0" fillId="0" borderId="38" xfId="0" applyBorder="1" applyAlignment="1">
      <alignment vertical="center"/>
    </xf>
    <xf numFmtId="0" fontId="6" fillId="0" borderId="14" xfId="0" applyFont="1" applyFill="1" applyBorder="1" applyAlignment="1" applyProtection="1">
      <alignment horizontal="center" vertical="center"/>
      <protection/>
    </xf>
    <xf numFmtId="2" fontId="6" fillId="0" borderId="14" xfId="0" applyNumberFormat="1" applyFont="1" applyFill="1" applyBorder="1" applyAlignment="1" applyProtection="1">
      <alignment horizontal="center" vertical="center"/>
      <protection/>
    </xf>
    <xf numFmtId="0" fontId="11" fillId="40" borderId="14" xfId="0" applyFont="1" applyFill="1" applyBorder="1" applyAlignment="1" applyProtection="1">
      <alignment horizontal="center" vertical="center"/>
      <protection/>
    </xf>
    <xf numFmtId="2" fontId="4" fillId="0" borderId="37" xfId="0" applyNumberFormat="1" applyFont="1" applyFill="1" applyBorder="1" applyAlignment="1" applyProtection="1">
      <alignment horizontal="center" vertical="center"/>
      <protection/>
    </xf>
    <xf numFmtId="1" fontId="6" fillId="0" borderId="14" xfId="0" applyNumberFormat="1" applyFont="1" applyFill="1" applyBorder="1" applyAlignment="1" applyProtection="1">
      <alignment horizontal="center" vertical="center"/>
      <protection/>
    </xf>
    <xf numFmtId="0" fontId="6" fillId="0" borderId="35" xfId="0" applyFont="1" applyFill="1" applyBorder="1" applyAlignment="1" applyProtection="1">
      <alignment horizontal="center" vertical="center"/>
      <protection/>
    </xf>
    <xf numFmtId="0" fontId="6" fillId="0" borderId="36" xfId="0" applyFont="1" applyFill="1" applyBorder="1" applyAlignment="1" applyProtection="1">
      <alignment horizontal="center" vertical="center"/>
      <protection/>
    </xf>
    <xf numFmtId="0" fontId="6" fillId="0" borderId="27" xfId="0" applyFont="1" applyFill="1" applyBorder="1" applyAlignment="1" applyProtection="1">
      <alignment horizontal="center"/>
      <protection/>
    </xf>
    <xf numFmtId="0" fontId="6" fillId="0" borderId="18" xfId="0" applyFont="1" applyFill="1" applyBorder="1" applyAlignment="1" applyProtection="1">
      <alignment horizontal="center"/>
      <protection/>
    </xf>
    <xf numFmtId="0" fontId="6" fillId="0" borderId="19" xfId="0" applyFont="1" applyFill="1" applyBorder="1" applyAlignment="1" applyProtection="1">
      <alignment horizontal="center"/>
      <protection/>
    </xf>
    <xf numFmtId="0" fontId="9" fillId="0" borderId="18" xfId="0" applyFont="1" applyFill="1" applyBorder="1" applyAlignment="1" applyProtection="1">
      <alignment horizontal="center"/>
      <protection/>
    </xf>
    <xf numFmtId="0" fontId="6" fillId="0" borderId="18" xfId="0" applyFont="1" applyFill="1" applyBorder="1" applyAlignment="1" applyProtection="1">
      <alignment horizontal="center" vertical="center"/>
      <protection/>
    </xf>
    <xf numFmtId="0" fontId="6" fillId="0" borderId="18" xfId="0" applyFont="1" applyFill="1" applyBorder="1" applyAlignment="1" applyProtection="1">
      <alignment vertical="center"/>
      <protection/>
    </xf>
    <xf numFmtId="0" fontId="38" fillId="0" borderId="0" xfId="0" applyFont="1" applyFill="1" applyBorder="1" applyAlignment="1" applyProtection="1">
      <alignment vertical="center"/>
      <protection/>
    </xf>
    <xf numFmtId="2" fontId="6" fillId="0" borderId="45" xfId="0" applyNumberFormat="1" applyFont="1" applyFill="1" applyBorder="1" applyAlignment="1" applyProtection="1">
      <alignment horizontal="center" vertical="center"/>
      <protection/>
    </xf>
    <xf numFmtId="0" fontId="11" fillId="40" borderId="46"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top"/>
      <protection/>
    </xf>
    <xf numFmtId="0" fontId="13" fillId="0" borderId="32" xfId="0" applyFont="1" applyFill="1" applyBorder="1" applyAlignment="1" applyProtection="1">
      <alignment/>
      <protection/>
    </xf>
    <xf numFmtId="0" fontId="9" fillId="0" borderId="30" xfId="0" applyFont="1" applyFill="1" applyBorder="1" applyAlignment="1" applyProtection="1">
      <alignment vertical="center"/>
      <protection/>
    </xf>
    <xf numFmtId="0" fontId="6" fillId="0" borderId="66" xfId="0" applyFont="1" applyFill="1" applyBorder="1" applyAlignment="1" applyProtection="1">
      <alignment/>
      <protection/>
    </xf>
    <xf numFmtId="0" fontId="6" fillId="0" borderId="67" xfId="0" applyFont="1" applyFill="1" applyBorder="1" applyAlignment="1" applyProtection="1">
      <alignment horizontal="center"/>
      <protection/>
    </xf>
    <xf numFmtId="0" fontId="6" fillId="0" borderId="67" xfId="0" applyFont="1" applyFill="1" applyBorder="1" applyAlignment="1" applyProtection="1">
      <alignment/>
      <protection/>
    </xf>
    <xf numFmtId="2" fontId="6" fillId="0" borderId="35" xfId="0" applyNumberFormat="1" applyFont="1" applyFill="1" applyBorder="1" applyAlignment="1" applyProtection="1">
      <alignment horizontal="center" vertical="center"/>
      <protection/>
    </xf>
    <xf numFmtId="0" fontId="11" fillId="0" borderId="35" xfId="0" applyFont="1" applyFill="1" applyBorder="1" applyAlignment="1" applyProtection="1">
      <alignment horizontal="center" vertical="center"/>
      <protection/>
    </xf>
    <xf numFmtId="0" fontId="9" fillId="0" borderId="12" xfId="0" applyFont="1" applyFill="1" applyBorder="1" applyAlignment="1" applyProtection="1">
      <alignment vertical="center"/>
      <protection/>
    </xf>
    <xf numFmtId="0" fontId="6" fillId="0" borderId="14" xfId="0" applyFont="1" applyFill="1" applyBorder="1" applyAlignment="1" applyProtection="1">
      <alignment horizontal="center"/>
      <protection/>
    </xf>
    <xf numFmtId="0" fontId="9" fillId="0" borderId="15" xfId="0" applyFont="1" applyFill="1" applyBorder="1" applyAlignment="1" applyProtection="1">
      <alignment/>
      <protection/>
    </xf>
    <xf numFmtId="0" fontId="6" fillId="0" borderId="68" xfId="0" applyFont="1" applyFill="1" applyBorder="1" applyAlignment="1" applyProtection="1">
      <alignment/>
      <protection/>
    </xf>
    <xf numFmtId="0" fontId="6" fillId="0" borderId="69" xfId="0" applyFont="1" applyFill="1" applyBorder="1" applyAlignment="1" applyProtection="1">
      <alignment/>
      <protection/>
    </xf>
    <xf numFmtId="0" fontId="6" fillId="0" borderId="70" xfId="0" applyFont="1" applyFill="1" applyBorder="1" applyAlignment="1" applyProtection="1">
      <alignment/>
      <protection/>
    </xf>
    <xf numFmtId="0" fontId="6" fillId="0" borderId="25" xfId="0" applyFont="1" applyFill="1" applyBorder="1" applyAlignment="1" applyProtection="1">
      <alignment vertical="center"/>
      <protection/>
    </xf>
    <xf numFmtId="1" fontId="5" fillId="0" borderId="0" xfId="0" applyNumberFormat="1" applyFont="1" applyFill="1" applyBorder="1" applyAlignment="1" applyProtection="1">
      <alignment horizontal="left" vertical="center"/>
      <protection/>
    </xf>
    <xf numFmtId="0" fontId="6" fillId="0" borderId="0" xfId="0" applyFont="1" applyFill="1" applyBorder="1" applyAlignment="1" applyProtection="1">
      <alignment horizontal="center" vertical="top"/>
      <protection/>
    </xf>
    <xf numFmtId="0" fontId="6" fillId="0" borderId="13" xfId="0" applyFont="1" applyFill="1" applyBorder="1" applyAlignment="1" applyProtection="1">
      <alignment shrinkToFit="1"/>
      <protection/>
    </xf>
    <xf numFmtId="0" fontId="6" fillId="0" borderId="29" xfId="0" applyFont="1" applyFill="1" applyBorder="1" applyAlignment="1" applyProtection="1">
      <alignment shrinkToFit="1"/>
      <protection/>
    </xf>
    <xf numFmtId="2" fontId="6" fillId="0" borderId="14" xfId="0" applyNumberFormat="1" applyFont="1" applyFill="1" applyBorder="1" applyAlignment="1" applyProtection="1">
      <alignment horizontal="center"/>
      <protection/>
    </xf>
    <xf numFmtId="2" fontId="5" fillId="0" borderId="0" xfId="0" applyNumberFormat="1" applyFont="1" applyFill="1" applyBorder="1" applyAlignment="1" applyProtection="1">
      <alignment horizontal="center" vertical="center"/>
      <protection/>
    </xf>
    <xf numFmtId="1" fontId="6" fillId="0" borderId="0" xfId="0" applyNumberFormat="1" applyFont="1" applyFill="1" applyBorder="1" applyAlignment="1" applyProtection="1">
      <alignment horizontal="center"/>
      <protection/>
    </xf>
    <xf numFmtId="0" fontId="12" fillId="0" borderId="0" xfId="0" applyFont="1" applyFill="1" applyBorder="1" applyAlignment="1" applyProtection="1">
      <alignment/>
      <protection/>
    </xf>
    <xf numFmtId="0" fontId="6" fillId="0" borderId="0" xfId="0" applyFont="1" applyFill="1" applyBorder="1" applyAlignment="1" applyProtection="1">
      <alignment horizontal="center"/>
      <protection/>
    </xf>
    <xf numFmtId="1" fontId="6" fillId="0" borderId="0" xfId="0" applyNumberFormat="1" applyFont="1" applyFill="1" applyBorder="1" applyAlignment="1" applyProtection="1">
      <alignment horizontal="center" vertical="center"/>
      <protection/>
    </xf>
    <xf numFmtId="2" fontId="6" fillId="0" borderId="0" xfId="0" applyNumberFormat="1" applyFont="1" applyFill="1" applyBorder="1" applyAlignment="1" applyProtection="1">
      <alignment horizontal="center" vertical="center"/>
      <protection/>
    </xf>
    <xf numFmtId="0" fontId="5" fillId="0" borderId="0" xfId="0" applyFont="1" applyFill="1" applyBorder="1" applyAlignment="1" applyProtection="1">
      <alignment/>
      <protection/>
    </xf>
    <xf numFmtId="0" fontId="4" fillId="0" borderId="0" xfId="0" applyFont="1" applyFill="1" applyBorder="1" applyAlignment="1" applyProtection="1">
      <alignment vertical="center"/>
      <protection/>
    </xf>
    <xf numFmtId="0" fontId="6" fillId="0" borderId="0" xfId="0" applyFont="1" applyFill="1" applyBorder="1" applyAlignment="1" applyProtection="1">
      <alignment/>
      <protection/>
    </xf>
    <xf numFmtId="0" fontId="6" fillId="0" borderId="0" xfId="0" applyFont="1" applyFill="1" applyBorder="1" applyAlignment="1" applyProtection="1">
      <alignment vertical="center" textRotation="90"/>
      <protection/>
    </xf>
    <xf numFmtId="2" fontId="6" fillId="0" borderId="0" xfId="0" applyNumberFormat="1" applyFont="1" applyFill="1" applyBorder="1" applyAlignment="1" applyProtection="1">
      <alignment/>
      <protection/>
    </xf>
    <xf numFmtId="0" fontId="6" fillId="0" borderId="11" xfId="0" applyFont="1" applyFill="1" applyBorder="1" applyAlignment="1" applyProtection="1">
      <alignment vertical="center"/>
      <protection/>
    </xf>
    <xf numFmtId="0" fontId="6" fillId="0" borderId="71" xfId="0" applyFont="1" applyFill="1" applyBorder="1" applyAlignment="1" applyProtection="1">
      <alignment/>
      <protection/>
    </xf>
    <xf numFmtId="2" fontId="4" fillId="0" borderId="0" xfId="0" applyNumberFormat="1" applyFont="1" applyFill="1" applyBorder="1" applyAlignment="1" applyProtection="1">
      <alignment horizontal="center"/>
      <protection/>
    </xf>
    <xf numFmtId="0" fontId="4" fillId="0" borderId="17" xfId="0"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6" fillId="0" borderId="20" xfId="0" applyFont="1" applyFill="1" applyBorder="1" applyAlignment="1" applyProtection="1">
      <alignment shrinkToFit="1"/>
      <protection/>
    </xf>
    <xf numFmtId="1" fontId="6" fillId="0" borderId="0" xfId="0" applyNumberFormat="1" applyFont="1" applyFill="1" applyBorder="1" applyAlignment="1" applyProtection="1">
      <alignment horizontal="left" vertical="center"/>
      <protection/>
    </xf>
    <xf numFmtId="2" fontId="6" fillId="0" borderId="14" xfId="0" applyNumberFormat="1" applyFont="1" applyFill="1" applyBorder="1" applyAlignment="1" applyProtection="1">
      <alignment horizontal="center" vertical="center"/>
      <protection/>
    </xf>
    <xf numFmtId="2" fontId="6" fillId="0" borderId="14" xfId="0" applyNumberFormat="1" applyFont="1" applyFill="1" applyBorder="1" applyAlignment="1" applyProtection="1">
      <alignment horizontal="center"/>
      <protection/>
    </xf>
    <xf numFmtId="0" fontId="6" fillId="0" borderId="34" xfId="0" applyFont="1" applyFill="1" applyBorder="1" applyAlignment="1" applyProtection="1">
      <alignment horizontal="left" vertical="center"/>
      <protection/>
    </xf>
    <xf numFmtId="208" fontId="3" fillId="0" borderId="0" xfId="0" applyNumberFormat="1" applyFont="1" applyFill="1" applyBorder="1" applyAlignment="1" applyProtection="1">
      <alignment vertical="center"/>
      <protection/>
    </xf>
    <xf numFmtId="208" fontId="3" fillId="0" borderId="15" xfId="0" applyNumberFormat="1" applyFont="1" applyFill="1" applyBorder="1" applyAlignment="1" applyProtection="1">
      <alignment vertical="center"/>
      <protection/>
    </xf>
    <xf numFmtId="0" fontId="5" fillId="0" borderId="37" xfId="0" applyFont="1" applyFill="1" applyBorder="1" applyAlignment="1" applyProtection="1">
      <alignment/>
      <protection/>
    </xf>
    <xf numFmtId="0" fontId="50" fillId="0" borderId="0" xfId="0" applyFont="1" applyFill="1" applyBorder="1" applyAlignment="1" applyProtection="1">
      <alignment horizontal="right"/>
      <protection/>
    </xf>
    <xf numFmtId="49" fontId="6" fillId="0" borderId="0" xfId="0" applyNumberFormat="1" applyFont="1" applyFill="1" applyBorder="1" applyAlignment="1" applyProtection="1">
      <alignment horizontal="center"/>
      <protection/>
    </xf>
    <xf numFmtId="0" fontId="11" fillId="0" borderId="0" xfId="0" applyFont="1" applyFill="1" applyBorder="1" applyAlignment="1" applyProtection="1">
      <alignment vertical="center"/>
      <protection/>
    </xf>
    <xf numFmtId="0" fontId="6" fillId="0" borderId="72" xfId="0" applyFont="1" applyFill="1" applyBorder="1" applyAlignment="1" applyProtection="1">
      <alignment/>
      <protection/>
    </xf>
    <xf numFmtId="0" fontId="6" fillId="0" borderId="73" xfId="0" applyFont="1" applyFill="1" applyBorder="1" applyAlignment="1" applyProtection="1">
      <alignment/>
      <protection/>
    </xf>
    <xf numFmtId="49" fontId="6" fillId="0" borderId="0" xfId="0" applyNumberFormat="1" applyFont="1" applyFill="1" applyBorder="1" applyAlignment="1" applyProtection="1">
      <alignment/>
      <protection/>
    </xf>
    <xf numFmtId="49" fontId="6" fillId="0" borderId="0" xfId="0" applyNumberFormat="1" applyFont="1" applyFill="1" applyBorder="1" applyAlignment="1" applyProtection="1">
      <alignment horizontal="right"/>
      <protection/>
    </xf>
    <xf numFmtId="0" fontId="6" fillId="0" borderId="74" xfId="0" applyFont="1" applyFill="1" applyBorder="1" applyAlignment="1" applyProtection="1">
      <alignment/>
      <protection/>
    </xf>
    <xf numFmtId="0" fontId="6" fillId="0" borderId="75" xfId="0" applyFont="1" applyFill="1" applyBorder="1" applyAlignment="1" applyProtection="1">
      <alignment/>
      <protection/>
    </xf>
    <xf numFmtId="0" fontId="6" fillId="0" borderId="76" xfId="0" applyFont="1" applyFill="1" applyBorder="1" applyAlignment="1" applyProtection="1">
      <alignment/>
      <protection/>
    </xf>
    <xf numFmtId="0" fontId="6" fillId="0" borderId="77" xfId="0" applyFont="1" applyFill="1" applyBorder="1" applyAlignment="1" applyProtection="1">
      <alignment/>
      <protection/>
    </xf>
    <xf numFmtId="2" fontId="4" fillId="0" borderId="64" xfId="0" applyNumberFormat="1" applyFont="1" applyFill="1" applyBorder="1" applyAlignment="1" applyProtection="1">
      <alignment horizontal="center" vertical="center"/>
      <protection/>
    </xf>
    <xf numFmtId="0" fontId="6" fillId="0" borderId="78" xfId="0" applyFont="1" applyFill="1" applyBorder="1" applyAlignment="1" applyProtection="1">
      <alignment/>
      <protection/>
    </xf>
    <xf numFmtId="0" fontId="6" fillId="0" borderId="79" xfId="0" applyFont="1" applyFill="1" applyBorder="1" applyAlignment="1" applyProtection="1">
      <alignment/>
      <protection/>
    </xf>
    <xf numFmtId="0" fontId="4" fillId="0" borderId="11" xfId="0" applyFont="1" applyFill="1" applyBorder="1" applyAlignment="1" applyProtection="1">
      <alignment/>
      <protection/>
    </xf>
    <xf numFmtId="0" fontId="6" fillId="0" borderId="73" xfId="0" applyFont="1" applyFill="1" applyBorder="1" applyAlignment="1" applyProtection="1">
      <alignment horizontal="center"/>
      <protection/>
    </xf>
    <xf numFmtId="0" fontId="4" fillId="0" borderId="79" xfId="0" applyFont="1" applyFill="1" applyBorder="1" applyAlignment="1" applyProtection="1">
      <alignment/>
      <protection/>
    </xf>
    <xf numFmtId="0" fontId="6" fillId="0" borderId="0" xfId="0" applyFont="1" applyFill="1" applyBorder="1" applyAlignment="1" applyProtection="1">
      <alignment horizontal="right"/>
      <protection/>
    </xf>
    <xf numFmtId="2" fontId="6" fillId="0" borderId="0" xfId="0" applyNumberFormat="1" applyFont="1" applyFill="1" applyAlignment="1" applyProtection="1">
      <alignment horizontal="center"/>
      <protection/>
    </xf>
    <xf numFmtId="1" fontId="6" fillId="43" borderId="14" xfId="0" applyNumberFormat="1" applyFont="1" applyFill="1" applyBorder="1" applyAlignment="1" applyProtection="1">
      <alignment horizontal="center"/>
      <protection/>
    </xf>
    <xf numFmtId="0" fontId="6" fillId="43" borderId="14" xfId="0" applyFont="1" applyFill="1" applyBorder="1" applyAlignment="1" applyProtection="1">
      <alignment horizontal="center"/>
      <protection/>
    </xf>
    <xf numFmtId="1" fontId="6" fillId="41" borderId="14" xfId="0" applyNumberFormat="1" applyFont="1" applyFill="1" applyBorder="1" applyAlignment="1" applyProtection="1">
      <alignment horizontal="center"/>
      <protection/>
    </xf>
    <xf numFmtId="0" fontId="6" fillId="41" borderId="14" xfId="0" applyFont="1" applyFill="1" applyBorder="1" applyAlignment="1" applyProtection="1">
      <alignment horizontal="center"/>
      <protection/>
    </xf>
    <xf numFmtId="0" fontId="6" fillId="44" borderId="14" xfId="0" applyFont="1" applyFill="1" applyBorder="1" applyAlignment="1" applyProtection="1">
      <alignment horizontal="center"/>
      <protection/>
    </xf>
    <xf numFmtId="0" fontId="6" fillId="0" borderId="0" xfId="0" applyFont="1" applyFill="1" applyBorder="1" applyAlignment="1" applyProtection="1" quotePrefix="1">
      <alignment horizontal="center"/>
      <protection/>
    </xf>
    <xf numFmtId="49" fontId="6" fillId="0" borderId="0" xfId="0" applyNumberFormat="1" applyFont="1" applyFill="1" applyBorder="1" applyAlignment="1" applyProtection="1" quotePrefix="1">
      <alignment horizontal="center"/>
      <protection/>
    </xf>
    <xf numFmtId="0" fontId="50" fillId="0" borderId="0" xfId="0" applyFont="1" applyFill="1" applyBorder="1" applyAlignment="1" applyProtection="1">
      <alignment vertical="center"/>
      <protection/>
    </xf>
    <xf numFmtId="201" fontId="6" fillId="35" borderId="14" xfId="0" applyNumberFormat="1" applyFont="1" applyFill="1" applyBorder="1" applyAlignment="1" applyProtection="1">
      <alignment horizontal="center" vertical="center"/>
      <protection/>
    </xf>
    <xf numFmtId="1" fontId="26" fillId="40" borderId="52" xfId="61" applyNumberFormat="1" applyFont="1" applyFill="1" applyBorder="1" applyAlignment="1" applyProtection="1">
      <alignment horizontal="center"/>
      <protection locked="0"/>
    </xf>
    <xf numFmtId="2" fontId="9" fillId="0" borderId="0" xfId="0" applyNumberFormat="1" applyFont="1" applyFill="1" applyBorder="1" applyAlignment="1" applyProtection="1">
      <alignment vertical="center"/>
      <protection/>
    </xf>
    <xf numFmtId="1" fontId="6" fillId="0" borderId="0" xfId="0" applyNumberFormat="1" applyFont="1" applyFill="1" applyBorder="1" applyAlignment="1" applyProtection="1">
      <alignment horizontal="center" vertical="center" shrinkToFit="1"/>
      <protection/>
    </xf>
    <xf numFmtId="0" fontId="97" fillId="0" borderId="27" xfId="0" applyFont="1" applyFill="1" applyBorder="1" applyAlignment="1" applyProtection="1">
      <alignment/>
      <protection/>
    </xf>
    <xf numFmtId="0" fontId="3" fillId="0" borderId="27" xfId="68" applyFont="1" applyFill="1" applyBorder="1" applyAlignment="1" applyProtection="1">
      <alignment vertical="center"/>
      <protection/>
    </xf>
    <xf numFmtId="0" fontId="98" fillId="0" borderId="10" xfId="68" applyFont="1" applyFill="1" applyBorder="1" applyAlignment="1" applyProtection="1">
      <alignment/>
      <protection/>
    </xf>
    <xf numFmtId="0" fontId="97" fillId="0" borderId="17" xfId="0" applyFont="1" applyFill="1" applyBorder="1" applyAlignment="1" applyProtection="1">
      <alignment/>
      <protection/>
    </xf>
    <xf numFmtId="0" fontId="99" fillId="0" borderId="10" xfId="0" applyFont="1" applyFill="1" applyBorder="1" applyAlignment="1" applyProtection="1">
      <alignment horizontal="left"/>
      <protection/>
    </xf>
    <xf numFmtId="0" fontId="97" fillId="0" borderId="18" xfId="0" applyFont="1" applyFill="1" applyBorder="1" applyAlignment="1" applyProtection="1">
      <alignment/>
      <protection/>
    </xf>
    <xf numFmtId="0" fontId="98" fillId="0" borderId="0" xfId="68" applyFont="1" applyFill="1" applyBorder="1" applyAlignment="1" applyProtection="1">
      <alignment/>
      <protection/>
    </xf>
    <xf numFmtId="0" fontId="97" fillId="0" borderId="11" xfId="0" applyFont="1" applyFill="1" applyBorder="1" applyAlignment="1" applyProtection="1">
      <alignment/>
      <protection/>
    </xf>
    <xf numFmtId="0" fontId="4" fillId="0" borderId="73" xfId="0" applyFont="1" applyFill="1" applyBorder="1" applyAlignment="1" applyProtection="1">
      <alignment horizontal="center"/>
      <protection/>
    </xf>
    <xf numFmtId="0" fontId="97" fillId="0" borderId="18" xfId="0" applyFont="1" applyFill="1" applyBorder="1" applyAlignment="1" applyProtection="1">
      <alignment/>
      <protection/>
    </xf>
    <xf numFmtId="0" fontId="98" fillId="45" borderId="19" xfId="68" applyFont="1" applyFill="1" applyBorder="1" applyAlignment="1" applyProtection="1">
      <alignment horizontal="left"/>
      <protection/>
    </xf>
    <xf numFmtId="0" fontId="98" fillId="45" borderId="12" xfId="68" applyFont="1" applyFill="1" applyBorder="1" applyAlignment="1" applyProtection="1">
      <alignment horizontal="left"/>
      <protection/>
    </xf>
    <xf numFmtId="0" fontId="4" fillId="0" borderId="12" xfId="68" applyFont="1" applyFill="1" applyBorder="1" applyProtection="1">
      <alignment/>
      <protection/>
    </xf>
    <xf numFmtId="0" fontId="97" fillId="0" borderId="13" xfId="0" applyFont="1" applyFill="1" applyBorder="1" applyAlignment="1" applyProtection="1">
      <alignment/>
      <protection/>
    </xf>
    <xf numFmtId="0" fontId="99" fillId="0" borderId="0" xfId="0" applyFont="1" applyFill="1" applyBorder="1" applyAlignment="1" applyProtection="1">
      <alignment horizontal="left"/>
      <protection/>
    </xf>
    <xf numFmtId="200" fontId="98" fillId="0" borderId="0" xfId="0" applyNumberFormat="1" applyFont="1" applyFill="1" applyBorder="1" applyAlignment="1" applyProtection="1">
      <alignment horizontal="left"/>
      <protection/>
    </xf>
    <xf numFmtId="0" fontId="98" fillId="0" borderId="80" xfId="0" applyNumberFormat="1" applyFont="1" applyFill="1" applyBorder="1" applyAlignment="1" applyProtection="1">
      <alignment horizontal="center"/>
      <protection/>
    </xf>
    <xf numFmtId="0" fontId="6" fillId="0" borderId="17" xfId="0" applyFont="1" applyFill="1" applyBorder="1" applyAlignment="1" applyProtection="1">
      <alignment/>
      <protection/>
    </xf>
    <xf numFmtId="0" fontId="3" fillId="0" borderId="17" xfId="0" applyFont="1" applyFill="1" applyBorder="1" applyAlignment="1" applyProtection="1">
      <alignment horizontal="center" vertical="center"/>
      <protection/>
    </xf>
    <xf numFmtId="0" fontId="6" fillId="0" borderId="11" xfId="0"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6" fillId="0" borderId="13" xfId="0" applyFont="1" applyFill="1" applyBorder="1" applyAlignment="1" applyProtection="1">
      <alignment/>
      <protection/>
    </xf>
    <xf numFmtId="0" fontId="99" fillId="46" borderId="18" xfId="0" applyFont="1" applyFill="1" applyBorder="1" applyAlignment="1" applyProtection="1">
      <alignment horizontal="center"/>
      <protection/>
    </xf>
    <xf numFmtId="0" fontId="99" fillId="46" borderId="0" xfId="0" applyFont="1" applyFill="1" applyBorder="1" applyAlignment="1" applyProtection="1">
      <alignment/>
      <protection/>
    </xf>
    <xf numFmtId="0" fontId="97" fillId="46" borderId="0" xfId="0" applyFont="1" applyFill="1" applyBorder="1" applyAlignment="1" applyProtection="1">
      <alignment/>
      <protection/>
    </xf>
    <xf numFmtId="0" fontId="6" fillId="46" borderId="0" xfId="0" applyFont="1" applyFill="1" applyBorder="1" applyAlignment="1" applyProtection="1">
      <alignment/>
      <protection/>
    </xf>
    <xf numFmtId="0" fontId="99" fillId="0" borderId="0" xfId="0" applyFont="1" applyFill="1" applyBorder="1" applyAlignment="1" applyProtection="1">
      <alignment/>
      <protection/>
    </xf>
    <xf numFmtId="0" fontId="97" fillId="0" borderId="0" xfId="0" applyFont="1" applyFill="1" applyBorder="1" applyAlignment="1" applyProtection="1">
      <alignment/>
      <protection/>
    </xf>
    <xf numFmtId="0" fontId="9" fillId="46" borderId="18" xfId="0" applyFont="1" applyFill="1" applyBorder="1" applyAlignment="1" applyProtection="1">
      <alignment horizontal="center"/>
      <protection/>
    </xf>
    <xf numFmtId="0" fontId="9" fillId="46" borderId="0" xfId="0" applyFont="1" applyFill="1" applyBorder="1" applyAlignment="1" applyProtection="1">
      <alignment/>
      <protection/>
    </xf>
    <xf numFmtId="0" fontId="6" fillId="46" borderId="0" xfId="0" applyFont="1" applyFill="1" applyBorder="1" applyAlignment="1" applyProtection="1">
      <alignment horizontal="center" vertical="center"/>
      <protection/>
    </xf>
    <xf numFmtId="0" fontId="6" fillId="0" borderId="0" xfId="0" applyFont="1" applyFill="1" applyAlignment="1" applyProtection="1">
      <alignment/>
      <protection/>
    </xf>
    <xf numFmtId="0" fontId="51" fillId="0" borderId="0" xfId="0" applyFont="1" applyFill="1" applyBorder="1" applyAlignment="1" applyProtection="1">
      <alignment vertical="center"/>
      <protection/>
    </xf>
    <xf numFmtId="0" fontId="51" fillId="0" borderId="0" xfId="0" applyFont="1" applyFill="1" applyAlignment="1" applyProtection="1">
      <alignment/>
      <protection/>
    </xf>
    <xf numFmtId="0" fontId="6" fillId="0" borderId="0" xfId="0" applyFont="1" applyFill="1" applyAlignment="1" applyProtection="1">
      <alignment vertical="center"/>
      <protection/>
    </xf>
    <xf numFmtId="0" fontId="6" fillId="0" borderId="0" xfId="0" applyFont="1" applyFill="1" applyAlignment="1" applyProtection="1">
      <alignment horizontal="center" vertical="center"/>
      <protection/>
    </xf>
    <xf numFmtId="0" fontId="6" fillId="46"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6" fillId="0" borderId="18" xfId="0" applyFont="1" applyFill="1" applyBorder="1" applyAlignment="1" applyProtection="1">
      <alignment horizontal="center"/>
      <protection/>
    </xf>
    <xf numFmtId="0" fontId="12" fillId="46" borderId="0" xfId="0" applyFont="1" applyFill="1" applyAlignment="1" applyProtection="1">
      <alignment/>
      <protection/>
    </xf>
    <xf numFmtId="0" fontId="6" fillId="46" borderId="0" xfId="0" applyFont="1" applyFill="1" applyAlignment="1" applyProtection="1">
      <alignment/>
      <protection/>
    </xf>
    <xf numFmtId="0" fontId="9" fillId="46" borderId="18" xfId="0" applyFont="1" applyFill="1" applyBorder="1" applyAlignment="1" applyProtection="1">
      <alignment horizontal="center" vertical="center"/>
      <protection/>
    </xf>
    <xf numFmtId="0" fontId="9" fillId="46" borderId="0" xfId="0" applyFont="1" applyFill="1" applyBorder="1" applyAlignment="1" applyProtection="1">
      <alignment vertical="center"/>
      <protection/>
    </xf>
    <xf numFmtId="0" fontId="6" fillId="46" borderId="0" xfId="0" applyFont="1" applyFill="1" applyAlignment="1" applyProtection="1">
      <alignment vertical="center"/>
      <protection/>
    </xf>
    <xf numFmtId="0" fontId="38" fillId="0" borderId="0" xfId="0" applyFont="1" applyFill="1" applyAlignment="1" applyProtection="1">
      <alignment vertical="center"/>
      <protection/>
    </xf>
    <xf numFmtId="1" fontId="6" fillId="46" borderId="0" xfId="0" applyNumberFormat="1" applyFont="1" applyFill="1" applyBorder="1" applyAlignment="1" applyProtection="1">
      <alignment horizontal="center" vertical="center"/>
      <protection/>
    </xf>
    <xf numFmtId="202" fontId="6" fillId="46" borderId="0" xfId="0" applyNumberFormat="1" applyFont="1" applyFill="1" applyBorder="1" applyAlignment="1" applyProtection="1">
      <alignment horizontal="center" vertical="center"/>
      <protection/>
    </xf>
    <xf numFmtId="0" fontId="12" fillId="38" borderId="0" xfId="0" applyFont="1" applyFill="1" applyAlignment="1" applyProtection="1">
      <alignment/>
      <protection/>
    </xf>
    <xf numFmtId="0" fontId="6" fillId="46" borderId="0" xfId="0" applyFont="1" applyFill="1" applyBorder="1" applyAlignment="1" applyProtection="1">
      <alignment vertical="center"/>
      <protection/>
    </xf>
    <xf numFmtId="0" fontId="9" fillId="46" borderId="38" xfId="0" applyFont="1" applyFill="1" applyBorder="1" applyAlignment="1" applyProtection="1">
      <alignment horizontal="center" vertical="center"/>
      <protection/>
    </xf>
    <xf numFmtId="0" fontId="0" fillId="0" borderId="0" xfId="0" applyAlignment="1">
      <alignment vertical="center"/>
    </xf>
    <xf numFmtId="0" fontId="53" fillId="0" borderId="14" xfId="0" applyFont="1" applyFill="1" applyBorder="1" applyAlignment="1" applyProtection="1">
      <alignment horizontal="center" vertical="center"/>
      <protection/>
    </xf>
    <xf numFmtId="0" fontId="97" fillId="0" borderId="0" xfId="0" applyFont="1" applyFill="1" applyBorder="1" applyAlignment="1">
      <alignment horizontal="left"/>
    </xf>
    <xf numFmtId="1" fontId="6" fillId="0" borderId="0" xfId="0" applyNumberFormat="1" applyFont="1" applyFill="1" applyBorder="1" applyAlignment="1" applyProtection="1">
      <alignment horizontal="center"/>
      <protection/>
    </xf>
    <xf numFmtId="213" fontId="3" fillId="0" borderId="15" xfId="0" applyNumberFormat="1" applyFont="1" applyFill="1" applyBorder="1" applyAlignment="1" applyProtection="1">
      <alignment horizontal="left" vertical="center"/>
      <protection/>
    </xf>
    <xf numFmtId="0" fontId="98" fillId="47" borderId="73" xfId="0" applyNumberFormat="1" applyFont="1" applyFill="1" applyBorder="1" applyAlignment="1" applyProtection="1">
      <alignment horizontal="center"/>
      <protection locked="0"/>
    </xf>
    <xf numFmtId="0" fontId="98" fillId="47" borderId="81" xfId="0" applyFont="1" applyFill="1" applyBorder="1" applyAlignment="1" applyProtection="1">
      <alignment horizontal="center"/>
      <protection locked="0"/>
    </xf>
    <xf numFmtId="0" fontId="5" fillId="40" borderId="46" xfId="0" applyFont="1" applyFill="1" applyBorder="1" applyAlignment="1" applyProtection="1">
      <alignment shrinkToFit="1"/>
      <protection locked="0"/>
    </xf>
    <xf numFmtId="2" fontId="5" fillId="40" borderId="14" xfId="0" applyNumberFormat="1" applyFont="1" applyFill="1" applyBorder="1" applyAlignment="1" applyProtection="1">
      <alignment horizontal="center" vertical="center"/>
      <protection locked="0"/>
    </xf>
    <xf numFmtId="201" fontId="5" fillId="40" borderId="14" xfId="0" applyNumberFormat="1" applyFont="1" applyFill="1" applyBorder="1" applyAlignment="1" applyProtection="1">
      <alignment horizontal="center" vertical="center"/>
      <protection locked="0"/>
    </xf>
    <xf numFmtId="2" fontId="4" fillId="0" borderId="14" xfId="0" applyNumberFormat="1" applyFont="1" applyFill="1" applyBorder="1" applyAlignment="1" applyProtection="1">
      <alignment horizontal="center" vertical="center"/>
      <protection locked="0"/>
    </xf>
    <xf numFmtId="0" fontId="5" fillId="40" borderId="14" xfId="0" applyFont="1" applyFill="1" applyBorder="1" applyAlignment="1" applyProtection="1">
      <alignment horizontal="center" vertical="center"/>
      <protection locked="0"/>
    </xf>
    <xf numFmtId="0" fontId="5" fillId="40" borderId="46" xfId="0" applyFont="1" applyFill="1" applyBorder="1" applyAlignment="1" applyProtection="1">
      <alignment horizontal="center" vertical="center"/>
      <protection locked="0"/>
    </xf>
    <xf numFmtId="1" fontId="13" fillId="40" borderId="23" xfId="0" applyNumberFormat="1" applyFont="1" applyFill="1" applyBorder="1" applyAlignment="1" applyProtection="1">
      <alignment horizontal="center"/>
      <protection locked="0"/>
    </xf>
    <xf numFmtId="0" fontId="99" fillId="0" borderId="0" xfId="0" applyFont="1" applyFill="1" applyBorder="1" applyAlignment="1" applyProtection="1">
      <alignment horizontal="left"/>
      <protection/>
    </xf>
    <xf numFmtId="211" fontId="4" fillId="0" borderId="0" xfId="0" applyNumberFormat="1" applyFont="1" applyFill="1" applyBorder="1" applyAlignment="1" applyProtection="1">
      <alignment horizontal="left"/>
      <protection/>
    </xf>
    <xf numFmtId="0" fontId="54" fillId="46" borderId="82" xfId="68" applyFont="1" applyFill="1" applyBorder="1" applyAlignment="1" applyProtection="1">
      <alignment horizontal="center" vertical="center"/>
      <protection/>
    </xf>
    <xf numFmtId="0" fontId="54" fillId="46" borderId="83" xfId="68" applyFont="1" applyFill="1" applyBorder="1" applyAlignment="1" applyProtection="1">
      <alignment horizontal="center" vertical="center"/>
      <protection/>
    </xf>
    <xf numFmtId="0" fontId="54" fillId="46" borderId="84" xfId="68" applyFont="1" applyFill="1" applyBorder="1" applyAlignment="1" applyProtection="1">
      <alignment horizontal="center" vertical="center"/>
      <protection/>
    </xf>
    <xf numFmtId="0" fontId="48" fillId="48" borderId="46" xfId="0" applyFont="1" applyFill="1" applyBorder="1" applyAlignment="1" applyProtection="1">
      <alignment horizontal="center" vertical="center"/>
      <protection/>
    </xf>
    <xf numFmtId="0" fontId="48" fillId="48" borderId="44" xfId="0" applyFont="1" applyFill="1" applyBorder="1" applyAlignment="1" applyProtection="1">
      <alignment horizontal="center" vertical="center"/>
      <protection/>
    </xf>
    <xf numFmtId="0" fontId="48" fillId="48" borderId="45" xfId="0" applyFont="1" applyFill="1" applyBorder="1" applyAlignment="1" applyProtection="1">
      <alignment horizontal="center" vertical="center"/>
      <protection/>
    </xf>
    <xf numFmtId="0" fontId="99" fillId="0" borderId="18" xfId="0" applyFont="1" applyFill="1" applyBorder="1" applyAlignment="1" applyProtection="1">
      <alignment shrinkToFit="1"/>
      <protection/>
    </xf>
    <xf numFmtId="0" fontId="99" fillId="0" borderId="0" xfId="0" applyFont="1" applyFill="1" applyBorder="1" applyAlignment="1" applyProtection="1">
      <alignment shrinkToFit="1"/>
      <protection/>
    </xf>
    <xf numFmtId="0" fontId="6" fillId="0" borderId="85" xfId="0" applyFont="1" applyFill="1" applyBorder="1" applyAlignment="1" applyProtection="1">
      <alignment horizontal="center"/>
      <protection/>
    </xf>
    <xf numFmtId="0" fontId="6" fillId="0" borderId="86" xfId="0" applyFont="1" applyFill="1" applyBorder="1" applyAlignment="1" applyProtection="1">
      <alignment horizontal="center"/>
      <protection/>
    </xf>
    <xf numFmtId="2" fontId="6" fillId="43" borderId="46" xfId="0" applyNumberFormat="1" applyFont="1" applyFill="1" applyBorder="1" applyAlignment="1" applyProtection="1">
      <alignment horizontal="center"/>
      <protection/>
    </xf>
    <xf numFmtId="2" fontId="6" fillId="43" borderId="44" xfId="0" applyNumberFormat="1" applyFont="1" applyFill="1" applyBorder="1" applyAlignment="1" applyProtection="1">
      <alignment horizontal="center"/>
      <protection/>
    </xf>
    <xf numFmtId="2" fontId="6" fillId="41" borderId="46" xfId="0" applyNumberFormat="1" applyFont="1" applyFill="1" applyBorder="1" applyAlignment="1" applyProtection="1">
      <alignment horizontal="center"/>
      <protection/>
    </xf>
    <xf numFmtId="2" fontId="6" fillId="41" borderId="44" xfId="0" applyNumberFormat="1" applyFont="1" applyFill="1" applyBorder="1" applyAlignment="1" applyProtection="1">
      <alignment horizontal="center"/>
      <protection/>
    </xf>
    <xf numFmtId="2" fontId="6" fillId="41" borderId="45" xfId="0" applyNumberFormat="1" applyFont="1" applyFill="1" applyBorder="1" applyAlignment="1" applyProtection="1">
      <alignment horizontal="center"/>
      <protection/>
    </xf>
    <xf numFmtId="0" fontId="3" fillId="0" borderId="1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54" fillId="46" borderId="27" xfId="68" applyFont="1" applyFill="1" applyBorder="1" applyAlignment="1" applyProtection="1">
      <alignment horizontal="center" vertical="center"/>
      <protection/>
    </xf>
    <xf numFmtId="0" fontId="54" fillId="46" borderId="10" xfId="68" applyFont="1" applyFill="1" applyBorder="1" applyAlignment="1" applyProtection="1">
      <alignment horizontal="center" vertical="center"/>
      <protection/>
    </xf>
    <xf numFmtId="0" fontId="54" fillId="46" borderId="17" xfId="68" applyFont="1" applyFill="1" applyBorder="1" applyAlignment="1" applyProtection="1">
      <alignment horizontal="center" vertical="center"/>
      <protection/>
    </xf>
    <xf numFmtId="0" fontId="3" fillId="0" borderId="10" xfId="0" applyFont="1" applyFill="1" applyBorder="1" applyAlignment="1" applyProtection="1">
      <alignment/>
      <protection/>
    </xf>
    <xf numFmtId="0" fontId="6" fillId="0" borderId="18" xfId="0" applyFont="1" applyFill="1" applyBorder="1" applyAlignment="1" applyProtection="1">
      <alignment horizontal="center" vertical="center" textRotation="90"/>
      <protection/>
    </xf>
    <xf numFmtId="0" fontId="6" fillId="0" borderId="0" xfId="0" applyFont="1" applyFill="1" applyBorder="1" applyAlignment="1" applyProtection="1">
      <alignment horizontal="center"/>
      <protection/>
    </xf>
    <xf numFmtId="0" fontId="6" fillId="0" borderId="0" xfId="0" applyFont="1" applyFill="1" applyBorder="1" applyAlignment="1" applyProtection="1">
      <alignment horizontal="center"/>
      <protection/>
    </xf>
    <xf numFmtId="1" fontId="13" fillId="40" borderId="23" xfId="0" applyNumberFormat="1" applyFont="1" applyFill="1" applyBorder="1" applyAlignment="1" applyProtection="1">
      <alignment horizontal="center" vertical="center"/>
      <protection locked="0"/>
    </xf>
    <xf numFmtId="1" fontId="13" fillId="40" borderId="25" xfId="0" applyNumberFormat="1" applyFont="1" applyFill="1" applyBorder="1" applyAlignment="1" applyProtection="1">
      <alignment horizontal="center" vertical="center"/>
      <protection locked="0"/>
    </xf>
    <xf numFmtId="0" fontId="9" fillId="49" borderId="46" xfId="0" applyFont="1" applyFill="1" applyBorder="1" applyAlignment="1" applyProtection="1">
      <alignment horizontal="center" vertical="center"/>
      <protection/>
    </xf>
    <xf numFmtId="0" fontId="9" fillId="49" borderId="44" xfId="0" applyFont="1" applyFill="1" applyBorder="1" applyAlignment="1" applyProtection="1">
      <alignment horizontal="center" vertical="center"/>
      <protection/>
    </xf>
    <xf numFmtId="0" fontId="9" fillId="49" borderId="45" xfId="0" applyFont="1" applyFill="1" applyBorder="1" applyAlignment="1" applyProtection="1">
      <alignment horizontal="center" vertical="center"/>
      <protection/>
    </xf>
    <xf numFmtId="213" fontId="3" fillId="0" borderId="0"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left"/>
      <protection/>
    </xf>
    <xf numFmtId="0" fontId="9" fillId="0" borderId="0" xfId="0" applyFont="1" applyFill="1" applyBorder="1" applyAlignment="1" applyProtection="1">
      <alignment horizontal="center"/>
      <protection/>
    </xf>
    <xf numFmtId="2" fontId="9" fillId="0" borderId="0" xfId="0" applyNumberFormat="1" applyFont="1" applyFill="1" applyBorder="1" applyAlignment="1" applyProtection="1">
      <alignment horizontal="center" vertical="center"/>
      <protection/>
    </xf>
    <xf numFmtId="1" fontId="4" fillId="0" borderId="0" xfId="0" applyNumberFormat="1" applyFont="1" applyFill="1" applyBorder="1" applyAlignment="1" applyProtection="1">
      <alignment horizontal="center"/>
      <protection/>
    </xf>
    <xf numFmtId="201" fontId="4" fillId="0" borderId="0" xfId="0" applyNumberFormat="1" applyFont="1" applyFill="1" applyBorder="1" applyAlignment="1" applyProtection="1">
      <alignment horizontal="center"/>
      <protection/>
    </xf>
    <xf numFmtId="211" fontId="3" fillId="0" borderId="0" xfId="0" applyNumberFormat="1" applyFont="1" applyFill="1" applyBorder="1" applyAlignment="1" applyProtection="1">
      <alignment horizontal="left"/>
      <protection/>
    </xf>
    <xf numFmtId="2" fontId="6" fillId="0" borderId="0" xfId="0" applyNumberFormat="1" applyFont="1" applyFill="1" applyBorder="1" applyAlignment="1" applyProtection="1">
      <alignment horizontal="center"/>
      <protection/>
    </xf>
    <xf numFmtId="0" fontId="5" fillId="40" borderId="46" xfId="0" applyFont="1" applyFill="1" applyBorder="1" applyAlignment="1" applyProtection="1">
      <alignment horizontal="center"/>
      <protection locked="0"/>
    </xf>
    <xf numFmtId="0" fontId="5" fillId="40" borderId="45" xfId="0" applyFont="1" applyFill="1" applyBorder="1" applyAlignment="1" applyProtection="1">
      <alignment horizontal="center"/>
      <protection locked="0"/>
    </xf>
    <xf numFmtId="0" fontId="4" fillId="0" borderId="0" xfId="0" applyFont="1" applyFill="1" applyBorder="1" applyAlignment="1" applyProtection="1">
      <alignment horizontal="center" vertical="center"/>
      <protection/>
    </xf>
    <xf numFmtId="0" fontId="4" fillId="0" borderId="10" xfId="0" applyFont="1" applyFill="1" applyBorder="1" applyAlignment="1" applyProtection="1">
      <alignment/>
      <protection/>
    </xf>
    <xf numFmtId="0" fontId="4" fillId="0" borderId="0" xfId="0" applyFont="1" applyFill="1" applyBorder="1" applyAlignment="1" applyProtection="1">
      <alignment horizontal="left"/>
      <protection/>
    </xf>
    <xf numFmtId="2" fontId="6" fillId="0" borderId="0" xfId="0" applyNumberFormat="1" applyFont="1" applyFill="1" applyBorder="1" applyAlignment="1" applyProtection="1">
      <alignment horizontal="center" vertical="center"/>
      <protection/>
    </xf>
    <xf numFmtId="2" fontId="6" fillId="0" borderId="11"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left"/>
      <protection/>
    </xf>
    <xf numFmtId="0" fontId="6" fillId="46" borderId="46" xfId="0" applyFont="1" applyFill="1" applyBorder="1" applyAlignment="1" applyProtection="1">
      <alignment horizontal="center"/>
      <protection/>
    </xf>
    <xf numFmtId="0" fontId="6" fillId="46" borderId="44" xfId="0" applyFont="1" applyFill="1" applyBorder="1" applyAlignment="1" applyProtection="1">
      <alignment horizontal="center"/>
      <protection/>
    </xf>
    <xf numFmtId="0" fontId="6" fillId="46" borderId="45" xfId="0" applyFont="1" applyFill="1" applyBorder="1" applyAlignment="1" applyProtection="1">
      <alignment horizontal="center"/>
      <protection/>
    </xf>
    <xf numFmtId="2" fontId="6" fillId="41" borderId="39" xfId="0" applyNumberFormat="1" applyFont="1" applyFill="1" applyBorder="1" applyAlignment="1" applyProtection="1">
      <alignment horizontal="center"/>
      <protection/>
    </xf>
    <xf numFmtId="0" fontId="4" fillId="0" borderId="0" xfId="0" applyFont="1" applyFill="1" applyBorder="1" applyAlignment="1" applyProtection="1">
      <alignment horizontal="center"/>
      <protection/>
    </xf>
    <xf numFmtId="0" fontId="4" fillId="0" borderId="81" xfId="0" applyFont="1" applyFill="1" applyBorder="1" applyAlignment="1" applyProtection="1">
      <alignment horizontal="center" vertical="center"/>
      <protection/>
    </xf>
    <xf numFmtId="0" fontId="4" fillId="0" borderId="73" xfId="0" applyFont="1" applyFill="1" applyBorder="1" applyAlignment="1" applyProtection="1">
      <alignment horizontal="center" vertical="center"/>
      <protection/>
    </xf>
    <xf numFmtId="0" fontId="98" fillId="47" borderId="10" xfId="0" applyFont="1" applyFill="1" applyBorder="1" applyAlignment="1" applyProtection="1">
      <alignment horizontal="left"/>
      <protection locked="0"/>
    </xf>
    <xf numFmtId="211" fontId="98" fillId="47" borderId="0" xfId="0" applyNumberFormat="1" applyFont="1" applyFill="1" applyBorder="1" applyAlignment="1" applyProtection="1">
      <alignment horizontal="left"/>
      <protection locked="0"/>
    </xf>
    <xf numFmtId="0" fontId="98" fillId="47" borderId="0" xfId="0" applyFont="1" applyFill="1" applyBorder="1" applyAlignment="1" applyProtection="1">
      <alignment horizontal="left"/>
      <protection locked="0"/>
    </xf>
    <xf numFmtId="0" fontId="9" fillId="38" borderId="46" xfId="0" applyFont="1" applyFill="1" applyBorder="1" applyAlignment="1" applyProtection="1">
      <alignment horizontal="center"/>
      <protection/>
    </xf>
    <xf numFmtId="0" fontId="9" fillId="38" borderId="44" xfId="0" applyFont="1" applyFill="1" applyBorder="1" applyAlignment="1" applyProtection="1">
      <alignment horizontal="center"/>
      <protection/>
    </xf>
    <xf numFmtId="0" fontId="9" fillId="38" borderId="45" xfId="0" applyFont="1" applyFill="1" applyBorder="1" applyAlignment="1" applyProtection="1">
      <alignment horizontal="center"/>
      <protection/>
    </xf>
    <xf numFmtId="2" fontId="6" fillId="0" borderId="46" xfId="0" applyNumberFormat="1" applyFont="1" applyFill="1" applyBorder="1" applyAlignment="1" applyProtection="1">
      <alignment horizontal="center"/>
      <protection/>
    </xf>
    <xf numFmtId="2" fontId="6" fillId="0" borderId="44" xfId="0" applyNumberFormat="1" applyFont="1" applyFill="1" applyBorder="1" applyAlignment="1" applyProtection="1">
      <alignment horizontal="center"/>
      <protection/>
    </xf>
    <xf numFmtId="2" fontId="6" fillId="0" borderId="45" xfId="0" applyNumberFormat="1" applyFont="1" applyFill="1" applyBorder="1" applyAlignment="1" applyProtection="1">
      <alignment horizontal="center"/>
      <protection/>
    </xf>
    <xf numFmtId="2" fontId="5" fillId="40" borderId="39" xfId="0" applyNumberFormat="1" applyFont="1" applyFill="1" applyBorder="1" applyAlignment="1" applyProtection="1">
      <alignment horizontal="center" vertical="center"/>
      <protection locked="0"/>
    </xf>
    <xf numFmtId="2" fontId="5" fillId="40" borderId="64" xfId="0" applyNumberFormat="1" applyFont="1" applyFill="1" applyBorder="1" applyAlignment="1" applyProtection="1">
      <alignment horizontal="center" vertical="center"/>
      <protection locked="0"/>
    </xf>
    <xf numFmtId="2" fontId="5" fillId="40" borderId="43" xfId="0" applyNumberFormat="1" applyFont="1" applyFill="1" applyBorder="1" applyAlignment="1" applyProtection="1">
      <alignment horizontal="center" vertical="center"/>
      <protection locked="0"/>
    </xf>
    <xf numFmtId="2" fontId="6" fillId="43" borderId="39" xfId="0" applyNumberFormat="1" applyFont="1" applyFill="1" applyBorder="1" applyAlignment="1" applyProtection="1">
      <alignment horizontal="center"/>
      <protection/>
    </xf>
    <xf numFmtId="0" fontId="6" fillId="0" borderId="0" xfId="0" applyFont="1" applyFill="1" applyBorder="1" applyAlignment="1" applyProtection="1">
      <alignment horizontal="left" vertical="center"/>
      <protection/>
    </xf>
    <xf numFmtId="0" fontId="98" fillId="47" borderId="10" xfId="68" applyFont="1" applyFill="1" applyBorder="1" applyAlignment="1" applyProtection="1">
      <alignment horizontal="left" vertical="center"/>
      <protection locked="0"/>
    </xf>
    <xf numFmtId="0" fontId="98" fillId="47" borderId="0" xfId="68" applyFont="1" applyFill="1" applyBorder="1" applyAlignment="1" applyProtection="1">
      <alignment horizontal="left" vertical="center"/>
      <protection locked="0"/>
    </xf>
    <xf numFmtId="0" fontId="4" fillId="0" borderId="10" xfId="0" applyFont="1" applyFill="1" applyBorder="1" applyAlignment="1" applyProtection="1">
      <alignment horizontal="center" vertical="center"/>
      <protection/>
    </xf>
    <xf numFmtId="0" fontId="15" fillId="44" borderId="46" xfId="0" applyFont="1" applyFill="1" applyBorder="1" applyAlignment="1" applyProtection="1">
      <alignment horizontal="center" vertical="center"/>
      <protection/>
    </xf>
    <xf numFmtId="0" fontId="15" fillId="44" borderId="44" xfId="0" applyFont="1" applyFill="1" applyBorder="1" applyAlignment="1" applyProtection="1">
      <alignment horizontal="center" vertical="center"/>
      <protection/>
    </xf>
    <xf numFmtId="0" fontId="15" fillId="44" borderId="45" xfId="0" applyFont="1" applyFill="1" applyBorder="1" applyAlignment="1" applyProtection="1">
      <alignment horizontal="center" vertical="center"/>
      <protection/>
    </xf>
    <xf numFmtId="1" fontId="5" fillId="0" borderId="0"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55" fillId="0" borderId="10" xfId="68" applyFont="1" applyFill="1" applyBorder="1" applyAlignment="1" applyProtection="1">
      <alignment horizontal="center" vertical="center"/>
      <protection/>
    </xf>
    <xf numFmtId="0" fontId="55" fillId="0" borderId="17" xfId="68" applyFont="1" applyFill="1" applyBorder="1" applyAlignment="1" applyProtection="1">
      <alignment horizontal="center" vertical="center"/>
      <protection/>
    </xf>
    <xf numFmtId="0" fontId="55" fillId="0" borderId="0" xfId="68" applyFont="1" applyFill="1" applyBorder="1" applyAlignment="1" applyProtection="1">
      <alignment horizontal="center" vertical="center"/>
      <protection/>
    </xf>
    <xf numFmtId="0" fontId="55" fillId="0" borderId="11" xfId="68" applyFont="1" applyFill="1" applyBorder="1" applyAlignment="1" applyProtection="1">
      <alignment horizontal="center" vertical="center"/>
      <protection/>
    </xf>
    <xf numFmtId="0" fontId="55" fillId="0" borderId="12" xfId="68" applyFont="1" applyFill="1" applyBorder="1" applyAlignment="1" applyProtection="1">
      <alignment horizontal="center" vertical="center"/>
      <protection/>
    </xf>
    <xf numFmtId="0" fontId="55" fillId="0" borderId="13" xfId="68" applyFont="1" applyFill="1" applyBorder="1" applyAlignment="1" applyProtection="1">
      <alignment horizontal="center" vertic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_PILEGRP_kg" xfId="61"/>
    <cellStyle name="Note" xfId="62"/>
    <cellStyle name="Output" xfId="63"/>
    <cellStyle name="Percent" xfId="64"/>
    <cellStyle name="Title" xfId="65"/>
    <cellStyle name="Total" xfId="66"/>
    <cellStyle name="Warning Text" xfId="67"/>
    <cellStyle name="ปกติ_Mbeam" xfId="68"/>
  </cellStyles>
  <dxfs count="8">
    <dxf>
      <font>
        <b/>
        <i val="0"/>
        <color indexed="10"/>
      </font>
    </dxf>
    <dxf>
      <font>
        <color auto="1"/>
      </font>
      <fill>
        <patternFill>
          <bgColor indexed="10"/>
        </patternFill>
      </fill>
      <border>
        <left style="dashDot"/>
        <right style="dashDot"/>
        <top style="dashDot"/>
        <bottom style="dashDot"/>
      </border>
    </dxf>
    <dxf>
      <font>
        <b/>
        <i val="0"/>
        <color rgb="FFFF33CC"/>
      </font>
      <fill>
        <patternFill>
          <bgColor rgb="FFFFFF99"/>
        </patternFill>
      </fill>
    </dxf>
    <dxf>
      <font>
        <b/>
        <i val="0"/>
        <color auto="1"/>
      </font>
      <fill>
        <patternFill>
          <bgColor rgb="FFFF0000"/>
        </patternFill>
      </fill>
      <border>
        <left style="dashDotDot"/>
        <right style="dashDotDot"/>
        <top style="dashDotDot"/>
        <bottom style="dashDotDot"/>
      </border>
    </dxf>
    <dxf>
      <font>
        <b/>
        <i val="0"/>
        <color auto="1"/>
      </font>
      <fill>
        <patternFill>
          <bgColor rgb="FFFF0000"/>
        </patternFill>
      </fill>
      <border>
        <left style="dashDotDot">
          <color rgb="FF000000"/>
        </left>
        <right style="dashDotDot">
          <color rgb="FF000000"/>
        </right>
        <top style="dashDotDot"/>
        <bottom style="dashDotDot">
          <color rgb="FF000000"/>
        </bottom>
      </border>
    </dxf>
    <dxf>
      <font>
        <b/>
        <i val="0"/>
        <color rgb="FFFF33CC"/>
      </font>
      <fill>
        <patternFill>
          <bgColor rgb="FFFFFF99"/>
        </patternFill>
      </fill>
      <border/>
    </dxf>
    <dxf>
      <font>
        <color auto="1"/>
      </font>
      <fill>
        <patternFill>
          <bgColor rgb="FFFF0000"/>
        </patternFill>
      </fill>
      <border>
        <left style="dashDot">
          <color rgb="FF000000"/>
        </left>
        <right style="dashDot">
          <color rgb="FF000000"/>
        </right>
        <top style="dashDot"/>
        <bottom style="dashDot">
          <color rgb="FF000000"/>
        </bottom>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75"/>
          <c:w val="0.98725"/>
          <c:h val="0.9285"/>
        </c:manualLayout>
      </c:layout>
      <c:scatterChart>
        <c:scatterStyle val="lineMarker"/>
        <c:varyColors val="0"/>
        <c:ser>
          <c:idx val="0"/>
          <c:order val="0"/>
          <c:tx>
            <c:v>x Upper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Pt>
            <c:idx val="14"/>
            <c:spPr>
              <a:ln w="3175">
                <a:noFill/>
              </a:ln>
            </c:spPr>
            <c:marker>
              <c:size val="6"/>
              <c:spPr>
                <a:solidFill>
                  <a:srgbClr val="0000FF"/>
                </a:solidFill>
                <a:ln>
                  <a:solidFill>
                    <a:srgbClr val="0000FF"/>
                  </a:solidFill>
                </a:ln>
              </c:spPr>
            </c:marker>
          </c:dPt>
          <c:xVal>
            <c:numRef>
              <c:f>'Footing 6 pile'!$Y$196:$Y$217</c:f>
              <c:numCache/>
            </c:numRef>
          </c:xVal>
          <c:yVal>
            <c:numRef>
              <c:f>'Footing 6 pile'!$Z$196:$Z$217</c:f>
              <c:numCache/>
            </c:numRef>
          </c:yVal>
          <c:smooth val="0"/>
        </c:ser>
        <c:ser>
          <c:idx val="1"/>
          <c:order val="1"/>
          <c:tx>
            <c:v>x Lower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6600"/>
              </a:solidFill>
              <a:ln>
                <a:solidFill>
                  <a:srgbClr val="FF6600"/>
                </a:solidFill>
              </a:ln>
            </c:spPr>
          </c:marker>
          <c:xVal>
            <c:numRef>
              <c:f>'Footing 6 pile'!$Y$196:$Y$217</c:f>
              <c:numCache/>
            </c:numRef>
          </c:xVal>
          <c:yVal>
            <c:numRef>
              <c:f>'Footing 6 pile'!$AA$196:$AA$217</c:f>
              <c:numCache/>
            </c:numRef>
          </c:yVal>
          <c:smooth val="0"/>
        </c:ser>
        <c:ser>
          <c:idx val="2"/>
          <c:order val="2"/>
          <c:tx>
            <c:v>Y1-1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6600"/>
              </a:solidFill>
              <a:ln>
                <a:solidFill>
                  <a:srgbClr val="FF6600"/>
                </a:solidFill>
              </a:ln>
            </c:spPr>
          </c:marker>
          <c:xVal>
            <c:numRef>
              <c:f>'Footing 6 pile'!$BB$197:$BB$218</c:f>
              <c:numCache/>
            </c:numRef>
          </c:xVal>
          <c:yVal>
            <c:numRef>
              <c:f>'Footing 6 pile'!$BD$197:$BD$218</c:f>
              <c:numCache/>
            </c:numRef>
          </c:yVal>
          <c:smooth val="0"/>
        </c:ser>
        <c:ser>
          <c:idx val="3"/>
          <c:order val="3"/>
          <c:tx>
            <c:v>Y2-2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6600"/>
              </a:solidFill>
              <a:ln>
                <a:solidFill>
                  <a:srgbClr val="FF6600"/>
                </a:solidFill>
              </a:ln>
            </c:spPr>
          </c:marker>
          <c:xVal>
            <c:numRef>
              <c:f>'Footing 6 pile'!$BC$197:$BC$218</c:f>
              <c:numCache/>
            </c:numRef>
          </c:xVal>
          <c:yVal>
            <c:numRef>
              <c:f>'Footing 6 pile'!$BD$197:$BD$218</c:f>
              <c:numCache/>
            </c:numRef>
          </c:yVal>
          <c:smooth val="0"/>
        </c:ser>
        <c:axId val="41572937"/>
        <c:axId val="38612114"/>
      </c:scatterChart>
      <c:valAx>
        <c:axId val="41572937"/>
        <c:scaling>
          <c:orientation val="minMax"/>
        </c:scaling>
        <c:axPos val="b"/>
        <c:delete val="1"/>
        <c:majorTickMark val="out"/>
        <c:minorTickMark val="none"/>
        <c:tickLblPos val="nextTo"/>
        <c:crossAx val="38612114"/>
        <c:crosses val="autoZero"/>
        <c:crossBetween val="midCat"/>
        <c:dispUnits/>
      </c:valAx>
      <c:valAx>
        <c:axId val="38612114"/>
        <c:scaling>
          <c:orientation val="minMax"/>
        </c:scaling>
        <c:axPos val="l"/>
        <c:delete val="1"/>
        <c:majorTickMark val="out"/>
        <c:minorTickMark val="none"/>
        <c:tickLblPos val="nextTo"/>
        <c:crossAx val="41572937"/>
        <c:crosses val="autoZero"/>
        <c:crossBetween val="midCat"/>
        <c:dispUnits/>
      </c:valAx>
      <c:spPr>
        <a:solidFill>
          <a:srgbClr val="FFFFFF"/>
        </a:solidFill>
        <a:ln w="25400">
          <a:solidFill>
            <a:srgbClr val="0000FF"/>
          </a:solidFill>
        </a:ln>
      </c:spPr>
    </c:plotArea>
    <c:plotVisOnly val="1"/>
    <c:dispBlanksAs val="gap"/>
    <c:showDLblsOverMax val="0"/>
  </c:chart>
  <c:spPr>
    <a:solidFill>
      <a:srgbClr val="FFFFFF"/>
    </a:solidFill>
    <a:ln w="25400">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sng" baseline="0">
                <a:solidFill>
                  <a:srgbClr val="000000"/>
                </a:solidFill>
              </a:rPr>
              <a:t>PILE GROUP PLAN</a:t>
            </a:r>
          </a:p>
        </c:rich>
      </c:tx>
      <c:layout>
        <c:manualLayout>
          <c:xMode val="factor"/>
          <c:yMode val="factor"/>
          <c:x val="0.095"/>
          <c:y val="-0.02125"/>
        </c:manualLayout>
      </c:layout>
      <c:spPr>
        <a:noFill/>
        <a:ln>
          <a:noFill/>
        </a:ln>
      </c:spPr>
    </c:title>
    <c:plotArea>
      <c:layout>
        <c:manualLayout>
          <c:xMode val="edge"/>
          <c:yMode val="edge"/>
          <c:x val="0.116"/>
          <c:y val="0.02125"/>
          <c:w val="0.884"/>
          <c:h val="0.9315"/>
        </c:manualLayout>
      </c:layout>
      <c:scatterChart>
        <c:scatterStyle val="lineMarker"/>
        <c:varyColors val="0"/>
        <c:ser>
          <c:idx val="1"/>
          <c:order val="0"/>
          <c:tx>
            <c:v>Pile Locations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FF"/>
              </a:solidFill>
              <a:ln>
                <a:solidFill>
                  <a:srgbClr val="000000"/>
                </a:solidFill>
              </a:ln>
            </c:spPr>
          </c:marker>
          <c:xVal>
            <c:numRef>
              <c:f>'Piles (&lt;=25)(metric) (2)'!$B$12:$B$36</c:f>
              <c:numCache/>
            </c:numRef>
          </c:xVal>
          <c:yVal>
            <c:numRef>
              <c:f>'Piles (&lt;=25)(metric) (2)'!$C$12:$C$36</c:f>
              <c:numCache/>
            </c:numRef>
          </c:yVal>
          <c:smooth val="0"/>
        </c:ser>
        <c:ser>
          <c:idx val="0"/>
          <c:order val="1"/>
          <c:tx>
            <c:v>Centroid of Pile Group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8"/>
            <c:spPr>
              <a:noFill/>
              <a:ln>
                <a:solidFill>
                  <a:srgbClr val="0000FF"/>
                </a:solidFill>
              </a:ln>
            </c:spPr>
          </c:marker>
          <c:xVal>
            <c:numRef>
              <c:f>'Piles (&lt;=25)(metric) (2)'!$H$30</c:f>
              <c:numCache/>
            </c:numRef>
          </c:xVal>
          <c:yVal>
            <c:numRef>
              <c:f>'Piles (&lt;=25)(metric) (2)'!$H$31</c:f>
              <c:numCache/>
            </c:numRef>
          </c:yVal>
          <c:smooth val="0"/>
        </c:ser>
        <c:ser>
          <c:idx val="2"/>
          <c:order val="2"/>
          <c:tx>
            <c:v>Plot Scale Factors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FFFF"/>
                </a:solidFill>
              </a:ln>
            </c:spPr>
          </c:marker>
          <c:xVal>
            <c:numRef>
              <c:f>'Piles (&lt;=25)(metric) (2)'!$AB$4</c:f>
              <c:numCache/>
            </c:numRef>
          </c:xVal>
          <c:yVal>
            <c:numRef>
              <c:f>'Piles (&lt;=25)(metric) (2)'!$AC$4</c:f>
              <c:numCache/>
            </c:numRef>
          </c:yVal>
          <c:smooth val="0"/>
        </c:ser>
        <c:ser>
          <c:idx val="3"/>
          <c:order val="3"/>
          <c:tx>
            <c:v>Pier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4"/>
            <c:spPr>
              <a:noFill/>
              <a:ln>
                <a:solidFill>
                  <a:srgbClr val="000000"/>
                </a:solidFill>
              </a:ln>
            </c:spPr>
          </c:marker>
          <c:xVal>
            <c:numRef>
              <c:f>'Piles (&lt;=25)(metric) (2)'!$C$41</c:f>
              <c:numCache/>
            </c:numRef>
          </c:xVal>
          <c:yVal>
            <c:numRef>
              <c:f>'Piles (&lt;=25)(metric) (2)'!$C$42</c:f>
              <c:numCache/>
            </c:numRef>
          </c:yVal>
          <c:smooth val="0"/>
        </c:ser>
        <c:ser>
          <c:idx val="4"/>
          <c:order val="4"/>
          <c:tx>
            <c:v>Pier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4"/>
            <c:spPr>
              <a:noFill/>
              <a:ln>
                <a:solidFill>
                  <a:srgbClr val="000000"/>
                </a:solidFill>
              </a:ln>
            </c:spPr>
          </c:marker>
          <c:xVal>
            <c:numRef>
              <c:f>'Piles (&lt;=25)(metric) (2)'!$D$41</c:f>
              <c:numCache/>
            </c:numRef>
          </c:xVal>
          <c:yVal>
            <c:numRef>
              <c:f>'Piles (&lt;=25)(metric) (2)'!$D$42</c:f>
              <c:numCache/>
            </c:numRef>
          </c:yVal>
          <c:smooth val="0"/>
        </c:ser>
        <c:ser>
          <c:idx val="5"/>
          <c:order val="5"/>
          <c:tx>
            <c:v>Pier #3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4"/>
            <c:spPr>
              <a:noFill/>
              <a:ln>
                <a:solidFill>
                  <a:srgbClr val="000000"/>
                </a:solidFill>
              </a:ln>
            </c:spPr>
          </c:marker>
          <c:xVal>
            <c:numRef>
              <c:f>'Piles (&lt;=25)(metric) (2)'!$E$41</c:f>
              <c:numCache/>
            </c:numRef>
          </c:xVal>
          <c:yVal>
            <c:numRef>
              <c:f>'Piles (&lt;=25)(metric) (2)'!$E$42</c:f>
              <c:numCache/>
            </c:numRef>
          </c:yVal>
          <c:smooth val="0"/>
        </c:ser>
        <c:ser>
          <c:idx val="6"/>
          <c:order val="6"/>
          <c:tx>
            <c:v>Pier #4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4"/>
            <c:spPr>
              <a:noFill/>
              <a:ln>
                <a:solidFill>
                  <a:srgbClr val="000000"/>
                </a:solidFill>
              </a:ln>
            </c:spPr>
          </c:marker>
          <c:xVal>
            <c:numRef>
              <c:f>'Piles (&lt;=25)(metric) (2)'!$F$41</c:f>
              <c:numCache/>
            </c:numRef>
          </c:xVal>
          <c:yVal>
            <c:numRef>
              <c:f>'Piles (&lt;=25)(metric) (2)'!$F$42</c:f>
              <c:numCache/>
            </c:numRef>
          </c:yVal>
          <c:smooth val="0"/>
        </c:ser>
        <c:axId val="11964707"/>
        <c:axId val="40573500"/>
      </c:scatterChart>
      <c:valAx>
        <c:axId val="11964707"/>
        <c:scaling>
          <c:orientation val="minMax"/>
        </c:scaling>
        <c:axPos val="b"/>
        <c:title>
          <c:tx>
            <c:rich>
              <a:bodyPr vert="horz" rot="0" anchor="ctr"/>
              <a:lstStyle/>
              <a:p>
                <a:pPr algn="ctr">
                  <a:defRPr/>
                </a:pPr>
                <a:r>
                  <a:rPr lang="en-US" cap="none" sz="800" b="1" i="0" u="none" baseline="0">
                    <a:solidFill>
                      <a:srgbClr val="000000"/>
                    </a:solidFill>
                  </a:rPr>
                  <a:t>X - AXIS (m)</a:t>
                </a:r>
              </a:p>
            </c:rich>
          </c:tx>
          <c:layout>
            <c:manualLayout>
              <c:xMode val="factor"/>
              <c:yMode val="factor"/>
              <c:x val="-0.0115"/>
              <c:y val="0.00475"/>
            </c:manualLayout>
          </c:layout>
          <c:overlay val="0"/>
          <c:spPr>
            <a:noFill/>
            <a:ln>
              <a:noFill/>
            </a:ln>
          </c:spPr>
        </c:title>
        <c:delete val="0"/>
        <c:numFmt formatCode="0.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40573500"/>
        <c:crosses val="autoZero"/>
        <c:crossBetween val="midCat"/>
        <c:dispUnits/>
      </c:valAx>
      <c:valAx>
        <c:axId val="40573500"/>
        <c:scaling>
          <c:orientation val="minMax"/>
        </c:scaling>
        <c:axPos val="l"/>
        <c:title>
          <c:tx>
            <c:rich>
              <a:bodyPr vert="horz" rot="-5400000" anchor="ctr"/>
              <a:lstStyle/>
              <a:p>
                <a:pPr algn="ctr">
                  <a:defRPr/>
                </a:pPr>
                <a:r>
                  <a:rPr lang="en-US" cap="none" sz="800" b="1" i="0" u="none" baseline="0">
                    <a:solidFill>
                      <a:srgbClr val="000000"/>
                    </a:solidFill>
                  </a:rPr>
                  <a:t>Y - AXIS (m)</a:t>
                </a:r>
              </a:p>
            </c:rich>
          </c:tx>
          <c:layout>
            <c:manualLayout>
              <c:xMode val="factor"/>
              <c:yMode val="factor"/>
              <c:x val="-0.024"/>
              <c:y val="0"/>
            </c:manualLayout>
          </c:layout>
          <c:overlay val="0"/>
          <c:spPr>
            <a:noFill/>
            <a:ln>
              <a:noFill/>
            </a:ln>
          </c:spPr>
        </c:title>
        <c:delete val="0"/>
        <c:numFmt formatCode="0.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11964707"/>
        <c:crosses val="autoZero"/>
        <c:crossBetween val="midCat"/>
        <c:dispUnits/>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4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sng" baseline="0">
                <a:solidFill>
                  <a:srgbClr val="000000"/>
                </a:solidFill>
              </a:rPr>
              <a:t>PILE GROUP PLAN</a:t>
            </a:r>
          </a:p>
        </c:rich>
      </c:tx>
      <c:layout>
        <c:manualLayout>
          <c:xMode val="factor"/>
          <c:yMode val="factor"/>
          <c:x val="0.095"/>
          <c:y val="-0.02125"/>
        </c:manualLayout>
      </c:layout>
      <c:spPr>
        <a:noFill/>
        <a:ln>
          <a:noFill/>
        </a:ln>
      </c:spPr>
    </c:title>
    <c:plotArea>
      <c:layout>
        <c:manualLayout>
          <c:xMode val="edge"/>
          <c:yMode val="edge"/>
          <c:x val="0.07975"/>
          <c:y val="0.02125"/>
          <c:w val="0.92025"/>
          <c:h val="0.93075"/>
        </c:manualLayout>
      </c:layout>
      <c:scatterChart>
        <c:scatterStyle val="lineMarker"/>
        <c:varyColors val="0"/>
        <c:ser>
          <c:idx val="1"/>
          <c:order val="0"/>
          <c:tx>
            <c:v>Pile Locations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FF"/>
              </a:solidFill>
              <a:ln>
                <a:solidFill>
                  <a:srgbClr val="000000"/>
                </a:solidFill>
              </a:ln>
            </c:spPr>
          </c:marker>
          <c:xVal>
            <c:numRef>
              <c:f>'Piles (&lt;=25)(metric) (2)'!$B$12:$B$36</c:f>
              <c:numCache/>
            </c:numRef>
          </c:xVal>
          <c:yVal>
            <c:numRef>
              <c:f>'Piles (&lt;=25)(metric) (2)'!$C$12:$C$36</c:f>
              <c:numCache/>
            </c:numRef>
          </c:yVal>
          <c:smooth val="0"/>
        </c:ser>
        <c:ser>
          <c:idx val="0"/>
          <c:order val="1"/>
          <c:tx>
            <c:v>Centroid of Pile Group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8"/>
            <c:spPr>
              <a:noFill/>
              <a:ln>
                <a:solidFill>
                  <a:srgbClr val="0000FF"/>
                </a:solidFill>
              </a:ln>
            </c:spPr>
          </c:marker>
          <c:xVal>
            <c:numRef>
              <c:f>'Piles (&lt;=25)(metric) (2)'!$H$30</c:f>
              <c:numCache/>
            </c:numRef>
          </c:xVal>
          <c:yVal>
            <c:numRef>
              <c:f>'Piles (&lt;=25)(metric) (2)'!$H$31</c:f>
              <c:numCache/>
            </c:numRef>
          </c:yVal>
          <c:smooth val="0"/>
        </c:ser>
        <c:ser>
          <c:idx val="2"/>
          <c:order val="2"/>
          <c:tx>
            <c:v>Plot Scale Factors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FFFF"/>
                </a:solidFill>
              </a:ln>
            </c:spPr>
          </c:marker>
          <c:xVal>
            <c:numRef>
              <c:f>'Piles (&lt;=25)(metric) (2)'!$AB$4</c:f>
              <c:numCache/>
            </c:numRef>
          </c:xVal>
          <c:yVal>
            <c:numRef>
              <c:f>'Piles (&lt;=25)(metric) (2)'!$AC$4</c:f>
              <c:numCache/>
            </c:numRef>
          </c:yVal>
          <c:smooth val="0"/>
        </c:ser>
        <c:ser>
          <c:idx val="3"/>
          <c:order val="3"/>
          <c:tx>
            <c:v>Pier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4"/>
            <c:spPr>
              <a:noFill/>
              <a:ln>
                <a:solidFill>
                  <a:srgbClr val="000000"/>
                </a:solidFill>
              </a:ln>
            </c:spPr>
          </c:marker>
          <c:xVal>
            <c:numRef>
              <c:f>'Piles (&lt;=25)(metric) (2)'!$C$41</c:f>
              <c:numCache/>
            </c:numRef>
          </c:xVal>
          <c:yVal>
            <c:numRef>
              <c:f>'Piles (&lt;=25)(metric) (2)'!$C$42</c:f>
              <c:numCache/>
            </c:numRef>
          </c:yVal>
          <c:smooth val="0"/>
        </c:ser>
        <c:ser>
          <c:idx val="4"/>
          <c:order val="4"/>
          <c:tx>
            <c:v>Pier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4"/>
            <c:spPr>
              <a:noFill/>
              <a:ln>
                <a:solidFill>
                  <a:srgbClr val="000000"/>
                </a:solidFill>
              </a:ln>
            </c:spPr>
          </c:marker>
          <c:xVal>
            <c:numRef>
              <c:f>'Piles (&lt;=25)(metric) (2)'!$D$41</c:f>
              <c:numCache/>
            </c:numRef>
          </c:xVal>
          <c:yVal>
            <c:numRef>
              <c:f>'Piles (&lt;=25)(metric) (2)'!$D$42</c:f>
              <c:numCache/>
            </c:numRef>
          </c:yVal>
          <c:smooth val="0"/>
        </c:ser>
        <c:ser>
          <c:idx val="5"/>
          <c:order val="5"/>
          <c:tx>
            <c:v>Pier #3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4"/>
            <c:spPr>
              <a:noFill/>
              <a:ln>
                <a:solidFill>
                  <a:srgbClr val="000000"/>
                </a:solidFill>
              </a:ln>
            </c:spPr>
          </c:marker>
          <c:xVal>
            <c:numRef>
              <c:f>'Piles (&lt;=25)(metric) (2)'!$E$41</c:f>
              <c:numCache/>
            </c:numRef>
          </c:xVal>
          <c:yVal>
            <c:numRef>
              <c:f>'Piles (&lt;=25)(metric) (2)'!$E$42</c:f>
              <c:numCache/>
            </c:numRef>
          </c:yVal>
          <c:smooth val="0"/>
        </c:ser>
        <c:ser>
          <c:idx val="6"/>
          <c:order val="6"/>
          <c:tx>
            <c:v>Pier #4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4"/>
            <c:spPr>
              <a:noFill/>
              <a:ln>
                <a:solidFill>
                  <a:srgbClr val="000000"/>
                </a:solidFill>
              </a:ln>
            </c:spPr>
          </c:marker>
          <c:xVal>
            <c:numRef>
              <c:f>'Piles (&lt;=25)(metric) (2)'!$F$41</c:f>
              <c:numCache/>
            </c:numRef>
          </c:xVal>
          <c:yVal>
            <c:numRef>
              <c:f>'Piles (&lt;=25)(metric) (2)'!$F$42</c:f>
              <c:numCache/>
            </c:numRef>
          </c:yVal>
          <c:smooth val="0"/>
        </c:ser>
        <c:axId val="29617181"/>
        <c:axId val="65228038"/>
      </c:scatterChart>
      <c:valAx>
        <c:axId val="29617181"/>
        <c:scaling>
          <c:orientation val="minMax"/>
        </c:scaling>
        <c:axPos val="b"/>
        <c:title>
          <c:tx>
            <c:rich>
              <a:bodyPr vert="horz" rot="0" anchor="ctr"/>
              <a:lstStyle/>
              <a:p>
                <a:pPr algn="ctr">
                  <a:defRPr/>
                </a:pPr>
                <a:r>
                  <a:rPr lang="en-US" cap="none" sz="800" b="1" i="0" u="none" baseline="0">
                    <a:solidFill>
                      <a:srgbClr val="000000"/>
                    </a:solidFill>
                  </a:rPr>
                  <a:t>X - AXIS (m)</a:t>
                </a:r>
              </a:p>
            </c:rich>
          </c:tx>
          <c:layout>
            <c:manualLayout>
              <c:xMode val="factor"/>
              <c:yMode val="factor"/>
              <c:x val="-0.0115"/>
              <c:y val="0.00475"/>
            </c:manualLayout>
          </c:layout>
          <c:overlay val="0"/>
          <c:spPr>
            <a:noFill/>
            <a:ln>
              <a:noFill/>
            </a:ln>
          </c:spPr>
        </c:title>
        <c:delete val="0"/>
        <c:numFmt formatCode="0.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65228038"/>
        <c:crosses val="autoZero"/>
        <c:crossBetween val="midCat"/>
        <c:dispUnits/>
      </c:valAx>
      <c:valAx>
        <c:axId val="65228038"/>
        <c:scaling>
          <c:orientation val="minMax"/>
        </c:scaling>
        <c:axPos val="l"/>
        <c:title>
          <c:tx>
            <c:rich>
              <a:bodyPr vert="horz" rot="-5400000" anchor="ctr"/>
              <a:lstStyle/>
              <a:p>
                <a:pPr algn="ctr">
                  <a:defRPr/>
                </a:pPr>
                <a:r>
                  <a:rPr lang="en-US" cap="none" sz="800" b="1" i="0" u="none" baseline="0">
                    <a:solidFill>
                      <a:srgbClr val="000000"/>
                    </a:solidFill>
                  </a:rPr>
                  <a:t>Y - AXIS (m)</a:t>
                </a:r>
              </a:p>
            </c:rich>
          </c:tx>
          <c:layout>
            <c:manualLayout>
              <c:xMode val="factor"/>
              <c:yMode val="factor"/>
              <c:x val="-0.01625"/>
              <c:y val="0"/>
            </c:manualLayout>
          </c:layout>
          <c:overlay val="0"/>
          <c:spPr>
            <a:noFill/>
            <a:ln>
              <a:noFill/>
            </a:ln>
          </c:spPr>
        </c:title>
        <c:delete val="0"/>
        <c:numFmt formatCode="0.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29617181"/>
        <c:crosses val="autoZero"/>
        <c:crossBetween val="midCat"/>
        <c:dispUnits/>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4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5.wmf" /><Relationship Id="rId3" Type="http://schemas.openxmlformats.org/officeDocument/2006/relationships/image" Target="../media/image7.jpeg" /><Relationship Id="rId4" Type="http://schemas.openxmlformats.org/officeDocument/2006/relationships/image" Target="../media/image8.jpeg" /><Relationship Id="rId5" Type="http://schemas.openxmlformats.org/officeDocument/2006/relationships/image" Target="../media/image9.jpeg" /><Relationship Id="rId6" Type="http://schemas.openxmlformats.org/officeDocument/2006/relationships/image" Target="../media/image10.jpeg" /><Relationship Id="rId7" Type="http://schemas.openxmlformats.org/officeDocument/2006/relationships/image" Target="../media/image11.jpeg" /><Relationship Id="rId8" Type="http://schemas.openxmlformats.org/officeDocument/2006/relationships/image" Target="../media/image12.jpeg" /><Relationship Id="rId9" Type="http://schemas.openxmlformats.org/officeDocument/2006/relationships/image" Target="../media/image13.jpeg" /><Relationship Id="rId10" Type="http://schemas.openxmlformats.org/officeDocument/2006/relationships/image" Target="../media/image14.jpeg" /><Relationship Id="rId11" Type="http://schemas.openxmlformats.org/officeDocument/2006/relationships/image" Target="../media/image15.jpeg" /><Relationship Id="rId12" Type="http://schemas.openxmlformats.org/officeDocument/2006/relationships/image" Target="../media/image16.jpeg" /><Relationship Id="rId13" Type="http://schemas.openxmlformats.org/officeDocument/2006/relationships/image" Target="../media/image17.jpeg" /><Relationship Id="rId14" Type="http://schemas.openxmlformats.org/officeDocument/2006/relationships/image" Target="../media/image18.jpeg" /><Relationship Id="rId15" Type="http://schemas.openxmlformats.org/officeDocument/2006/relationships/image" Target="../media/image19.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314325</xdr:colOff>
      <xdr:row>224</xdr:row>
      <xdr:rowOff>0</xdr:rowOff>
    </xdr:from>
    <xdr:to>
      <xdr:col>12</xdr:col>
      <xdr:colOff>114300</xdr:colOff>
      <xdr:row>225</xdr:row>
      <xdr:rowOff>19050</xdr:rowOff>
    </xdr:to>
    <xdr:sp>
      <xdr:nvSpPr>
        <xdr:cNvPr id="1" name="Rectangle 214"/>
        <xdr:cNvSpPr>
          <a:spLocks/>
        </xdr:cNvSpPr>
      </xdr:nvSpPr>
      <xdr:spPr>
        <a:xfrm>
          <a:off x="4848225" y="32004000"/>
          <a:ext cx="171450" cy="161925"/>
        </a:xfrm>
        <a:prstGeom prst="rect">
          <a:avLst/>
        </a:prstGeom>
        <a:solidFill>
          <a:srgbClr val="FFFFFF"/>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10</xdr:col>
      <xdr:colOff>161925</xdr:colOff>
      <xdr:row>190</xdr:row>
      <xdr:rowOff>142875</xdr:rowOff>
    </xdr:from>
    <xdr:to>
      <xdr:col>11</xdr:col>
      <xdr:colOff>209550</xdr:colOff>
      <xdr:row>193</xdr:row>
      <xdr:rowOff>9525</xdr:rowOff>
    </xdr:to>
    <xdr:sp>
      <xdr:nvSpPr>
        <xdr:cNvPr id="2" name="Rectangle 164"/>
        <xdr:cNvSpPr>
          <a:spLocks/>
        </xdr:cNvSpPr>
      </xdr:nvSpPr>
      <xdr:spPr>
        <a:xfrm>
          <a:off x="4324350" y="27289125"/>
          <a:ext cx="419100" cy="295275"/>
        </a:xfrm>
        <a:prstGeom prst="rect">
          <a:avLst/>
        </a:prstGeom>
        <a:solidFill>
          <a:srgbClr val="D9D9D9"/>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4</xdr:col>
      <xdr:colOff>247650</xdr:colOff>
      <xdr:row>184</xdr:row>
      <xdr:rowOff>133350</xdr:rowOff>
    </xdr:from>
    <xdr:to>
      <xdr:col>4</xdr:col>
      <xdr:colOff>257175</xdr:colOff>
      <xdr:row>198</xdr:row>
      <xdr:rowOff>114300</xdr:rowOff>
    </xdr:to>
    <xdr:sp>
      <xdr:nvSpPr>
        <xdr:cNvPr id="3" name="Straight Arrow Connector 178"/>
        <xdr:cNvSpPr>
          <a:spLocks/>
        </xdr:cNvSpPr>
      </xdr:nvSpPr>
      <xdr:spPr>
        <a:xfrm flipH="1">
          <a:off x="2181225" y="26422350"/>
          <a:ext cx="9525" cy="198120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6</xdr:col>
      <xdr:colOff>361950</xdr:colOff>
      <xdr:row>223</xdr:row>
      <xdr:rowOff>9525</xdr:rowOff>
    </xdr:from>
    <xdr:to>
      <xdr:col>15</xdr:col>
      <xdr:colOff>9525</xdr:colOff>
      <xdr:row>234</xdr:row>
      <xdr:rowOff>0</xdr:rowOff>
    </xdr:to>
    <xdr:graphicFrame>
      <xdr:nvGraphicFramePr>
        <xdr:cNvPr id="4" name="Chart 96"/>
        <xdr:cNvGraphicFramePr/>
      </xdr:nvGraphicFramePr>
      <xdr:xfrm>
        <a:off x="3038475" y="31870650"/>
        <a:ext cx="2990850" cy="1562100"/>
      </xdr:xfrm>
      <a:graphic>
        <a:graphicData uri="http://schemas.openxmlformats.org/drawingml/2006/chart">
          <c:chart xmlns:c="http://schemas.openxmlformats.org/drawingml/2006/chart" r:id="rId1"/>
        </a:graphicData>
      </a:graphic>
    </xdr:graphicFrame>
    <xdr:clientData/>
  </xdr:twoCellAnchor>
  <xdr:twoCellAnchor>
    <xdr:from>
      <xdr:col>4</xdr:col>
      <xdr:colOff>180975</xdr:colOff>
      <xdr:row>211</xdr:row>
      <xdr:rowOff>0</xdr:rowOff>
    </xdr:from>
    <xdr:to>
      <xdr:col>4</xdr:col>
      <xdr:colOff>200025</xdr:colOff>
      <xdr:row>223</xdr:row>
      <xdr:rowOff>9525</xdr:rowOff>
    </xdr:to>
    <xdr:sp>
      <xdr:nvSpPr>
        <xdr:cNvPr id="5" name="Straight Arrow Connector 102"/>
        <xdr:cNvSpPr>
          <a:spLocks/>
        </xdr:cNvSpPr>
      </xdr:nvSpPr>
      <xdr:spPr>
        <a:xfrm flipH="1">
          <a:off x="2114550" y="30146625"/>
          <a:ext cx="19050" cy="1724025"/>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8</xdr:col>
      <xdr:colOff>352425</xdr:colOff>
      <xdr:row>234</xdr:row>
      <xdr:rowOff>0</xdr:rowOff>
    </xdr:from>
    <xdr:to>
      <xdr:col>13</xdr:col>
      <xdr:colOff>9525</xdr:colOff>
      <xdr:row>235</xdr:row>
      <xdr:rowOff>19050</xdr:rowOff>
    </xdr:to>
    <xdr:sp>
      <xdr:nvSpPr>
        <xdr:cNvPr id="6" name="Rectangle 98"/>
        <xdr:cNvSpPr>
          <a:spLocks/>
        </xdr:cNvSpPr>
      </xdr:nvSpPr>
      <xdr:spPr>
        <a:xfrm>
          <a:off x="3771900" y="33432750"/>
          <a:ext cx="1514475" cy="161925"/>
        </a:xfrm>
        <a:prstGeom prst="rect">
          <a:avLst/>
        </a:prstGeom>
        <a:blipFill>
          <a:blip r:embed="rId3"/>
          <a:srcRect/>
          <a:stretch>
            <a:fillRect/>
          </a:stretch>
        </a:blipFill>
        <a:ln w="3175"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7</xdr:col>
      <xdr:colOff>0</xdr:colOff>
      <xdr:row>234</xdr:row>
      <xdr:rowOff>9525</xdr:rowOff>
    </xdr:from>
    <xdr:to>
      <xdr:col>8</xdr:col>
      <xdr:colOff>171450</xdr:colOff>
      <xdr:row>235</xdr:row>
      <xdr:rowOff>9525</xdr:rowOff>
    </xdr:to>
    <xdr:sp>
      <xdr:nvSpPr>
        <xdr:cNvPr id="7" name="Rectangle 101"/>
        <xdr:cNvSpPr>
          <a:spLocks/>
        </xdr:cNvSpPr>
      </xdr:nvSpPr>
      <xdr:spPr>
        <a:xfrm>
          <a:off x="3048000" y="33442275"/>
          <a:ext cx="542925" cy="142875"/>
        </a:xfrm>
        <a:prstGeom prst="rect">
          <a:avLst/>
        </a:prstGeom>
        <a:blipFill>
          <a:blip r:embed="rId4"/>
          <a:srcRect/>
          <a:stretch>
            <a:fillRect/>
          </a:stretch>
        </a:blipFill>
        <a:ln w="3175"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8</xdr:col>
      <xdr:colOff>352425</xdr:colOff>
      <xdr:row>235</xdr:row>
      <xdr:rowOff>9525</xdr:rowOff>
    </xdr:from>
    <xdr:to>
      <xdr:col>13</xdr:col>
      <xdr:colOff>9525</xdr:colOff>
      <xdr:row>237</xdr:row>
      <xdr:rowOff>0</xdr:rowOff>
    </xdr:to>
    <xdr:sp>
      <xdr:nvSpPr>
        <xdr:cNvPr id="8" name="Rectangle 103"/>
        <xdr:cNvSpPr>
          <a:spLocks/>
        </xdr:cNvSpPr>
      </xdr:nvSpPr>
      <xdr:spPr>
        <a:xfrm>
          <a:off x="3771900" y="33585150"/>
          <a:ext cx="1514475" cy="276225"/>
        </a:xfrm>
        <a:prstGeom prst="rect">
          <a:avLst/>
        </a:prstGeom>
        <a:blipFill>
          <a:blip r:embed="rId5"/>
          <a:srcRect/>
          <a:stretch>
            <a:fillRect/>
          </a:stretch>
        </a:blipFill>
        <a:ln w="3175"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7</xdr:col>
      <xdr:colOff>0</xdr:colOff>
      <xdr:row>235</xdr:row>
      <xdr:rowOff>9525</xdr:rowOff>
    </xdr:from>
    <xdr:to>
      <xdr:col>8</xdr:col>
      <xdr:colOff>171450</xdr:colOff>
      <xdr:row>236</xdr:row>
      <xdr:rowOff>133350</xdr:rowOff>
    </xdr:to>
    <xdr:sp>
      <xdr:nvSpPr>
        <xdr:cNvPr id="9" name="Rectangle 105"/>
        <xdr:cNvSpPr>
          <a:spLocks/>
        </xdr:cNvSpPr>
      </xdr:nvSpPr>
      <xdr:spPr>
        <a:xfrm>
          <a:off x="3048000" y="33585150"/>
          <a:ext cx="542925" cy="266700"/>
        </a:xfrm>
        <a:prstGeom prst="rect">
          <a:avLst/>
        </a:prstGeom>
        <a:blipFill>
          <a:blip r:embed="rId6"/>
          <a:srcRect/>
          <a:stretch>
            <a:fillRect/>
          </a:stretch>
        </a:blipFill>
        <a:ln w="3175"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10</xdr:col>
      <xdr:colOff>171450</xdr:colOff>
      <xdr:row>210</xdr:row>
      <xdr:rowOff>9525</xdr:rowOff>
    </xdr:from>
    <xdr:to>
      <xdr:col>11</xdr:col>
      <xdr:colOff>219075</xdr:colOff>
      <xdr:row>223</xdr:row>
      <xdr:rowOff>9525</xdr:rowOff>
    </xdr:to>
    <xdr:sp>
      <xdr:nvSpPr>
        <xdr:cNvPr id="10" name="Rectangle 106"/>
        <xdr:cNvSpPr>
          <a:spLocks/>
        </xdr:cNvSpPr>
      </xdr:nvSpPr>
      <xdr:spPr>
        <a:xfrm>
          <a:off x="4333875" y="30013275"/>
          <a:ext cx="419100" cy="1857375"/>
        </a:xfrm>
        <a:prstGeom prst="rect">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8</xdr:col>
      <xdr:colOff>304800</xdr:colOff>
      <xdr:row>223</xdr:row>
      <xdr:rowOff>76200</xdr:rowOff>
    </xdr:from>
    <xdr:to>
      <xdr:col>9</xdr:col>
      <xdr:colOff>219075</xdr:colOff>
      <xdr:row>224</xdr:row>
      <xdr:rowOff>114300</xdr:rowOff>
    </xdr:to>
    <xdr:sp>
      <xdr:nvSpPr>
        <xdr:cNvPr id="11" name="Rectangle 108"/>
        <xdr:cNvSpPr>
          <a:spLocks/>
        </xdr:cNvSpPr>
      </xdr:nvSpPr>
      <xdr:spPr>
        <a:xfrm>
          <a:off x="3724275" y="31937325"/>
          <a:ext cx="285750" cy="180975"/>
        </a:xfrm>
        <a:prstGeom prst="rect">
          <a:avLst/>
        </a:prstGeom>
        <a:solidFill>
          <a:srgbClr val="FFFFFF"/>
        </a:solidFill>
        <a:ln w="19050"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10</xdr:col>
      <xdr:colOff>161925</xdr:colOff>
      <xdr:row>223</xdr:row>
      <xdr:rowOff>104775</xdr:rowOff>
    </xdr:from>
    <xdr:to>
      <xdr:col>11</xdr:col>
      <xdr:colOff>76200</xdr:colOff>
      <xdr:row>225</xdr:row>
      <xdr:rowOff>0</xdr:rowOff>
    </xdr:to>
    <xdr:sp>
      <xdr:nvSpPr>
        <xdr:cNvPr id="12" name="Rectangle 109"/>
        <xdr:cNvSpPr>
          <a:spLocks/>
        </xdr:cNvSpPr>
      </xdr:nvSpPr>
      <xdr:spPr>
        <a:xfrm>
          <a:off x="4324350" y="31965900"/>
          <a:ext cx="285750" cy="180975"/>
        </a:xfrm>
        <a:prstGeom prst="rect">
          <a:avLst/>
        </a:prstGeom>
        <a:solidFill>
          <a:srgbClr val="FFFFFF"/>
        </a:solidFill>
        <a:ln w="19050"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6</xdr:col>
      <xdr:colOff>361950</xdr:colOff>
      <xdr:row>211</xdr:row>
      <xdr:rowOff>9525</xdr:rowOff>
    </xdr:from>
    <xdr:to>
      <xdr:col>10</xdr:col>
      <xdr:colOff>161925</xdr:colOff>
      <xdr:row>213</xdr:row>
      <xdr:rowOff>0</xdr:rowOff>
    </xdr:to>
    <xdr:sp>
      <xdr:nvSpPr>
        <xdr:cNvPr id="13" name="Rectangle 110"/>
        <xdr:cNvSpPr>
          <a:spLocks/>
        </xdr:cNvSpPr>
      </xdr:nvSpPr>
      <xdr:spPr>
        <a:xfrm>
          <a:off x="3038475" y="30156150"/>
          <a:ext cx="1285875" cy="276225"/>
        </a:xfrm>
        <a:prstGeom prst="rect">
          <a:avLst/>
        </a:prstGeom>
        <a:blipFill>
          <a:blip r:embed="rId7"/>
          <a:srcRect/>
          <a:stretch>
            <a:fillRect/>
          </a:stretch>
        </a:blipFill>
        <a:ln w="3175"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11</xdr:col>
      <xdr:colOff>228600</xdr:colOff>
      <xdr:row>211</xdr:row>
      <xdr:rowOff>9525</xdr:rowOff>
    </xdr:from>
    <xdr:to>
      <xdr:col>15</xdr:col>
      <xdr:colOff>9525</xdr:colOff>
      <xdr:row>213</xdr:row>
      <xdr:rowOff>0</xdr:rowOff>
    </xdr:to>
    <xdr:sp>
      <xdr:nvSpPr>
        <xdr:cNvPr id="14" name="Rectangle 111"/>
        <xdr:cNvSpPr>
          <a:spLocks/>
        </xdr:cNvSpPr>
      </xdr:nvSpPr>
      <xdr:spPr>
        <a:xfrm>
          <a:off x="4762500" y="30156150"/>
          <a:ext cx="1266825" cy="276225"/>
        </a:xfrm>
        <a:prstGeom prst="rect">
          <a:avLst/>
        </a:prstGeom>
        <a:blipFill>
          <a:blip r:embed="rId8"/>
          <a:srcRect/>
          <a:stretch>
            <a:fillRect/>
          </a:stretch>
        </a:blipFill>
        <a:ln w="3175"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10</xdr:col>
      <xdr:colOff>190500</xdr:colOff>
      <xdr:row>210</xdr:row>
      <xdr:rowOff>133350</xdr:rowOff>
    </xdr:from>
    <xdr:to>
      <xdr:col>11</xdr:col>
      <xdr:colOff>200025</xdr:colOff>
      <xdr:row>211</xdr:row>
      <xdr:rowOff>28575</xdr:rowOff>
    </xdr:to>
    <xdr:grpSp>
      <xdr:nvGrpSpPr>
        <xdr:cNvPr id="15" name="Group 141"/>
        <xdr:cNvGrpSpPr>
          <a:grpSpLocks/>
        </xdr:cNvGrpSpPr>
      </xdr:nvGrpSpPr>
      <xdr:grpSpPr>
        <a:xfrm>
          <a:off x="4352925" y="30137100"/>
          <a:ext cx="381000" cy="38100"/>
          <a:chOff x="6093325" y="19250291"/>
          <a:chExt cx="455205" cy="45721"/>
        </a:xfrm>
        <a:solidFill>
          <a:srgbClr val="FFFFFF"/>
        </a:solidFill>
      </xdr:grpSpPr>
      <xdr:sp>
        <xdr:nvSpPr>
          <xdr:cNvPr id="16" name="Straight Connector 142"/>
          <xdr:cNvSpPr>
            <a:spLocks/>
          </xdr:cNvSpPr>
        </xdr:nvSpPr>
        <xdr:spPr>
          <a:xfrm>
            <a:off x="6127465" y="19261721"/>
            <a:ext cx="375544" cy="0"/>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7" name="Oval 143"/>
          <xdr:cNvSpPr>
            <a:spLocks/>
          </xdr:cNvSpPr>
        </xdr:nvSpPr>
        <xdr:spPr>
          <a:xfrm>
            <a:off x="6503010"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8" name="Oval 144"/>
          <xdr:cNvSpPr>
            <a:spLocks/>
          </xdr:cNvSpPr>
        </xdr:nvSpPr>
        <xdr:spPr>
          <a:xfrm>
            <a:off x="6093325"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7</xdr:col>
      <xdr:colOff>0</xdr:colOff>
      <xdr:row>236</xdr:row>
      <xdr:rowOff>133350</xdr:rowOff>
    </xdr:from>
    <xdr:to>
      <xdr:col>8</xdr:col>
      <xdr:colOff>171450</xdr:colOff>
      <xdr:row>239</xdr:row>
      <xdr:rowOff>0</xdr:rowOff>
    </xdr:to>
    <xdr:sp>
      <xdr:nvSpPr>
        <xdr:cNvPr id="19" name="Rectangle 157"/>
        <xdr:cNvSpPr>
          <a:spLocks/>
        </xdr:cNvSpPr>
      </xdr:nvSpPr>
      <xdr:spPr>
        <a:xfrm>
          <a:off x="3048000" y="33851850"/>
          <a:ext cx="542925" cy="295275"/>
        </a:xfrm>
        <a:prstGeom prst="rect">
          <a:avLst/>
        </a:prstGeom>
        <a:blipFill>
          <a:blip r:embed="rId9"/>
          <a:srcRect/>
          <a:stretch>
            <a:fillRect/>
          </a:stretch>
        </a:blipFill>
        <a:ln w="3175"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8</xdr:col>
      <xdr:colOff>361950</xdr:colOff>
      <xdr:row>237</xdr:row>
      <xdr:rowOff>0</xdr:rowOff>
    </xdr:from>
    <xdr:to>
      <xdr:col>13</xdr:col>
      <xdr:colOff>9525</xdr:colOff>
      <xdr:row>239</xdr:row>
      <xdr:rowOff>0</xdr:rowOff>
    </xdr:to>
    <xdr:sp>
      <xdr:nvSpPr>
        <xdr:cNvPr id="20" name="Rectangle 158"/>
        <xdr:cNvSpPr>
          <a:spLocks/>
        </xdr:cNvSpPr>
      </xdr:nvSpPr>
      <xdr:spPr>
        <a:xfrm>
          <a:off x="3781425" y="33861375"/>
          <a:ext cx="1504950" cy="285750"/>
        </a:xfrm>
        <a:prstGeom prst="rect">
          <a:avLst/>
        </a:prstGeom>
        <a:blipFill>
          <a:blip r:embed="rId10"/>
          <a:srcRect/>
          <a:stretch>
            <a:fillRect/>
          </a:stretch>
        </a:blipFill>
        <a:ln w="3175"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4</xdr:col>
      <xdr:colOff>180975</xdr:colOff>
      <xdr:row>223</xdr:row>
      <xdr:rowOff>0</xdr:rowOff>
    </xdr:from>
    <xdr:to>
      <xdr:col>4</xdr:col>
      <xdr:colOff>180975</xdr:colOff>
      <xdr:row>234</xdr:row>
      <xdr:rowOff>9525</xdr:rowOff>
    </xdr:to>
    <xdr:sp>
      <xdr:nvSpPr>
        <xdr:cNvPr id="21" name="Straight Arrow Connector 160"/>
        <xdr:cNvSpPr>
          <a:spLocks/>
        </xdr:cNvSpPr>
      </xdr:nvSpPr>
      <xdr:spPr>
        <a:xfrm rot="5400000">
          <a:off x="2114550" y="31861125"/>
          <a:ext cx="0" cy="158115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7</xdr:col>
      <xdr:colOff>238125</xdr:colOff>
      <xdr:row>209</xdr:row>
      <xdr:rowOff>133350</xdr:rowOff>
    </xdr:from>
    <xdr:to>
      <xdr:col>8</xdr:col>
      <xdr:colOff>28575</xdr:colOff>
      <xdr:row>210</xdr:row>
      <xdr:rowOff>133350</xdr:rowOff>
    </xdr:to>
    <xdr:sp>
      <xdr:nvSpPr>
        <xdr:cNvPr id="22" name="Isosceles Triangle 162"/>
        <xdr:cNvSpPr>
          <a:spLocks/>
        </xdr:cNvSpPr>
      </xdr:nvSpPr>
      <xdr:spPr>
        <a:xfrm flipH="1" flipV="1">
          <a:off x="3286125" y="29994225"/>
          <a:ext cx="161925" cy="142875"/>
        </a:xfrm>
        <a:prstGeom prst="triangl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14</xdr:col>
      <xdr:colOff>66675</xdr:colOff>
      <xdr:row>231</xdr:row>
      <xdr:rowOff>133350</xdr:rowOff>
    </xdr:from>
    <xdr:to>
      <xdr:col>14</xdr:col>
      <xdr:colOff>238125</xdr:colOff>
      <xdr:row>233</xdr:row>
      <xdr:rowOff>28575</xdr:rowOff>
    </xdr:to>
    <xdr:sp>
      <xdr:nvSpPr>
        <xdr:cNvPr id="23" name="Oval 194"/>
        <xdr:cNvSpPr>
          <a:spLocks/>
        </xdr:cNvSpPr>
      </xdr:nvSpPr>
      <xdr:spPr>
        <a:xfrm>
          <a:off x="5715000" y="33137475"/>
          <a:ext cx="171450" cy="180975"/>
        </a:xfrm>
        <a:prstGeom prst="ellips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9</xdr:col>
      <xdr:colOff>266700</xdr:colOff>
      <xdr:row>224</xdr:row>
      <xdr:rowOff>19050</xdr:rowOff>
    </xdr:from>
    <xdr:to>
      <xdr:col>10</xdr:col>
      <xdr:colOff>57150</xdr:colOff>
      <xdr:row>225</xdr:row>
      <xdr:rowOff>38100</xdr:rowOff>
    </xdr:to>
    <xdr:sp>
      <xdr:nvSpPr>
        <xdr:cNvPr id="24" name="Rectangle 213"/>
        <xdr:cNvSpPr>
          <a:spLocks/>
        </xdr:cNvSpPr>
      </xdr:nvSpPr>
      <xdr:spPr>
        <a:xfrm>
          <a:off x="4057650" y="32023050"/>
          <a:ext cx="161925" cy="161925"/>
        </a:xfrm>
        <a:prstGeom prst="rect">
          <a:avLst/>
        </a:prstGeom>
        <a:solidFill>
          <a:srgbClr val="FFFFFF"/>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8</xdr:col>
      <xdr:colOff>228600</xdr:colOff>
      <xdr:row>224</xdr:row>
      <xdr:rowOff>28575</xdr:rowOff>
    </xdr:from>
    <xdr:to>
      <xdr:col>9</xdr:col>
      <xdr:colOff>28575</xdr:colOff>
      <xdr:row>225</xdr:row>
      <xdr:rowOff>38100</xdr:rowOff>
    </xdr:to>
    <xdr:sp>
      <xdr:nvSpPr>
        <xdr:cNvPr id="25" name="Rectangle 215"/>
        <xdr:cNvSpPr>
          <a:spLocks/>
        </xdr:cNvSpPr>
      </xdr:nvSpPr>
      <xdr:spPr>
        <a:xfrm>
          <a:off x="3648075" y="32032575"/>
          <a:ext cx="171450" cy="152400"/>
        </a:xfrm>
        <a:prstGeom prst="rect">
          <a:avLst/>
        </a:prstGeom>
        <a:solidFill>
          <a:srgbClr val="FFFFFF"/>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7</xdr:col>
      <xdr:colOff>9525</xdr:colOff>
      <xdr:row>181</xdr:row>
      <xdr:rowOff>0</xdr:rowOff>
    </xdr:from>
    <xdr:to>
      <xdr:col>15</xdr:col>
      <xdr:colOff>0</xdr:colOff>
      <xdr:row>181</xdr:row>
      <xdr:rowOff>0</xdr:rowOff>
    </xdr:to>
    <xdr:sp>
      <xdr:nvSpPr>
        <xdr:cNvPr id="26" name="Line 50346"/>
        <xdr:cNvSpPr>
          <a:spLocks/>
        </xdr:cNvSpPr>
      </xdr:nvSpPr>
      <xdr:spPr>
        <a:xfrm>
          <a:off x="3057525" y="25860375"/>
          <a:ext cx="296227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13</xdr:col>
      <xdr:colOff>114300</xdr:colOff>
      <xdr:row>187</xdr:row>
      <xdr:rowOff>47625</xdr:rowOff>
    </xdr:from>
    <xdr:to>
      <xdr:col>14</xdr:col>
      <xdr:colOff>0</xdr:colOff>
      <xdr:row>188</xdr:row>
      <xdr:rowOff>114300</xdr:rowOff>
    </xdr:to>
    <xdr:grpSp>
      <xdr:nvGrpSpPr>
        <xdr:cNvPr id="27" name="Group 170"/>
        <xdr:cNvGrpSpPr>
          <a:grpSpLocks/>
        </xdr:cNvGrpSpPr>
      </xdr:nvGrpSpPr>
      <xdr:grpSpPr>
        <a:xfrm>
          <a:off x="5391150" y="26765250"/>
          <a:ext cx="257175" cy="209550"/>
          <a:chOff x="5885089" y="16008804"/>
          <a:chExt cx="326572" cy="285750"/>
        </a:xfrm>
        <a:solidFill>
          <a:srgbClr val="FFFFFF"/>
        </a:solidFill>
      </xdr:grpSpPr>
      <xdr:sp>
        <xdr:nvSpPr>
          <xdr:cNvPr id="28" name="Straight Connector 167"/>
          <xdr:cNvSpPr>
            <a:spLocks/>
          </xdr:cNvSpPr>
        </xdr:nvSpPr>
        <xdr:spPr>
          <a:xfrm rot="5400000">
            <a:off x="5911541" y="16151679"/>
            <a:ext cx="28575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9" name="Straight Connector 168"/>
          <xdr:cNvSpPr>
            <a:spLocks/>
          </xdr:cNvSpPr>
        </xdr:nvSpPr>
        <xdr:spPr>
          <a:xfrm>
            <a:off x="5885089" y="16138677"/>
            <a:ext cx="32657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6</xdr:col>
      <xdr:colOff>361950</xdr:colOff>
      <xdr:row>183</xdr:row>
      <xdr:rowOff>0</xdr:rowOff>
    </xdr:from>
    <xdr:to>
      <xdr:col>8</xdr:col>
      <xdr:colOff>152400</xdr:colOff>
      <xdr:row>183</xdr:row>
      <xdr:rowOff>0</xdr:rowOff>
    </xdr:to>
    <xdr:sp>
      <xdr:nvSpPr>
        <xdr:cNvPr id="30" name="Line 50353"/>
        <xdr:cNvSpPr>
          <a:spLocks/>
        </xdr:cNvSpPr>
      </xdr:nvSpPr>
      <xdr:spPr>
        <a:xfrm>
          <a:off x="3038475" y="26146125"/>
          <a:ext cx="53340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8</xdr:col>
      <xdr:colOff>123825</xdr:colOff>
      <xdr:row>183</xdr:row>
      <xdr:rowOff>0</xdr:rowOff>
    </xdr:from>
    <xdr:to>
      <xdr:col>11</xdr:col>
      <xdr:colOff>0</xdr:colOff>
      <xdr:row>183</xdr:row>
      <xdr:rowOff>0</xdr:rowOff>
    </xdr:to>
    <xdr:sp>
      <xdr:nvSpPr>
        <xdr:cNvPr id="31" name="Line 50354"/>
        <xdr:cNvSpPr>
          <a:spLocks/>
        </xdr:cNvSpPr>
      </xdr:nvSpPr>
      <xdr:spPr>
        <a:xfrm>
          <a:off x="3543300" y="26146125"/>
          <a:ext cx="99060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20</xdr:col>
      <xdr:colOff>66675</xdr:colOff>
      <xdr:row>297</xdr:row>
      <xdr:rowOff>0</xdr:rowOff>
    </xdr:from>
    <xdr:to>
      <xdr:col>22</xdr:col>
      <xdr:colOff>66675</xdr:colOff>
      <xdr:row>297</xdr:row>
      <xdr:rowOff>0</xdr:rowOff>
    </xdr:to>
    <xdr:sp>
      <xdr:nvSpPr>
        <xdr:cNvPr id="32" name="Line 50355"/>
        <xdr:cNvSpPr>
          <a:spLocks/>
        </xdr:cNvSpPr>
      </xdr:nvSpPr>
      <xdr:spPr>
        <a:xfrm>
          <a:off x="7943850" y="42433875"/>
          <a:ext cx="74295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23</xdr:col>
      <xdr:colOff>152400</xdr:colOff>
      <xdr:row>296</xdr:row>
      <xdr:rowOff>0</xdr:rowOff>
    </xdr:from>
    <xdr:to>
      <xdr:col>25</xdr:col>
      <xdr:colOff>266700</xdr:colOff>
      <xdr:row>296</xdr:row>
      <xdr:rowOff>0</xdr:rowOff>
    </xdr:to>
    <xdr:sp>
      <xdr:nvSpPr>
        <xdr:cNvPr id="33" name="Line 50357"/>
        <xdr:cNvSpPr>
          <a:spLocks/>
        </xdr:cNvSpPr>
      </xdr:nvSpPr>
      <xdr:spPr>
        <a:xfrm>
          <a:off x="9086850" y="42291000"/>
          <a:ext cx="74295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25</xdr:col>
      <xdr:colOff>276225</xdr:colOff>
      <xdr:row>296</xdr:row>
      <xdr:rowOff>0</xdr:rowOff>
    </xdr:from>
    <xdr:to>
      <xdr:col>27</xdr:col>
      <xdr:colOff>219075</xdr:colOff>
      <xdr:row>296</xdr:row>
      <xdr:rowOff>0</xdr:rowOff>
    </xdr:to>
    <xdr:sp>
      <xdr:nvSpPr>
        <xdr:cNvPr id="34" name="Line 50358"/>
        <xdr:cNvSpPr>
          <a:spLocks/>
        </xdr:cNvSpPr>
      </xdr:nvSpPr>
      <xdr:spPr>
        <a:xfrm>
          <a:off x="9839325" y="42291000"/>
          <a:ext cx="74295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27</xdr:col>
      <xdr:colOff>219075</xdr:colOff>
      <xdr:row>300</xdr:row>
      <xdr:rowOff>0</xdr:rowOff>
    </xdr:from>
    <xdr:to>
      <xdr:col>29</xdr:col>
      <xdr:colOff>161925</xdr:colOff>
      <xdr:row>300</xdr:row>
      <xdr:rowOff>0</xdr:rowOff>
    </xdr:to>
    <xdr:sp>
      <xdr:nvSpPr>
        <xdr:cNvPr id="35" name="Line 50359"/>
        <xdr:cNvSpPr>
          <a:spLocks/>
        </xdr:cNvSpPr>
      </xdr:nvSpPr>
      <xdr:spPr>
        <a:xfrm>
          <a:off x="10582275" y="42862500"/>
          <a:ext cx="74295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28</xdr:col>
      <xdr:colOff>190500</xdr:colOff>
      <xdr:row>296</xdr:row>
      <xdr:rowOff>0</xdr:rowOff>
    </xdr:from>
    <xdr:to>
      <xdr:col>30</xdr:col>
      <xdr:colOff>133350</xdr:colOff>
      <xdr:row>296</xdr:row>
      <xdr:rowOff>0</xdr:rowOff>
    </xdr:to>
    <xdr:sp>
      <xdr:nvSpPr>
        <xdr:cNvPr id="36" name="Line 50360"/>
        <xdr:cNvSpPr>
          <a:spLocks/>
        </xdr:cNvSpPr>
      </xdr:nvSpPr>
      <xdr:spPr>
        <a:xfrm>
          <a:off x="10953750" y="42291000"/>
          <a:ext cx="74295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13</xdr:col>
      <xdr:colOff>238125</xdr:colOff>
      <xdr:row>183</xdr:row>
      <xdr:rowOff>0</xdr:rowOff>
    </xdr:from>
    <xdr:to>
      <xdr:col>15</xdr:col>
      <xdr:colOff>0</xdr:colOff>
      <xdr:row>183</xdr:row>
      <xdr:rowOff>0</xdr:rowOff>
    </xdr:to>
    <xdr:sp>
      <xdr:nvSpPr>
        <xdr:cNvPr id="37" name="Line 50361"/>
        <xdr:cNvSpPr>
          <a:spLocks/>
        </xdr:cNvSpPr>
      </xdr:nvSpPr>
      <xdr:spPr>
        <a:xfrm>
          <a:off x="5514975" y="26146125"/>
          <a:ext cx="50482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4</xdr:col>
      <xdr:colOff>180975</xdr:colOff>
      <xdr:row>234</xdr:row>
      <xdr:rowOff>9525</xdr:rowOff>
    </xdr:from>
    <xdr:to>
      <xdr:col>4</xdr:col>
      <xdr:colOff>180975</xdr:colOff>
      <xdr:row>234</xdr:row>
      <xdr:rowOff>133350</xdr:rowOff>
    </xdr:to>
    <xdr:sp>
      <xdr:nvSpPr>
        <xdr:cNvPr id="38" name="Line 50362"/>
        <xdr:cNvSpPr>
          <a:spLocks/>
        </xdr:cNvSpPr>
      </xdr:nvSpPr>
      <xdr:spPr>
        <a:xfrm>
          <a:off x="2114550" y="33442275"/>
          <a:ext cx="0" cy="12382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4</xdr:col>
      <xdr:colOff>180975</xdr:colOff>
      <xdr:row>235</xdr:row>
      <xdr:rowOff>9525</xdr:rowOff>
    </xdr:from>
    <xdr:to>
      <xdr:col>4</xdr:col>
      <xdr:colOff>180975</xdr:colOff>
      <xdr:row>237</xdr:row>
      <xdr:rowOff>0</xdr:rowOff>
    </xdr:to>
    <xdr:sp>
      <xdr:nvSpPr>
        <xdr:cNvPr id="39" name="Line 50363"/>
        <xdr:cNvSpPr>
          <a:spLocks/>
        </xdr:cNvSpPr>
      </xdr:nvSpPr>
      <xdr:spPr>
        <a:xfrm>
          <a:off x="2114550" y="33585150"/>
          <a:ext cx="0" cy="27622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15</xdr:col>
      <xdr:colOff>352425</xdr:colOff>
      <xdr:row>65</xdr:row>
      <xdr:rowOff>95250</xdr:rowOff>
    </xdr:from>
    <xdr:to>
      <xdr:col>16</xdr:col>
      <xdr:colOff>304800</xdr:colOff>
      <xdr:row>67</xdr:row>
      <xdr:rowOff>57150</xdr:rowOff>
    </xdr:to>
    <xdr:sp>
      <xdr:nvSpPr>
        <xdr:cNvPr id="40" name="Text Box 50445"/>
        <xdr:cNvSpPr txBox="1">
          <a:spLocks noChangeArrowheads="1"/>
        </xdr:cNvSpPr>
      </xdr:nvSpPr>
      <xdr:spPr>
        <a:xfrm>
          <a:off x="6372225" y="9382125"/>
          <a:ext cx="323850"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P1,P4</a:t>
          </a:r>
        </a:p>
      </xdr:txBody>
    </xdr:sp>
    <xdr:clientData/>
  </xdr:twoCellAnchor>
  <xdr:twoCellAnchor>
    <xdr:from>
      <xdr:col>13</xdr:col>
      <xdr:colOff>9525</xdr:colOff>
      <xdr:row>229</xdr:row>
      <xdr:rowOff>95250</xdr:rowOff>
    </xdr:from>
    <xdr:to>
      <xdr:col>15</xdr:col>
      <xdr:colOff>200025</xdr:colOff>
      <xdr:row>243</xdr:row>
      <xdr:rowOff>114300</xdr:rowOff>
    </xdr:to>
    <xdr:grpSp>
      <xdr:nvGrpSpPr>
        <xdr:cNvPr id="41" name="Group 50452"/>
        <xdr:cNvGrpSpPr>
          <a:grpSpLocks/>
        </xdr:cNvGrpSpPr>
      </xdr:nvGrpSpPr>
      <xdr:grpSpPr>
        <a:xfrm>
          <a:off x="5286375" y="32813625"/>
          <a:ext cx="933450" cy="2019300"/>
          <a:chOff x="377" y="2053"/>
          <a:chExt cx="99" cy="212"/>
        </a:xfrm>
        <a:solidFill>
          <a:srgbClr val="FFFFFF"/>
        </a:solidFill>
      </xdr:grpSpPr>
      <xdr:sp>
        <xdr:nvSpPr>
          <xdr:cNvPr id="42" name="Rectangle 96"/>
          <xdr:cNvSpPr>
            <a:spLocks/>
          </xdr:cNvSpPr>
        </xdr:nvSpPr>
        <xdr:spPr>
          <a:xfrm>
            <a:off x="377" y="2112"/>
            <a:ext cx="47" cy="153"/>
          </a:xfrm>
          <a:prstGeom prst="rect">
            <a:avLst/>
          </a:prstGeom>
          <a:solidFill>
            <a:srgbClr val="595959"/>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43" name="Straight Connector 209"/>
          <xdr:cNvSpPr>
            <a:spLocks/>
          </xdr:cNvSpPr>
        </xdr:nvSpPr>
        <xdr:spPr>
          <a:xfrm rot="5400000">
            <a:off x="325" y="2115"/>
            <a:ext cx="122" cy="0"/>
          </a:xfrm>
          <a:prstGeom prst="line">
            <a:avLst/>
          </a:prstGeom>
          <a:noFill/>
          <a:ln w="12700"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44" name="Straight Connector 211"/>
          <xdr:cNvSpPr>
            <a:spLocks/>
          </xdr:cNvSpPr>
        </xdr:nvSpPr>
        <xdr:spPr>
          <a:xfrm rot="5400000">
            <a:off x="354" y="2114"/>
            <a:ext cx="123" cy="0"/>
          </a:xfrm>
          <a:prstGeom prst="line">
            <a:avLst/>
          </a:prstGeom>
          <a:noFill/>
          <a:ln w="12700"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7</xdr:col>
      <xdr:colOff>57150</xdr:colOff>
      <xdr:row>223</xdr:row>
      <xdr:rowOff>38100</xdr:rowOff>
    </xdr:from>
    <xdr:to>
      <xdr:col>14</xdr:col>
      <xdr:colOff>295275</xdr:colOff>
      <xdr:row>223</xdr:row>
      <xdr:rowOff>114300</xdr:rowOff>
    </xdr:to>
    <xdr:sp>
      <xdr:nvSpPr>
        <xdr:cNvPr id="45" name="Rectangle 50456"/>
        <xdr:cNvSpPr>
          <a:spLocks/>
        </xdr:cNvSpPr>
      </xdr:nvSpPr>
      <xdr:spPr>
        <a:xfrm>
          <a:off x="3105150" y="31899225"/>
          <a:ext cx="2838450" cy="7620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10</xdr:col>
      <xdr:colOff>180975</xdr:colOff>
      <xdr:row>222</xdr:row>
      <xdr:rowOff>104775</xdr:rowOff>
    </xdr:from>
    <xdr:to>
      <xdr:col>11</xdr:col>
      <xdr:colOff>200025</xdr:colOff>
      <xdr:row>223</xdr:row>
      <xdr:rowOff>66675</xdr:rowOff>
    </xdr:to>
    <xdr:sp>
      <xdr:nvSpPr>
        <xdr:cNvPr id="46" name="Rectangle 50457"/>
        <xdr:cNvSpPr>
          <a:spLocks/>
        </xdr:cNvSpPr>
      </xdr:nvSpPr>
      <xdr:spPr>
        <a:xfrm>
          <a:off x="4343400" y="31823025"/>
          <a:ext cx="390525" cy="104775"/>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10</xdr:col>
      <xdr:colOff>190500</xdr:colOff>
      <xdr:row>212</xdr:row>
      <xdr:rowOff>28575</xdr:rowOff>
    </xdr:from>
    <xdr:to>
      <xdr:col>11</xdr:col>
      <xdr:colOff>200025</xdr:colOff>
      <xdr:row>212</xdr:row>
      <xdr:rowOff>66675</xdr:rowOff>
    </xdr:to>
    <xdr:grpSp>
      <xdr:nvGrpSpPr>
        <xdr:cNvPr id="47" name="Group 141"/>
        <xdr:cNvGrpSpPr>
          <a:grpSpLocks/>
        </xdr:cNvGrpSpPr>
      </xdr:nvGrpSpPr>
      <xdr:grpSpPr>
        <a:xfrm>
          <a:off x="4352925" y="30318075"/>
          <a:ext cx="381000" cy="38100"/>
          <a:chOff x="6093325" y="19250291"/>
          <a:chExt cx="455205" cy="45721"/>
        </a:xfrm>
        <a:solidFill>
          <a:srgbClr val="FFFFFF"/>
        </a:solidFill>
      </xdr:grpSpPr>
      <xdr:sp>
        <xdr:nvSpPr>
          <xdr:cNvPr id="48" name="Straight Connector 142"/>
          <xdr:cNvSpPr>
            <a:spLocks/>
          </xdr:cNvSpPr>
        </xdr:nvSpPr>
        <xdr:spPr>
          <a:xfrm>
            <a:off x="6127465" y="19261721"/>
            <a:ext cx="375544" cy="0"/>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49" name="Oval 143"/>
          <xdr:cNvSpPr>
            <a:spLocks/>
          </xdr:cNvSpPr>
        </xdr:nvSpPr>
        <xdr:spPr>
          <a:xfrm>
            <a:off x="6503010"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50" name="Oval 144"/>
          <xdr:cNvSpPr>
            <a:spLocks/>
          </xdr:cNvSpPr>
        </xdr:nvSpPr>
        <xdr:spPr>
          <a:xfrm>
            <a:off x="6093325"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10</xdr:col>
      <xdr:colOff>190500</xdr:colOff>
      <xdr:row>213</xdr:row>
      <xdr:rowOff>66675</xdr:rowOff>
    </xdr:from>
    <xdr:to>
      <xdr:col>11</xdr:col>
      <xdr:colOff>200025</xdr:colOff>
      <xdr:row>213</xdr:row>
      <xdr:rowOff>104775</xdr:rowOff>
    </xdr:to>
    <xdr:grpSp>
      <xdr:nvGrpSpPr>
        <xdr:cNvPr id="51" name="Group 141"/>
        <xdr:cNvGrpSpPr>
          <a:grpSpLocks/>
        </xdr:cNvGrpSpPr>
      </xdr:nvGrpSpPr>
      <xdr:grpSpPr>
        <a:xfrm>
          <a:off x="4352925" y="30499050"/>
          <a:ext cx="381000" cy="38100"/>
          <a:chOff x="6093325" y="19250291"/>
          <a:chExt cx="455205" cy="45721"/>
        </a:xfrm>
        <a:solidFill>
          <a:srgbClr val="FFFFFF"/>
        </a:solidFill>
      </xdr:grpSpPr>
      <xdr:sp>
        <xdr:nvSpPr>
          <xdr:cNvPr id="52" name="Straight Connector 142"/>
          <xdr:cNvSpPr>
            <a:spLocks/>
          </xdr:cNvSpPr>
        </xdr:nvSpPr>
        <xdr:spPr>
          <a:xfrm>
            <a:off x="6127465" y="19261721"/>
            <a:ext cx="375544" cy="0"/>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53" name="Oval 143"/>
          <xdr:cNvSpPr>
            <a:spLocks/>
          </xdr:cNvSpPr>
        </xdr:nvSpPr>
        <xdr:spPr>
          <a:xfrm>
            <a:off x="6503010"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54" name="Oval 144"/>
          <xdr:cNvSpPr>
            <a:spLocks/>
          </xdr:cNvSpPr>
        </xdr:nvSpPr>
        <xdr:spPr>
          <a:xfrm>
            <a:off x="6093325"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10</xdr:col>
      <xdr:colOff>190500</xdr:colOff>
      <xdr:row>219</xdr:row>
      <xdr:rowOff>114300</xdr:rowOff>
    </xdr:from>
    <xdr:to>
      <xdr:col>11</xdr:col>
      <xdr:colOff>200025</xdr:colOff>
      <xdr:row>220</xdr:row>
      <xdr:rowOff>9525</xdr:rowOff>
    </xdr:to>
    <xdr:grpSp>
      <xdr:nvGrpSpPr>
        <xdr:cNvPr id="55" name="Group 141"/>
        <xdr:cNvGrpSpPr>
          <a:grpSpLocks/>
        </xdr:cNvGrpSpPr>
      </xdr:nvGrpSpPr>
      <xdr:grpSpPr>
        <a:xfrm>
          <a:off x="4352925" y="31403925"/>
          <a:ext cx="381000" cy="38100"/>
          <a:chOff x="6093325" y="19250291"/>
          <a:chExt cx="455205" cy="45721"/>
        </a:xfrm>
        <a:solidFill>
          <a:srgbClr val="FFFFFF"/>
        </a:solidFill>
      </xdr:grpSpPr>
      <xdr:sp>
        <xdr:nvSpPr>
          <xdr:cNvPr id="56" name="Straight Connector 142"/>
          <xdr:cNvSpPr>
            <a:spLocks/>
          </xdr:cNvSpPr>
        </xdr:nvSpPr>
        <xdr:spPr>
          <a:xfrm>
            <a:off x="6127465" y="19261721"/>
            <a:ext cx="375544" cy="0"/>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57" name="Oval 143"/>
          <xdr:cNvSpPr>
            <a:spLocks/>
          </xdr:cNvSpPr>
        </xdr:nvSpPr>
        <xdr:spPr>
          <a:xfrm>
            <a:off x="6503010"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58" name="Oval 144"/>
          <xdr:cNvSpPr>
            <a:spLocks/>
          </xdr:cNvSpPr>
        </xdr:nvSpPr>
        <xdr:spPr>
          <a:xfrm>
            <a:off x="6093325"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10</xdr:col>
      <xdr:colOff>190500</xdr:colOff>
      <xdr:row>221</xdr:row>
      <xdr:rowOff>19050</xdr:rowOff>
    </xdr:from>
    <xdr:to>
      <xdr:col>11</xdr:col>
      <xdr:colOff>200025</xdr:colOff>
      <xdr:row>221</xdr:row>
      <xdr:rowOff>57150</xdr:rowOff>
    </xdr:to>
    <xdr:grpSp>
      <xdr:nvGrpSpPr>
        <xdr:cNvPr id="59" name="Group 141"/>
        <xdr:cNvGrpSpPr>
          <a:grpSpLocks/>
        </xdr:cNvGrpSpPr>
      </xdr:nvGrpSpPr>
      <xdr:grpSpPr>
        <a:xfrm>
          <a:off x="4352925" y="31594425"/>
          <a:ext cx="381000" cy="38100"/>
          <a:chOff x="6093325" y="19250291"/>
          <a:chExt cx="455205" cy="45721"/>
        </a:xfrm>
        <a:solidFill>
          <a:srgbClr val="FFFFFF"/>
        </a:solidFill>
      </xdr:grpSpPr>
      <xdr:sp>
        <xdr:nvSpPr>
          <xdr:cNvPr id="60" name="Straight Connector 142"/>
          <xdr:cNvSpPr>
            <a:spLocks/>
          </xdr:cNvSpPr>
        </xdr:nvSpPr>
        <xdr:spPr>
          <a:xfrm>
            <a:off x="6127465" y="19261721"/>
            <a:ext cx="375544" cy="0"/>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61" name="Oval 143"/>
          <xdr:cNvSpPr>
            <a:spLocks/>
          </xdr:cNvSpPr>
        </xdr:nvSpPr>
        <xdr:spPr>
          <a:xfrm>
            <a:off x="6503010"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62" name="Oval 144"/>
          <xdr:cNvSpPr>
            <a:spLocks/>
          </xdr:cNvSpPr>
        </xdr:nvSpPr>
        <xdr:spPr>
          <a:xfrm>
            <a:off x="6093325"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10</xdr:col>
      <xdr:colOff>190500</xdr:colOff>
      <xdr:row>222</xdr:row>
      <xdr:rowOff>47625</xdr:rowOff>
    </xdr:from>
    <xdr:to>
      <xdr:col>11</xdr:col>
      <xdr:colOff>200025</xdr:colOff>
      <xdr:row>222</xdr:row>
      <xdr:rowOff>85725</xdr:rowOff>
    </xdr:to>
    <xdr:grpSp>
      <xdr:nvGrpSpPr>
        <xdr:cNvPr id="63" name="Group 141"/>
        <xdr:cNvGrpSpPr>
          <a:grpSpLocks/>
        </xdr:cNvGrpSpPr>
      </xdr:nvGrpSpPr>
      <xdr:grpSpPr>
        <a:xfrm>
          <a:off x="4352925" y="31765875"/>
          <a:ext cx="381000" cy="38100"/>
          <a:chOff x="6093325" y="19250291"/>
          <a:chExt cx="455205" cy="45721"/>
        </a:xfrm>
        <a:solidFill>
          <a:srgbClr val="FFFFFF"/>
        </a:solidFill>
      </xdr:grpSpPr>
      <xdr:sp>
        <xdr:nvSpPr>
          <xdr:cNvPr id="64" name="Straight Connector 142"/>
          <xdr:cNvSpPr>
            <a:spLocks/>
          </xdr:cNvSpPr>
        </xdr:nvSpPr>
        <xdr:spPr>
          <a:xfrm>
            <a:off x="6127465" y="19261721"/>
            <a:ext cx="375544" cy="0"/>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65" name="Oval 143"/>
          <xdr:cNvSpPr>
            <a:spLocks/>
          </xdr:cNvSpPr>
        </xdr:nvSpPr>
        <xdr:spPr>
          <a:xfrm>
            <a:off x="6503010"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66" name="Oval 144"/>
          <xdr:cNvSpPr>
            <a:spLocks/>
          </xdr:cNvSpPr>
        </xdr:nvSpPr>
        <xdr:spPr>
          <a:xfrm>
            <a:off x="6093325"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10</xdr:col>
      <xdr:colOff>180975</xdr:colOff>
      <xdr:row>232</xdr:row>
      <xdr:rowOff>19050</xdr:rowOff>
    </xdr:from>
    <xdr:to>
      <xdr:col>11</xdr:col>
      <xdr:colOff>190500</xdr:colOff>
      <xdr:row>232</xdr:row>
      <xdr:rowOff>57150</xdr:rowOff>
    </xdr:to>
    <xdr:grpSp>
      <xdr:nvGrpSpPr>
        <xdr:cNvPr id="67" name="Group 141"/>
        <xdr:cNvGrpSpPr>
          <a:grpSpLocks/>
        </xdr:cNvGrpSpPr>
      </xdr:nvGrpSpPr>
      <xdr:grpSpPr>
        <a:xfrm>
          <a:off x="4343400" y="33166050"/>
          <a:ext cx="381000" cy="38100"/>
          <a:chOff x="6093325" y="19250291"/>
          <a:chExt cx="455205" cy="45721"/>
        </a:xfrm>
        <a:solidFill>
          <a:srgbClr val="FFFFFF"/>
        </a:solidFill>
      </xdr:grpSpPr>
      <xdr:sp>
        <xdr:nvSpPr>
          <xdr:cNvPr id="68" name="Straight Connector 142"/>
          <xdr:cNvSpPr>
            <a:spLocks/>
          </xdr:cNvSpPr>
        </xdr:nvSpPr>
        <xdr:spPr>
          <a:xfrm>
            <a:off x="6127465" y="19261721"/>
            <a:ext cx="375544" cy="0"/>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69" name="Oval 143"/>
          <xdr:cNvSpPr>
            <a:spLocks/>
          </xdr:cNvSpPr>
        </xdr:nvSpPr>
        <xdr:spPr>
          <a:xfrm>
            <a:off x="6503010"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70" name="Oval 144"/>
          <xdr:cNvSpPr>
            <a:spLocks/>
          </xdr:cNvSpPr>
        </xdr:nvSpPr>
        <xdr:spPr>
          <a:xfrm>
            <a:off x="6093325"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14</xdr:col>
      <xdr:colOff>95250</xdr:colOff>
      <xdr:row>234</xdr:row>
      <xdr:rowOff>0</xdr:rowOff>
    </xdr:from>
    <xdr:to>
      <xdr:col>15</xdr:col>
      <xdr:colOff>19050</xdr:colOff>
      <xdr:row>235</xdr:row>
      <xdr:rowOff>28575</xdr:rowOff>
    </xdr:to>
    <xdr:sp>
      <xdr:nvSpPr>
        <xdr:cNvPr id="71" name="Rectangle 101"/>
        <xdr:cNvSpPr>
          <a:spLocks/>
        </xdr:cNvSpPr>
      </xdr:nvSpPr>
      <xdr:spPr>
        <a:xfrm>
          <a:off x="5743575" y="33432750"/>
          <a:ext cx="295275" cy="171450"/>
        </a:xfrm>
        <a:prstGeom prst="rect">
          <a:avLst/>
        </a:prstGeom>
        <a:blipFill>
          <a:blip r:embed="rId11"/>
          <a:srcRect/>
          <a:stretch>
            <a:fillRect/>
          </a:stretch>
        </a:blipFill>
        <a:ln w="3175"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14</xdr:col>
      <xdr:colOff>95250</xdr:colOff>
      <xdr:row>235</xdr:row>
      <xdr:rowOff>19050</xdr:rowOff>
    </xdr:from>
    <xdr:to>
      <xdr:col>15</xdr:col>
      <xdr:colOff>19050</xdr:colOff>
      <xdr:row>237</xdr:row>
      <xdr:rowOff>0</xdr:rowOff>
    </xdr:to>
    <xdr:sp>
      <xdr:nvSpPr>
        <xdr:cNvPr id="72" name="Rectangle 105"/>
        <xdr:cNvSpPr>
          <a:spLocks/>
        </xdr:cNvSpPr>
      </xdr:nvSpPr>
      <xdr:spPr>
        <a:xfrm>
          <a:off x="5743575" y="33594675"/>
          <a:ext cx="295275" cy="266700"/>
        </a:xfrm>
        <a:prstGeom prst="rect">
          <a:avLst/>
        </a:prstGeom>
        <a:blipFill>
          <a:blip r:embed="rId12"/>
          <a:srcRect/>
          <a:stretch>
            <a:fillRect/>
          </a:stretch>
        </a:blipFill>
        <a:ln w="3175"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14</xdr:col>
      <xdr:colOff>95250</xdr:colOff>
      <xdr:row>237</xdr:row>
      <xdr:rowOff>0</xdr:rowOff>
    </xdr:from>
    <xdr:to>
      <xdr:col>15</xdr:col>
      <xdr:colOff>19050</xdr:colOff>
      <xdr:row>239</xdr:row>
      <xdr:rowOff>0</xdr:rowOff>
    </xdr:to>
    <xdr:sp>
      <xdr:nvSpPr>
        <xdr:cNvPr id="73" name="Rectangle 157"/>
        <xdr:cNvSpPr>
          <a:spLocks/>
        </xdr:cNvSpPr>
      </xdr:nvSpPr>
      <xdr:spPr>
        <a:xfrm>
          <a:off x="5743575" y="33861375"/>
          <a:ext cx="295275" cy="285750"/>
        </a:xfrm>
        <a:prstGeom prst="rect">
          <a:avLst/>
        </a:prstGeom>
        <a:blipFill>
          <a:blip r:embed="rId13"/>
          <a:srcRect/>
          <a:stretch>
            <a:fillRect/>
          </a:stretch>
        </a:blipFill>
        <a:ln w="3175"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8</xdr:col>
      <xdr:colOff>323850</xdr:colOff>
      <xdr:row>241</xdr:row>
      <xdr:rowOff>0</xdr:rowOff>
    </xdr:from>
    <xdr:to>
      <xdr:col>12</xdr:col>
      <xdr:colOff>304800</xdr:colOff>
      <xdr:row>241</xdr:row>
      <xdr:rowOff>0</xdr:rowOff>
    </xdr:to>
    <xdr:sp>
      <xdr:nvSpPr>
        <xdr:cNvPr id="74" name="Line 50490"/>
        <xdr:cNvSpPr>
          <a:spLocks/>
        </xdr:cNvSpPr>
      </xdr:nvSpPr>
      <xdr:spPr>
        <a:xfrm>
          <a:off x="3743325" y="34432875"/>
          <a:ext cx="1466850" cy="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14</xdr:col>
      <xdr:colOff>76200</xdr:colOff>
      <xdr:row>241</xdr:row>
      <xdr:rowOff>0</xdr:rowOff>
    </xdr:from>
    <xdr:to>
      <xdr:col>14</xdr:col>
      <xdr:colOff>323850</xdr:colOff>
      <xdr:row>241</xdr:row>
      <xdr:rowOff>0</xdr:rowOff>
    </xdr:to>
    <xdr:sp>
      <xdr:nvSpPr>
        <xdr:cNvPr id="75" name="Line 50491"/>
        <xdr:cNvSpPr>
          <a:spLocks/>
        </xdr:cNvSpPr>
      </xdr:nvSpPr>
      <xdr:spPr>
        <a:xfrm>
          <a:off x="5724525" y="34432875"/>
          <a:ext cx="247650" cy="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12</xdr:col>
      <xdr:colOff>47625</xdr:colOff>
      <xdr:row>221</xdr:row>
      <xdr:rowOff>0</xdr:rowOff>
    </xdr:from>
    <xdr:to>
      <xdr:col>15</xdr:col>
      <xdr:colOff>361950</xdr:colOff>
      <xdr:row>221</xdr:row>
      <xdr:rowOff>0</xdr:rowOff>
    </xdr:to>
    <xdr:sp>
      <xdr:nvSpPr>
        <xdr:cNvPr id="76" name="Line 50493"/>
        <xdr:cNvSpPr>
          <a:spLocks/>
        </xdr:cNvSpPr>
      </xdr:nvSpPr>
      <xdr:spPr>
        <a:xfrm>
          <a:off x="4953000" y="31575375"/>
          <a:ext cx="1428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14</xdr:col>
      <xdr:colOff>152400</xdr:colOff>
      <xdr:row>226</xdr:row>
      <xdr:rowOff>133350</xdr:rowOff>
    </xdr:from>
    <xdr:to>
      <xdr:col>14</xdr:col>
      <xdr:colOff>152400</xdr:colOff>
      <xdr:row>232</xdr:row>
      <xdr:rowOff>0</xdr:rowOff>
    </xdr:to>
    <xdr:sp>
      <xdr:nvSpPr>
        <xdr:cNvPr id="77" name="Line 50494"/>
        <xdr:cNvSpPr>
          <a:spLocks/>
        </xdr:cNvSpPr>
      </xdr:nvSpPr>
      <xdr:spPr>
        <a:xfrm flipV="1">
          <a:off x="5800725" y="32423100"/>
          <a:ext cx="0" cy="72390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14</xdr:col>
      <xdr:colOff>161925</xdr:colOff>
      <xdr:row>226</xdr:row>
      <xdr:rowOff>133350</xdr:rowOff>
    </xdr:from>
    <xdr:to>
      <xdr:col>19</xdr:col>
      <xdr:colOff>28575</xdr:colOff>
      <xdr:row>226</xdr:row>
      <xdr:rowOff>133350</xdr:rowOff>
    </xdr:to>
    <xdr:sp>
      <xdr:nvSpPr>
        <xdr:cNvPr id="78" name="Line 50495"/>
        <xdr:cNvSpPr>
          <a:spLocks/>
        </xdr:cNvSpPr>
      </xdr:nvSpPr>
      <xdr:spPr>
        <a:xfrm>
          <a:off x="5810250" y="32423100"/>
          <a:ext cx="1724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7</xdr:col>
      <xdr:colOff>209550</xdr:colOff>
      <xdr:row>219</xdr:row>
      <xdr:rowOff>133350</xdr:rowOff>
    </xdr:from>
    <xdr:to>
      <xdr:col>7</xdr:col>
      <xdr:colOff>209550</xdr:colOff>
      <xdr:row>223</xdr:row>
      <xdr:rowOff>66675</xdr:rowOff>
    </xdr:to>
    <xdr:sp>
      <xdr:nvSpPr>
        <xdr:cNvPr id="79" name="Line 50500"/>
        <xdr:cNvSpPr>
          <a:spLocks/>
        </xdr:cNvSpPr>
      </xdr:nvSpPr>
      <xdr:spPr>
        <a:xfrm flipV="1">
          <a:off x="3257550" y="31422975"/>
          <a:ext cx="0" cy="504825"/>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5</xdr:col>
      <xdr:colOff>19050</xdr:colOff>
      <xdr:row>219</xdr:row>
      <xdr:rowOff>133350</xdr:rowOff>
    </xdr:from>
    <xdr:to>
      <xdr:col>7</xdr:col>
      <xdr:colOff>209550</xdr:colOff>
      <xdr:row>219</xdr:row>
      <xdr:rowOff>133350</xdr:rowOff>
    </xdr:to>
    <xdr:sp>
      <xdr:nvSpPr>
        <xdr:cNvPr id="80" name="Line 50501"/>
        <xdr:cNvSpPr>
          <a:spLocks/>
        </xdr:cNvSpPr>
      </xdr:nvSpPr>
      <xdr:spPr>
        <a:xfrm flipH="1">
          <a:off x="2324100" y="31422975"/>
          <a:ext cx="933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10</xdr:col>
      <xdr:colOff>0</xdr:colOff>
      <xdr:row>19</xdr:row>
      <xdr:rowOff>123825</xdr:rowOff>
    </xdr:from>
    <xdr:to>
      <xdr:col>10</xdr:col>
      <xdr:colOff>0</xdr:colOff>
      <xdr:row>25</xdr:row>
      <xdr:rowOff>9525</xdr:rowOff>
    </xdr:to>
    <xdr:sp>
      <xdr:nvSpPr>
        <xdr:cNvPr id="81" name="Line 50537"/>
        <xdr:cNvSpPr>
          <a:spLocks/>
        </xdr:cNvSpPr>
      </xdr:nvSpPr>
      <xdr:spPr>
        <a:xfrm>
          <a:off x="4162425" y="2838450"/>
          <a:ext cx="0" cy="7429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10</xdr:col>
      <xdr:colOff>9525</xdr:colOff>
      <xdr:row>25</xdr:row>
      <xdr:rowOff>9525</xdr:rowOff>
    </xdr:from>
    <xdr:to>
      <xdr:col>12</xdr:col>
      <xdr:colOff>19050</xdr:colOff>
      <xdr:row>25</xdr:row>
      <xdr:rowOff>9525</xdr:rowOff>
    </xdr:to>
    <xdr:sp>
      <xdr:nvSpPr>
        <xdr:cNvPr id="82" name="Line 50538"/>
        <xdr:cNvSpPr>
          <a:spLocks/>
        </xdr:cNvSpPr>
      </xdr:nvSpPr>
      <xdr:spPr>
        <a:xfrm>
          <a:off x="4171950" y="3581400"/>
          <a:ext cx="7524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10</xdr:col>
      <xdr:colOff>9525</xdr:colOff>
      <xdr:row>20</xdr:row>
      <xdr:rowOff>0</xdr:rowOff>
    </xdr:from>
    <xdr:to>
      <xdr:col>11</xdr:col>
      <xdr:colOff>352425</xdr:colOff>
      <xdr:row>25</xdr:row>
      <xdr:rowOff>0</xdr:rowOff>
    </xdr:to>
    <xdr:sp>
      <xdr:nvSpPr>
        <xdr:cNvPr id="83" name="Line 50539"/>
        <xdr:cNvSpPr>
          <a:spLocks/>
        </xdr:cNvSpPr>
      </xdr:nvSpPr>
      <xdr:spPr>
        <a:xfrm flipV="1">
          <a:off x="4171950" y="2857500"/>
          <a:ext cx="714375" cy="7143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9</xdr:col>
      <xdr:colOff>314325</xdr:colOff>
      <xdr:row>18</xdr:row>
      <xdr:rowOff>85725</xdr:rowOff>
    </xdr:from>
    <xdr:to>
      <xdr:col>10</xdr:col>
      <xdr:colOff>85725</xdr:colOff>
      <xdr:row>20</xdr:row>
      <xdr:rowOff>47625</xdr:rowOff>
    </xdr:to>
    <xdr:sp>
      <xdr:nvSpPr>
        <xdr:cNvPr id="84" name="Text Box 50540"/>
        <xdr:cNvSpPr txBox="1">
          <a:spLocks noChangeArrowheads="1"/>
        </xdr:cNvSpPr>
      </xdr:nvSpPr>
      <xdr:spPr>
        <a:xfrm>
          <a:off x="4105275" y="2657475"/>
          <a:ext cx="142875"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Z</a:t>
          </a:r>
        </a:p>
      </xdr:txBody>
    </xdr:sp>
    <xdr:clientData/>
  </xdr:twoCellAnchor>
  <xdr:twoCellAnchor>
    <xdr:from>
      <xdr:col>11</xdr:col>
      <xdr:colOff>314325</xdr:colOff>
      <xdr:row>18</xdr:row>
      <xdr:rowOff>85725</xdr:rowOff>
    </xdr:from>
    <xdr:to>
      <xdr:col>12</xdr:col>
      <xdr:colOff>85725</xdr:colOff>
      <xdr:row>20</xdr:row>
      <xdr:rowOff>47625</xdr:rowOff>
    </xdr:to>
    <xdr:sp>
      <xdr:nvSpPr>
        <xdr:cNvPr id="85" name="Text Box 50541"/>
        <xdr:cNvSpPr txBox="1">
          <a:spLocks noChangeArrowheads="1"/>
        </xdr:cNvSpPr>
      </xdr:nvSpPr>
      <xdr:spPr>
        <a:xfrm>
          <a:off x="4848225" y="2657475"/>
          <a:ext cx="142875"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Y</a:t>
          </a:r>
        </a:p>
      </xdr:txBody>
    </xdr:sp>
    <xdr:clientData/>
  </xdr:twoCellAnchor>
  <xdr:twoCellAnchor>
    <xdr:from>
      <xdr:col>11</xdr:col>
      <xdr:colOff>190500</xdr:colOff>
      <xdr:row>23</xdr:row>
      <xdr:rowOff>76200</xdr:rowOff>
    </xdr:from>
    <xdr:to>
      <xdr:col>11</xdr:col>
      <xdr:colOff>333375</xdr:colOff>
      <xdr:row>25</xdr:row>
      <xdr:rowOff>38100</xdr:rowOff>
    </xdr:to>
    <xdr:sp>
      <xdr:nvSpPr>
        <xdr:cNvPr id="86" name="Text Box 50542"/>
        <xdr:cNvSpPr txBox="1">
          <a:spLocks noChangeArrowheads="1"/>
        </xdr:cNvSpPr>
      </xdr:nvSpPr>
      <xdr:spPr>
        <a:xfrm>
          <a:off x="4724400" y="3362325"/>
          <a:ext cx="142875"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X</a:t>
          </a:r>
        </a:p>
      </xdr:txBody>
    </xdr:sp>
    <xdr:clientData/>
  </xdr:twoCellAnchor>
  <xdr:twoCellAnchor>
    <xdr:from>
      <xdr:col>20</xdr:col>
      <xdr:colOff>0</xdr:colOff>
      <xdr:row>73</xdr:row>
      <xdr:rowOff>66675</xdr:rowOff>
    </xdr:from>
    <xdr:to>
      <xdr:col>20</xdr:col>
      <xdr:colOff>0</xdr:colOff>
      <xdr:row>74</xdr:row>
      <xdr:rowOff>133350</xdr:rowOff>
    </xdr:to>
    <xdr:sp>
      <xdr:nvSpPr>
        <xdr:cNvPr id="87" name="Line 50560"/>
        <xdr:cNvSpPr>
          <a:spLocks/>
        </xdr:cNvSpPr>
      </xdr:nvSpPr>
      <xdr:spPr>
        <a:xfrm>
          <a:off x="7877175" y="10496550"/>
          <a:ext cx="0" cy="209550"/>
        </a:xfrm>
        <a:prstGeom prst="line">
          <a:avLst/>
        </a:prstGeom>
        <a:noFill/>
        <a:ln w="12700" cmpd="sng">
          <a:solidFill>
            <a:srgbClr val="0000FF"/>
          </a:solidFill>
          <a:headEnd type="stealth"/>
          <a:tailEnd type="ova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20</xdr:col>
      <xdr:colOff>0</xdr:colOff>
      <xdr:row>74</xdr:row>
      <xdr:rowOff>133350</xdr:rowOff>
    </xdr:from>
    <xdr:to>
      <xdr:col>20</xdr:col>
      <xdr:colOff>0</xdr:colOff>
      <xdr:row>77</xdr:row>
      <xdr:rowOff>9525</xdr:rowOff>
    </xdr:to>
    <xdr:sp>
      <xdr:nvSpPr>
        <xdr:cNvPr id="88" name="Line 50562"/>
        <xdr:cNvSpPr>
          <a:spLocks/>
        </xdr:cNvSpPr>
      </xdr:nvSpPr>
      <xdr:spPr>
        <a:xfrm>
          <a:off x="7877175" y="10706100"/>
          <a:ext cx="0" cy="304800"/>
        </a:xfrm>
        <a:prstGeom prst="line">
          <a:avLst/>
        </a:prstGeom>
        <a:noFill/>
        <a:ln w="12700" cmpd="sng">
          <a:solidFill>
            <a:srgbClr val="0000FF"/>
          </a:solidFill>
          <a:headEnd type="oval"/>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15</xdr:col>
      <xdr:colOff>95250</xdr:colOff>
      <xdr:row>81</xdr:row>
      <xdr:rowOff>9525</xdr:rowOff>
    </xdr:from>
    <xdr:to>
      <xdr:col>16</xdr:col>
      <xdr:colOff>0</xdr:colOff>
      <xdr:row>81</xdr:row>
      <xdr:rowOff>9525</xdr:rowOff>
    </xdr:to>
    <xdr:sp>
      <xdr:nvSpPr>
        <xdr:cNvPr id="89" name="Line 50563"/>
        <xdr:cNvSpPr>
          <a:spLocks/>
        </xdr:cNvSpPr>
      </xdr:nvSpPr>
      <xdr:spPr>
        <a:xfrm flipH="1">
          <a:off x="6115050" y="11582400"/>
          <a:ext cx="276225" cy="0"/>
        </a:xfrm>
        <a:prstGeom prst="line">
          <a:avLst/>
        </a:prstGeom>
        <a:noFill/>
        <a:ln w="19050" cmpd="sng">
          <a:solidFill>
            <a:srgbClr val="FF6600"/>
          </a:solidFill>
          <a:headEnd type="oval"/>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16</xdr:col>
      <xdr:colOff>0</xdr:colOff>
      <xdr:row>81</xdr:row>
      <xdr:rowOff>9525</xdr:rowOff>
    </xdr:from>
    <xdr:to>
      <xdr:col>17</xdr:col>
      <xdr:colOff>19050</xdr:colOff>
      <xdr:row>81</xdr:row>
      <xdr:rowOff>9525</xdr:rowOff>
    </xdr:to>
    <xdr:sp>
      <xdr:nvSpPr>
        <xdr:cNvPr id="90" name="Line 50564"/>
        <xdr:cNvSpPr>
          <a:spLocks/>
        </xdr:cNvSpPr>
      </xdr:nvSpPr>
      <xdr:spPr>
        <a:xfrm>
          <a:off x="6391275" y="11582400"/>
          <a:ext cx="390525" cy="0"/>
        </a:xfrm>
        <a:prstGeom prst="line">
          <a:avLst/>
        </a:prstGeom>
        <a:noFill/>
        <a:ln w="19050" cmpd="sng">
          <a:solidFill>
            <a:srgbClr val="FF6600"/>
          </a:solidFill>
          <a:headEnd type="oval"/>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7</xdr:col>
      <xdr:colOff>295275</xdr:colOff>
      <xdr:row>223</xdr:row>
      <xdr:rowOff>57150</xdr:rowOff>
    </xdr:from>
    <xdr:to>
      <xdr:col>14</xdr:col>
      <xdr:colOff>95250</xdr:colOff>
      <xdr:row>225</xdr:row>
      <xdr:rowOff>9525</xdr:rowOff>
    </xdr:to>
    <xdr:sp>
      <xdr:nvSpPr>
        <xdr:cNvPr id="91" name="Rectangle 50485"/>
        <xdr:cNvSpPr>
          <a:spLocks/>
        </xdr:cNvSpPr>
      </xdr:nvSpPr>
      <xdr:spPr>
        <a:xfrm>
          <a:off x="3343275" y="31918275"/>
          <a:ext cx="2400300" cy="23812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11</xdr:col>
      <xdr:colOff>152400</xdr:colOff>
      <xdr:row>210</xdr:row>
      <xdr:rowOff>9525</xdr:rowOff>
    </xdr:from>
    <xdr:to>
      <xdr:col>15</xdr:col>
      <xdr:colOff>228600</xdr:colOff>
      <xdr:row>232</xdr:row>
      <xdr:rowOff>57150</xdr:rowOff>
    </xdr:to>
    <xdr:grpSp>
      <xdr:nvGrpSpPr>
        <xdr:cNvPr id="92" name="Group 122"/>
        <xdr:cNvGrpSpPr>
          <a:grpSpLocks/>
        </xdr:cNvGrpSpPr>
      </xdr:nvGrpSpPr>
      <xdr:grpSpPr>
        <a:xfrm flipH="1">
          <a:off x="4686300" y="30013275"/>
          <a:ext cx="1562100" cy="3190875"/>
          <a:chOff x="4014325" y="18097882"/>
          <a:chExt cx="1527103" cy="2329580"/>
        </a:xfrm>
        <a:solidFill>
          <a:srgbClr val="FFFFFF"/>
        </a:solidFill>
      </xdr:grpSpPr>
      <xdr:sp>
        <xdr:nvSpPr>
          <xdr:cNvPr id="93" name="Straight Connector 123"/>
          <xdr:cNvSpPr>
            <a:spLocks/>
          </xdr:cNvSpPr>
        </xdr:nvSpPr>
        <xdr:spPr>
          <a:xfrm rot="5400000">
            <a:off x="3212215" y="19262672"/>
            <a:ext cx="2329596" cy="0"/>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94" name="Straight Connector 124"/>
          <xdr:cNvSpPr>
            <a:spLocks/>
          </xdr:cNvSpPr>
        </xdr:nvSpPr>
        <xdr:spPr>
          <a:xfrm flipH="1">
            <a:off x="4014325" y="20413485"/>
            <a:ext cx="362305" cy="0"/>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9</xdr:col>
      <xdr:colOff>228600</xdr:colOff>
      <xdr:row>209</xdr:row>
      <xdr:rowOff>142875</xdr:rowOff>
    </xdr:from>
    <xdr:to>
      <xdr:col>10</xdr:col>
      <xdr:colOff>238125</xdr:colOff>
      <xdr:row>232</xdr:row>
      <xdr:rowOff>47625</xdr:rowOff>
    </xdr:to>
    <xdr:grpSp>
      <xdr:nvGrpSpPr>
        <xdr:cNvPr id="95" name="Group 121"/>
        <xdr:cNvGrpSpPr>
          <a:grpSpLocks/>
        </xdr:cNvGrpSpPr>
      </xdr:nvGrpSpPr>
      <xdr:grpSpPr>
        <a:xfrm>
          <a:off x="4019550" y="30003750"/>
          <a:ext cx="381000" cy="3190875"/>
          <a:chOff x="3993173" y="18056183"/>
          <a:chExt cx="381001" cy="2371278"/>
        </a:xfrm>
        <a:solidFill>
          <a:srgbClr val="FFFFFF"/>
        </a:solidFill>
      </xdr:grpSpPr>
      <xdr:sp>
        <xdr:nvSpPr>
          <xdr:cNvPr id="96" name="Straight Connector 117"/>
          <xdr:cNvSpPr>
            <a:spLocks/>
          </xdr:cNvSpPr>
        </xdr:nvSpPr>
        <xdr:spPr>
          <a:xfrm rot="16200000" flipH="1">
            <a:off x="4364649" y="18056183"/>
            <a:ext cx="9525" cy="2371278"/>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97" name="Straight Connector 120"/>
          <xdr:cNvSpPr>
            <a:spLocks/>
          </xdr:cNvSpPr>
        </xdr:nvSpPr>
        <xdr:spPr>
          <a:xfrm rot="10800000">
            <a:off x="3993173" y="20427461"/>
            <a:ext cx="381001" cy="0"/>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2</xdr:col>
      <xdr:colOff>219075</xdr:colOff>
      <xdr:row>234</xdr:row>
      <xdr:rowOff>0</xdr:rowOff>
    </xdr:from>
    <xdr:to>
      <xdr:col>2</xdr:col>
      <xdr:colOff>571500</xdr:colOff>
      <xdr:row>234</xdr:row>
      <xdr:rowOff>0</xdr:rowOff>
    </xdr:to>
    <xdr:sp>
      <xdr:nvSpPr>
        <xdr:cNvPr id="98" name="Line 50569"/>
        <xdr:cNvSpPr>
          <a:spLocks/>
        </xdr:cNvSpPr>
      </xdr:nvSpPr>
      <xdr:spPr>
        <a:xfrm flipH="1">
          <a:off x="1200150" y="33432750"/>
          <a:ext cx="352425" cy="0"/>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xdr:col>
      <xdr:colOff>219075</xdr:colOff>
      <xdr:row>211</xdr:row>
      <xdr:rowOff>0</xdr:rowOff>
    </xdr:from>
    <xdr:to>
      <xdr:col>3</xdr:col>
      <xdr:colOff>361950</xdr:colOff>
      <xdr:row>211</xdr:row>
      <xdr:rowOff>0</xdr:rowOff>
    </xdr:to>
    <xdr:sp>
      <xdr:nvSpPr>
        <xdr:cNvPr id="99" name="Line 50570"/>
        <xdr:cNvSpPr>
          <a:spLocks/>
        </xdr:cNvSpPr>
      </xdr:nvSpPr>
      <xdr:spPr>
        <a:xfrm flipH="1">
          <a:off x="1200150" y="30146625"/>
          <a:ext cx="723900" cy="0"/>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xdr:col>
      <xdr:colOff>438150</xdr:colOff>
      <xdr:row>210</xdr:row>
      <xdr:rowOff>133350</xdr:rowOff>
    </xdr:from>
    <xdr:to>
      <xdr:col>2</xdr:col>
      <xdr:colOff>438150</xdr:colOff>
      <xdr:row>233</xdr:row>
      <xdr:rowOff>133350</xdr:rowOff>
    </xdr:to>
    <xdr:sp>
      <xdr:nvSpPr>
        <xdr:cNvPr id="100" name="Line 50571"/>
        <xdr:cNvSpPr>
          <a:spLocks/>
        </xdr:cNvSpPr>
      </xdr:nvSpPr>
      <xdr:spPr>
        <a:xfrm>
          <a:off x="1419225" y="30137100"/>
          <a:ext cx="0" cy="328612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15</xdr:col>
      <xdr:colOff>9525</xdr:colOff>
      <xdr:row>234</xdr:row>
      <xdr:rowOff>85725</xdr:rowOff>
    </xdr:from>
    <xdr:to>
      <xdr:col>15</xdr:col>
      <xdr:colOff>361950</xdr:colOff>
      <xdr:row>234</xdr:row>
      <xdr:rowOff>85725</xdr:rowOff>
    </xdr:to>
    <xdr:sp>
      <xdr:nvSpPr>
        <xdr:cNvPr id="101" name="Line 50572"/>
        <xdr:cNvSpPr>
          <a:spLocks/>
        </xdr:cNvSpPr>
      </xdr:nvSpPr>
      <xdr:spPr>
        <a:xfrm>
          <a:off x="6029325" y="33518475"/>
          <a:ext cx="352425" cy="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15</xdr:col>
      <xdr:colOff>9525</xdr:colOff>
      <xdr:row>236</xdr:row>
      <xdr:rowOff>9525</xdr:rowOff>
    </xdr:from>
    <xdr:to>
      <xdr:col>15</xdr:col>
      <xdr:colOff>361950</xdr:colOff>
      <xdr:row>236</xdr:row>
      <xdr:rowOff>9525</xdr:rowOff>
    </xdr:to>
    <xdr:sp>
      <xdr:nvSpPr>
        <xdr:cNvPr id="102" name="Line 50573"/>
        <xdr:cNvSpPr>
          <a:spLocks/>
        </xdr:cNvSpPr>
      </xdr:nvSpPr>
      <xdr:spPr>
        <a:xfrm>
          <a:off x="6029325" y="33728025"/>
          <a:ext cx="352425" cy="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12</xdr:col>
      <xdr:colOff>38100</xdr:colOff>
      <xdr:row>221</xdr:row>
      <xdr:rowOff>9525</xdr:rowOff>
    </xdr:from>
    <xdr:to>
      <xdr:col>12</xdr:col>
      <xdr:colOff>38100</xdr:colOff>
      <xdr:row>233</xdr:row>
      <xdr:rowOff>0</xdr:rowOff>
    </xdr:to>
    <xdr:sp>
      <xdr:nvSpPr>
        <xdr:cNvPr id="103" name="Line 50492"/>
        <xdr:cNvSpPr>
          <a:spLocks/>
        </xdr:cNvSpPr>
      </xdr:nvSpPr>
      <xdr:spPr>
        <a:xfrm flipV="1">
          <a:off x="4943475" y="31584900"/>
          <a:ext cx="0" cy="1704975"/>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14</xdr:col>
      <xdr:colOff>228600</xdr:colOff>
      <xdr:row>223</xdr:row>
      <xdr:rowOff>28575</xdr:rowOff>
    </xdr:from>
    <xdr:to>
      <xdr:col>14</xdr:col>
      <xdr:colOff>295275</xdr:colOff>
      <xdr:row>223</xdr:row>
      <xdr:rowOff>104775</xdr:rowOff>
    </xdr:to>
    <xdr:sp>
      <xdr:nvSpPr>
        <xdr:cNvPr id="104" name="Rectangle 50586"/>
        <xdr:cNvSpPr>
          <a:spLocks/>
        </xdr:cNvSpPr>
      </xdr:nvSpPr>
      <xdr:spPr>
        <a:xfrm>
          <a:off x="5876925" y="31889700"/>
          <a:ext cx="66675" cy="7620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12</xdr:col>
      <xdr:colOff>342900</xdr:colOff>
      <xdr:row>243</xdr:row>
      <xdr:rowOff>95250</xdr:rowOff>
    </xdr:from>
    <xdr:to>
      <xdr:col>14</xdr:col>
      <xdr:colOff>95250</xdr:colOff>
      <xdr:row>244</xdr:row>
      <xdr:rowOff>19050</xdr:rowOff>
    </xdr:to>
    <xdr:sp>
      <xdr:nvSpPr>
        <xdr:cNvPr id="105" name="Rectangle 50588"/>
        <xdr:cNvSpPr>
          <a:spLocks/>
        </xdr:cNvSpPr>
      </xdr:nvSpPr>
      <xdr:spPr>
        <a:xfrm>
          <a:off x="5248275" y="34813875"/>
          <a:ext cx="495300" cy="6667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7</xdr:col>
      <xdr:colOff>180975</xdr:colOff>
      <xdr:row>229</xdr:row>
      <xdr:rowOff>95250</xdr:rowOff>
    </xdr:from>
    <xdr:to>
      <xdr:col>9</xdr:col>
      <xdr:colOff>142875</xdr:colOff>
      <xdr:row>244</xdr:row>
      <xdr:rowOff>19050</xdr:rowOff>
    </xdr:to>
    <xdr:grpSp>
      <xdr:nvGrpSpPr>
        <xdr:cNvPr id="106" name="Group 50840"/>
        <xdr:cNvGrpSpPr>
          <a:grpSpLocks/>
        </xdr:cNvGrpSpPr>
      </xdr:nvGrpSpPr>
      <xdr:grpSpPr>
        <a:xfrm>
          <a:off x="3228975" y="32813625"/>
          <a:ext cx="704850" cy="2066925"/>
          <a:chOff x="367" y="3445"/>
          <a:chExt cx="74" cy="217"/>
        </a:xfrm>
        <a:solidFill>
          <a:srgbClr val="FFFFFF"/>
        </a:solidFill>
      </xdr:grpSpPr>
      <xdr:sp>
        <xdr:nvSpPr>
          <xdr:cNvPr id="107" name="Rectangle 207"/>
          <xdr:cNvSpPr>
            <a:spLocks/>
          </xdr:cNvSpPr>
        </xdr:nvSpPr>
        <xdr:spPr>
          <a:xfrm>
            <a:off x="369" y="3639"/>
            <a:ext cx="72" cy="9"/>
          </a:xfrm>
          <a:prstGeom prst="rect">
            <a:avLst/>
          </a:prstGeom>
          <a:solidFill>
            <a:srgbClr val="FFFFFF"/>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nvGrpSpPr>
          <xdr:cNvPr id="108" name="Group 50451"/>
          <xdr:cNvGrpSpPr>
            <a:grpSpLocks/>
          </xdr:cNvGrpSpPr>
        </xdr:nvGrpSpPr>
        <xdr:grpSpPr>
          <a:xfrm>
            <a:off x="377" y="3445"/>
            <a:ext cx="47" cy="212"/>
            <a:chOff x="377" y="2053"/>
            <a:chExt cx="47" cy="212"/>
          </a:xfrm>
          <a:solidFill>
            <a:srgbClr val="FFFFFF"/>
          </a:solidFill>
        </xdr:grpSpPr>
        <xdr:sp>
          <xdr:nvSpPr>
            <xdr:cNvPr id="109" name="Rectangle 96"/>
            <xdr:cNvSpPr>
              <a:spLocks/>
            </xdr:cNvSpPr>
          </xdr:nvSpPr>
          <xdr:spPr>
            <a:xfrm>
              <a:off x="377" y="2112"/>
              <a:ext cx="47" cy="153"/>
            </a:xfrm>
            <a:prstGeom prst="rect">
              <a:avLst/>
            </a:prstGeom>
            <a:solidFill>
              <a:srgbClr val="595959"/>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10" name="Straight Connector 209"/>
            <xdr:cNvSpPr>
              <a:spLocks/>
            </xdr:cNvSpPr>
          </xdr:nvSpPr>
          <xdr:spPr>
            <a:xfrm rot="5400000">
              <a:off x="325" y="2115"/>
              <a:ext cx="122" cy="0"/>
            </a:xfrm>
            <a:prstGeom prst="line">
              <a:avLst/>
            </a:prstGeom>
            <a:noFill/>
            <a:ln w="12700"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11" name="Straight Connector 211"/>
            <xdr:cNvSpPr>
              <a:spLocks/>
            </xdr:cNvSpPr>
          </xdr:nvSpPr>
          <xdr:spPr>
            <a:xfrm rot="5400000">
              <a:off x="354" y="2114"/>
              <a:ext cx="123" cy="0"/>
            </a:xfrm>
            <a:prstGeom prst="line">
              <a:avLst/>
            </a:prstGeom>
            <a:noFill/>
            <a:ln w="12700"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sp>
        <xdr:nvSpPr>
          <xdr:cNvPr id="112" name="Rectangle 50587"/>
          <xdr:cNvSpPr>
            <a:spLocks/>
          </xdr:cNvSpPr>
        </xdr:nvSpPr>
        <xdr:spPr>
          <a:xfrm>
            <a:off x="373" y="3655"/>
            <a:ext cx="52" cy="7"/>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13" name="Line 50589"/>
          <xdr:cNvSpPr>
            <a:spLocks/>
          </xdr:cNvSpPr>
        </xdr:nvSpPr>
        <xdr:spPr>
          <a:xfrm>
            <a:off x="367" y="3654"/>
            <a:ext cx="66"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20</xdr:col>
      <xdr:colOff>152400</xdr:colOff>
      <xdr:row>386</xdr:row>
      <xdr:rowOff>85725</xdr:rowOff>
    </xdr:from>
    <xdr:to>
      <xdr:col>22</xdr:col>
      <xdr:colOff>38100</xdr:colOff>
      <xdr:row>386</xdr:row>
      <xdr:rowOff>85725</xdr:rowOff>
    </xdr:to>
    <xdr:sp>
      <xdr:nvSpPr>
        <xdr:cNvPr id="114" name="Line 50590"/>
        <xdr:cNvSpPr>
          <a:spLocks/>
        </xdr:cNvSpPr>
      </xdr:nvSpPr>
      <xdr:spPr>
        <a:xfrm>
          <a:off x="8029575" y="55235475"/>
          <a:ext cx="6286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12</xdr:col>
      <xdr:colOff>304800</xdr:colOff>
      <xdr:row>243</xdr:row>
      <xdr:rowOff>85725</xdr:rowOff>
    </xdr:from>
    <xdr:to>
      <xdr:col>14</xdr:col>
      <xdr:colOff>142875</xdr:colOff>
      <xdr:row>243</xdr:row>
      <xdr:rowOff>85725</xdr:rowOff>
    </xdr:to>
    <xdr:sp>
      <xdr:nvSpPr>
        <xdr:cNvPr id="115" name="Line 50591"/>
        <xdr:cNvSpPr>
          <a:spLocks/>
        </xdr:cNvSpPr>
      </xdr:nvSpPr>
      <xdr:spPr>
        <a:xfrm>
          <a:off x="5210175" y="34804350"/>
          <a:ext cx="5810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15</xdr:col>
      <xdr:colOff>0</xdr:colOff>
      <xdr:row>71</xdr:row>
      <xdr:rowOff>0</xdr:rowOff>
    </xdr:from>
    <xdr:to>
      <xdr:col>21</xdr:col>
      <xdr:colOff>0</xdr:colOff>
      <xdr:row>71</xdr:row>
      <xdr:rowOff>0</xdr:rowOff>
    </xdr:to>
    <xdr:sp>
      <xdr:nvSpPr>
        <xdr:cNvPr id="116" name="Line 50592"/>
        <xdr:cNvSpPr>
          <a:spLocks/>
        </xdr:cNvSpPr>
      </xdr:nvSpPr>
      <xdr:spPr>
        <a:xfrm>
          <a:off x="6019800" y="10144125"/>
          <a:ext cx="222885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14</xdr:col>
      <xdr:colOff>247650</xdr:colOff>
      <xdr:row>71</xdr:row>
      <xdr:rowOff>133350</xdr:rowOff>
    </xdr:from>
    <xdr:to>
      <xdr:col>14</xdr:col>
      <xdr:colOff>247650</xdr:colOff>
      <xdr:row>82</xdr:row>
      <xdr:rowOff>0</xdr:rowOff>
    </xdr:to>
    <xdr:sp>
      <xdr:nvSpPr>
        <xdr:cNvPr id="117" name="Line 50593"/>
        <xdr:cNvSpPr>
          <a:spLocks/>
        </xdr:cNvSpPr>
      </xdr:nvSpPr>
      <xdr:spPr>
        <a:xfrm>
          <a:off x="5895975" y="10277475"/>
          <a:ext cx="0" cy="143827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7</xdr:col>
      <xdr:colOff>47625</xdr:colOff>
      <xdr:row>223</xdr:row>
      <xdr:rowOff>66675</xdr:rowOff>
    </xdr:from>
    <xdr:to>
      <xdr:col>14</xdr:col>
      <xdr:colOff>323850</xdr:colOff>
      <xdr:row>223</xdr:row>
      <xdr:rowOff>66675</xdr:rowOff>
    </xdr:to>
    <xdr:sp>
      <xdr:nvSpPr>
        <xdr:cNvPr id="118" name="Line 50602"/>
        <xdr:cNvSpPr>
          <a:spLocks/>
        </xdr:cNvSpPr>
      </xdr:nvSpPr>
      <xdr:spPr>
        <a:xfrm>
          <a:off x="3095625" y="31927800"/>
          <a:ext cx="2876550" cy="0"/>
        </a:xfrm>
        <a:prstGeom prst="line">
          <a:avLst/>
        </a:prstGeom>
        <a:noFill/>
        <a:ln w="19050" cmpd="sng">
          <a:solidFill>
            <a:srgbClr val="80808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8</xdr:col>
      <xdr:colOff>0</xdr:colOff>
      <xdr:row>187</xdr:row>
      <xdr:rowOff>57150</xdr:rowOff>
    </xdr:from>
    <xdr:to>
      <xdr:col>8</xdr:col>
      <xdr:colOff>266700</xdr:colOff>
      <xdr:row>196</xdr:row>
      <xdr:rowOff>114300</xdr:rowOff>
    </xdr:to>
    <xdr:grpSp>
      <xdr:nvGrpSpPr>
        <xdr:cNvPr id="119" name="Group 50919"/>
        <xdr:cNvGrpSpPr>
          <a:grpSpLocks/>
        </xdr:cNvGrpSpPr>
      </xdr:nvGrpSpPr>
      <xdr:grpSpPr>
        <a:xfrm>
          <a:off x="3419475" y="26774775"/>
          <a:ext cx="266700" cy="1343025"/>
          <a:chOff x="359" y="2811"/>
          <a:chExt cx="28" cy="141"/>
        </a:xfrm>
        <a:solidFill>
          <a:srgbClr val="FFFFFF"/>
        </a:solidFill>
      </xdr:grpSpPr>
      <xdr:grpSp>
        <xdr:nvGrpSpPr>
          <xdr:cNvPr id="120" name="Group 170"/>
          <xdr:cNvGrpSpPr>
            <a:grpSpLocks/>
          </xdr:cNvGrpSpPr>
        </xdr:nvGrpSpPr>
        <xdr:grpSpPr>
          <a:xfrm>
            <a:off x="360" y="2811"/>
            <a:ext cx="27" cy="22"/>
            <a:chOff x="5885089" y="16008804"/>
            <a:chExt cx="326572" cy="285750"/>
          </a:xfrm>
          <a:solidFill>
            <a:srgbClr val="FFFFFF"/>
          </a:solidFill>
        </xdr:grpSpPr>
        <xdr:sp>
          <xdr:nvSpPr>
            <xdr:cNvPr id="121" name="Straight Connector 167"/>
            <xdr:cNvSpPr>
              <a:spLocks/>
            </xdr:cNvSpPr>
          </xdr:nvSpPr>
          <xdr:spPr>
            <a:xfrm rot="5400000">
              <a:off x="5911541" y="16151679"/>
              <a:ext cx="28575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22" name="Straight Connector 168"/>
            <xdr:cNvSpPr>
              <a:spLocks/>
            </xdr:cNvSpPr>
          </xdr:nvSpPr>
          <xdr:spPr>
            <a:xfrm>
              <a:off x="5885089" y="16138677"/>
              <a:ext cx="32657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grpSp>
        <xdr:nvGrpSpPr>
          <xdr:cNvPr id="123" name="Group 170"/>
          <xdr:cNvGrpSpPr>
            <a:grpSpLocks/>
          </xdr:cNvGrpSpPr>
        </xdr:nvGrpSpPr>
        <xdr:grpSpPr>
          <a:xfrm>
            <a:off x="359" y="2930"/>
            <a:ext cx="27" cy="22"/>
            <a:chOff x="5885089" y="16008804"/>
            <a:chExt cx="326572" cy="285750"/>
          </a:xfrm>
          <a:solidFill>
            <a:srgbClr val="FFFFFF"/>
          </a:solidFill>
        </xdr:grpSpPr>
        <xdr:sp>
          <xdr:nvSpPr>
            <xdr:cNvPr id="124" name="Straight Connector 167"/>
            <xdr:cNvSpPr>
              <a:spLocks/>
            </xdr:cNvSpPr>
          </xdr:nvSpPr>
          <xdr:spPr>
            <a:xfrm rot="5400000">
              <a:off x="5911541" y="16151679"/>
              <a:ext cx="28575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25" name="Straight Connector 168"/>
            <xdr:cNvSpPr>
              <a:spLocks/>
            </xdr:cNvSpPr>
          </xdr:nvSpPr>
          <xdr:spPr>
            <a:xfrm>
              <a:off x="5885089" y="16138677"/>
              <a:ext cx="32657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grpSp>
    <xdr:clientData/>
  </xdr:twoCellAnchor>
  <xdr:twoCellAnchor>
    <xdr:from>
      <xdr:col>13</xdr:col>
      <xdr:colOff>114300</xdr:colOff>
      <xdr:row>195</xdr:row>
      <xdr:rowOff>38100</xdr:rowOff>
    </xdr:from>
    <xdr:to>
      <xdr:col>14</xdr:col>
      <xdr:colOff>0</xdr:colOff>
      <xdr:row>196</xdr:row>
      <xdr:rowOff>104775</xdr:rowOff>
    </xdr:to>
    <xdr:grpSp>
      <xdr:nvGrpSpPr>
        <xdr:cNvPr id="126" name="Group 170"/>
        <xdr:cNvGrpSpPr>
          <a:grpSpLocks/>
        </xdr:cNvGrpSpPr>
      </xdr:nvGrpSpPr>
      <xdr:grpSpPr>
        <a:xfrm>
          <a:off x="5391150" y="27898725"/>
          <a:ext cx="257175" cy="209550"/>
          <a:chOff x="5885089" y="16008804"/>
          <a:chExt cx="326572" cy="285750"/>
        </a:xfrm>
        <a:solidFill>
          <a:srgbClr val="FFFFFF"/>
        </a:solidFill>
      </xdr:grpSpPr>
      <xdr:sp>
        <xdr:nvSpPr>
          <xdr:cNvPr id="127" name="Straight Connector 167"/>
          <xdr:cNvSpPr>
            <a:spLocks/>
          </xdr:cNvSpPr>
        </xdr:nvSpPr>
        <xdr:spPr>
          <a:xfrm rot="5400000">
            <a:off x="5911541" y="16151679"/>
            <a:ext cx="28575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28" name="Straight Connector 168"/>
          <xdr:cNvSpPr>
            <a:spLocks/>
          </xdr:cNvSpPr>
        </xdr:nvSpPr>
        <xdr:spPr>
          <a:xfrm>
            <a:off x="5885089" y="16138677"/>
            <a:ext cx="32657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6</xdr:col>
      <xdr:colOff>152400</xdr:colOff>
      <xdr:row>185</xdr:row>
      <xdr:rowOff>9525</xdr:rowOff>
    </xdr:from>
    <xdr:to>
      <xdr:col>6</xdr:col>
      <xdr:colOff>152400</xdr:colOff>
      <xdr:row>187</xdr:row>
      <xdr:rowOff>133350</xdr:rowOff>
    </xdr:to>
    <xdr:sp>
      <xdr:nvSpPr>
        <xdr:cNvPr id="129" name="Line 50781"/>
        <xdr:cNvSpPr>
          <a:spLocks/>
        </xdr:cNvSpPr>
      </xdr:nvSpPr>
      <xdr:spPr>
        <a:xfrm>
          <a:off x="2828925" y="26441400"/>
          <a:ext cx="0" cy="40957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6</xdr:col>
      <xdr:colOff>152400</xdr:colOff>
      <xdr:row>196</xdr:row>
      <xdr:rowOff>19050</xdr:rowOff>
    </xdr:from>
    <xdr:to>
      <xdr:col>6</xdr:col>
      <xdr:colOff>152400</xdr:colOff>
      <xdr:row>199</xdr:row>
      <xdr:rowOff>0</xdr:rowOff>
    </xdr:to>
    <xdr:sp>
      <xdr:nvSpPr>
        <xdr:cNvPr id="130" name="Line 50783"/>
        <xdr:cNvSpPr>
          <a:spLocks/>
        </xdr:cNvSpPr>
      </xdr:nvSpPr>
      <xdr:spPr>
        <a:xfrm>
          <a:off x="2828925" y="28022550"/>
          <a:ext cx="0" cy="40957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10</xdr:col>
      <xdr:colOff>190500</xdr:colOff>
      <xdr:row>218</xdr:row>
      <xdr:rowOff>66675</xdr:rowOff>
    </xdr:from>
    <xdr:to>
      <xdr:col>11</xdr:col>
      <xdr:colOff>200025</xdr:colOff>
      <xdr:row>218</xdr:row>
      <xdr:rowOff>104775</xdr:rowOff>
    </xdr:to>
    <xdr:grpSp>
      <xdr:nvGrpSpPr>
        <xdr:cNvPr id="131" name="Group 141"/>
        <xdr:cNvGrpSpPr>
          <a:grpSpLocks/>
        </xdr:cNvGrpSpPr>
      </xdr:nvGrpSpPr>
      <xdr:grpSpPr>
        <a:xfrm>
          <a:off x="4352925" y="31213425"/>
          <a:ext cx="381000" cy="38100"/>
          <a:chOff x="6093325" y="19250291"/>
          <a:chExt cx="455205" cy="45721"/>
        </a:xfrm>
        <a:solidFill>
          <a:srgbClr val="FFFFFF"/>
        </a:solidFill>
      </xdr:grpSpPr>
      <xdr:sp>
        <xdr:nvSpPr>
          <xdr:cNvPr id="132" name="Straight Connector 142"/>
          <xdr:cNvSpPr>
            <a:spLocks/>
          </xdr:cNvSpPr>
        </xdr:nvSpPr>
        <xdr:spPr>
          <a:xfrm>
            <a:off x="6127465" y="19261721"/>
            <a:ext cx="375544" cy="0"/>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33" name="Oval 143"/>
          <xdr:cNvSpPr>
            <a:spLocks/>
          </xdr:cNvSpPr>
        </xdr:nvSpPr>
        <xdr:spPr>
          <a:xfrm>
            <a:off x="6503010"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34" name="Oval 144"/>
          <xdr:cNvSpPr>
            <a:spLocks/>
          </xdr:cNvSpPr>
        </xdr:nvSpPr>
        <xdr:spPr>
          <a:xfrm>
            <a:off x="6093325"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10</xdr:col>
      <xdr:colOff>190500</xdr:colOff>
      <xdr:row>217</xdr:row>
      <xdr:rowOff>19050</xdr:rowOff>
    </xdr:from>
    <xdr:to>
      <xdr:col>11</xdr:col>
      <xdr:colOff>200025</xdr:colOff>
      <xdr:row>217</xdr:row>
      <xdr:rowOff>57150</xdr:rowOff>
    </xdr:to>
    <xdr:grpSp>
      <xdr:nvGrpSpPr>
        <xdr:cNvPr id="135" name="Group 141"/>
        <xdr:cNvGrpSpPr>
          <a:grpSpLocks/>
        </xdr:cNvGrpSpPr>
      </xdr:nvGrpSpPr>
      <xdr:grpSpPr>
        <a:xfrm>
          <a:off x="4352925" y="31022925"/>
          <a:ext cx="381000" cy="38100"/>
          <a:chOff x="6093325" y="19250291"/>
          <a:chExt cx="455205" cy="45721"/>
        </a:xfrm>
        <a:solidFill>
          <a:srgbClr val="FFFFFF"/>
        </a:solidFill>
      </xdr:grpSpPr>
      <xdr:sp>
        <xdr:nvSpPr>
          <xdr:cNvPr id="136" name="Straight Connector 142"/>
          <xdr:cNvSpPr>
            <a:spLocks/>
          </xdr:cNvSpPr>
        </xdr:nvSpPr>
        <xdr:spPr>
          <a:xfrm>
            <a:off x="6127465" y="19261721"/>
            <a:ext cx="375544" cy="0"/>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37" name="Oval 143"/>
          <xdr:cNvSpPr>
            <a:spLocks/>
          </xdr:cNvSpPr>
        </xdr:nvSpPr>
        <xdr:spPr>
          <a:xfrm>
            <a:off x="6503010"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38" name="Oval 144"/>
          <xdr:cNvSpPr>
            <a:spLocks/>
          </xdr:cNvSpPr>
        </xdr:nvSpPr>
        <xdr:spPr>
          <a:xfrm>
            <a:off x="6093325"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10</xdr:col>
      <xdr:colOff>190500</xdr:colOff>
      <xdr:row>214</xdr:row>
      <xdr:rowOff>104775</xdr:rowOff>
    </xdr:from>
    <xdr:to>
      <xdr:col>11</xdr:col>
      <xdr:colOff>200025</xdr:colOff>
      <xdr:row>215</xdr:row>
      <xdr:rowOff>0</xdr:rowOff>
    </xdr:to>
    <xdr:grpSp>
      <xdr:nvGrpSpPr>
        <xdr:cNvPr id="139" name="Group 141"/>
        <xdr:cNvGrpSpPr>
          <a:grpSpLocks/>
        </xdr:cNvGrpSpPr>
      </xdr:nvGrpSpPr>
      <xdr:grpSpPr>
        <a:xfrm>
          <a:off x="4352925" y="30680025"/>
          <a:ext cx="381000" cy="38100"/>
          <a:chOff x="6093325" y="19250291"/>
          <a:chExt cx="455205" cy="45721"/>
        </a:xfrm>
        <a:solidFill>
          <a:srgbClr val="FFFFFF"/>
        </a:solidFill>
      </xdr:grpSpPr>
      <xdr:sp>
        <xdr:nvSpPr>
          <xdr:cNvPr id="140" name="Straight Connector 142"/>
          <xdr:cNvSpPr>
            <a:spLocks/>
          </xdr:cNvSpPr>
        </xdr:nvSpPr>
        <xdr:spPr>
          <a:xfrm>
            <a:off x="6127465" y="19261721"/>
            <a:ext cx="375544" cy="0"/>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41" name="Oval 143"/>
          <xdr:cNvSpPr>
            <a:spLocks/>
          </xdr:cNvSpPr>
        </xdr:nvSpPr>
        <xdr:spPr>
          <a:xfrm>
            <a:off x="6503010"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42" name="Oval 144"/>
          <xdr:cNvSpPr>
            <a:spLocks/>
          </xdr:cNvSpPr>
        </xdr:nvSpPr>
        <xdr:spPr>
          <a:xfrm>
            <a:off x="6093325"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10</xdr:col>
      <xdr:colOff>190500</xdr:colOff>
      <xdr:row>215</xdr:row>
      <xdr:rowOff>133350</xdr:rowOff>
    </xdr:from>
    <xdr:to>
      <xdr:col>11</xdr:col>
      <xdr:colOff>200025</xdr:colOff>
      <xdr:row>216</xdr:row>
      <xdr:rowOff>28575</xdr:rowOff>
    </xdr:to>
    <xdr:grpSp>
      <xdr:nvGrpSpPr>
        <xdr:cNvPr id="143" name="Group 141"/>
        <xdr:cNvGrpSpPr>
          <a:grpSpLocks/>
        </xdr:cNvGrpSpPr>
      </xdr:nvGrpSpPr>
      <xdr:grpSpPr>
        <a:xfrm>
          <a:off x="4352925" y="30851475"/>
          <a:ext cx="381000" cy="38100"/>
          <a:chOff x="6093325" y="19250291"/>
          <a:chExt cx="455205" cy="45721"/>
        </a:xfrm>
        <a:solidFill>
          <a:srgbClr val="FFFFFF"/>
        </a:solidFill>
      </xdr:grpSpPr>
      <xdr:sp>
        <xdr:nvSpPr>
          <xdr:cNvPr id="144" name="Straight Connector 142"/>
          <xdr:cNvSpPr>
            <a:spLocks/>
          </xdr:cNvSpPr>
        </xdr:nvSpPr>
        <xdr:spPr>
          <a:xfrm>
            <a:off x="6127465" y="19261721"/>
            <a:ext cx="375544" cy="0"/>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45" name="Oval 143"/>
          <xdr:cNvSpPr>
            <a:spLocks/>
          </xdr:cNvSpPr>
        </xdr:nvSpPr>
        <xdr:spPr>
          <a:xfrm>
            <a:off x="6503010"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46" name="Oval 144"/>
          <xdr:cNvSpPr>
            <a:spLocks/>
          </xdr:cNvSpPr>
        </xdr:nvSpPr>
        <xdr:spPr>
          <a:xfrm>
            <a:off x="6093325"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12</xdr:col>
      <xdr:colOff>361950</xdr:colOff>
      <xdr:row>66</xdr:row>
      <xdr:rowOff>0</xdr:rowOff>
    </xdr:from>
    <xdr:to>
      <xdr:col>15</xdr:col>
      <xdr:colOff>0</xdr:colOff>
      <xdr:row>70</xdr:row>
      <xdr:rowOff>0</xdr:rowOff>
    </xdr:to>
    <xdr:grpSp>
      <xdr:nvGrpSpPr>
        <xdr:cNvPr id="147" name="Group 50906"/>
        <xdr:cNvGrpSpPr>
          <a:grpSpLocks/>
        </xdr:cNvGrpSpPr>
      </xdr:nvGrpSpPr>
      <xdr:grpSpPr>
        <a:xfrm>
          <a:off x="5267325" y="9429750"/>
          <a:ext cx="752475" cy="571500"/>
          <a:chOff x="514" y="975"/>
          <a:chExt cx="79" cy="60"/>
        </a:xfrm>
        <a:solidFill>
          <a:srgbClr val="FFFFFF"/>
        </a:solidFill>
      </xdr:grpSpPr>
      <xdr:sp>
        <xdr:nvSpPr>
          <xdr:cNvPr id="148" name="Line 50811"/>
          <xdr:cNvSpPr>
            <a:spLocks/>
          </xdr:cNvSpPr>
        </xdr:nvSpPr>
        <xdr:spPr>
          <a:xfrm>
            <a:off x="553" y="1004"/>
            <a:ext cx="40" cy="0"/>
          </a:xfrm>
          <a:prstGeom prst="line">
            <a:avLst/>
          </a:prstGeom>
          <a:noFill/>
          <a:ln w="9525" cmpd="sng">
            <a:solidFill>
              <a:srgbClr val="000000"/>
            </a:solidFill>
            <a:headEnd type="oval"/>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49" name="Line 50812"/>
          <xdr:cNvSpPr>
            <a:spLocks/>
          </xdr:cNvSpPr>
        </xdr:nvSpPr>
        <xdr:spPr>
          <a:xfrm flipH="1">
            <a:off x="514" y="1004"/>
            <a:ext cx="38"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50" name="Line 50813"/>
          <xdr:cNvSpPr>
            <a:spLocks/>
          </xdr:cNvSpPr>
        </xdr:nvSpPr>
        <xdr:spPr>
          <a:xfrm>
            <a:off x="553" y="975"/>
            <a:ext cx="0" cy="6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14</xdr:col>
      <xdr:colOff>9525</xdr:colOff>
      <xdr:row>95</xdr:row>
      <xdr:rowOff>19050</xdr:rowOff>
    </xdr:from>
    <xdr:to>
      <xdr:col>15</xdr:col>
      <xdr:colOff>361950</xdr:colOff>
      <xdr:row>99</xdr:row>
      <xdr:rowOff>19050</xdr:rowOff>
    </xdr:to>
    <xdr:grpSp>
      <xdr:nvGrpSpPr>
        <xdr:cNvPr id="151" name="Group 50836"/>
        <xdr:cNvGrpSpPr>
          <a:grpSpLocks/>
        </xdr:cNvGrpSpPr>
      </xdr:nvGrpSpPr>
      <xdr:grpSpPr>
        <a:xfrm>
          <a:off x="5657850" y="13592175"/>
          <a:ext cx="723900" cy="571500"/>
          <a:chOff x="514" y="1425"/>
          <a:chExt cx="79" cy="60"/>
        </a:xfrm>
        <a:solidFill>
          <a:srgbClr val="FFFFFF"/>
        </a:solidFill>
      </xdr:grpSpPr>
      <xdr:sp>
        <xdr:nvSpPr>
          <xdr:cNvPr id="152" name="Line 50814"/>
          <xdr:cNvSpPr>
            <a:spLocks/>
          </xdr:cNvSpPr>
        </xdr:nvSpPr>
        <xdr:spPr>
          <a:xfrm>
            <a:off x="553" y="1454"/>
            <a:ext cx="40" cy="0"/>
          </a:xfrm>
          <a:prstGeom prst="line">
            <a:avLst/>
          </a:prstGeom>
          <a:noFill/>
          <a:ln w="9525" cmpd="sng">
            <a:solidFill>
              <a:srgbClr val="000000"/>
            </a:solidFill>
            <a:headEnd type="oval"/>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53" name="Line 50815"/>
          <xdr:cNvSpPr>
            <a:spLocks/>
          </xdr:cNvSpPr>
        </xdr:nvSpPr>
        <xdr:spPr>
          <a:xfrm flipH="1">
            <a:off x="514" y="1454"/>
            <a:ext cx="38"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54" name="Line 50816"/>
          <xdr:cNvSpPr>
            <a:spLocks/>
          </xdr:cNvSpPr>
        </xdr:nvSpPr>
        <xdr:spPr>
          <a:xfrm>
            <a:off x="553" y="1425"/>
            <a:ext cx="0" cy="6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14</xdr:col>
      <xdr:colOff>219075</xdr:colOff>
      <xdr:row>51</xdr:row>
      <xdr:rowOff>133350</xdr:rowOff>
    </xdr:from>
    <xdr:to>
      <xdr:col>21</xdr:col>
      <xdr:colOff>295275</xdr:colOff>
      <xdr:row>65</xdr:row>
      <xdr:rowOff>133350</xdr:rowOff>
    </xdr:to>
    <xdr:grpSp>
      <xdr:nvGrpSpPr>
        <xdr:cNvPr id="155" name="Group 50903"/>
        <xdr:cNvGrpSpPr>
          <a:grpSpLocks/>
        </xdr:cNvGrpSpPr>
      </xdr:nvGrpSpPr>
      <xdr:grpSpPr>
        <a:xfrm>
          <a:off x="5867400" y="7419975"/>
          <a:ext cx="2676525" cy="2000250"/>
          <a:chOff x="616" y="779"/>
          <a:chExt cx="281" cy="210"/>
        </a:xfrm>
        <a:solidFill>
          <a:srgbClr val="FFFFFF"/>
        </a:solidFill>
      </xdr:grpSpPr>
      <xdr:sp>
        <xdr:nvSpPr>
          <xdr:cNvPr id="156" name="Rectangle 50409"/>
          <xdr:cNvSpPr>
            <a:spLocks/>
          </xdr:cNvSpPr>
        </xdr:nvSpPr>
        <xdr:spPr>
          <a:xfrm>
            <a:off x="734" y="779"/>
            <a:ext cx="30" cy="76"/>
          </a:xfrm>
          <a:prstGeom prst="rect">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57" name="Rectangle 50410"/>
          <xdr:cNvSpPr>
            <a:spLocks/>
          </xdr:cNvSpPr>
        </xdr:nvSpPr>
        <xdr:spPr>
          <a:xfrm>
            <a:off x="735" y="854"/>
            <a:ext cx="28" cy="4"/>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58" name="Rectangle 50413"/>
          <xdr:cNvSpPr>
            <a:spLocks/>
          </xdr:cNvSpPr>
        </xdr:nvSpPr>
        <xdr:spPr>
          <a:xfrm>
            <a:off x="671" y="907"/>
            <a:ext cx="26" cy="82"/>
          </a:xfrm>
          <a:prstGeom prst="rect">
            <a:avLst/>
          </a:prstGeom>
          <a:solidFill>
            <a:srgbClr val="96969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59" name="Line 50415"/>
          <xdr:cNvSpPr>
            <a:spLocks/>
          </xdr:cNvSpPr>
        </xdr:nvSpPr>
        <xdr:spPr>
          <a:xfrm>
            <a:off x="640" y="905"/>
            <a:ext cx="218" cy="0"/>
          </a:xfrm>
          <a:prstGeom prst="line">
            <a:avLst/>
          </a:prstGeom>
          <a:no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60" name="Line 50416"/>
          <xdr:cNvSpPr>
            <a:spLocks/>
          </xdr:cNvSpPr>
        </xdr:nvSpPr>
        <xdr:spPr>
          <a:xfrm flipV="1">
            <a:off x="640" y="859"/>
            <a:ext cx="0" cy="46"/>
          </a:xfrm>
          <a:prstGeom prst="line">
            <a:avLst/>
          </a:prstGeom>
          <a:no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61" name="Line 50418"/>
          <xdr:cNvSpPr>
            <a:spLocks/>
          </xdr:cNvSpPr>
        </xdr:nvSpPr>
        <xdr:spPr>
          <a:xfrm flipV="1">
            <a:off x="858" y="859"/>
            <a:ext cx="0" cy="46"/>
          </a:xfrm>
          <a:prstGeom prst="line">
            <a:avLst/>
          </a:prstGeom>
          <a:no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62" name="Oval 50419"/>
          <xdr:cNvSpPr>
            <a:spLocks/>
          </xdr:cNvSpPr>
        </xdr:nvSpPr>
        <xdr:spPr>
          <a:xfrm>
            <a:off x="641" y="900"/>
            <a:ext cx="4" cy="4"/>
          </a:xfrm>
          <a:prstGeom prst="ellipse">
            <a:avLst/>
          </a:prstGeom>
          <a:solidFill>
            <a:srgbClr val="FF6600"/>
          </a:solidFill>
          <a:ln w="9525" cmpd="sng">
            <a:solidFill>
              <a:srgbClr val="FF66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63" name="Oval 50420"/>
          <xdr:cNvSpPr>
            <a:spLocks/>
          </xdr:cNvSpPr>
        </xdr:nvSpPr>
        <xdr:spPr>
          <a:xfrm>
            <a:off x="663" y="900"/>
            <a:ext cx="4" cy="4"/>
          </a:xfrm>
          <a:prstGeom prst="ellipse">
            <a:avLst/>
          </a:prstGeom>
          <a:solidFill>
            <a:srgbClr val="FF6600"/>
          </a:solidFill>
          <a:ln w="9525" cmpd="sng">
            <a:solidFill>
              <a:srgbClr val="FF66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64" name="Oval 50421"/>
          <xdr:cNvSpPr>
            <a:spLocks/>
          </xdr:cNvSpPr>
        </xdr:nvSpPr>
        <xdr:spPr>
          <a:xfrm>
            <a:off x="685" y="900"/>
            <a:ext cx="4" cy="4"/>
          </a:xfrm>
          <a:prstGeom prst="ellipse">
            <a:avLst/>
          </a:prstGeom>
          <a:solidFill>
            <a:srgbClr val="FF6600"/>
          </a:solidFill>
          <a:ln w="9525" cmpd="sng">
            <a:solidFill>
              <a:srgbClr val="FF66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65" name="Oval 50422"/>
          <xdr:cNvSpPr>
            <a:spLocks/>
          </xdr:cNvSpPr>
        </xdr:nvSpPr>
        <xdr:spPr>
          <a:xfrm>
            <a:off x="711" y="900"/>
            <a:ext cx="4" cy="4"/>
          </a:xfrm>
          <a:prstGeom prst="ellipse">
            <a:avLst/>
          </a:prstGeom>
          <a:solidFill>
            <a:srgbClr val="FF6600"/>
          </a:solidFill>
          <a:ln w="9525" cmpd="sng">
            <a:solidFill>
              <a:srgbClr val="FF66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66" name="Oval 50423"/>
          <xdr:cNvSpPr>
            <a:spLocks/>
          </xdr:cNvSpPr>
        </xdr:nvSpPr>
        <xdr:spPr>
          <a:xfrm>
            <a:off x="735" y="900"/>
            <a:ext cx="4" cy="4"/>
          </a:xfrm>
          <a:prstGeom prst="ellipse">
            <a:avLst/>
          </a:prstGeom>
          <a:solidFill>
            <a:srgbClr val="FF6600"/>
          </a:solidFill>
          <a:ln w="9525" cmpd="sng">
            <a:solidFill>
              <a:srgbClr val="FF66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67" name="Oval 50424"/>
          <xdr:cNvSpPr>
            <a:spLocks/>
          </xdr:cNvSpPr>
        </xdr:nvSpPr>
        <xdr:spPr>
          <a:xfrm>
            <a:off x="805" y="900"/>
            <a:ext cx="4" cy="4"/>
          </a:xfrm>
          <a:prstGeom prst="ellipse">
            <a:avLst/>
          </a:prstGeom>
          <a:solidFill>
            <a:srgbClr val="FF6600"/>
          </a:solidFill>
          <a:ln w="9525" cmpd="sng">
            <a:solidFill>
              <a:srgbClr val="FF66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68" name="Oval 50425"/>
          <xdr:cNvSpPr>
            <a:spLocks/>
          </xdr:cNvSpPr>
        </xdr:nvSpPr>
        <xdr:spPr>
          <a:xfrm>
            <a:off x="853" y="900"/>
            <a:ext cx="4" cy="4"/>
          </a:xfrm>
          <a:prstGeom prst="ellipse">
            <a:avLst/>
          </a:prstGeom>
          <a:solidFill>
            <a:srgbClr val="FF6600"/>
          </a:solidFill>
          <a:ln w="9525" cmpd="sng">
            <a:solidFill>
              <a:srgbClr val="FF66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69" name="Oval 50426"/>
          <xdr:cNvSpPr>
            <a:spLocks/>
          </xdr:cNvSpPr>
        </xdr:nvSpPr>
        <xdr:spPr>
          <a:xfrm>
            <a:off x="757" y="900"/>
            <a:ext cx="4" cy="4"/>
          </a:xfrm>
          <a:prstGeom prst="ellipse">
            <a:avLst/>
          </a:prstGeom>
          <a:solidFill>
            <a:srgbClr val="FF6600"/>
          </a:solidFill>
          <a:ln w="9525" cmpd="sng">
            <a:solidFill>
              <a:srgbClr val="FF66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70" name="Oval 50427"/>
          <xdr:cNvSpPr>
            <a:spLocks/>
          </xdr:cNvSpPr>
        </xdr:nvSpPr>
        <xdr:spPr>
          <a:xfrm>
            <a:off x="781" y="900"/>
            <a:ext cx="4" cy="4"/>
          </a:xfrm>
          <a:prstGeom prst="ellipse">
            <a:avLst/>
          </a:prstGeom>
          <a:solidFill>
            <a:srgbClr val="FF6600"/>
          </a:solidFill>
          <a:ln w="9525" cmpd="sng">
            <a:solidFill>
              <a:srgbClr val="FF66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71" name="Oval 50428"/>
          <xdr:cNvSpPr>
            <a:spLocks/>
          </xdr:cNvSpPr>
        </xdr:nvSpPr>
        <xdr:spPr>
          <a:xfrm>
            <a:off x="828" y="900"/>
            <a:ext cx="4" cy="4"/>
          </a:xfrm>
          <a:prstGeom prst="ellipse">
            <a:avLst/>
          </a:prstGeom>
          <a:solidFill>
            <a:srgbClr val="FF6600"/>
          </a:solidFill>
          <a:ln w="9525" cmpd="sng">
            <a:solidFill>
              <a:srgbClr val="FF66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72" name="Rectangle 110"/>
          <xdr:cNvSpPr>
            <a:spLocks/>
          </xdr:cNvSpPr>
        </xdr:nvSpPr>
        <xdr:spPr>
          <a:xfrm>
            <a:off x="765" y="781"/>
            <a:ext cx="62" cy="15"/>
          </a:xfrm>
          <a:prstGeom prst="rect">
            <a:avLst/>
          </a:prstGeom>
          <a:blipFill>
            <a:blip r:embed="rId14"/>
            <a:srcRect/>
            <a:stretch>
              <a:fillRect/>
            </a:stretch>
          </a:blipFill>
          <a:ln w="3175"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73" name="Rectangle 110"/>
          <xdr:cNvSpPr>
            <a:spLocks/>
          </xdr:cNvSpPr>
        </xdr:nvSpPr>
        <xdr:spPr>
          <a:xfrm>
            <a:off x="671" y="781"/>
            <a:ext cx="62" cy="15"/>
          </a:xfrm>
          <a:prstGeom prst="rect">
            <a:avLst/>
          </a:prstGeom>
          <a:blipFill>
            <a:blip r:embed="rId15"/>
            <a:srcRect/>
            <a:stretch>
              <a:fillRect/>
            </a:stretch>
          </a:blipFill>
          <a:ln w="3175"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74" name="Line 50432"/>
          <xdr:cNvSpPr>
            <a:spLocks/>
          </xdr:cNvSpPr>
        </xdr:nvSpPr>
        <xdr:spPr>
          <a:xfrm>
            <a:off x="831" y="902"/>
            <a:ext cx="19" cy="0"/>
          </a:xfrm>
          <a:prstGeom prst="line">
            <a:avLst/>
          </a:prstGeom>
          <a:noFill/>
          <a:ln w="6350"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75" name="Line 50433"/>
          <xdr:cNvSpPr>
            <a:spLocks/>
          </xdr:cNvSpPr>
        </xdr:nvSpPr>
        <xdr:spPr>
          <a:xfrm>
            <a:off x="843" y="854"/>
            <a:ext cx="0" cy="49"/>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76" name="Line 50434"/>
          <xdr:cNvSpPr>
            <a:spLocks/>
          </xdr:cNvSpPr>
        </xdr:nvSpPr>
        <xdr:spPr>
          <a:xfrm>
            <a:off x="897" y="855"/>
            <a:ext cx="0" cy="61"/>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77" name="Line 50435"/>
          <xdr:cNvSpPr>
            <a:spLocks/>
          </xdr:cNvSpPr>
        </xdr:nvSpPr>
        <xdr:spPr>
          <a:xfrm>
            <a:off x="616" y="781"/>
            <a:ext cx="0" cy="13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nvGrpSpPr>
          <xdr:cNvPr id="178" name="Group 50819"/>
          <xdr:cNvGrpSpPr>
            <a:grpSpLocks/>
          </xdr:cNvGrpSpPr>
        </xdr:nvGrpSpPr>
        <xdr:grpSpPr>
          <a:xfrm>
            <a:off x="674" y="885"/>
            <a:ext cx="19" cy="60"/>
            <a:chOff x="635" y="885"/>
            <a:chExt cx="19" cy="60"/>
          </a:xfrm>
          <a:solidFill>
            <a:srgbClr val="FFFFFF"/>
          </a:solidFill>
        </xdr:grpSpPr>
        <xdr:sp>
          <xdr:nvSpPr>
            <xdr:cNvPr id="179" name="Line 50817"/>
            <xdr:cNvSpPr>
              <a:spLocks/>
            </xdr:cNvSpPr>
          </xdr:nvSpPr>
          <xdr:spPr>
            <a:xfrm flipV="1">
              <a:off x="635" y="885"/>
              <a:ext cx="0" cy="60"/>
            </a:xfrm>
            <a:prstGeom prst="line">
              <a:avLst/>
            </a:prstGeom>
            <a:noFill/>
            <a:ln w="9525"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80" name="Line 50818"/>
            <xdr:cNvSpPr>
              <a:spLocks/>
            </xdr:cNvSpPr>
          </xdr:nvSpPr>
          <xdr:spPr>
            <a:xfrm flipV="1">
              <a:off x="654" y="885"/>
              <a:ext cx="0" cy="60"/>
            </a:xfrm>
            <a:prstGeom prst="line">
              <a:avLst/>
            </a:prstGeom>
            <a:noFill/>
            <a:ln w="9525"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grpSp>
        <xdr:nvGrpSpPr>
          <xdr:cNvPr id="181" name="Group 50830"/>
          <xdr:cNvGrpSpPr>
            <a:grpSpLocks/>
          </xdr:cNvGrpSpPr>
        </xdr:nvGrpSpPr>
        <xdr:grpSpPr>
          <a:xfrm>
            <a:off x="803" y="885"/>
            <a:ext cx="26" cy="104"/>
            <a:chOff x="764" y="885"/>
            <a:chExt cx="26" cy="104"/>
          </a:xfrm>
          <a:solidFill>
            <a:srgbClr val="FFFFFF"/>
          </a:solidFill>
        </xdr:grpSpPr>
        <xdr:sp>
          <xdr:nvSpPr>
            <xdr:cNvPr id="182" name="Rectangle 50414"/>
            <xdr:cNvSpPr>
              <a:spLocks/>
            </xdr:cNvSpPr>
          </xdr:nvSpPr>
          <xdr:spPr>
            <a:xfrm>
              <a:off x="764" y="907"/>
              <a:ext cx="26" cy="82"/>
            </a:xfrm>
            <a:prstGeom prst="rect">
              <a:avLst/>
            </a:prstGeom>
            <a:solidFill>
              <a:srgbClr val="96969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nvGrpSpPr>
            <xdr:cNvPr id="183" name="Group 50820"/>
            <xdr:cNvGrpSpPr>
              <a:grpSpLocks/>
            </xdr:cNvGrpSpPr>
          </xdr:nvGrpSpPr>
          <xdr:grpSpPr>
            <a:xfrm>
              <a:off x="767" y="885"/>
              <a:ext cx="19" cy="60"/>
              <a:chOff x="635" y="885"/>
              <a:chExt cx="19" cy="60"/>
            </a:xfrm>
            <a:solidFill>
              <a:srgbClr val="FFFFFF"/>
            </a:solidFill>
          </xdr:grpSpPr>
          <xdr:sp>
            <xdr:nvSpPr>
              <xdr:cNvPr id="184" name="Line 50821"/>
              <xdr:cNvSpPr>
                <a:spLocks/>
              </xdr:cNvSpPr>
            </xdr:nvSpPr>
            <xdr:spPr>
              <a:xfrm flipV="1">
                <a:off x="635" y="885"/>
                <a:ext cx="0" cy="60"/>
              </a:xfrm>
              <a:prstGeom prst="line">
                <a:avLst/>
              </a:prstGeom>
              <a:noFill/>
              <a:ln w="9525"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85" name="Line 50822"/>
              <xdr:cNvSpPr>
                <a:spLocks/>
              </xdr:cNvSpPr>
            </xdr:nvSpPr>
            <xdr:spPr>
              <a:xfrm flipV="1">
                <a:off x="654" y="885"/>
                <a:ext cx="0" cy="60"/>
              </a:xfrm>
              <a:prstGeom prst="line">
                <a:avLst/>
              </a:prstGeom>
              <a:noFill/>
              <a:ln w="9525"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grpSp>
      <xdr:grpSp>
        <xdr:nvGrpSpPr>
          <xdr:cNvPr id="186" name="Group 50831"/>
          <xdr:cNvGrpSpPr>
            <a:grpSpLocks/>
          </xdr:cNvGrpSpPr>
        </xdr:nvGrpSpPr>
        <xdr:grpSpPr>
          <a:xfrm>
            <a:off x="737" y="885"/>
            <a:ext cx="26" cy="104"/>
            <a:chOff x="764" y="885"/>
            <a:chExt cx="26" cy="104"/>
          </a:xfrm>
          <a:solidFill>
            <a:srgbClr val="FFFFFF"/>
          </a:solidFill>
        </xdr:grpSpPr>
        <xdr:sp>
          <xdr:nvSpPr>
            <xdr:cNvPr id="187" name="Rectangle 50832"/>
            <xdr:cNvSpPr>
              <a:spLocks/>
            </xdr:cNvSpPr>
          </xdr:nvSpPr>
          <xdr:spPr>
            <a:xfrm>
              <a:off x="764" y="907"/>
              <a:ext cx="26" cy="82"/>
            </a:xfrm>
            <a:prstGeom prst="rect">
              <a:avLst/>
            </a:prstGeom>
            <a:solidFill>
              <a:srgbClr val="96969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nvGrpSpPr>
            <xdr:cNvPr id="188" name="Group 50833"/>
            <xdr:cNvGrpSpPr>
              <a:grpSpLocks/>
            </xdr:cNvGrpSpPr>
          </xdr:nvGrpSpPr>
          <xdr:grpSpPr>
            <a:xfrm>
              <a:off x="767" y="885"/>
              <a:ext cx="19" cy="60"/>
              <a:chOff x="635" y="885"/>
              <a:chExt cx="19" cy="60"/>
            </a:xfrm>
            <a:solidFill>
              <a:srgbClr val="FFFFFF"/>
            </a:solidFill>
          </xdr:grpSpPr>
          <xdr:sp>
            <xdr:nvSpPr>
              <xdr:cNvPr id="189" name="Line 50834"/>
              <xdr:cNvSpPr>
                <a:spLocks/>
              </xdr:cNvSpPr>
            </xdr:nvSpPr>
            <xdr:spPr>
              <a:xfrm flipV="1">
                <a:off x="635" y="885"/>
                <a:ext cx="0" cy="60"/>
              </a:xfrm>
              <a:prstGeom prst="line">
                <a:avLst/>
              </a:prstGeom>
              <a:noFill/>
              <a:ln w="9525"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90" name="Line 50835"/>
              <xdr:cNvSpPr>
                <a:spLocks/>
              </xdr:cNvSpPr>
            </xdr:nvSpPr>
            <xdr:spPr>
              <a:xfrm flipV="1">
                <a:off x="654" y="885"/>
                <a:ext cx="0" cy="60"/>
              </a:xfrm>
              <a:prstGeom prst="line">
                <a:avLst/>
              </a:prstGeom>
              <a:noFill/>
              <a:ln w="9525"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grpSp>
    </xdr:grpSp>
    <xdr:clientData/>
  </xdr:twoCellAnchor>
  <xdr:twoCellAnchor>
    <xdr:from>
      <xdr:col>10</xdr:col>
      <xdr:colOff>76200</xdr:colOff>
      <xdr:row>229</xdr:row>
      <xdr:rowOff>95250</xdr:rowOff>
    </xdr:from>
    <xdr:to>
      <xdr:col>12</xdr:col>
      <xdr:colOff>38100</xdr:colOff>
      <xdr:row>244</xdr:row>
      <xdr:rowOff>19050</xdr:rowOff>
    </xdr:to>
    <xdr:grpSp>
      <xdr:nvGrpSpPr>
        <xdr:cNvPr id="191" name="Group 50841"/>
        <xdr:cNvGrpSpPr>
          <a:grpSpLocks/>
        </xdr:cNvGrpSpPr>
      </xdr:nvGrpSpPr>
      <xdr:grpSpPr>
        <a:xfrm>
          <a:off x="4238625" y="32813625"/>
          <a:ext cx="704850" cy="2066925"/>
          <a:chOff x="367" y="3445"/>
          <a:chExt cx="74" cy="217"/>
        </a:xfrm>
        <a:solidFill>
          <a:srgbClr val="FFFFFF"/>
        </a:solidFill>
      </xdr:grpSpPr>
      <xdr:sp>
        <xdr:nvSpPr>
          <xdr:cNvPr id="192" name="Rectangle 207"/>
          <xdr:cNvSpPr>
            <a:spLocks/>
          </xdr:cNvSpPr>
        </xdr:nvSpPr>
        <xdr:spPr>
          <a:xfrm>
            <a:off x="369" y="3639"/>
            <a:ext cx="72" cy="9"/>
          </a:xfrm>
          <a:prstGeom prst="rect">
            <a:avLst/>
          </a:prstGeom>
          <a:solidFill>
            <a:srgbClr val="FFFFFF"/>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nvGrpSpPr>
          <xdr:cNvPr id="193" name="Group 50843"/>
          <xdr:cNvGrpSpPr>
            <a:grpSpLocks/>
          </xdr:cNvGrpSpPr>
        </xdr:nvGrpSpPr>
        <xdr:grpSpPr>
          <a:xfrm>
            <a:off x="377" y="3445"/>
            <a:ext cx="47" cy="212"/>
            <a:chOff x="377" y="2053"/>
            <a:chExt cx="47" cy="212"/>
          </a:xfrm>
          <a:solidFill>
            <a:srgbClr val="FFFFFF"/>
          </a:solidFill>
        </xdr:grpSpPr>
        <xdr:sp>
          <xdr:nvSpPr>
            <xdr:cNvPr id="194" name="Rectangle 96"/>
            <xdr:cNvSpPr>
              <a:spLocks/>
            </xdr:cNvSpPr>
          </xdr:nvSpPr>
          <xdr:spPr>
            <a:xfrm>
              <a:off x="377" y="2112"/>
              <a:ext cx="47" cy="153"/>
            </a:xfrm>
            <a:prstGeom prst="rect">
              <a:avLst/>
            </a:prstGeom>
            <a:solidFill>
              <a:srgbClr val="595959"/>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95" name="Straight Connector 209"/>
            <xdr:cNvSpPr>
              <a:spLocks/>
            </xdr:cNvSpPr>
          </xdr:nvSpPr>
          <xdr:spPr>
            <a:xfrm rot="5400000">
              <a:off x="325" y="2115"/>
              <a:ext cx="122" cy="0"/>
            </a:xfrm>
            <a:prstGeom prst="line">
              <a:avLst/>
            </a:prstGeom>
            <a:noFill/>
            <a:ln w="12700"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96" name="Straight Connector 211"/>
            <xdr:cNvSpPr>
              <a:spLocks/>
            </xdr:cNvSpPr>
          </xdr:nvSpPr>
          <xdr:spPr>
            <a:xfrm rot="5400000">
              <a:off x="354" y="2114"/>
              <a:ext cx="123" cy="0"/>
            </a:xfrm>
            <a:prstGeom prst="line">
              <a:avLst/>
            </a:prstGeom>
            <a:noFill/>
            <a:ln w="12700"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sp>
        <xdr:nvSpPr>
          <xdr:cNvPr id="197" name="Rectangle 50847"/>
          <xdr:cNvSpPr>
            <a:spLocks/>
          </xdr:cNvSpPr>
        </xdr:nvSpPr>
        <xdr:spPr>
          <a:xfrm>
            <a:off x="373" y="3655"/>
            <a:ext cx="52" cy="7"/>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98" name="Line 50848"/>
          <xdr:cNvSpPr>
            <a:spLocks/>
          </xdr:cNvSpPr>
        </xdr:nvSpPr>
        <xdr:spPr>
          <a:xfrm>
            <a:off x="367" y="3654"/>
            <a:ext cx="66"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11</xdr:col>
      <xdr:colOff>247650</xdr:colOff>
      <xdr:row>241</xdr:row>
      <xdr:rowOff>0</xdr:rowOff>
    </xdr:from>
    <xdr:to>
      <xdr:col>13</xdr:col>
      <xdr:colOff>19050</xdr:colOff>
      <xdr:row>241</xdr:row>
      <xdr:rowOff>0</xdr:rowOff>
    </xdr:to>
    <xdr:sp>
      <xdr:nvSpPr>
        <xdr:cNvPr id="199" name="Line 50849"/>
        <xdr:cNvSpPr>
          <a:spLocks/>
        </xdr:cNvSpPr>
      </xdr:nvSpPr>
      <xdr:spPr>
        <a:xfrm>
          <a:off x="4781550" y="34432875"/>
          <a:ext cx="514350" cy="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16</xdr:col>
      <xdr:colOff>104775</xdr:colOff>
      <xdr:row>102</xdr:row>
      <xdr:rowOff>0</xdr:rowOff>
    </xdr:from>
    <xdr:to>
      <xdr:col>20</xdr:col>
      <xdr:colOff>266700</xdr:colOff>
      <xdr:row>120</xdr:row>
      <xdr:rowOff>0</xdr:rowOff>
    </xdr:to>
    <xdr:grpSp>
      <xdr:nvGrpSpPr>
        <xdr:cNvPr id="200" name="Group 50871"/>
        <xdr:cNvGrpSpPr>
          <a:grpSpLocks/>
        </xdr:cNvGrpSpPr>
      </xdr:nvGrpSpPr>
      <xdr:grpSpPr>
        <a:xfrm>
          <a:off x="6496050" y="14573250"/>
          <a:ext cx="1647825" cy="2571750"/>
          <a:chOff x="682" y="1530"/>
          <a:chExt cx="173" cy="270"/>
        </a:xfrm>
        <a:solidFill>
          <a:srgbClr val="FFFFFF"/>
        </a:solidFill>
      </xdr:grpSpPr>
      <xdr:sp>
        <xdr:nvSpPr>
          <xdr:cNvPr id="201" name="Rectangle 50857"/>
          <xdr:cNvSpPr>
            <a:spLocks/>
          </xdr:cNvSpPr>
        </xdr:nvSpPr>
        <xdr:spPr>
          <a:xfrm>
            <a:off x="682" y="1635"/>
            <a:ext cx="17" cy="82"/>
          </a:xfrm>
          <a:prstGeom prst="rect">
            <a:avLst/>
          </a:prstGeom>
          <a:solidFill>
            <a:srgbClr val="C0C0C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02" name="Line 50858"/>
          <xdr:cNvSpPr>
            <a:spLocks/>
          </xdr:cNvSpPr>
        </xdr:nvSpPr>
        <xdr:spPr>
          <a:xfrm flipV="1">
            <a:off x="768" y="1530"/>
            <a:ext cx="0" cy="104"/>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03" name="Rectangle 50859"/>
          <xdr:cNvSpPr>
            <a:spLocks/>
          </xdr:cNvSpPr>
        </xdr:nvSpPr>
        <xdr:spPr>
          <a:xfrm>
            <a:off x="720" y="1635"/>
            <a:ext cx="17" cy="82"/>
          </a:xfrm>
          <a:prstGeom prst="rect">
            <a:avLst/>
          </a:prstGeom>
          <a:solidFill>
            <a:srgbClr val="C0C0C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04" name="Rectangle 50860"/>
          <xdr:cNvSpPr>
            <a:spLocks/>
          </xdr:cNvSpPr>
        </xdr:nvSpPr>
        <xdr:spPr>
          <a:xfrm>
            <a:off x="760" y="1635"/>
            <a:ext cx="17" cy="82"/>
          </a:xfrm>
          <a:prstGeom prst="rect">
            <a:avLst/>
          </a:prstGeom>
          <a:solidFill>
            <a:srgbClr val="C0C0C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05" name="Rectangle 50861"/>
          <xdr:cNvSpPr>
            <a:spLocks/>
          </xdr:cNvSpPr>
        </xdr:nvSpPr>
        <xdr:spPr>
          <a:xfrm>
            <a:off x="798" y="1635"/>
            <a:ext cx="17" cy="82"/>
          </a:xfrm>
          <a:prstGeom prst="rect">
            <a:avLst/>
          </a:prstGeom>
          <a:solidFill>
            <a:srgbClr val="C0C0C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06" name="Rectangle 50862"/>
          <xdr:cNvSpPr>
            <a:spLocks/>
          </xdr:cNvSpPr>
        </xdr:nvSpPr>
        <xdr:spPr>
          <a:xfrm>
            <a:off x="838" y="1635"/>
            <a:ext cx="17" cy="82"/>
          </a:xfrm>
          <a:prstGeom prst="rect">
            <a:avLst/>
          </a:prstGeom>
          <a:solidFill>
            <a:srgbClr val="C0C0C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07" name="Line 50863"/>
          <xdr:cNvSpPr>
            <a:spLocks/>
          </xdr:cNvSpPr>
        </xdr:nvSpPr>
        <xdr:spPr>
          <a:xfrm>
            <a:off x="690" y="1717"/>
            <a:ext cx="0" cy="22"/>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08" name="Line 50864"/>
          <xdr:cNvSpPr>
            <a:spLocks/>
          </xdr:cNvSpPr>
        </xdr:nvSpPr>
        <xdr:spPr>
          <a:xfrm>
            <a:off x="729" y="1717"/>
            <a:ext cx="0" cy="38"/>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09" name="Line 50865"/>
          <xdr:cNvSpPr>
            <a:spLocks/>
          </xdr:cNvSpPr>
        </xdr:nvSpPr>
        <xdr:spPr>
          <a:xfrm>
            <a:off x="768" y="1717"/>
            <a:ext cx="0" cy="53"/>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10" name="Line 50866"/>
          <xdr:cNvSpPr>
            <a:spLocks/>
          </xdr:cNvSpPr>
        </xdr:nvSpPr>
        <xdr:spPr>
          <a:xfrm flipV="1">
            <a:off x="807" y="1716"/>
            <a:ext cx="0" cy="67"/>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11" name="Line 50867"/>
          <xdr:cNvSpPr>
            <a:spLocks/>
          </xdr:cNvSpPr>
        </xdr:nvSpPr>
        <xdr:spPr>
          <a:xfrm flipV="1">
            <a:off x="846" y="1717"/>
            <a:ext cx="0" cy="83"/>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12" name="Line 50868"/>
          <xdr:cNvSpPr>
            <a:spLocks/>
          </xdr:cNvSpPr>
        </xdr:nvSpPr>
        <xdr:spPr>
          <a:xfrm>
            <a:off x="689" y="1605"/>
            <a:ext cx="16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13" name="Line 50869"/>
          <xdr:cNvSpPr>
            <a:spLocks/>
          </xdr:cNvSpPr>
        </xdr:nvSpPr>
        <xdr:spPr>
          <a:xfrm>
            <a:off x="720" y="1544"/>
            <a:ext cx="98"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14" name="Line 50870"/>
          <xdr:cNvSpPr>
            <a:spLocks/>
          </xdr:cNvSpPr>
        </xdr:nvSpPr>
        <xdr:spPr>
          <a:xfrm flipH="1">
            <a:off x="710" y="1583"/>
            <a:ext cx="55" cy="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14</xdr:col>
      <xdr:colOff>171450</xdr:colOff>
      <xdr:row>18</xdr:row>
      <xdr:rowOff>95250</xdr:rowOff>
    </xdr:from>
    <xdr:to>
      <xdr:col>22</xdr:col>
      <xdr:colOff>57150</xdr:colOff>
      <xdr:row>34</xdr:row>
      <xdr:rowOff>0</xdr:rowOff>
    </xdr:to>
    <xdr:grpSp>
      <xdr:nvGrpSpPr>
        <xdr:cNvPr id="215" name="Group 50898"/>
        <xdr:cNvGrpSpPr>
          <a:grpSpLocks/>
        </xdr:cNvGrpSpPr>
      </xdr:nvGrpSpPr>
      <xdr:grpSpPr>
        <a:xfrm>
          <a:off x="5819775" y="2667000"/>
          <a:ext cx="2857500" cy="2190750"/>
          <a:chOff x="572" y="280"/>
          <a:chExt cx="300" cy="230"/>
        </a:xfrm>
        <a:solidFill>
          <a:srgbClr val="FFFFFF"/>
        </a:solidFill>
      </xdr:grpSpPr>
      <xdr:grpSp>
        <xdr:nvGrpSpPr>
          <xdr:cNvPr id="216" name="Group 170"/>
          <xdr:cNvGrpSpPr>
            <a:grpSpLocks/>
          </xdr:cNvGrpSpPr>
        </xdr:nvGrpSpPr>
        <xdr:grpSpPr>
          <a:xfrm>
            <a:off x="632" y="337"/>
            <a:ext cx="24" cy="18"/>
            <a:chOff x="5885089" y="16008804"/>
            <a:chExt cx="326572" cy="285750"/>
          </a:xfrm>
          <a:solidFill>
            <a:srgbClr val="FFFFFF"/>
          </a:solidFill>
        </xdr:grpSpPr>
        <xdr:sp>
          <xdr:nvSpPr>
            <xdr:cNvPr id="217" name="Straight Connector 167"/>
            <xdr:cNvSpPr>
              <a:spLocks/>
            </xdr:cNvSpPr>
          </xdr:nvSpPr>
          <xdr:spPr>
            <a:xfrm rot="5400000">
              <a:off x="5911541" y="16151679"/>
              <a:ext cx="28575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18" name="Straight Connector 168"/>
            <xdr:cNvSpPr>
              <a:spLocks/>
            </xdr:cNvSpPr>
          </xdr:nvSpPr>
          <xdr:spPr>
            <a:xfrm>
              <a:off x="5885089" y="16138677"/>
              <a:ext cx="32657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grpSp>
        <xdr:nvGrpSpPr>
          <xdr:cNvPr id="219" name="Group 170"/>
          <xdr:cNvGrpSpPr>
            <a:grpSpLocks/>
          </xdr:cNvGrpSpPr>
        </xdr:nvGrpSpPr>
        <xdr:grpSpPr>
          <a:xfrm>
            <a:off x="764" y="337"/>
            <a:ext cx="24" cy="18"/>
            <a:chOff x="5885089" y="16008804"/>
            <a:chExt cx="326572" cy="285750"/>
          </a:xfrm>
          <a:solidFill>
            <a:srgbClr val="FFFFFF"/>
          </a:solidFill>
        </xdr:grpSpPr>
        <xdr:sp>
          <xdr:nvSpPr>
            <xdr:cNvPr id="220" name="Straight Connector 167"/>
            <xdr:cNvSpPr>
              <a:spLocks/>
            </xdr:cNvSpPr>
          </xdr:nvSpPr>
          <xdr:spPr>
            <a:xfrm rot="5400000">
              <a:off x="5911541" y="16151679"/>
              <a:ext cx="28575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21" name="Straight Connector 168"/>
            <xdr:cNvSpPr>
              <a:spLocks/>
            </xdr:cNvSpPr>
          </xdr:nvSpPr>
          <xdr:spPr>
            <a:xfrm>
              <a:off x="5885089" y="16138677"/>
              <a:ext cx="32657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sp>
        <xdr:nvSpPr>
          <xdr:cNvPr id="222" name="Line 50390"/>
          <xdr:cNvSpPr>
            <a:spLocks/>
          </xdr:cNvSpPr>
        </xdr:nvSpPr>
        <xdr:spPr>
          <a:xfrm>
            <a:off x="593" y="285"/>
            <a:ext cx="23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23" name="Line 50391"/>
          <xdr:cNvSpPr>
            <a:spLocks/>
          </xdr:cNvSpPr>
        </xdr:nvSpPr>
        <xdr:spPr>
          <a:xfrm flipV="1">
            <a:off x="643" y="290"/>
            <a:ext cx="0" cy="23"/>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24" name="Line 50393"/>
          <xdr:cNvSpPr>
            <a:spLocks/>
          </xdr:cNvSpPr>
        </xdr:nvSpPr>
        <xdr:spPr>
          <a:xfrm flipV="1">
            <a:off x="778" y="288"/>
            <a:ext cx="0" cy="23"/>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25" name="Line 50394"/>
          <xdr:cNvSpPr>
            <a:spLocks/>
          </xdr:cNvSpPr>
        </xdr:nvSpPr>
        <xdr:spPr>
          <a:xfrm>
            <a:off x="593" y="300"/>
            <a:ext cx="49"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26" name="Line 50395"/>
          <xdr:cNvSpPr>
            <a:spLocks/>
          </xdr:cNvSpPr>
        </xdr:nvSpPr>
        <xdr:spPr>
          <a:xfrm>
            <a:off x="643" y="300"/>
            <a:ext cx="67"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27" name="Line 50396"/>
          <xdr:cNvSpPr>
            <a:spLocks/>
          </xdr:cNvSpPr>
        </xdr:nvSpPr>
        <xdr:spPr>
          <a:xfrm>
            <a:off x="778" y="300"/>
            <a:ext cx="48"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28" name="Text Box 50397"/>
          <xdr:cNvSpPr txBox="1">
            <a:spLocks noChangeArrowheads="1"/>
          </xdr:cNvSpPr>
        </xdr:nvSpPr>
        <xdr:spPr>
          <a:xfrm>
            <a:off x="608" y="280"/>
            <a:ext cx="22" cy="26"/>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X1</a:t>
            </a:r>
          </a:p>
        </xdr:txBody>
      </xdr:sp>
      <xdr:sp>
        <xdr:nvSpPr>
          <xdr:cNvPr id="229" name="Text Box 50398"/>
          <xdr:cNvSpPr txBox="1">
            <a:spLocks noChangeArrowheads="1"/>
          </xdr:cNvSpPr>
        </xdr:nvSpPr>
        <xdr:spPr>
          <a:xfrm>
            <a:off x="670" y="280"/>
            <a:ext cx="22" cy="26"/>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X2</a:t>
            </a:r>
          </a:p>
        </xdr:txBody>
      </xdr:sp>
      <xdr:sp>
        <xdr:nvSpPr>
          <xdr:cNvPr id="230" name="Text Box 50399"/>
          <xdr:cNvSpPr txBox="1">
            <a:spLocks noChangeArrowheads="1"/>
          </xdr:cNvSpPr>
        </xdr:nvSpPr>
        <xdr:spPr>
          <a:xfrm>
            <a:off x="793" y="281"/>
            <a:ext cx="22" cy="26"/>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X1</a:t>
            </a:r>
          </a:p>
        </xdr:txBody>
      </xdr:sp>
      <xdr:sp>
        <xdr:nvSpPr>
          <xdr:cNvPr id="231" name="Line 50400"/>
          <xdr:cNvSpPr>
            <a:spLocks/>
          </xdr:cNvSpPr>
        </xdr:nvSpPr>
        <xdr:spPr>
          <a:xfrm>
            <a:off x="572" y="316"/>
            <a:ext cx="0" cy="15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32" name="Line 50402"/>
          <xdr:cNvSpPr>
            <a:spLocks/>
          </xdr:cNvSpPr>
        </xdr:nvSpPr>
        <xdr:spPr>
          <a:xfrm>
            <a:off x="846" y="315"/>
            <a:ext cx="0" cy="32"/>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33" name="Line 50404"/>
          <xdr:cNvSpPr>
            <a:spLocks/>
          </xdr:cNvSpPr>
        </xdr:nvSpPr>
        <xdr:spPr>
          <a:xfrm>
            <a:off x="846" y="348"/>
            <a:ext cx="0" cy="87"/>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34" name="Text Box 50405"/>
          <xdr:cNvSpPr txBox="1">
            <a:spLocks noChangeArrowheads="1"/>
          </xdr:cNvSpPr>
        </xdr:nvSpPr>
        <xdr:spPr>
          <a:xfrm>
            <a:off x="849" y="318"/>
            <a:ext cx="22" cy="26"/>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Y1</a:t>
            </a:r>
          </a:p>
        </xdr:txBody>
      </xdr:sp>
      <xdr:sp>
        <xdr:nvSpPr>
          <xdr:cNvPr id="235" name="Text Box 50406"/>
          <xdr:cNvSpPr txBox="1">
            <a:spLocks noChangeArrowheads="1"/>
          </xdr:cNvSpPr>
        </xdr:nvSpPr>
        <xdr:spPr>
          <a:xfrm>
            <a:off x="848" y="383"/>
            <a:ext cx="22" cy="26"/>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Y2</a:t>
            </a:r>
          </a:p>
        </xdr:txBody>
      </xdr:sp>
      <xdr:grpSp>
        <xdr:nvGrpSpPr>
          <xdr:cNvPr id="236" name="Group 50628"/>
          <xdr:cNvGrpSpPr>
            <a:grpSpLocks/>
          </xdr:cNvGrpSpPr>
        </xdr:nvGrpSpPr>
        <xdr:grpSpPr>
          <a:xfrm>
            <a:off x="661" y="348"/>
            <a:ext cx="64" cy="59"/>
            <a:chOff x="661" y="326"/>
            <a:chExt cx="64" cy="59"/>
          </a:xfrm>
          <a:solidFill>
            <a:srgbClr val="FFFFFF"/>
          </a:solidFill>
        </xdr:grpSpPr>
        <xdr:sp>
          <xdr:nvSpPr>
            <xdr:cNvPr id="237" name="Rectangle 164"/>
            <xdr:cNvSpPr>
              <a:spLocks/>
            </xdr:cNvSpPr>
          </xdr:nvSpPr>
          <xdr:spPr>
            <a:xfrm>
              <a:off x="695" y="355"/>
              <a:ext cx="30" cy="29"/>
            </a:xfrm>
            <a:prstGeom prst="rect">
              <a:avLst/>
            </a:prstGeom>
            <a:solidFill>
              <a:srgbClr val="D9D9D9"/>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38" name="Line 50436"/>
            <xdr:cNvSpPr>
              <a:spLocks/>
            </xdr:cNvSpPr>
          </xdr:nvSpPr>
          <xdr:spPr>
            <a:xfrm flipV="1">
              <a:off x="695" y="335"/>
              <a:ext cx="0" cy="16"/>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39" name="Line 50437"/>
            <xdr:cNvSpPr>
              <a:spLocks/>
            </xdr:cNvSpPr>
          </xdr:nvSpPr>
          <xdr:spPr>
            <a:xfrm flipV="1">
              <a:off x="725" y="334"/>
              <a:ext cx="0" cy="17"/>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40" name="Line 50438"/>
            <xdr:cNvSpPr>
              <a:spLocks/>
            </xdr:cNvSpPr>
          </xdr:nvSpPr>
          <xdr:spPr>
            <a:xfrm>
              <a:off x="696" y="345"/>
              <a:ext cx="28"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41" name="Line 50439"/>
            <xdr:cNvSpPr>
              <a:spLocks/>
            </xdr:cNvSpPr>
          </xdr:nvSpPr>
          <xdr:spPr>
            <a:xfrm flipH="1">
              <a:off x="670" y="355"/>
              <a:ext cx="18" cy="0"/>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42" name="Line 50441"/>
            <xdr:cNvSpPr>
              <a:spLocks/>
            </xdr:cNvSpPr>
          </xdr:nvSpPr>
          <xdr:spPr>
            <a:xfrm flipH="1">
              <a:off x="671" y="384"/>
              <a:ext cx="18" cy="0"/>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43" name="Line 50442"/>
            <xdr:cNvSpPr>
              <a:spLocks/>
            </xdr:cNvSpPr>
          </xdr:nvSpPr>
          <xdr:spPr>
            <a:xfrm>
              <a:off x="681" y="355"/>
              <a:ext cx="0" cy="3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44" name="Text Box 50443"/>
            <xdr:cNvSpPr txBox="1">
              <a:spLocks noChangeArrowheads="1"/>
            </xdr:cNvSpPr>
          </xdr:nvSpPr>
          <xdr:spPr>
            <a:xfrm>
              <a:off x="700" y="326"/>
              <a:ext cx="21" cy="23"/>
            </a:xfrm>
            <a:prstGeom prst="rect">
              <a:avLst/>
            </a:prstGeom>
            <a:noFill/>
            <a:ln w="9525" cmpd="sng">
              <a:noFill/>
            </a:ln>
          </xdr:spPr>
          <xdr:txBody>
            <a:bodyPr vertOverflow="clip" wrap="square" lIns="27432" tIns="41148" rIns="27432" bIns="0"/>
            <a:p>
              <a:pPr algn="ctr">
                <a:defRPr/>
              </a:pPr>
              <a:r>
                <a:rPr lang="en-US" cap="none" sz="1200" b="0" i="0" u="none" baseline="0">
                  <a:solidFill>
                    <a:srgbClr val="000000"/>
                  </a:solidFill>
                  <a:latin typeface="AngsanaUPC"/>
                  <a:ea typeface="AngsanaUPC"/>
                  <a:cs typeface="AngsanaUPC"/>
                </a:rPr>
                <a:t>a</a:t>
              </a:r>
            </a:p>
          </xdr:txBody>
        </xdr:sp>
        <xdr:sp>
          <xdr:nvSpPr>
            <xdr:cNvPr id="245" name="Text Box 50444"/>
            <xdr:cNvSpPr txBox="1">
              <a:spLocks noChangeArrowheads="1"/>
            </xdr:cNvSpPr>
          </xdr:nvSpPr>
          <xdr:spPr>
            <a:xfrm>
              <a:off x="661" y="356"/>
              <a:ext cx="21" cy="23"/>
            </a:xfrm>
            <a:prstGeom prst="rect">
              <a:avLst/>
            </a:prstGeom>
            <a:noFill/>
            <a:ln w="9525" cmpd="sng">
              <a:noFill/>
            </a:ln>
          </xdr:spPr>
          <xdr:txBody>
            <a:bodyPr vertOverflow="clip" wrap="square" lIns="27432" tIns="41148" rIns="27432" bIns="0"/>
            <a:p>
              <a:pPr algn="ctr">
                <a:defRPr/>
              </a:pPr>
              <a:r>
                <a:rPr lang="en-US" cap="none" sz="1200" b="0" i="0" u="none" baseline="0">
                  <a:solidFill>
                    <a:srgbClr val="000000"/>
                  </a:solidFill>
                  <a:latin typeface="AngsanaUPC"/>
                  <a:ea typeface="AngsanaUPC"/>
                  <a:cs typeface="AngsanaUPC"/>
                </a:rPr>
                <a:t>b</a:t>
              </a:r>
            </a:p>
          </xdr:txBody>
        </xdr:sp>
      </xdr:grpSp>
      <xdr:sp>
        <xdr:nvSpPr>
          <xdr:cNvPr id="246" name="Text Box 50447"/>
          <xdr:cNvSpPr txBox="1">
            <a:spLocks noChangeArrowheads="1"/>
          </xdr:cNvSpPr>
        </xdr:nvSpPr>
        <xdr:spPr>
          <a:xfrm>
            <a:off x="626" y="322"/>
            <a:ext cx="22" cy="26"/>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P4</a:t>
            </a:r>
          </a:p>
        </xdr:txBody>
      </xdr:sp>
      <xdr:sp>
        <xdr:nvSpPr>
          <xdr:cNvPr id="247" name="Text Box 50448"/>
          <xdr:cNvSpPr txBox="1">
            <a:spLocks noChangeArrowheads="1"/>
          </xdr:cNvSpPr>
        </xdr:nvSpPr>
        <xdr:spPr>
          <a:xfrm>
            <a:off x="759" y="322"/>
            <a:ext cx="22" cy="26"/>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P6</a:t>
            </a:r>
          </a:p>
        </xdr:txBody>
      </xdr:sp>
      <xdr:sp>
        <xdr:nvSpPr>
          <xdr:cNvPr id="248" name="Line 50578"/>
          <xdr:cNvSpPr>
            <a:spLocks/>
          </xdr:cNvSpPr>
        </xdr:nvSpPr>
        <xdr:spPr>
          <a:xfrm>
            <a:off x="643" y="443"/>
            <a:ext cx="0" cy="66"/>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49" name="Line 50579"/>
          <xdr:cNvSpPr>
            <a:spLocks/>
          </xdr:cNvSpPr>
        </xdr:nvSpPr>
        <xdr:spPr>
          <a:xfrm>
            <a:off x="710" y="431"/>
            <a:ext cx="0" cy="79"/>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50" name="Line 50580"/>
          <xdr:cNvSpPr>
            <a:spLocks/>
          </xdr:cNvSpPr>
        </xdr:nvSpPr>
        <xdr:spPr>
          <a:xfrm>
            <a:off x="775" y="434"/>
            <a:ext cx="0" cy="74"/>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51" name="Line 50581"/>
          <xdr:cNvSpPr>
            <a:spLocks/>
          </xdr:cNvSpPr>
        </xdr:nvSpPr>
        <xdr:spPr>
          <a:xfrm>
            <a:off x="643" y="492"/>
            <a:ext cx="66"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52" name="Line 50582"/>
          <xdr:cNvSpPr>
            <a:spLocks/>
          </xdr:cNvSpPr>
        </xdr:nvSpPr>
        <xdr:spPr>
          <a:xfrm>
            <a:off x="710" y="492"/>
            <a:ext cx="66"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53" name="Text Box 50583"/>
          <xdr:cNvSpPr txBox="1">
            <a:spLocks noChangeArrowheads="1"/>
          </xdr:cNvSpPr>
        </xdr:nvSpPr>
        <xdr:spPr>
          <a:xfrm>
            <a:off x="666" y="471"/>
            <a:ext cx="26" cy="26"/>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Lx1</a:t>
            </a:r>
          </a:p>
        </xdr:txBody>
      </xdr:sp>
      <xdr:sp>
        <xdr:nvSpPr>
          <xdr:cNvPr id="254" name="Text Box 50584"/>
          <xdr:cNvSpPr txBox="1">
            <a:spLocks noChangeArrowheads="1"/>
          </xdr:cNvSpPr>
        </xdr:nvSpPr>
        <xdr:spPr>
          <a:xfrm>
            <a:off x="731" y="470"/>
            <a:ext cx="29" cy="27"/>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Lx1</a:t>
            </a:r>
          </a:p>
        </xdr:txBody>
      </xdr:sp>
      <xdr:grpSp>
        <xdr:nvGrpSpPr>
          <xdr:cNvPr id="255" name="Group 170"/>
          <xdr:cNvGrpSpPr>
            <a:grpSpLocks/>
          </xdr:cNvGrpSpPr>
        </xdr:nvGrpSpPr>
        <xdr:grpSpPr>
          <a:xfrm>
            <a:off x="631" y="427"/>
            <a:ext cx="24" cy="18"/>
            <a:chOff x="5885089" y="16008804"/>
            <a:chExt cx="326572" cy="285750"/>
          </a:xfrm>
          <a:solidFill>
            <a:srgbClr val="FFFFFF"/>
          </a:solidFill>
        </xdr:grpSpPr>
        <xdr:sp>
          <xdr:nvSpPr>
            <xdr:cNvPr id="256" name="Straight Connector 167"/>
            <xdr:cNvSpPr>
              <a:spLocks/>
            </xdr:cNvSpPr>
          </xdr:nvSpPr>
          <xdr:spPr>
            <a:xfrm rot="5400000">
              <a:off x="5911541" y="16151679"/>
              <a:ext cx="28575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57" name="Straight Connector 168"/>
            <xdr:cNvSpPr>
              <a:spLocks/>
            </xdr:cNvSpPr>
          </xdr:nvSpPr>
          <xdr:spPr>
            <a:xfrm>
              <a:off x="5885089" y="16138677"/>
              <a:ext cx="32657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grpSp>
        <xdr:nvGrpSpPr>
          <xdr:cNvPr id="258" name="Group 170"/>
          <xdr:cNvGrpSpPr>
            <a:grpSpLocks/>
          </xdr:cNvGrpSpPr>
        </xdr:nvGrpSpPr>
        <xdr:grpSpPr>
          <a:xfrm>
            <a:off x="763" y="427"/>
            <a:ext cx="24" cy="18"/>
            <a:chOff x="5885089" y="16008804"/>
            <a:chExt cx="326572" cy="285750"/>
          </a:xfrm>
          <a:solidFill>
            <a:srgbClr val="FFFFFF"/>
          </a:solidFill>
        </xdr:grpSpPr>
        <xdr:sp>
          <xdr:nvSpPr>
            <xdr:cNvPr id="259" name="Straight Connector 167"/>
            <xdr:cNvSpPr>
              <a:spLocks/>
            </xdr:cNvSpPr>
          </xdr:nvSpPr>
          <xdr:spPr>
            <a:xfrm rot="5400000">
              <a:off x="5911541" y="16151679"/>
              <a:ext cx="28575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60" name="Straight Connector 168"/>
            <xdr:cNvSpPr>
              <a:spLocks/>
            </xdr:cNvSpPr>
          </xdr:nvSpPr>
          <xdr:spPr>
            <a:xfrm>
              <a:off x="5885089" y="16138677"/>
              <a:ext cx="32657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sp>
        <xdr:nvSpPr>
          <xdr:cNvPr id="261" name="Text Box 50624"/>
          <xdr:cNvSpPr txBox="1">
            <a:spLocks noChangeArrowheads="1"/>
          </xdr:cNvSpPr>
        </xdr:nvSpPr>
        <xdr:spPr>
          <a:xfrm>
            <a:off x="628" y="433"/>
            <a:ext cx="22" cy="26"/>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P1</a:t>
            </a:r>
          </a:p>
        </xdr:txBody>
      </xdr:sp>
      <xdr:sp>
        <xdr:nvSpPr>
          <xdr:cNvPr id="262" name="Text Box 50625"/>
          <xdr:cNvSpPr txBox="1">
            <a:spLocks noChangeArrowheads="1"/>
          </xdr:cNvSpPr>
        </xdr:nvSpPr>
        <xdr:spPr>
          <a:xfrm>
            <a:off x="759" y="433"/>
            <a:ext cx="22" cy="26"/>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P3</a:t>
            </a:r>
          </a:p>
        </xdr:txBody>
      </xdr:sp>
      <xdr:sp>
        <xdr:nvSpPr>
          <xdr:cNvPr id="263" name="Line 50626"/>
          <xdr:cNvSpPr>
            <a:spLocks/>
          </xdr:cNvSpPr>
        </xdr:nvSpPr>
        <xdr:spPr>
          <a:xfrm>
            <a:off x="846" y="434"/>
            <a:ext cx="0" cy="32"/>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64" name="Text Box 50627"/>
          <xdr:cNvSpPr txBox="1">
            <a:spLocks noChangeArrowheads="1"/>
          </xdr:cNvSpPr>
        </xdr:nvSpPr>
        <xdr:spPr>
          <a:xfrm>
            <a:off x="850" y="437"/>
            <a:ext cx="22" cy="26"/>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Y1</a:t>
            </a:r>
          </a:p>
        </xdr:txBody>
      </xdr:sp>
      <xdr:sp>
        <xdr:nvSpPr>
          <xdr:cNvPr id="265" name="Line 50634"/>
          <xdr:cNvSpPr>
            <a:spLocks/>
          </xdr:cNvSpPr>
        </xdr:nvSpPr>
        <xdr:spPr>
          <a:xfrm flipH="1">
            <a:off x="597" y="344"/>
            <a:ext cx="28" cy="0"/>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66" name="Line 50635"/>
          <xdr:cNvSpPr>
            <a:spLocks/>
          </xdr:cNvSpPr>
        </xdr:nvSpPr>
        <xdr:spPr>
          <a:xfrm flipH="1">
            <a:off x="601" y="389"/>
            <a:ext cx="28" cy="0"/>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67" name="Line 50636"/>
          <xdr:cNvSpPr>
            <a:spLocks/>
          </xdr:cNvSpPr>
        </xdr:nvSpPr>
        <xdr:spPr>
          <a:xfrm>
            <a:off x="614" y="345"/>
            <a:ext cx="0" cy="4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68" name="Text Box 50637"/>
          <xdr:cNvSpPr txBox="1">
            <a:spLocks noChangeArrowheads="1"/>
          </xdr:cNvSpPr>
        </xdr:nvSpPr>
        <xdr:spPr>
          <a:xfrm>
            <a:off x="594" y="356"/>
            <a:ext cx="26" cy="24"/>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Ly1</a:t>
            </a:r>
          </a:p>
        </xdr:txBody>
      </xdr:sp>
      <xdr:sp>
        <xdr:nvSpPr>
          <xdr:cNvPr id="269" name="Line 50638"/>
          <xdr:cNvSpPr>
            <a:spLocks/>
          </xdr:cNvSpPr>
        </xdr:nvSpPr>
        <xdr:spPr>
          <a:xfrm flipH="1">
            <a:off x="599" y="435"/>
            <a:ext cx="28" cy="0"/>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70" name="Line 50639"/>
          <xdr:cNvSpPr>
            <a:spLocks/>
          </xdr:cNvSpPr>
        </xdr:nvSpPr>
        <xdr:spPr>
          <a:xfrm>
            <a:off x="614" y="390"/>
            <a:ext cx="0" cy="46"/>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71" name="Text Box 50640"/>
          <xdr:cNvSpPr txBox="1">
            <a:spLocks noChangeArrowheads="1"/>
          </xdr:cNvSpPr>
        </xdr:nvSpPr>
        <xdr:spPr>
          <a:xfrm>
            <a:off x="594" y="399"/>
            <a:ext cx="26" cy="27"/>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Ly1</a:t>
            </a:r>
          </a:p>
        </xdr:txBody>
      </xdr:sp>
      <xdr:grpSp>
        <xdr:nvGrpSpPr>
          <xdr:cNvPr id="272" name="Group 170"/>
          <xdr:cNvGrpSpPr>
            <a:grpSpLocks/>
          </xdr:cNvGrpSpPr>
        </xdr:nvGrpSpPr>
        <xdr:grpSpPr>
          <a:xfrm>
            <a:off x="698" y="337"/>
            <a:ext cx="24" cy="18"/>
            <a:chOff x="5885089" y="16008804"/>
            <a:chExt cx="326572" cy="285750"/>
          </a:xfrm>
          <a:solidFill>
            <a:srgbClr val="FFFFFF"/>
          </a:solidFill>
        </xdr:grpSpPr>
        <xdr:sp>
          <xdr:nvSpPr>
            <xdr:cNvPr id="273" name="Straight Connector 167"/>
            <xdr:cNvSpPr>
              <a:spLocks/>
            </xdr:cNvSpPr>
          </xdr:nvSpPr>
          <xdr:spPr>
            <a:xfrm rot="5400000">
              <a:off x="5911541" y="16151679"/>
              <a:ext cx="28575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74" name="Straight Connector 168"/>
            <xdr:cNvSpPr>
              <a:spLocks/>
            </xdr:cNvSpPr>
          </xdr:nvSpPr>
          <xdr:spPr>
            <a:xfrm>
              <a:off x="5885089" y="16138677"/>
              <a:ext cx="32657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grpSp>
        <xdr:nvGrpSpPr>
          <xdr:cNvPr id="275" name="Group 170"/>
          <xdr:cNvGrpSpPr>
            <a:grpSpLocks/>
          </xdr:cNvGrpSpPr>
        </xdr:nvGrpSpPr>
        <xdr:grpSpPr>
          <a:xfrm>
            <a:off x="699" y="427"/>
            <a:ext cx="24" cy="18"/>
            <a:chOff x="5885089" y="16008804"/>
            <a:chExt cx="326572" cy="285750"/>
          </a:xfrm>
          <a:solidFill>
            <a:srgbClr val="FFFFFF"/>
          </a:solidFill>
        </xdr:grpSpPr>
        <xdr:sp>
          <xdr:nvSpPr>
            <xdr:cNvPr id="276" name="Straight Connector 167"/>
            <xdr:cNvSpPr>
              <a:spLocks/>
            </xdr:cNvSpPr>
          </xdr:nvSpPr>
          <xdr:spPr>
            <a:xfrm rot="5400000">
              <a:off x="5911541" y="16151679"/>
              <a:ext cx="28575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77" name="Straight Connector 168"/>
            <xdr:cNvSpPr>
              <a:spLocks/>
            </xdr:cNvSpPr>
          </xdr:nvSpPr>
          <xdr:spPr>
            <a:xfrm>
              <a:off x="5885089" y="16138677"/>
              <a:ext cx="32657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sp>
        <xdr:nvSpPr>
          <xdr:cNvPr id="278" name="Line 50878"/>
          <xdr:cNvSpPr>
            <a:spLocks/>
          </xdr:cNvSpPr>
        </xdr:nvSpPr>
        <xdr:spPr>
          <a:xfrm flipV="1">
            <a:off x="710" y="291"/>
            <a:ext cx="0" cy="23"/>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79" name="Line 50879"/>
          <xdr:cNvSpPr>
            <a:spLocks/>
          </xdr:cNvSpPr>
        </xdr:nvSpPr>
        <xdr:spPr>
          <a:xfrm>
            <a:off x="711" y="300"/>
            <a:ext cx="67"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80" name="Text Box 50880"/>
          <xdr:cNvSpPr txBox="1">
            <a:spLocks noChangeArrowheads="1"/>
          </xdr:cNvSpPr>
        </xdr:nvSpPr>
        <xdr:spPr>
          <a:xfrm>
            <a:off x="736" y="282"/>
            <a:ext cx="22" cy="26"/>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X2</a:t>
            </a:r>
          </a:p>
        </xdr:txBody>
      </xdr:sp>
      <xdr:sp>
        <xdr:nvSpPr>
          <xdr:cNvPr id="281" name="Text Box 50881"/>
          <xdr:cNvSpPr txBox="1">
            <a:spLocks noChangeArrowheads="1"/>
          </xdr:cNvSpPr>
        </xdr:nvSpPr>
        <xdr:spPr>
          <a:xfrm>
            <a:off x="692" y="432"/>
            <a:ext cx="22" cy="26"/>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P2</a:t>
            </a:r>
          </a:p>
        </xdr:txBody>
      </xdr:sp>
      <xdr:sp>
        <xdr:nvSpPr>
          <xdr:cNvPr id="282" name="Text Box 50882"/>
          <xdr:cNvSpPr txBox="1">
            <a:spLocks noChangeArrowheads="1"/>
          </xdr:cNvSpPr>
        </xdr:nvSpPr>
        <xdr:spPr>
          <a:xfrm>
            <a:off x="690" y="322"/>
            <a:ext cx="22" cy="26"/>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P5</a:t>
            </a:r>
          </a:p>
        </xdr:txBody>
      </xdr:sp>
    </xdr:grpSp>
    <xdr:clientData/>
  </xdr:twoCellAnchor>
  <xdr:twoCellAnchor>
    <xdr:from>
      <xdr:col>15</xdr:col>
      <xdr:colOff>0</xdr:colOff>
      <xdr:row>34</xdr:row>
      <xdr:rowOff>28575</xdr:rowOff>
    </xdr:from>
    <xdr:to>
      <xdr:col>15</xdr:col>
      <xdr:colOff>0</xdr:colOff>
      <xdr:row>40</xdr:row>
      <xdr:rowOff>0</xdr:rowOff>
    </xdr:to>
    <xdr:sp>
      <xdr:nvSpPr>
        <xdr:cNvPr id="283" name="Line 50565"/>
        <xdr:cNvSpPr>
          <a:spLocks/>
        </xdr:cNvSpPr>
      </xdr:nvSpPr>
      <xdr:spPr>
        <a:xfrm flipV="1">
          <a:off x="6019800" y="4886325"/>
          <a:ext cx="0" cy="8286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15</xdr:col>
      <xdr:colOff>38100</xdr:colOff>
      <xdr:row>33</xdr:row>
      <xdr:rowOff>76200</xdr:rowOff>
    </xdr:from>
    <xdr:to>
      <xdr:col>15</xdr:col>
      <xdr:colOff>180975</xdr:colOff>
      <xdr:row>35</xdr:row>
      <xdr:rowOff>38100</xdr:rowOff>
    </xdr:to>
    <xdr:sp>
      <xdr:nvSpPr>
        <xdr:cNvPr id="284" name="Text Box 50567"/>
        <xdr:cNvSpPr txBox="1">
          <a:spLocks noChangeArrowheads="1"/>
        </xdr:cNvSpPr>
      </xdr:nvSpPr>
      <xdr:spPr>
        <a:xfrm>
          <a:off x="6057900" y="4791075"/>
          <a:ext cx="142875" cy="247650"/>
        </a:xfrm>
        <a:prstGeom prst="rect">
          <a:avLst/>
        </a:prstGeom>
        <a:noFill/>
        <a:ln w="9525" cmpd="sng">
          <a:noFill/>
        </a:ln>
      </xdr:spPr>
      <xdr:txBody>
        <a:bodyPr vertOverflow="clip" wrap="square" lIns="27432" tIns="41148" rIns="0" bIns="0"/>
        <a:p>
          <a:pPr algn="l">
            <a:defRPr/>
          </a:pPr>
          <a:r>
            <a:rPr lang="en-US" cap="none" sz="1200" b="1" i="0" u="none" baseline="0">
              <a:solidFill>
                <a:srgbClr val="000000"/>
              </a:solidFill>
              <a:latin typeface="AngsanaUPC"/>
              <a:ea typeface="AngsanaUPC"/>
              <a:cs typeface="AngsanaUPC"/>
            </a:rPr>
            <a:t>Y</a:t>
          </a:r>
        </a:p>
      </xdr:txBody>
    </xdr:sp>
    <xdr:clientData/>
  </xdr:twoCellAnchor>
  <xdr:twoCellAnchor>
    <xdr:from>
      <xdr:col>16</xdr:col>
      <xdr:colOff>361950</xdr:colOff>
      <xdr:row>42</xdr:row>
      <xdr:rowOff>0</xdr:rowOff>
    </xdr:from>
    <xdr:to>
      <xdr:col>19</xdr:col>
      <xdr:colOff>9525</xdr:colOff>
      <xdr:row>46</xdr:row>
      <xdr:rowOff>28575</xdr:rowOff>
    </xdr:to>
    <xdr:grpSp>
      <xdr:nvGrpSpPr>
        <xdr:cNvPr id="285" name="Group 50608"/>
        <xdr:cNvGrpSpPr>
          <a:grpSpLocks/>
        </xdr:cNvGrpSpPr>
      </xdr:nvGrpSpPr>
      <xdr:grpSpPr>
        <a:xfrm>
          <a:off x="6753225" y="6000750"/>
          <a:ext cx="762000" cy="600075"/>
          <a:chOff x="670" y="622"/>
          <a:chExt cx="80" cy="63"/>
        </a:xfrm>
        <a:solidFill>
          <a:srgbClr val="FFFFFF"/>
        </a:solidFill>
      </xdr:grpSpPr>
      <xdr:sp>
        <xdr:nvSpPr>
          <xdr:cNvPr id="286" name="Rectangle 50595" descr="Light upward diagonal"/>
          <xdr:cNvSpPr>
            <a:spLocks/>
          </xdr:cNvSpPr>
        </xdr:nvSpPr>
        <xdr:spPr>
          <a:xfrm>
            <a:off x="670" y="622"/>
            <a:ext cx="80" cy="63"/>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87" name="Rectangle 164"/>
          <xdr:cNvSpPr>
            <a:spLocks/>
          </xdr:cNvSpPr>
        </xdr:nvSpPr>
        <xdr:spPr>
          <a:xfrm>
            <a:off x="695" y="639"/>
            <a:ext cx="30" cy="29"/>
          </a:xfrm>
          <a:prstGeom prst="rect">
            <a:avLst/>
          </a:prstGeom>
          <a:solidFill>
            <a:srgbClr val="D9D9D9"/>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16</xdr:col>
      <xdr:colOff>0</xdr:colOff>
      <xdr:row>40</xdr:row>
      <xdr:rowOff>57150</xdr:rowOff>
    </xdr:from>
    <xdr:to>
      <xdr:col>16</xdr:col>
      <xdr:colOff>228600</xdr:colOff>
      <xdr:row>41</xdr:row>
      <xdr:rowOff>85725</xdr:rowOff>
    </xdr:to>
    <xdr:grpSp>
      <xdr:nvGrpSpPr>
        <xdr:cNvPr id="288" name="Group 170"/>
        <xdr:cNvGrpSpPr>
          <a:grpSpLocks/>
        </xdr:cNvGrpSpPr>
      </xdr:nvGrpSpPr>
      <xdr:grpSpPr>
        <a:xfrm>
          <a:off x="6391275" y="5772150"/>
          <a:ext cx="228600" cy="171450"/>
          <a:chOff x="5885089" y="16008804"/>
          <a:chExt cx="326572" cy="285750"/>
        </a:xfrm>
        <a:solidFill>
          <a:srgbClr val="FFFFFF"/>
        </a:solidFill>
      </xdr:grpSpPr>
      <xdr:sp>
        <xdr:nvSpPr>
          <xdr:cNvPr id="289" name="Straight Connector 167"/>
          <xdr:cNvSpPr>
            <a:spLocks/>
          </xdr:cNvSpPr>
        </xdr:nvSpPr>
        <xdr:spPr>
          <a:xfrm rot="5400000">
            <a:off x="5911541" y="16151679"/>
            <a:ext cx="28575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90" name="Straight Connector 168"/>
          <xdr:cNvSpPr>
            <a:spLocks/>
          </xdr:cNvSpPr>
        </xdr:nvSpPr>
        <xdr:spPr>
          <a:xfrm>
            <a:off x="5885089" y="16138677"/>
            <a:ext cx="32657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19</xdr:col>
      <xdr:colOff>142875</xdr:colOff>
      <xdr:row>40</xdr:row>
      <xdr:rowOff>57150</xdr:rowOff>
    </xdr:from>
    <xdr:to>
      <xdr:col>20</xdr:col>
      <xdr:colOff>0</xdr:colOff>
      <xdr:row>41</xdr:row>
      <xdr:rowOff>85725</xdr:rowOff>
    </xdr:to>
    <xdr:grpSp>
      <xdr:nvGrpSpPr>
        <xdr:cNvPr id="291" name="Group 170"/>
        <xdr:cNvGrpSpPr>
          <a:grpSpLocks/>
        </xdr:cNvGrpSpPr>
      </xdr:nvGrpSpPr>
      <xdr:grpSpPr>
        <a:xfrm>
          <a:off x="7648575" y="5772150"/>
          <a:ext cx="228600" cy="171450"/>
          <a:chOff x="5885089" y="16008804"/>
          <a:chExt cx="326572" cy="285750"/>
        </a:xfrm>
        <a:solidFill>
          <a:srgbClr val="FFFFFF"/>
        </a:solidFill>
      </xdr:grpSpPr>
      <xdr:sp>
        <xdr:nvSpPr>
          <xdr:cNvPr id="292" name="Straight Connector 167"/>
          <xdr:cNvSpPr>
            <a:spLocks/>
          </xdr:cNvSpPr>
        </xdr:nvSpPr>
        <xdr:spPr>
          <a:xfrm rot="5400000">
            <a:off x="5911541" y="16151679"/>
            <a:ext cx="28575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93" name="Straight Connector 168"/>
          <xdr:cNvSpPr>
            <a:spLocks/>
          </xdr:cNvSpPr>
        </xdr:nvSpPr>
        <xdr:spPr>
          <a:xfrm>
            <a:off x="5885089" y="16138677"/>
            <a:ext cx="32657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15</xdr:col>
      <xdr:colOff>0</xdr:colOff>
      <xdr:row>35</xdr:row>
      <xdr:rowOff>66675</xdr:rowOff>
    </xdr:from>
    <xdr:to>
      <xdr:col>19</xdr:col>
      <xdr:colOff>247650</xdr:colOff>
      <xdr:row>35</xdr:row>
      <xdr:rowOff>66675</xdr:rowOff>
    </xdr:to>
    <xdr:sp>
      <xdr:nvSpPr>
        <xdr:cNvPr id="294" name="Line 50509"/>
        <xdr:cNvSpPr>
          <a:spLocks/>
        </xdr:cNvSpPr>
      </xdr:nvSpPr>
      <xdr:spPr>
        <a:xfrm>
          <a:off x="6019800" y="5067300"/>
          <a:ext cx="173355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16</xdr:col>
      <xdr:colOff>104775</xdr:colOff>
      <xdr:row>37</xdr:row>
      <xdr:rowOff>19050</xdr:rowOff>
    </xdr:from>
    <xdr:to>
      <xdr:col>16</xdr:col>
      <xdr:colOff>104775</xdr:colOff>
      <xdr:row>42</xdr:row>
      <xdr:rowOff>47625</xdr:rowOff>
    </xdr:to>
    <xdr:sp>
      <xdr:nvSpPr>
        <xdr:cNvPr id="295" name="Line 50510"/>
        <xdr:cNvSpPr>
          <a:spLocks/>
        </xdr:cNvSpPr>
      </xdr:nvSpPr>
      <xdr:spPr>
        <a:xfrm flipV="1">
          <a:off x="6496050" y="5305425"/>
          <a:ext cx="0" cy="742950"/>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15</xdr:col>
      <xdr:colOff>0</xdr:colOff>
      <xdr:row>38</xdr:row>
      <xdr:rowOff>19050</xdr:rowOff>
    </xdr:from>
    <xdr:to>
      <xdr:col>16</xdr:col>
      <xdr:colOff>95250</xdr:colOff>
      <xdr:row>38</xdr:row>
      <xdr:rowOff>19050</xdr:rowOff>
    </xdr:to>
    <xdr:sp>
      <xdr:nvSpPr>
        <xdr:cNvPr id="296" name="Line 50512"/>
        <xdr:cNvSpPr>
          <a:spLocks/>
        </xdr:cNvSpPr>
      </xdr:nvSpPr>
      <xdr:spPr>
        <a:xfrm>
          <a:off x="6019800" y="5448300"/>
          <a:ext cx="46672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15</xdr:col>
      <xdr:colOff>142875</xdr:colOff>
      <xdr:row>36</xdr:row>
      <xdr:rowOff>85725</xdr:rowOff>
    </xdr:from>
    <xdr:to>
      <xdr:col>15</xdr:col>
      <xdr:colOff>352425</xdr:colOff>
      <xdr:row>38</xdr:row>
      <xdr:rowOff>47625</xdr:rowOff>
    </xdr:to>
    <xdr:sp>
      <xdr:nvSpPr>
        <xdr:cNvPr id="297" name="Text Box 50515"/>
        <xdr:cNvSpPr txBox="1">
          <a:spLocks noChangeArrowheads="1"/>
        </xdr:cNvSpPr>
      </xdr:nvSpPr>
      <xdr:spPr>
        <a:xfrm>
          <a:off x="6162675" y="5229225"/>
          <a:ext cx="209550"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Xo</a:t>
          </a:r>
        </a:p>
      </xdr:txBody>
    </xdr:sp>
    <xdr:clientData/>
  </xdr:twoCellAnchor>
  <xdr:twoCellAnchor>
    <xdr:from>
      <xdr:col>13</xdr:col>
      <xdr:colOff>171450</xdr:colOff>
      <xdr:row>40</xdr:row>
      <xdr:rowOff>123825</xdr:rowOff>
    </xdr:from>
    <xdr:to>
      <xdr:col>15</xdr:col>
      <xdr:colOff>238125</xdr:colOff>
      <xdr:row>40</xdr:row>
      <xdr:rowOff>123825</xdr:rowOff>
    </xdr:to>
    <xdr:sp>
      <xdr:nvSpPr>
        <xdr:cNvPr id="298" name="Line 50519"/>
        <xdr:cNvSpPr>
          <a:spLocks/>
        </xdr:cNvSpPr>
      </xdr:nvSpPr>
      <xdr:spPr>
        <a:xfrm>
          <a:off x="5448300" y="5838825"/>
          <a:ext cx="809625" cy="0"/>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13</xdr:col>
      <xdr:colOff>361950</xdr:colOff>
      <xdr:row>40</xdr:row>
      <xdr:rowOff>133350</xdr:rowOff>
    </xdr:from>
    <xdr:to>
      <xdr:col>13</xdr:col>
      <xdr:colOff>361950</xdr:colOff>
      <xdr:row>48</xdr:row>
      <xdr:rowOff>133350</xdr:rowOff>
    </xdr:to>
    <xdr:sp>
      <xdr:nvSpPr>
        <xdr:cNvPr id="299" name="Line 50521"/>
        <xdr:cNvSpPr>
          <a:spLocks/>
        </xdr:cNvSpPr>
      </xdr:nvSpPr>
      <xdr:spPr>
        <a:xfrm>
          <a:off x="5638800" y="5848350"/>
          <a:ext cx="0" cy="114300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13</xdr:col>
      <xdr:colOff>57150</xdr:colOff>
      <xdr:row>43</xdr:row>
      <xdr:rowOff>133350</xdr:rowOff>
    </xdr:from>
    <xdr:to>
      <xdr:col>13</xdr:col>
      <xdr:colOff>266700</xdr:colOff>
      <xdr:row>45</xdr:row>
      <xdr:rowOff>95250</xdr:rowOff>
    </xdr:to>
    <xdr:sp>
      <xdr:nvSpPr>
        <xdr:cNvPr id="300" name="Text Box 50523"/>
        <xdr:cNvSpPr txBox="1">
          <a:spLocks noChangeArrowheads="1"/>
        </xdr:cNvSpPr>
      </xdr:nvSpPr>
      <xdr:spPr>
        <a:xfrm>
          <a:off x="5334000" y="6276975"/>
          <a:ext cx="209550"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Yo</a:t>
          </a:r>
        </a:p>
      </xdr:txBody>
    </xdr:sp>
    <xdr:clientData/>
  </xdr:twoCellAnchor>
  <xdr:twoCellAnchor>
    <xdr:from>
      <xdr:col>15</xdr:col>
      <xdr:colOff>314325</xdr:colOff>
      <xdr:row>39</xdr:row>
      <xdr:rowOff>85725</xdr:rowOff>
    </xdr:from>
    <xdr:to>
      <xdr:col>16</xdr:col>
      <xdr:colOff>152400</xdr:colOff>
      <xdr:row>41</xdr:row>
      <xdr:rowOff>47625</xdr:rowOff>
    </xdr:to>
    <xdr:sp>
      <xdr:nvSpPr>
        <xdr:cNvPr id="301" name="Text Box 50532"/>
        <xdr:cNvSpPr txBox="1">
          <a:spLocks noChangeArrowheads="1"/>
        </xdr:cNvSpPr>
      </xdr:nvSpPr>
      <xdr:spPr>
        <a:xfrm>
          <a:off x="6334125" y="5657850"/>
          <a:ext cx="209550"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P4</a:t>
          </a:r>
        </a:p>
      </xdr:txBody>
    </xdr:sp>
    <xdr:clientData/>
  </xdr:twoCellAnchor>
  <xdr:twoCellAnchor>
    <xdr:from>
      <xdr:col>19</xdr:col>
      <xdr:colOff>95250</xdr:colOff>
      <xdr:row>39</xdr:row>
      <xdr:rowOff>76200</xdr:rowOff>
    </xdr:from>
    <xdr:to>
      <xdr:col>19</xdr:col>
      <xdr:colOff>304800</xdr:colOff>
      <xdr:row>41</xdr:row>
      <xdr:rowOff>38100</xdr:rowOff>
    </xdr:to>
    <xdr:sp>
      <xdr:nvSpPr>
        <xdr:cNvPr id="302" name="Text Box 50533"/>
        <xdr:cNvSpPr txBox="1">
          <a:spLocks noChangeArrowheads="1"/>
        </xdr:cNvSpPr>
      </xdr:nvSpPr>
      <xdr:spPr>
        <a:xfrm>
          <a:off x="7600950" y="5648325"/>
          <a:ext cx="209550"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P6</a:t>
          </a:r>
        </a:p>
      </xdr:txBody>
    </xdr:sp>
    <xdr:clientData/>
  </xdr:twoCellAnchor>
  <xdr:twoCellAnchor>
    <xdr:from>
      <xdr:col>19</xdr:col>
      <xdr:colOff>247650</xdr:colOff>
      <xdr:row>34</xdr:row>
      <xdr:rowOff>114300</xdr:rowOff>
    </xdr:from>
    <xdr:to>
      <xdr:col>19</xdr:col>
      <xdr:colOff>247650</xdr:colOff>
      <xdr:row>39</xdr:row>
      <xdr:rowOff>123825</xdr:rowOff>
    </xdr:to>
    <xdr:sp>
      <xdr:nvSpPr>
        <xdr:cNvPr id="303" name="Line 50534"/>
        <xdr:cNvSpPr>
          <a:spLocks/>
        </xdr:cNvSpPr>
      </xdr:nvSpPr>
      <xdr:spPr>
        <a:xfrm flipV="1">
          <a:off x="7753350" y="4972050"/>
          <a:ext cx="0" cy="723900"/>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20</xdr:col>
      <xdr:colOff>361950</xdr:colOff>
      <xdr:row>49</xdr:row>
      <xdr:rowOff>0</xdr:rowOff>
    </xdr:from>
    <xdr:to>
      <xdr:col>21</xdr:col>
      <xdr:colOff>352425</xdr:colOff>
      <xdr:row>49</xdr:row>
      <xdr:rowOff>0</xdr:rowOff>
    </xdr:to>
    <xdr:sp>
      <xdr:nvSpPr>
        <xdr:cNvPr id="304" name="Line 50566"/>
        <xdr:cNvSpPr>
          <a:spLocks/>
        </xdr:cNvSpPr>
      </xdr:nvSpPr>
      <xdr:spPr>
        <a:xfrm>
          <a:off x="8239125" y="7000875"/>
          <a:ext cx="3619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21</xdr:col>
      <xdr:colOff>76200</xdr:colOff>
      <xdr:row>47</xdr:row>
      <xdr:rowOff>28575</xdr:rowOff>
    </xdr:from>
    <xdr:to>
      <xdr:col>21</xdr:col>
      <xdr:colOff>219075</xdr:colOff>
      <xdr:row>48</xdr:row>
      <xdr:rowOff>133350</xdr:rowOff>
    </xdr:to>
    <xdr:sp>
      <xdr:nvSpPr>
        <xdr:cNvPr id="305" name="Text Box 50568"/>
        <xdr:cNvSpPr txBox="1">
          <a:spLocks noChangeArrowheads="1"/>
        </xdr:cNvSpPr>
      </xdr:nvSpPr>
      <xdr:spPr>
        <a:xfrm>
          <a:off x="8324850" y="6743700"/>
          <a:ext cx="142875" cy="247650"/>
        </a:xfrm>
        <a:prstGeom prst="rect">
          <a:avLst/>
        </a:prstGeom>
        <a:noFill/>
        <a:ln w="9525" cmpd="sng">
          <a:noFill/>
        </a:ln>
      </xdr:spPr>
      <xdr:txBody>
        <a:bodyPr vertOverflow="clip" wrap="square" lIns="27432" tIns="41148" rIns="0" bIns="0"/>
        <a:p>
          <a:pPr algn="l">
            <a:defRPr/>
          </a:pPr>
          <a:r>
            <a:rPr lang="en-US" cap="none" sz="1200" b="1" i="0" u="none" baseline="0">
              <a:solidFill>
                <a:srgbClr val="000000"/>
              </a:solidFill>
              <a:latin typeface="AngsanaUPC"/>
              <a:ea typeface="AngsanaUPC"/>
              <a:cs typeface="AngsanaUPC"/>
            </a:rPr>
            <a:t>X</a:t>
          </a:r>
        </a:p>
      </xdr:txBody>
    </xdr:sp>
    <xdr:clientData/>
  </xdr:twoCellAnchor>
  <xdr:twoCellAnchor>
    <xdr:from>
      <xdr:col>19</xdr:col>
      <xdr:colOff>19050</xdr:colOff>
      <xdr:row>44</xdr:row>
      <xdr:rowOff>133350</xdr:rowOff>
    </xdr:from>
    <xdr:to>
      <xdr:col>19</xdr:col>
      <xdr:colOff>276225</xdr:colOff>
      <xdr:row>44</xdr:row>
      <xdr:rowOff>133350</xdr:rowOff>
    </xdr:to>
    <xdr:sp>
      <xdr:nvSpPr>
        <xdr:cNvPr id="306" name="Line 50597"/>
        <xdr:cNvSpPr>
          <a:spLocks/>
        </xdr:cNvSpPr>
      </xdr:nvSpPr>
      <xdr:spPr>
        <a:xfrm>
          <a:off x="7524750" y="6419850"/>
          <a:ext cx="257175" cy="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16</xdr:col>
      <xdr:colOff>0</xdr:colOff>
      <xdr:row>46</xdr:row>
      <xdr:rowOff>76200</xdr:rowOff>
    </xdr:from>
    <xdr:to>
      <xdr:col>16</xdr:col>
      <xdr:colOff>228600</xdr:colOff>
      <xdr:row>47</xdr:row>
      <xdr:rowOff>104775</xdr:rowOff>
    </xdr:to>
    <xdr:grpSp>
      <xdr:nvGrpSpPr>
        <xdr:cNvPr id="307" name="Group 170"/>
        <xdr:cNvGrpSpPr>
          <a:grpSpLocks/>
        </xdr:cNvGrpSpPr>
      </xdr:nvGrpSpPr>
      <xdr:grpSpPr>
        <a:xfrm>
          <a:off x="6391275" y="6648450"/>
          <a:ext cx="228600" cy="171450"/>
          <a:chOff x="5885089" y="16008804"/>
          <a:chExt cx="326572" cy="285750"/>
        </a:xfrm>
        <a:solidFill>
          <a:srgbClr val="FFFFFF"/>
        </a:solidFill>
      </xdr:grpSpPr>
      <xdr:sp>
        <xdr:nvSpPr>
          <xdr:cNvPr id="308" name="Straight Connector 167"/>
          <xdr:cNvSpPr>
            <a:spLocks/>
          </xdr:cNvSpPr>
        </xdr:nvSpPr>
        <xdr:spPr>
          <a:xfrm rot="5400000">
            <a:off x="5911541" y="16151679"/>
            <a:ext cx="28575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309" name="Straight Connector 168"/>
          <xdr:cNvSpPr>
            <a:spLocks/>
          </xdr:cNvSpPr>
        </xdr:nvSpPr>
        <xdr:spPr>
          <a:xfrm>
            <a:off x="5885089" y="16138677"/>
            <a:ext cx="32657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19</xdr:col>
      <xdr:colOff>142875</xdr:colOff>
      <xdr:row>46</xdr:row>
      <xdr:rowOff>76200</xdr:rowOff>
    </xdr:from>
    <xdr:to>
      <xdr:col>20</xdr:col>
      <xdr:colOff>0</xdr:colOff>
      <xdr:row>47</xdr:row>
      <xdr:rowOff>104775</xdr:rowOff>
    </xdr:to>
    <xdr:grpSp>
      <xdr:nvGrpSpPr>
        <xdr:cNvPr id="310" name="Group 170"/>
        <xdr:cNvGrpSpPr>
          <a:grpSpLocks/>
        </xdr:cNvGrpSpPr>
      </xdr:nvGrpSpPr>
      <xdr:grpSpPr>
        <a:xfrm>
          <a:off x="7648575" y="6648450"/>
          <a:ext cx="228600" cy="171450"/>
          <a:chOff x="5885089" y="16008804"/>
          <a:chExt cx="326572" cy="285750"/>
        </a:xfrm>
        <a:solidFill>
          <a:srgbClr val="FFFFFF"/>
        </a:solidFill>
      </xdr:grpSpPr>
      <xdr:sp>
        <xdr:nvSpPr>
          <xdr:cNvPr id="311" name="Straight Connector 167"/>
          <xdr:cNvSpPr>
            <a:spLocks/>
          </xdr:cNvSpPr>
        </xdr:nvSpPr>
        <xdr:spPr>
          <a:xfrm rot="5400000">
            <a:off x="5911541" y="16151679"/>
            <a:ext cx="28575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312" name="Straight Connector 168"/>
          <xdr:cNvSpPr>
            <a:spLocks/>
          </xdr:cNvSpPr>
        </xdr:nvSpPr>
        <xdr:spPr>
          <a:xfrm>
            <a:off x="5885089" y="16138677"/>
            <a:ext cx="32657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16</xdr:col>
      <xdr:colOff>57150</xdr:colOff>
      <xdr:row>47</xdr:row>
      <xdr:rowOff>47625</xdr:rowOff>
    </xdr:from>
    <xdr:to>
      <xdr:col>16</xdr:col>
      <xdr:colOff>266700</xdr:colOff>
      <xdr:row>49</xdr:row>
      <xdr:rowOff>9525</xdr:rowOff>
    </xdr:to>
    <xdr:sp>
      <xdr:nvSpPr>
        <xdr:cNvPr id="313" name="Text Box 50615"/>
        <xdr:cNvSpPr txBox="1">
          <a:spLocks noChangeArrowheads="1"/>
        </xdr:cNvSpPr>
      </xdr:nvSpPr>
      <xdr:spPr>
        <a:xfrm>
          <a:off x="6448425" y="6762750"/>
          <a:ext cx="209550"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P1</a:t>
          </a:r>
        </a:p>
      </xdr:txBody>
    </xdr:sp>
    <xdr:clientData/>
  </xdr:twoCellAnchor>
  <xdr:twoCellAnchor>
    <xdr:from>
      <xdr:col>19</xdr:col>
      <xdr:colOff>190500</xdr:colOff>
      <xdr:row>47</xdr:row>
      <xdr:rowOff>47625</xdr:rowOff>
    </xdr:from>
    <xdr:to>
      <xdr:col>20</xdr:col>
      <xdr:colOff>28575</xdr:colOff>
      <xdr:row>49</xdr:row>
      <xdr:rowOff>9525</xdr:rowOff>
    </xdr:to>
    <xdr:sp>
      <xdr:nvSpPr>
        <xdr:cNvPr id="314" name="Text Box 50616"/>
        <xdr:cNvSpPr txBox="1">
          <a:spLocks noChangeArrowheads="1"/>
        </xdr:cNvSpPr>
      </xdr:nvSpPr>
      <xdr:spPr>
        <a:xfrm>
          <a:off x="7696200" y="6762750"/>
          <a:ext cx="209550"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P3</a:t>
          </a:r>
        </a:p>
      </xdr:txBody>
    </xdr:sp>
    <xdr:clientData/>
  </xdr:twoCellAnchor>
  <xdr:twoCellAnchor>
    <xdr:from>
      <xdr:col>17</xdr:col>
      <xdr:colOff>219075</xdr:colOff>
      <xdr:row>39</xdr:row>
      <xdr:rowOff>85725</xdr:rowOff>
    </xdr:from>
    <xdr:to>
      <xdr:col>18</xdr:col>
      <xdr:colOff>57150</xdr:colOff>
      <xdr:row>41</xdr:row>
      <xdr:rowOff>47625</xdr:rowOff>
    </xdr:to>
    <xdr:sp>
      <xdr:nvSpPr>
        <xdr:cNvPr id="315" name="Text Box 50883"/>
        <xdr:cNvSpPr txBox="1">
          <a:spLocks noChangeArrowheads="1"/>
        </xdr:cNvSpPr>
      </xdr:nvSpPr>
      <xdr:spPr>
        <a:xfrm>
          <a:off x="6981825" y="5657850"/>
          <a:ext cx="209550"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P5</a:t>
          </a:r>
        </a:p>
      </xdr:txBody>
    </xdr:sp>
    <xdr:clientData/>
  </xdr:twoCellAnchor>
  <xdr:twoCellAnchor>
    <xdr:from>
      <xdr:col>17</xdr:col>
      <xdr:colOff>257175</xdr:colOff>
      <xdr:row>40</xdr:row>
      <xdr:rowOff>66675</xdr:rowOff>
    </xdr:from>
    <xdr:to>
      <xdr:col>18</xdr:col>
      <xdr:colOff>114300</xdr:colOff>
      <xdr:row>41</xdr:row>
      <xdr:rowOff>95250</xdr:rowOff>
    </xdr:to>
    <xdr:grpSp>
      <xdr:nvGrpSpPr>
        <xdr:cNvPr id="316" name="Group 170"/>
        <xdr:cNvGrpSpPr>
          <a:grpSpLocks/>
        </xdr:cNvGrpSpPr>
      </xdr:nvGrpSpPr>
      <xdr:grpSpPr>
        <a:xfrm>
          <a:off x="7019925" y="5781675"/>
          <a:ext cx="228600" cy="171450"/>
          <a:chOff x="5885089" y="16008804"/>
          <a:chExt cx="326572" cy="285750"/>
        </a:xfrm>
        <a:solidFill>
          <a:srgbClr val="FFFFFF"/>
        </a:solidFill>
      </xdr:grpSpPr>
      <xdr:sp>
        <xdr:nvSpPr>
          <xdr:cNvPr id="317" name="Straight Connector 167"/>
          <xdr:cNvSpPr>
            <a:spLocks/>
          </xdr:cNvSpPr>
        </xdr:nvSpPr>
        <xdr:spPr>
          <a:xfrm rot="5400000">
            <a:off x="5911541" y="16151679"/>
            <a:ext cx="28575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318" name="Straight Connector 168"/>
          <xdr:cNvSpPr>
            <a:spLocks/>
          </xdr:cNvSpPr>
        </xdr:nvSpPr>
        <xdr:spPr>
          <a:xfrm>
            <a:off x="5885089" y="16138677"/>
            <a:ext cx="32657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17</xdr:col>
      <xdr:colOff>266700</xdr:colOff>
      <xdr:row>46</xdr:row>
      <xdr:rowOff>85725</xdr:rowOff>
    </xdr:from>
    <xdr:to>
      <xdr:col>18</xdr:col>
      <xdr:colOff>123825</xdr:colOff>
      <xdr:row>47</xdr:row>
      <xdr:rowOff>114300</xdr:rowOff>
    </xdr:to>
    <xdr:grpSp>
      <xdr:nvGrpSpPr>
        <xdr:cNvPr id="319" name="Group 170"/>
        <xdr:cNvGrpSpPr>
          <a:grpSpLocks/>
        </xdr:cNvGrpSpPr>
      </xdr:nvGrpSpPr>
      <xdr:grpSpPr>
        <a:xfrm>
          <a:off x="7029450" y="6657975"/>
          <a:ext cx="228600" cy="171450"/>
          <a:chOff x="5885089" y="16008804"/>
          <a:chExt cx="326572" cy="285750"/>
        </a:xfrm>
        <a:solidFill>
          <a:srgbClr val="FFFFFF"/>
        </a:solidFill>
      </xdr:grpSpPr>
      <xdr:sp>
        <xdr:nvSpPr>
          <xdr:cNvPr id="320" name="Straight Connector 167"/>
          <xdr:cNvSpPr>
            <a:spLocks/>
          </xdr:cNvSpPr>
        </xdr:nvSpPr>
        <xdr:spPr>
          <a:xfrm rot="5400000">
            <a:off x="5911541" y="16151679"/>
            <a:ext cx="28575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321" name="Straight Connector 168"/>
          <xdr:cNvSpPr>
            <a:spLocks/>
          </xdr:cNvSpPr>
        </xdr:nvSpPr>
        <xdr:spPr>
          <a:xfrm>
            <a:off x="5885089" y="16138677"/>
            <a:ext cx="32657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18</xdr:col>
      <xdr:colOff>0</xdr:colOff>
      <xdr:row>47</xdr:row>
      <xdr:rowOff>57150</xdr:rowOff>
    </xdr:from>
    <xdr:to>
      <xdr:col>18</xdr:col>
      <xdr:colOff>209550</xdr:colOff>
      <xdr:row>49</xdr:row>
      <xdr:rowOff>19050</xdr:rowOff>
    </xdr:to>
    <xdr:sp>
      <xdr:nvSpPr>
        <xdr:cNvPr id="322" name="Text Box 50890"/>
        <xdr:cNvSpPr txBox="1">
          <a:spLocks noChangeArrowheads="1"/>
        </xdr:cNvSpPr>
      </xdr:nvSpPr>
      <xdr:spPr>
        <a:xfrm>
          <a:off x="7134225" y="6772275"/>
          <a:ext cx="209550"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P2</a:t>
          </a:r>
        </a:p>
      </xdr:txBody>
    </xdr:sp>
    <xdr:clientData/>
  </xdr:twoCellAnchor>
  <xdr:twoCellAnchor>
    <xdr:from>
      <xdr:col>18</xdr:col>
      <xdr:colOff>0</xdr:colOff>
      <xdr:row>36</xdr:row>
      <xdr:rowOff>9525</xdr:rowOff>
    </xdr:from>
    <xdr:to>
      <xdr:col>18</xdr:col>
      <xdr:colOff>0</xdr:colOff>
      <xdr:row>40</xdr:row>
      <xdr:rowOff>47625</xdr:rowOff>
    </xdr:to>
    <xdr:sp>
      <xdr:nvSpPr>
        <xdr:cNvPr id="323" name="Line 50891"/>
        <xdr:cNvSpPr>
          <a:spLocks/>
        </xdr:cNvSpPr>
      </xdr:nvSpPr>
      <xdr:spPr>
        <a:xfrm flipV="1">
          <a:off x="7134225" y="5153025"/>
          <a:ext cx="0" cy="609600"/>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15</xdr:col>
      <xdr:colOff>9525</xdr:colOff>
      <xdr:row>36</xdr:row>
      <xdr:rowOff>66675</xdr:rowOff>
    </xdr:from>
    <xdr:to>
      <xdr:col>18</xdr:col>
      <xdr:colOff>0</xdr:colOff>
      <xdr:row>36</xdr:row>
      <xdr:rowOff>66675</xdr:rowOff>
    </xdr:to>
    <xdr:sp>
      <xdr:nvSpPr>
        <xdr:cNvPr id="324" name="Line 50892"/>
        <xdr:cNvSpPr>
          <a:spLocks/>
        </xdr:cNvSpPr>
      </xdr:nvSpPr>
      <xdr:spPr>
        <a:xfrm>
          <a:off x="6029325" y="5210175"/>
          <a:ext cx="110490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16</xdr:col>
      <xdr:colOff>57150</xdr:colOff>
      <xdr:row>35</xdr:row>
      <xdr:rowOff>28575</xdr:rowOff>
    </xdr:from>
    <xdr:to>
      <xdr:col>16</xdr:col>
      <xdr:colOff>266700</xdr:colOff>
      <xdr:row>36</xdr:row>
      <xdr:rowOff>133350</xdr:rowOff>
    </xdr:to>
    <xdr:sp>
      <xdr:nvSpPr>
        <xdr:cNvPr id="325" name="Text Box 50893"/>
        <xdr:cNvSpPr txBox="1">
          <a:spLocks noChangeArrowheads="1"/>
        </xdr:cNvSpPr>
      </xdr:nvSpPr>
      <xdr:spPr>
        <a:xfrm>
          <a:off x="6448425" y="5029200"/>
          <a:ext cx="209550"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Xo</a:t>
          </a:r>
        </a:p>
      </xdr:txBody>
    </xdr:sp>
    <xdr:clientData/>
  </xdr:twoCellAnchor>
  <xdr:twoCellAnchor>
    <xdr:from>
      <xdr:col>16</xdr:col>
      <xdr:colOff>361950</xdr:colOff>
      <xdr:row>33</xdr:row>
      <xdr:rowOff>95250</xdr:rowOff>
    </xdr:from>
    <xdr:to>
      <xdr:col>17</xdr:col>
      <xdr:colOff>200025</xdr:colOff>
      <xdr:row>35</xdr:row>
      <xdr:rowOff>57150</xdr:rowOff>
    </xdr:to>
    <xdr:sp>
      <xdr:nvSpPr>
        <xdr:cNvPr id="326" name="Text Box 50894"/>
        <xdr:cNvSpPr txBox="1">
          <a:spLocks noChangeArrowheads="1"/>
        </xdr:cNvSpPr>
      </xdr:nvSpPr>
      <xdr:spPr>
        <a:xfrm>
          <a:off x="6753225" y="4810125"/>
          <a:ext cx="209550"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Xo</a:t>
          </a:r>
        </a:p>
      </xdr:txBody>
    </xdr:sp>
    <xdr:clientData/>
  </xdr:twoCellAnchor>
  <xdr:twoCellAnchor>
    <xdr:from>
      <xdr:col>14</xdr:col>
      <xdr:colOff>85725</xdr:colOff>
      <xdr:row>47</xdr:row>
      <xdr:rowOff>9525</xdr:rowOff>
    </xdr:from>
    <xdr:to>
      <xdr:col>15</xdr:col>
      <xdr:colOff>95250</xdr:colOff>
      <xdr:row>47</xdr:row>
      <xdr:rowOff>9525</xdr:rowOff>
    </xdr:to>
    <xdr:sp>
      <xdr:nvSpPr>
        <xdr:cNvPr id="327" name="Line 50895"/>
        <xdr:cNvSpPr>
          <a:spLocks/>
        </xdr:cNvSpPr>
      </xdr:nvSpPr>
      <xdr:spPr>
        <a:xfrm>
          <a:off x="5734050" y="6724650"/>
          <a:ext cx="381000" cy="0"/>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14</xdr:col>
      <xdr:colOff>238125</xdr:colOff>
      <xdr:row>47</xdr:row>
      <xdr:rowOff>9525</xdr:rowOff>
    </xdr:from>
    <xdr:to>
      <xdr:col>14</xdr:col>
      <xdr:colOff>238125</xdr:colOff>
      <xdr:row>49</xdr:row>
      <xdr:rowOff>9525</xdr:rowOff>
    </xdr:to>
    <xdr:sp>
      <xdr:nvSpPr>
        <xdr:cNvPr id="328" name="Line 50896"/>
        <xdr:cNvSpPr>
          <a:spLocks/>
        </xdr:cNvSpPr>
      </xdr:nvSpPr>
      <xdr:spPr>
        <a:xfrm>
          <a:off x="5886450" y="6724650"/>
          <a:ext cx="0" cy="28575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14</xdr:col>
      <xdr:colOff>28575</xdr:colOff>
      <xdr:row>47</xdr:row>
      <xdr:rowOff>9525</xdr:rowOff>
    </xdr:from>
    <xdr:to>
      <xdr:col>14</xdr:col>
      <xdr:colOff>238125</xdr:colOff>
      <xdr:row>48</xdr:row>
      <xdr:rowOff>114300</xdr:rowOff>
    </xdr:to>
    <xdr:sp>
      <xdr:nvSpPr>
        <xdr:cNvPr id="329" name="Text Box 50897"/>
        <xdr:cNvSpPr txBox="1">
          <a:spLocks noChangeArrowheads="1"/>
        </xdr:cNvSpPr>
      </xdr:nvSpPr>
      <xdr:spPr>
        <a:xfrm>
          <a:off x="5676900" y="6724650"/>
          <a:ext cx="209550"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Yo</a:t>
          </a:r>
        </a:p>
      </xdr:txBody>
    </xdr:sp>
    <xdr:clientData/>
  </xdr:twoCellAnchor>
  <xdr:twoCellAnchor>
    <xdr:from>
      <xdr:col>13</xdr:col>
      <xdr:colOff>200025</xdr:colOff>
      <xdr:row>49</xdr:row>
      <xdr:rowOff>0</xdr:rowOff>
    </xdr:from>
    <xdr:to>
      <xdr:col>14</xdr:col>
      <xdr:colOff>342900</xdr:colOff>
      <xdr:row>49</xdr:row>
      <xdr:rowOff>0</xdr:rowOff>
    </xdr:to>
    <xdr:sp>
      <xdr:nvSpPr>
        <xdr:cNvPr id="330" name="Line 50900"/>
        <xdr:cNvSpPr>
          <a:spLocks/>
        </xdr:cNvSpPr>
      </xdr:nvSpPr>
      <xdr:spPr>
        <a:xfrm flipH="1">
          <a:off x="5476875" y="7000875"/>
          <a:ext cx="514350" cy="0"/>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19</xdr:col>
      <xdr:colOff>133350</xdr:colOff>
      <xdr:row>65</xdr:row>
      <xdr:rowOff>95250</xdr:rowOff>
    </xdr:from>
    <xdr:to>
      <xdr:col>20</xdr:col>
      <xdr:colOff>85725</xdr:colOff>
      <xdr:row>67</xdr:row>
      <xdr:rowOff>57150</xdr:rowOff>
    </xdr:to>
    <xdr:sp>
      <xdr:nvSpPr>
        <xdr:cNvPr id="331" name="Text Box 50904"/>
        <xdr:cNvSpPr txBox="1">
          <a:spLocks noChangeArrowheads="1"/>
        </xdr:cNvSpPr>
      </xdr:nvSpPr>
      <xdr:spPr>
        <a:xfrm>
          <a:off x="7639050" y="9382125"/>
          <a:ext cx="323850"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P3,P6</a:t>
          </a:r>
        </a:p>
      </xdr:txBody>
    </xdr:sp>
    <xdr:clientData/>
  </xdr:twoCellAnchor>
  <xdr:twoCellAnchor>
    <xdr:from>
      <xdr:col>17</xdr:col>
      <xdr:colOff>247650</xdr:colOff>
      <xdr:row>65</xdr:row>
      <xdr:rowOff>104775</xdr:rowOff>
    </xdr:from>
    <xdr:to>
      <xdr:col>18</xdr:col>
      <xdr:colOff>200025</xdr:colOff>
      <xdr:row>67</xdr:row>
      <xdr:rowOff>66675</xdr:rowOff>
    </xdr:to>
    <xdr:sp>
      <xdr:nvSpPr>
        <xdr:cNvPr id="332" name="Text Box 50905"/>
        <xdr:cNvSpPr txBox="1">
          <a:spLocks noChangeArrowheads="1"/>
        </xdr:cNvSpPr>
      </xdr:nvSpPr>
      <xdr:spPr>
        <a:xfrm>
          <a:off x="7010400" y="9391650"/>
          <a:ext cx="323850"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P2,P5</a:t>
          </a:r>
        </a:p>
      </xdr:txBody>
    </xdr:sp>
    <xdr:clientData/>
  </xdr:twoCellAnchor>
  <xdr:twoCellAnchor>
    <xdr:from>
      <xdr:col>6</xdr:col>
      <xdr:colOff>152400</xdr:colOff>
      <xdr:row>188</xdr:row>
      <xdr:rowOff>9525</xdr:rowOff>
    </xdr:from>
    <xdr:to>
      <xdr:col>6</xdr:col>
      <xdr:colOff>152400</xdr:colOff>
      <xdr:row>196</xdr:row>
      <xdr:rowOff>9525</xdr:rowOff>
    </xdr:to>
    <xdr:sp>
      <xdr:nvSpPr>
        <xdr:cNvPr id="333" name="Line 50910"/>
        <xdr:cNvSpPr>
          <a:spLocks/>
        </xdr:cNvSpPr>
      </xdr:nvSpPr>
      <xdr:spPr>
        <a:xfrm>
          <a:off x="2828925" y="26870025"/>
          <a:ext cx="0" cy="114300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8</xdr:col>
      <xdr:colOff>142875</xdr:colOff>
      <xdr:row>181</xdr:row>
      <xdr:rowOff>38100</xdr:rowOff>
    </xdr:from>
    <xdr:to>
      <xdr:col>8</xdr:col>
      <xdr:colOff>142875</xdr:colOff>
      <xdr:row>184</xdr:row>
      <xdr:rowOff>114300</xdr:rowOff>
    </xdr:to>
    <xdr:sp>
      <xdr:nvSpPr>
        <xdr:cNvPr id="334" name="Line 50917"/>
        <xdr:cNvSpPr>
          <a:spLocks/>
        </xdr:cNvSpPr>
      </xdr:nvSpPr>
      <xdr:spPr>
        <a:xfrm flipV="1">
          <a:off x="3562350" y="25898475"/>
          <a:ext cx="0" cy="504825"/>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13</xdr:col>
      <xdr:colOff>228600</xdr:colOff>
      <xdr:row>181</xdr:row>
      <xdr:rowOff>28575</xdr:rowOff>
    </xdr:from>
    <xdr:to>
      <xdr:col>13</xdr:col>
      <xdr:colOff>228600</xdr:colOff>
      <xdr:row>184</xdr:row>
      <xdr:rowOff>104775</xdr:rowOff>
    </xdr:to>
    <xdr:sp>
      <xdr:nvSpPr>
        <xdr:cNvPr id="335" name="Line 50918"/>
        <xdr:cNvSpPr>
          <a:spLocks/>
        </xdr:cNvSpPr>
      </xdr:nvSpPr>
      <xdr:spPr>
        <a:xfrm flipV="1">
          <a:off x="5505450" y="25888950"/>
          <a:ext cx="0" cy="504825"/>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10</xdr:col>
      <xdr:colOff>238125</xdr:colOff>
      <xdr:row>187</xdr:row>
      <xdr:rowOff>57150</xdr:rowOff>
    </xdr:from>
    <xdr:to>
      <xdr:col>11</xdr:col>
      <xdr:colOff>133350</xdr:colOff>
      <xdr:row>196</xdr:row>
      <xdr:rowOff>114300</xdr:rowOff>
    </xdr:to>
    <xdr:grpSp>
      <xdr:nvGrpSpPr>
        <xdr:cNvPr id="336" name="Group 50920"/>
        <xdr:cNvGrpSpPr>
          <a:grpSpLocks/>
        </xdr:cNvGrpSpPr>
      </xdr:nvGrpSpPr>
      <xdr:grpSpPr>
        <a:xfrm>
          <a:off x="4400550" y="26774775"/>
          <a:ext cx="266700" cy="1343025"/>
          <a:chOff x="359" y="2811"/>
          <a:chExt cx="28" cy="141"/>
        </a:xfrm>
        <a:solidFill>
          <a:srgbClr val="FFFFFF"/>
        </a:solidFill>
      </xdr:grpSpPr>
      <xdr:grpSp>
        <xdr:nvGrpSpPr>
          <xdr:cNvPr id="337" name="Group 170"/>
          <xdr:cNvGrpSpPr>
            <a:grpSpLocks/>
          </xdr:cNvGrpSpPr>
        </xdr:nvGrpSpPr>
        <xdr:grpSpPr>
          <a:xfrm>
            <a:off x="360" y="2811"/>
            <a:ext cx="27" cy="22"/>
            <a:chOff x="5885089" y="16008804"/>
            <a:chExt cx="326572" cy="285750"/>
          </a:xfrm>
          <a:solidFill>
            <a:srgbClr val="FFFFFF"/>
          </a:solidFill>
        </xdr:grpSpPr>
        <xdr:sp>
          <xdr:nvSpPr>
            <xdr:cNvPr id="338" name="Straight Connector 167"/>
            <xdr:cNvSpPr>
              <a:spLocks/>
            </xdr:cNvSpPr>
          </xdr:nvSpPr>
          <xdr:spPr>
            <a:xfrm rot="5400000">
              <a:off x="5911541" y="16151679"/>
              <a:ext cx="28575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339" name="Straight Connector 168"/>
            <xdr:cNvSpPr>
              <a:spLocks/>
            </xdr:cNvSpPr>
          </xdr:nvSpPr>
          <xdr:spPr>
            <a:xfrm>
              <a:off x="5885089" y="16138677"/>
              <a:ext cx="32657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grpSp>
        <xdr:nvGrpSpPr>
          <xdr:cNvPr id="340" name="Group 170"/>
          <xdr:cNvGrpSpPr>
            <a:grpSpLocks/>
          </xdr:cNvGrpSpPr>
        </xdr:nvGrpSpPr>
        <xdr:grpSpPr>
          <a:xfrm>
            <a:off x="359" y="2930"/>
            <a:ext cx="27" cy="22"/>
            <a:chOff x="5885089" y="16008804"/>
            <a:chExt cx="326572" cy="285750"/>
          </a:xfrm>
          <a:solidFill>
            <a:srgbClr val="FFFFFF"/>
          </a:solidFill>
        </xdr:grpSpPr>
        <xdr:sp>
          <xdr:nvSpPr>
            <xdr:cNvPr id="341" name="Straight Connector 167"/>
            <xdr:cNvSpPr>
              <a:spLocks/>
            </xdr:cNvSpPr>
          </xdr:nvSpPr>
          <xdr:spPr>
            <a:xfrm rot="5400000">
              <a:off x="5911541" y="16151679"/>
              <a:ext cx="28575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342" name="Straight Connector 168"/>
            <xdr:cNvSpPr>
              <a:spLocks/>
            </xdr:cNvSpPr>
          </xdr:nvSpPr>
          <xdr:spPr>
            <a:xfrm>
              <a:off x="5885089" y="16138677"/>
              <a:ext cx="32657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grpSp>
    <xdr:clientData/>
  </xdr:twoCellAnchor>
  <xdr:twoCellAnchor>
    <xdr:from>
      <xdr:col>11</xdr:col>
      <xdr:colOff>0</xdr:colOff>
      <xdr:row>183</xdr:row>
      <xdr:rowOff>0</xdr:rowOff>
    </xdr:from>
    <xdr:to>
      <xdr:col>13</xdr:col>
      <xdr:colOff>247650</xdr:colOff>
      <xdr:row>183</xdr:row>
      <xdr:rowOff>0</xdr:rowOff>
    </xdr:to>
    <xdr:sp>
      <xdr:nvSpPr>
        <xdr:cNvPr id="343" name="Line 50927"/>
        <xdr:cNvSpPr>
          <a:spLocks/>
        </xdr:cNvSpPr>
      </xdr:nvSpPr>
      <xdr:spPr>
        <a:xfrm>
          <a:off x="4533900" y="26146125"/>
          <a:ext cx="99060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10</xdr:col>
      <xdr:colOff>314325</xdr:colOff>
      <xdr:row>192</xdr:row>
      <xdr:rowOff>28575</xdr:rowOff>
    </xdr:from>
    <xdr:to>
      <xdr:col>15</xdr:col>
      <xdr:colOff>342900</xdr:colOff>
      <xdr:row>194</xdr:row>
      <xdr:rowOff>9525</xdr:rowOff>
    </xdr:to>
    <xdr:grpSp>
      <xdr:nvGrpSpPr>
        <xdr:cNvPr id="344" name="Group 272"/>
        <xdr:cNvGrpSpPr>
          <a:grpSpLocks/>
        </xdr:cNvGrpSpPr>
      </xdr:nvGrpSpPr>
      <xdr:grpSpPr>
        <a:xfrm>
          <a:off x="4476750" y="27460575"/>
          <a:ext cx="1885950" cy="266700"/>
          <a:chOff x="4600575" y="15012194"/>
          <a:chExt cx="1886347" cy="267494"/>
        </a:xfrm>
        <a:solidFill>
          <a:srgbClr val="FFFFFF"/>
        </a:solidFill>
      </xdr:grpSpPr>
      <xdr:sp>
        <xdr:nvSpPr>
          <xdr:cNvPr id="345" name="Straight Connector 363"/>
          <xdr:cNvSpPr>
            <a:spLocks/>
          </xdr:cNvSpPr>
        </xdr:nvSpPr>
        <xdr:spPr>
          <a:xfrm>
            <a:off x="4600575" y="15279688"/>
            <a:ext cx="1771751" cy="0"/>
          </a:xfrm>
          <a:prstGeom prst="line">
            <a:avLst/>
          </a:prstGeom>
          <a:noFill/>
          <a:ln w="28575" cmpd="sng">
            <a:solidFill>
              <a:srgbClr val="000000"/>
            </a:solidFill>
            <a:prstDash val="lg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346" name="Straight Arrow Connector 364"/>
          <xdr:cNvSpPr>
            <a:spLocks/>
          </xdr:cNvSpPr>
        </xdr:nvSpPr>
        <xdr:spPr>
          <a:xfrm rot="5400000" flipH="1" flipV="1">
            <a:off x="6219532" y="15145941"/>
            <a:ext cx="267390" cy="0"/>
          </a:xfrm>
          <a:prstGeom prst="straightConnector1">
            <a:avLst/>
          </a:prstGeom>
          <a:noFill/>
          <a:ln w="47625" cmpd="sng">
            <a:solidFill>
              <a:srgbClr val="000000"/>
            </a:solidFill>
            <a:prstDash val="lgDashDot"/>
            <a:headEnd type="none"/>
            <a:tailEnd type="stealth"/>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editAs="oneCell">
    <xdr:from>
      <xdr:col>1</xdr:col>
      <xdr:colOff>104775</xdr:colOff>
      <xdr:row>1</xdr:row>
      <xdr:rowOff>28575</xdr:rowOff>
    </xdr:from>
    <xdr:to>
      <xdr:col>2</xdr:col>
      <xdr:colOff>238125</xdr:colOff>
      <xdr:row>4</xdr:row>
      <xdr:rowOff>114300</xdr:rowOff>
    </xdr:to>
    <xdr:pic>
      <xdr:nvPicPr>
        <xdr:cNvPr id="347" name="Picture 76591"/>
        <xdr:cNvPicPr preferRelativeResize="1">
          <a:picLocks noChangeAspect="1"/>
        </xdr:cNvPicPr>
      </xdr:nvPicPr>
      <xdr:blipFill>
        <a:blip r:embed="rId2"/>
        <a:stretch>
          <a:fillRect/>
        </a:stretch>
      </xdr:blipFill>
      <xdr:spPr>
        <a:xfrm>
          <a:off x="714375" y="171450"/>
          <a:ext cx="504825" cy="514350"/>
        </a:xfrm>
        <a:prstGeom prst="rect">
          <a:avLst/>
        </a:prstGeom>
        <a:noFill/>
        <a:ln w="9525" cmpd="sng">
          <a:noFill/>
        </a:ln>
      </xdr:spPr>
    </xdr:pic>
    <xdr:clientData/>
  </xdr:twoCellAnchor>
  <xdr:twoCellAnchor editAs="oneCell">
    <xdr:from>
      <xdr:col>1</xdr:col>
      <xdr:colOff>104775</xdr:colOff>
      <xdr:row>85</xdr:row>
      <xdr:rowOff>28575</xdr:rowOff>
    </xdr:from>
    <xdr:to>
      <xdr:col>2</xdr:col>
      <xdr:colOff>238125</xdr:colOff>
      <xdr:row>88</xdr:row>
      <xdr:rowOff>114300</xdr:rowOff>
    </xdr:to>
    <xdr:pic>
      <xdr:nvPicPr>
        <xdr:cNvPr id="348" name="Picture 76591"/>
        <xdr:cNvPicPr preferRelativeResize="1">
          <a:picLocks noChangeAspect="1"/>
        </xdr:cNvPicPr>
      </xdr:nvPicPr>
      <xdr:blipFill>
        <a:blip r:embed="rId2"/>
        <a:stretch>
          <a:fillRect/>
        </a:stretch>
      </xdr:blipFill>
      <xdr:spPr>
        <a:xfrm>
          <a:off x="714375" y="12172950"/>
          <a:ext cx="504825" cy="514350"/>
        </a:xfrm>
        <a:prstGeom prst="rect">
          <a:avLst/>
        </a:prstGeom>
        <a:noFill/>
        <a:ln w="9525" cmpd="sng">
          <a:noFill/>
        </a:ln>
      </xdr:spPr>
    </xdr:pic>
    <xdr:clientData/>
  </xdr:twoCellAnchor>
  <xdr:twoCellAnchor editAs="oneCell">
    <xdr:from>
      <xdr:col>1</xdr:col>
      <xdr:colOff>104775</xdr:colOff>
      <xdr:row>169</xdr:row>
      <xdr:rowOff>28575</xdr:rowOff>
    </xdr:from>
    <xdr:to>
      <xdr:col>2</xdr:col>
      <xdr:colOff>238125</xdr:colOff>
      <xdr:row>172</xdr:row>
      <xdr:rowOff>114300</xdr:rowOff>
    </xdr:to>
    <xdr:pic>
      <xdr:nvPicPr>
        <xdr:cNvPr id="349" name="Picture 76591"/>
        <xdr:cNvPicPr preferRelativeResize="1">
          <a:picLocks noChangeAspect="1"/>
        </xdr:cNvPicPr>
      </xdr:nvPicPr>
      <xdr:blipFill>
        <a:blip r:embed="rId2"/>
        <a:stretch>
          <a:fillRect/>
        </a:stretch>
      </xdr:blipFill>
      <xdr:spPr>
        <a:xfrm>
          <a:off x="714375" y="24174450"/>
          <a:ext cx="504825"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1</xdr:row>
      <xdr:rowOff>0</xdr:rowOff>
    </xdr:from>
    <xdr:to>
      <xdr:col>29</xdr:col>
      <xdr:colOff>0</xdr:colOff>
      <xdr:row>4</xdr:row>
      <xdr:rowOff>0</xdr:rowOff>
    </xdr:to>
    <xdr:sp>
      <xdr:nvSpPr>
        <xdr:cNvPr id="1" name="Rectangle 29"/>
        <xdr:cNvSpPr>
          <a:spLocks/>
        </xdr:cNvSpPr>
      </xdr:nvSpPr>
      <xdr:spPr>
        <a:xfrm>
          <a:off x="6610350" y="200025"/>
          <a:ext cx="1219200" cy="6477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6</xdr:col>
      <xdr:colOff>19050</xdr:colOff>
      <xdr:row>8</xdr:row>
      <xdr:rowOff>19050</xdr:rowOff>
    </xdr:from>
    <xdr:to>
      <xdr:col>8</xdr:col>
      <xdr:colOff>790575</xdr:colOff>
      <xdr:row>28</xdr:row>
      <xdr:rowOff>0</xdr:rowOff>
    </xdr:to>
    <xdr:graphicFrame>
      <xdr:nvGraphicFramePr>
        <xdr:cNvPr id="2" name="Chart 31"/>
        <xdr:cNvGraphicFramePr/>
      </xdr:nvGraphicFramePr>
      <xdr:xfrm>
        <a:off x="3990975" y="1514475"/>
        <a:ext cx="1990725" cy="3219450"/>
      </xdr:xfrm>
      <a:graphic>
        <a:graphicData uri="http://schemas.openxmlformats.org/drawingml/2006/chart">
          <c:chart xmlns:c="http://schemas.openxmlformats.org/drawingml/2006/chart" r:id="rId1"/>
        </a:graphicData>
      </a:graphic>
    </xdr:graphicFrame>
    <xdr:clientData/>
  </xdr:twoCellAnchor>
  <xdr:twoCellAnchor>
    <xdr:from>
      <xdr:col>6</xdr:col>
      <xdr:colOff>152400</xdr:colOff>
      <xdr:row>13</xdr:row>
      <xdr:rowOff>19050</xdr:rowOff>
    </xdr:from>
    <xdr:to>
      <xdr:col>6</xdr:col>
      <xdr:colOff>152400</xdr:colOff>
      <xdr:row>15</xdr:row>
      <xdr:rowOff>57150</xdr:rowOff>
    </xdr:to>
    <xdr:sp>
      <xdr:nvSpPr>
        <xdr:cNvPr id="3" name="Line 32"/>
        <xdr:cNvSpPr>
          <a:spLocks/>
        </xdr:cNvSpPr>
      </xdr:nvSpPr>
      <xdr:spPr>
        <a:xfrm flipV="1">
          <a:off x="4124325" y="2324100"/>
          <a:ext cx="0" cy="3619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8</xdr:col>
      <xdr:colOff>266700</xdr:colOff>
      <xdr:row>27</xdr:row>
      <xdr:rowOff>19050</xdr:rowOff>
    </xdr:from>
    <xdr:to>
      <xdr:col>8</xdr:col>
      <xdr:colOff>628650</xdr:colOff>
      <xdr:row>27</xdr:row>
      <xdr:rowOff>19050</xdr:rowOff>
    </xdr:to>
    <xdr:sp>
      <xdr:nvSpPr>
        <xdr:cNvPr id="4" name="Line 33"/>
        <xdr:cNvSpPr>
          <a:spLocks/>
        </xdr:cNvSpPr>
      </xdr:nvSpPr>
      <xdr:spPr>
        <a:xfrm>
          <a:off x="5457825" y="4591050"/>
          <a:ext cx="3619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33</xdr:col>
      <xdr:colOff>38100</xdr:colOff>
      <xdr:row>65</xdr:row>
      <xdr:rowOff>76200</xdr:rowOff>
    </xdr:from>
    <xdr:to>
      <xdr:col>33</xdr:col>
      <xdr:colOff>342900</xdr:colOff>
      <xdr:row>65</xdr:row>
      <xdr:rowOff>76200</xdr:rowOff>
    </xdr:to>
    <xdr:sp>
      <xdr:nvSpPr>
        <xdr:cNvPr id="5" name="Line 35"/>
        <xdr:cNvSpPr>
          <a:spLocks/>
        </xdr:cNvSpPr>
      </xdr:nvSpPr>
      <xdr:spPr>
        <a:xfrm flipH="1">
          <a:off x="10306050" y="10963275"/>
          <a:ext cx="3048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33</xdr:col>
      <xdr:colOff>38100</xdr:colOff>
      <xdr:row>89</xdr:row>
      <xdr:rowOff>66675</xdr:rowOff>
    </xdr:from>
    <xdr:to>
      <xdr:col>33</xdr:col>
      <xdr:colOff>342900</xdr:colOff>
      <xdr:row>89</xdr:row>
      <xdr:rowOff>66675</xdr:rowOff>
    </xdr:to>
    <xdr:sp>
      <xdr:nvSpPr>
        <xdr:cNvPr id="6" name="Line 36"/>
        <xdr:cNvSpPr>
          <a:spLocks/>
        </xdr:cNvSpPr>
      </xdr:nvSpPr>
      <xdr:spPr>
        <a:xfrm flipH="1">
          <a:off x="10306050" y="14839950"/>
          <a:ext cx="3048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33</xdr:col>
      <xdr:colOff>342900</xdr:colOff>
      <xdr:row>65</xdr:row>
      <xdr:rowOff>76200</xdr:rowOff>
    </xdr:from>
    <xdr:to>
      <xdr:col>33</xdr:col>
      <xdr:colOff>342900</xdr:colOff>
      <xdr:row>89</xdr:row>
      <xdr:rowOff>66675</xdr:rowOff>
    </xdr:to>
    <xdr:sp>
      <xdr:nvSpPr>
        <xdr:cNvPr id="7" name="Line 37"/>
        <xdr:cNvSpPr>
          <a:spLocks/>
        </xdr:cNvSpPr>
      </xdr:nvSpPr>
      <xdr:spPr>
        <a:xfrm>
          <a:off x="10610850" y="10963275"/>
          <a:ext cx="0" cy="3876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33</xdr:col>
      <xdr:colOff>342900</xdr:colOff>
      <xdr:row>77</xdr:row>
      <xdr:rowOff>0</xdr:rowOff>
    </xdr:from>
    <xdr:to>
      <xdr:col>33</xdr:col>
      <xdr:colOff>581025</xdr:colOff>
      <xdr:row>77</xdr:row>
      <xdr:rowOff>0</xdr:rowOff>
    </xdr:to>
    <xdr:sp>
      <xdr:nvSpPr>
        <xdr:cNvPr id="8" name="Line 38"/>
        <xdr:cNvSpPr>
          <a:spLocks/>
        </xdr:cNvSpPr>
      </xdr:nvSpPr>
      <xdr:spPr>
        <a:xfrm>
          <a:off x="10610850" y="12830175"/>
          <a:ext cx="238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27</xdr:col>
      <xdr:colOff>66675</xdr:colOff>
      <xdr:row>7</xdr:row>
      <xdr:rowOff>38100</xdr:rowOff>
    </xdr:from>
    <xdr:to>
      <xdr:col>27</xdr:col>
      <xdr:colOff>161925</xdr:colOff>
      <xdr:row>7</xdr:row>
      <xdr:rowOff>133350</xdr:rowOff>
    </xdr:to>
    <xdr:sp>
      <xdr:nvSpPr>
        <xdr:cNvPr id="9" name="Oval 40"/>
        <xdr:cNvSpPr>
          <a:spLocks/>
        </xdr:cNvSpPr>
      </xdr:nvSpPr>
      <xdr:spPr>
        <a:xfrm>
          <a:off x="6677025" y="1371600"/>
          <a:ext cx="95250" cy="95250"/>
        </a:xfrm>
        <a:prstGeom prst="ellipse">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428625</xdr:colOff>
      <xdr:row>6</xdr:row>
      <xdr:rowOff>85725</xdr:rowOff>
    </xdr:from>
    <xdr:to>
      <xdr:col>28</xdr:col>
      <xdr:colOff>371475</xdr:colOff>
      <xdr:row>13</xdr:row>
      <xdr:rowOff>57150</xdr:rowOff>
    </xdr:to>
    <xdr:sp>
      <xdr:nvSpPr>
        <xdr:cNvPr id="10" name="Rectangle 41"/>
        <xdr:cNvSpPr>
          <a:spLocks/>
        </xdr:cNvSpPr>
      </xdr:nvSpPr>
      <xdr:spPr>
        <a:xfrm>
          <a:off x="6429375" y="1257300"/>
          <a:ext cx="1162050" cy="11049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428625</xdr:colOff>
      <xdr:row>5</xdr:row>
      <xdr:rowOff>85725</xdr:rowOff>
    </xdr:from>
    <xdr:to>
      <xdr:col>26</xdr:col>
      <xdr:colOff>428625</xdr:colOff>
      <xdr:row>6</xdr:row>
      <xdr:rowOff>76200</xdr:rowOff>
    </xdr:to>
    <xdr:sp>
      <xdr:nvSpPr>
        <xdr:cNvPr id="11" name="Line 42"/>
        <xdr:cNvSpPr>
          <a:spLocks/>
        </xdr:cNvSpPr>
      </xdr:nvSpPr>
      <xdr:spPr>
        <a:xfrm flipV="1">
          <a:off x="6429375" y="1095375"/>
          <a:ext cx="0" cy="152400"/>
        </a:xfrm>
        <a:prstGeom prst="line">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314325</xdr:colOff>
      <xdr:row>13</xdr:row>
      <xdr:rowOff>57150</xdr:rowOff>
    </xdr:from>
    <xdr:to>
      <xdr:col>26</xdr:col>
      <xdr:colOff>428625</xdr:colOff>
      <xdr:row>14</xdr:row>
      <xdr:rowOff>9525</xdr:rowOff>
    </xdr:to>
    <xdr:sp>
      <xdr:nvSpPr>
        <xdr:cNvPr id="12" name="Line 43"/>
        <xdr:cNvSpPr>
          <a:spLocks/>
        </xdr:cNvSpPr>
      </xdr:nvSpPr>
      <xdr:spPr>
        <a:xfrm flipH="1">
          <a:off x="6315075" y="2362200"/>
          <a:ext cx="114300" cy="114300"/>
        </a:xfrm>
        <a:prstGeom prst="line">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28</xdr:col>
      <xdr:colOff>381000</xdr:colOff>
      <xdr:row>13</xdr:row>
      <xdr:rowOff>57150</xdr:rowOff>
    </xdr:from>
    <xdr:to>
      <xdr:col>28</xdr:col>
      <xdr:colOff>533400</xdr:colOff>
      <xdr:row>13</xdr:row>
      <xdr:rowOff>57150</xdr:rowOff>
    </xdr:to>
    <xdr:sp>
      <xdr:nvSpPr>
        <xdr:cNvPr id="13" name="Line 44"/>
        <xdr:cNvSpPr>
          <a:spLocks/>
        </xdr:cNvSpPr>
      </xdr:nvSpPr>
      <xdr:spPr>
        <a:xfrm flipV="1">
          <a:off x="7600950" y="2362200"/>
          <a:ext cx="152400" cy="0"/>
        </a:xfrm>
        <a:prstGeom prst="line">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428625</xdr:colOff>
      <xdr:row>19</xdr:row>
      <xdr:rowOff>142875</xdr:rowOff>
    </xdr:from>
    <xdr:to>
      <xdr:col>28</xdr:col>
      <xdr:colOff>371475</xdr:colOff>
      <xdr:row>21</xdr:row>
      <xdr:rowOff>47625</xdr:rowOff>
    </xdr:to>
    <xdr:sp>
      <xdr:nvSpPr>
        <xdr:cNvPr id="14" name="Rectangle 45"/>
        <xdr:cNvSpPr>
          <a:spLocks/>
        </xdr:cNvSpPr>
      </xdr:nvSpPr>
      <xdr:spPr>
        <a:xfrm>
          <a:off x="6429375" y="3419475"/>
          <a:ext cx="1162050" cy="2286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27</xdr:col>
      <xdr:colOff>247650</xdr:colOff>
      <xdr:row>18</xdr:row>
      <xdr:rowOff>152400</xdr:rowOff>
    </xdr:from>
    <xdr:to>
      <xdr:col>27</xdr:col>
      <xdr:colOff>552450</xdr:colOff>
      <xdr:row>19</xdr:row>
      <xdr:rowOff>142875</xdr:rowOff>
    </xdr:to>
    <xdr:sp>
      <xdr:nvSpPr>
        <xdr:cNvPr id="15" name="Rectangle 46"/>
        <xdr:cNvSpPr>
          <a:spLocks/>
        </xdr:cNvSpPr>
      </xdr:nvSpPr>
      <xdr:spPr>
        <a:xfrm>
          <a:off x="6858000" y="3267075"/>
          <a:ext cx="304800" cy="1524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542925</xdr:colOff>
      <xdr:row>21</xdr:row>
      <xdr:rowOff>47625</xdr:rowOff>
    </xdr:from>
    <xdr:to>
      <xdr:col>26</xdr:col>
      <xdr:colOff>542925</xdr:colOff>
      <xdr:row>23</xdr:row>
      <xdr:rowOff>76200</xdr:rowOff>
    </xdr:to>
    <xdr:sp>
      <xdr:nvSpPr>
        <xdr:cNvPr id="16" name="Line 47"/>
        <xdr:cNvSpPr>
          <a:spLocks/>
        </xdr:cNvSpPr>
      </xdr:nvSpPr>
      <xdr:spPr>
        <a:xfrm>
          <a:off x="6543675" y="3648075"/>
          <a:ext cx="0" cy="352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27</xdr:col>
      <xdr:colOff>76200</xdr:colOff>
      <xdr:row>21</xdr:row>
      <xdr:rowOff>47625</xdr:rowOff>
    </xdr:from>
    <xdr:to>
      <xdr:col>27</xdr:col>
      <xdr:colOff>76200</xdr:colOff>
      <xdr:row>23</xdr:row>
      <xdr:rowOff>76200</xdr:rowOff>
    </xdr:to>
    <xdr:sp>
      <xdr:nvSpPr>
        <xdr:cNvPr id="17" name="Line 48"/>
        <xdr:cNvSpPr>
          <a:spLocks/>
        </xdr:cNvSpPr>
      </xdr:nvSpPr>
      <xdr:spPr>
        <a:xfrm>
          <a:off x="6686550" y="3648075"/>
          <a:ext cx="0" cy="352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466725</xdr:colOff>
      <xdr:row>23</xdr:row>
      <xdr:rowOff>76200</xdr:rowOff>
    </xdr:from>
    <xdr:to>
      <xdr:col>26</xdr:col>
      <xdr:colOff>571500</xdr:colOff>
      <xdr:row>23</xdr:row>
      <xdr:rowOff>76200</xdr:rowOff>
    </xdr:to>
    <xdr:sp>
      <xdr:nvSpPr>
        <xdr:cNvPr id="18" name="Line 49"/>
        <xdr:cNvSpPr>
          <a:spLocks/>
        </xdr:cNvSpPr>
      </xdr:nvSpPr>
      <xdr:spPr>
        <a:xfrm>
          <a:off x="6467475" y="4000500"/>
          <a:ext cx="104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27</xdr:col>
      <xdr:colOff>38100</xdr:colOff>
      <xdr:row>23</xdr:row>
      <xdr:rowOff>76200</xdr:rowOff>
    </xdr:from>
    <xdr:to>
      <xdr:col>27</xdr:col>
      <xdr:colOff>142875</xdr:colOff>
      <xdr:row>23</xdr:row>
      <xdr:rowOff>76200</xdr:rowOff>
    </xdr:to>
    <xdr:sp>
      <xdr:nvSpPr>
        <xdr:cNvPr id="19" name="Line 50"/>
        <xdr:cNvSpPr>
          <a:spLocks/>
        </xdr:cNvSpPr>
      </xdr:nvSpPr>
      <xdr:spPr>
        <a:xfrm>
          <a:off x="6648450" y="4000500"/>
          <a:ext cx="104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571500</xdr:colOff>
      <xdr:row>23</xdr:row>
      <xdr:rowOff>76200</xdr:rowOff>
    </xdr:from>
    <xdr:to>
      <xdr:col>26</xdr:col>
      <xdr:colOff>590550</xdr:colOff>
      <xdr:row>23</xdr:row>
      <xdr:rowOff>95250</xdr:rowOff>
    </xdr:to>
    <xdr:sp>
      <xdr:nvSpPr>
        <xdr:cNvPr id="20" name="Line 51"/>
        <xdr:cNvSpPr>
          <a:spLocks/>
        </xdr:cNvSpPr>
      </xdr:nvSpPr>
      <xdr:spPr>
        <a:xfrm>
          <a:off x="6572250" y="4000500"/>
          <a:ext cx="1905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27</xdr:col>
      <xdr:colOff>19050</xdr:colOff>
      <xdr:row>23</xdr:row>
      <xdr:rowOff>57150</xdr:rowOff>
    </xdr:from>
    <xdr:to>
      <xdr:col>27</xdr:col>
      <xdr:colOff>38100</xdr:colOff>
      <xdr:row>23</xdr:row>
      <xdr:rowOff>76200</xdr:rowOff>
    </xdr:to>
    <xdr:sp>
      <xdr:nvSpPr>
        <xdr:cNvPr id="21" name="Line 52"/>
        <xdr:cNvSpPr>
          <a:spLocks/>
        </xdr:cNvSpPr>
      </xdr:nvSpPr>
      <xdr:spPr>
        <a:xfrm flipH="1" flipV="1">
          <a:off x="6629400" y="3981450"/>
          <a:ext cx="1905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590550</xdr:colOff>
      <xdr:row>23</xdr:row>
      <xdr:rowOff>57150</xdr:rowOff>
    </xdr:from>
    <xdr:to>
      <xdr:col>27</xdr:col>
      <xdr:colOff>19050</xdr:colOff>
      <xdr:row>23</xdr:row>
      <xdr:rowOff>95250</xdr:rowOff>
    </xdr:to>
    <xdr:sp>
      <xdr:nvSpPr>
        <xdr:cNvPr id="22" name="Line 53"/>
        <xdr:cNvSpPr>
          <a:spLocks/>
        </xdr:cNvSpPr>
      </xdr:nvSpPr>
      <xdr:spPr>
        <a:xfrm flipV="1">
          <a:off x="6591300" y="3981450"/>
          <a:ext cx="38100" cy="38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28</xdr:col>
      <xdr:colOff>114300</xdr:colOff>
      <xdr:row>21</xdr:row>
      <xdr:rowOff>47625</xdr:rowOff>
    </xdr:from>
    <xdr:to>
      <xdr:col>28</xdr:col>
      <xdr:colOff>114300</xdr:colOff>
      <xdr:row>23</xdr:row>
      <xdr:rowOff>76200</xdr:rowOff>
    </xdr:to>
    <xdr:sp>
      <xdr:nvSpPr>
        <xdr:cNvPr id="23" name="Line 54"/>
        <xdr:cNvSpPr>
          <a:spLocks/>
        </xdr:cNvSpPr>
      </xdr:nvSpPr>
      <xdr:spPr>
        <a:xfrm>
          <a:off x="7334250" y="3648075"/>
          <a:ext cx="0" cy="352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28</xdr:col>
      <xdr:colOff>257175</xdr:colOff>
      <xdr:row>21</xdr:row>
      <xdr:rowOff>47625</xdr:rowOff>
    </xdr:from>
    <xdr:to>
      <xdr:col>28</xdr:col>
      <xdr:colOff>257175</xdr:colOff>
      <xdr:row>23</xdr:row>
      <xdr:rowOff>76200</xdr:rowOff>
    </xdr:to>
    <xdr:sp>
      <xdr:nvSpPr>
        <xdr:cNvPr id="24" name="Line 55"/>
        <xdr:cNvSpPr>
          <a:spLocks/>
        </xdr:cNvSpPr>
      </xdr:nvSpPr>
      <xdr:spPr>
        <a:xfrm>
          <a:off x="7477125" y="3648075"/>
          <a:ext cx="0" cy="352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28</xdr:col>
      <xdr:colOff>38100</xdr:colOff>
      <xdr:row>23</xdr:row>
      <xdr:rowOff>76200</xdr:rowOff>
    </xdr:from>
    <xdr:to>
      <xdr:col>28</xdr:col>
      <xdr:colOff>142875</xdr:colOff>
      <xdr:row>23</xdr:row>
      <xdr:rowOff>76200</xdr:rowOff>
    </xdr:to>
    <xdr:sp>
      <xdr:nvSpPr>
        <xdr:cNvPr id="25" name="Line 56"/>
        <xdr:cNvSpPr>
          <a:spLocks/>
        </xdr:cNvSpPr>
      </xdr:nvSpPr>
      <xdr:spPr>
        <a:xfrm>
          <a:off x="7258050" y="4000500"/>
          <a:ext cx="104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28</xdr:col>
      <xdr:colOff>219075</xdr:colOff>
      <xdr:row>23</xdr:row>
      <xdr:rowOff>76200</xdr:rowOff>
    </xdr:from>
    <xdr:to>
      <xdr:col>28</xdr:col>
      <xdr:colOff>323850</xdr:colOff>
      <xdr:row>23</xdr:row>
      <xdr:rowOff>76200</xdr:rowOff>
    </xdr:to>
    <xdr:sp>
      <xdr:nvSpPr>
        <xdr:cNvPr id="26" name="Line 57"/>
        <xdr:cNvSpPr>
          <a:spLocks/>
        </xdr:cNvSpPr>
      </xdr:nvSpPr>
      <xdr:spPr>
        <a:xfrm>
          <a:off x="7439025" y="4000500"/>
          <a:ext cx="104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28</xdr:col>
      <xdr:colOff>142875</xdr:colOff>
      <xdr:row>23</xdr:row>
      <xdr:rowOff>76200</xdr:rowOff>
    </xdr:from>
    <xdr:to>
      <xdr:col>28</xdr:col>
      <xdr:colOff>161925</xdr:colOff>
      <xdr:row>23</xdr:row>
      <xdr:rowOff>95250</xdr:rowOff>
    </xdr:to>
    <xdr:sp>
      <xdr:nvSpPr>
        <xdr:cNvPr id="27" name="Line 58"/>
        <xdr:cNvSpPr>
          <a:spLocks/>
        </xdr:cNvSpPr>
      </xdr:nvSpPr>
      <xdr:spPr>
        <a:xfrm>
          <a:off x="7362825" y="4000500"/>
          <a:ext cx="1905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28</xdr:col>
      <xdr:colOff>200025</xdr:colOff>
      <xdr:row>23</xdr:row>
      <xdr:rowOff>57150</xdr:rowOff>
    </xdr:from>
    <xdr:to>
      <xdr:col>28</xdr:col>
      <xdr:colOff>219075</xdr:colOff>
      <xdr:row>23</xdr:row>
      <xdr:rowOff>76200</xdr:rowOff>
    </xdr:to>
    <xdr:sp>
      <xdr:nvSpPr>
        <xdr:cNvPr id="28" name="Line 59"/>
        <xdr:cNvSpPr>
          <a:spLocks/>
        </xdr:cNvSpPr>
      </xdr:nvSpPr>
      <xdr:spPr>
        <a:xfrm flipH="1" flipV="1">
          <a:off x="7419975" y="3981450"/>
          <a:ext cx="1905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28</xdr:col>
      <xdr:colOff>161925</xdr:colOff>
      <xdr:row>23</xdr:row>
      <xdr:rowOff>57150</xdr:rowOff>
    </xdr:from>
    <xdr:to>
      <xdr:col>28</xdr:col>
      <xdr:colOff>200025</xdr:colOff>
      <xdr:row>23</xdr:row>
      <xdr:rowOff>95250</xdr:rowOff>
    </xdr:to>
    <xdr:sp>
      <xdr:nvSpPr>
        <xdr:cNvPr id="29" name="Line 60"/>
        <xdr:cNvSpPr>
          <a:spLocks/>
        </xdr:cNvSpPr>
      </xdr:nvSpPr>
      <xdr:spPr>
        <a:xfrm flipV="1">
          <a:off x="7381875" y="3981450"/>
          <a:ext cx="38100" cy="38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542925</xdr:colOff>
      <xdr:row>20</xdr:row>
      <xdr:rowOff>152400</xdr:rowOff>
    </xdr:from>
    <xdr:to>
      <xdr:col>26</xdr:col>
      <xdr:colOff>542925</xdr:colOff>
      <xdr:row>21</xdr:row>
      <xdr:rowOff>47625</xdr:rowOff>
    </xdr:to>
    <xdr:sp>
      <xdr:nvSpPr>
        <xdr:cNvPr id="30" name="Line 61"/>
        <xdr:cNvSpPr>
          <a:spLocks/>
        </xdr:cNvSpPr>
      </xdr:nvSpPr>
      <xdr:spPr>
        <a:xfrm flipV="1">
          <a:off x="6543675" y="3590925"/>
          <a:ext cx="0" cy="5715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27</xdr:col>
      <xdr:colOff>76200</xdr:colOff>
      <xdr:row>20</xdr:row>
      <xdr:rowOff>152400</xdr:rowOff>
    </xdr:from>
    <xdr:to>
      <xdr:col>27</xdr:col>
      <xdr:colOff>76200</xdr:colOff>
      <xdr:row>21</xdr:row>
      <xdr:rowOff>47625</xdr:rowOff>
    </xdr:to>
    <xdr:sp>
      <xdr:nvSpPr>
        <xdr:cNvPr id="31" name="Line 62"/>
        <xdr:cNvSpPr>
          <a:spLocks/>
        </xdr:cNvSpPr>
      </xdr:nvSpPr>
      <xdr:spPr>
        <a:xfrm flipV="1">
          <a:off x="6686550" y="3590925"/>
          <a:ext cx="0" cy="5715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28</xdr:col>
      <xdr:colOff>114300</xdr:colOff>
      <xdr:row>20</xdr:row>
      <xdr:rowOff>152400</xdr:rowOff>
    </xdr:from>
    <xdr:to>
      <xdr:col>28</xdr:col>
      <xdr:colOff>114300</xdr:colOff>
      <xdr:row>21</xdr:row>
      <xdr:rowOff>47625</xdr:rowOff>
    </xdr:to>
    <xdr:sp>
      <xdr:nvSpPr>
        <xdr:cNvPr id="32" name="Line 63"/>
        <xdr:cNvSpPr>
          <a:spLocks/>
        </xdr:cNvSpPr>
      </xdr:nvSpPr>
      <xdr:spPr>
        <a:xfrm flipV="1">
          <a:off x="7334250" y="3590925"/>
          <a:ext cx="0" cy="5715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28</xdr:col>
      <xdr:colOff>257175</xdr:colOff>
      <xdr:row>20</xdr:row>
      <xdr:rowOff>152400</xdr:rowOff>
    </xdr:from>
    <xdr:to>
      <xdr:col>28</xdr:col>
      <xdr:colOff>257175</xdr:colOff>
      <xdr:row>21</xdr:row>
      <xdr:rowOff>47625</xdr:rowOff>
    </xdr:to>
    <xdr:sp>
      <xdr:nvSpPr>
        <xdr:cNvPr id="33" name="Line 64"/>
        <xdr:cNvSpPr>
          <a:spLocks/>
        </xdr:cNvSpPr>
      </xdr:nvSpPr>
      <xdr:spPr>
        <a:xfrm flipV="1">
          <a:off x="7477125" y="3590925"/>
          <a:ext cx="0" cy="5715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542925</xdr:colOff>
      <xdr:row>21</xdr:row>
      <xdr:rowOff>0</xdr:rowOff>
    </xdr:from>
    <xdr:to>
      <xdr:col>27</xdr:col>
      <xdr:colOff>76200</xdr:colOff>
      <xdr:row>21</xdr:row>
      <xdr:rowOff>0</xdr:rowOff>
    </xdr:to>
    <xdr:sp>
      <xdr:nvSpPr>
        <xdr:cNvPr id="34" name="Line 65"/>
        <xdr:cNvSpPr>
          <a:spLocks/>
        </xdr:cNvSpPr>
      </xdr:nvSpPr>
      <xdr:spPr>
        <a:xfrm>
          <a:off x="6543675" y="3600450"/>
          <a:ext cx="1428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28</xdr:col>
      <xdr:colOff>114300</xdr:colOff>
      <xdr:row>21</xdr:row>
      <xdr:rowOff>0</xdr:rowOff>
    </xdr:from>
    <xdr:to>
      <xdr:col>28</xdr:col>
      <xdr:colOff>257175</xdr:colOff>
      <xdr:row>21</xdr:row>
      <xdr:rowOff>0</xdr:rowOff>
    </xdr:to>
    <xdr:sp>
      <xdr:nvSpPr>
        <xdr:cNvPr id="35" name="Line 66"/>
        <xdr:cNvSpPr>
          <a:spLocks/>
        </xdr:cNvSpPr>
      </xdr:nvSpPr>
      <xdr:spPr>
        <a:xfrm>
          <a:off x="7334250" y="3600450"/>
          <a:ext cx="1428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600075</xdr:colOff>
      <xdr:row>18</xdr:row>
      <xdr:rowOff>152400</xdr:rowOff>
    </xdr:from>
    <xdr:to>
      <xdr:col>27</xdr:col>
      <xdr:colOff>209550</xdr:colOff>
      <xdr:row>18</xdr:row>
      <xdr:rowOff>152400</xdr:rowOff>
    </xdr:to>
    <xdr:sp>
      <xdr:nvSpPr>
        <xdr:cNvPr id="36" name="Line 67"/>
        <xdr:cNvSpPr>
          <a:spLocks/>
        </xdr:cNvSpPr>
      </xdr:nvSpPr>
      <xdr:spPr>
        <a:xfrm>
          <a:off x="6600825" y="3267075"/>
          <a:ext cx="219075" cy="0"/>
        </a:xfrm>
        <a:prstGeom prst="line">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228600</xdr:colOff>
      <xdr:row>21</xdr:row>
      <xdr:rowOff>0</xdr:rowOff>
    </xdr:from>
    <xdr:to>
      <xdr:col>26</xdr:col>
      <xdr:colOff>504825</xdr:colOff>
      <xdr:row>21</xdr:row>
      <xdr:rowOff>0</xdr:rowOff>
    </xdr:to>
    <xdr:sp>
      <xdr:nvSpPr>
        <xdr:cNvPr id="37" name="Line 68"/>
        <xdr:cNvSpPr>
          <a:spLocks/>
        </xdr:cNvSpPr>
      </xdr:nvSpPr>
      <xdr:spPr>
        <a:xfrm>
          <a:off x="6229350" y="36004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228600</xdr:colOff>
      <xdr:row>18</xdr:row>
      <xdr:rowOff>152400</xdr:rowOff>
    </xdr:from>
    <xdr:to>
      <xdr:col>26</xdr:col>
      <xdr:colOff>561975</xdr:colOff>
      <xdr:row>18</xdr:row>
      <xdr:rowOff>152400</xdr:rowOff>
    </xdr:to>
    <xdr:sp>
      <xdr:nvSpPr>
        <xdr:cNvPr id="38" name="Line 69"/>
        <xdr:cNvSpPr>
          <a:spLocks/>
        </xdr:cNvSpPr>
      </xdr:nvSpPr>
      <xdr:spPr>
        <a:xfrm>
          <a:off x="6229350" y="326707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314325</xdr:colOff>
      <xdr:row>18</xdr:row>
      <xdr:rowOff>152400</xdr:rowOff>
    </xdr:from>
    <xdr:to>
      <xdr:col>26</xdr:col>
      <xdr:colOff>314325</xdr:colOff>
      <xdr:row>21</xdr:row>
      <xdr:rowOff>0</xdr:rowOff>
    </xdr:to>
    <xdr:sp>
      <xdr:nvSpPr>
        <xdr:cNvPr id="39" name="Line 70"/>
        <xdr:cNvSpPr>
          <a:spLocks/>
        </xdr:cNvSpPr>
      </xdr:nvSpPr>
      <xdr:spPr>
        <a:xfrm>
          <a:off x="6315075" y="3267075"/>
          <a:ext cx="0" cy="333375"/>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27</xdr:col>
      <xdr:colOff>400050</xdr:colOff>
      <xdr:row>16</xdr:row>
      <xdr:rowOff>47625</xdr:rowOff>
    </xdr:from>
    <xdr:to>
      <xdr:col>27</xdr:col>
      <xdr:colOff>400050</xdr:colOff>
      <xdr:row>18</xdr:row>
      <xdr:rowOff>142875</xdr:rowOff>
    </xdr:to>
    <xdr:sp>
      <xdr:nvSpPr>
        <xdr:cNvPr id="40" name="Line 71"/>
        <xdr:cNvSpPr>
          <a:spLocks/>
        </xdr:cNvSpPr>
      </xdr:nvSpPr>
      <xdr:spPr>
        <a:xfrm>
          <a:off x="7010400" y="2838450"/>
          <a:ext cx="0" cy="419100"/>
        </a:xfrm>
        <a:prstGeom prst="line">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27</xdr:col>
      <xdr:colOff>76200</xdr:colOff>
      <xdr:row>24</xdr:row>
      <xdr:rowOff>0</xdr:rowOff>
    </xdr:from>
    <xdr:to>
      <xdr:col>28</xdr:col>
      <xdr:colOff>133350</xdr:colOff>
      <xdr:row>25</xdr:row>
      <xdr:rowOff>57150</xdr:rowOff>
    </xdr:to>
    <xdr:sp>
      <xdr:nvSpPr>
        <xdr:cNvPr id="41" name="Text Box 72"/>
        <xdr:cNvSpPr txBox="1">
          <a:spLocks noChangeArrowheads="1"/>
        </xdr:cNvSpPr>
      </xdr:nvSpPr>
      <xdr:spPr>
        <a:xfrm>
          <a:off x="6686550" y="4086225"/>
          <a:ext cx="666750" cy="219075"/>
        </a:xfrm>
        <a:prstGeom prst="rect">
          <a:avLst/>
        </a:prstGeom>
        <a:noFill/>
        <a:ln w="9525" cmpd="sng">
          <a:noFill/>
        </a:ln>
      </xdr:spPr>
      <xdr:txBody>
        <a:bodyPr vertOverflow="clip" wrap="square" lIns="27432" tIns="22860" rIns="0" bIns="0"/>
        <a:p>
          <a:pPr algn="l">
            <a:defRPr/>
          </a:pPr>
          <a:r>
            <a:rPr lang="en-US" cap="none" sz="1000" b="1" i="0" u="sng" baseline="0">
              <a:solidFill>
                <a:srgbClr val="000000"/>
              </a:solidFill>
            </a:rPr>
            <a:t>Elevation</a:t>
          </a:r>
        </a:p>
      </xdr:txBody>
    </xdr:sp>
    <xdr:clientData/>
  </xdr:twoCellAnchor>
  <xdr:twoCellAnchor>
    <xdr:from>
      <xdr:col>27</xdr:col>
      <xdr:colOff>228600</xdr:colOff>
      <xdr:row>14</xdr:row>
      <xdr:rowOff>0</xdr:rowOff>
    </xdr:from>
    <xdr:to>
      <xdr:col>28</xdr:col>
      <xdr:colOff>9525</xdr:colOff>
      <xdr:row>15</xdr:row>
      <xdr:rowOff>38100</xdr:rowOff>
    </xdr:to>
    <xdr:sp>
      <xdr:nvSpPr>
        <xdr:cNvPr id="42" name="Text Box 73"/>
        <xdr:cNvSpPr txBox="1">
          <a:spLocks noChangeArrowheads="1"/>
        </xdr:cNvSpPr>
      </xdr:nvSpPr>
      <xdr:spPr>
        <a:xfrm>
          <a:off x="6838950" y="2466975"/>
          <a:ext cx="390525" cy="200025"/>
        </a:xfrm>
        <a:prstGeom prst="rect">
          <a:avLst/>
        </a:prstGeom>
        <a:noFill/>
        <a:ln w="9525" cmpd="sng">
          <a:noFill/>
        </a:ln>
      </xdr:spPr>
      <xdr:txBody>
        <a:bodyPr vertOverflow="clip" wrap="square" lIns="27432" tIns="22860" rIns="0" bIns="0"/>
        <a:p>
          <a:pPr algn="l">
            <a:defRPr/>
          </a:pPr>
          <a:r>
            <a:rPr lang="en-US" cap="none" sz="1000" b="1" i="0" u="sng" baseline="0">
              <a:solidFill>
                <a:srgbClr val="000000"/>
              </a:solidFill>
            </a:rPr>
            <a:t>Plan</a:t>
          </a:r>
        </a:p>
      </xdr:txBody>
    </xdr:sp>
    <xdr:clientData/>
  </xdr:twoCellAnchor>
  <xdr:twoCellAnchor>
    <xdr:from>
      <xdr:col>26</xdr:col>
      <xdr:colOff>542925</xdr:colOff>
      <xdr:row>11</xdr:row>
      <xdr:rowOff>123825</xdr:rowOff>
    </xdr:from>
    <xdr:to>
      <xdr:col>27</xdr:col>
      <xdr:colOff>76200</xdr:colOff>
      <xdr:row>12</xdr:row>
      <xdr:rowOff>104775</xdr:rowOff>
    </xdr:to>
    <xdr:sp>
      <xdr:nvSpPr>
        <xdr:cNvPr id="43" name="Oval 74"/>
        <xdr:cNvSpPr>
          <a:spLocks/>
        </xdr:cNvSpPr>
      </xdr:nvSpPr>
      <xdr:spPr>
        <a:xfrm>
          <a:off x="6543675" y="2105025"/>
          <a:ext cx="142875" cy="14287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542925</xdr:colOff>
      <xdr:row>7</xdr:row>
      <xdr:rowOff>38100</xdr:rowOff>
    </xdr:from>
    <xdr:to>
      <xdr:col>27</xdr:col>
      <xdr:colOff>76200</xdr:colOff>
      <xdr:row>8</xdr:row>
      <xdr:rowOff>19050</xdr:rowOff>
    </xdr:to>
    <xdr:sp>
      <xdr:nvSpPr>
        <xdr:cNvPr id="44" name="Oval 75"/>
        <xdr:cNvSpPr>
          <a:spLocks/>
        </xdr:cNvSpPr>
      </xdr:nvSpPr>
      <xdr:spPr>
        <a:xfrm>
          <a:off x="6543675" y="1371600"/>
          <a:ext cx="142875" cy="14287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28</xdr:col>
      <xdr:colOff>114300</xdr:colOff>
      <xdr:row>11</xdr:row>
      <xdr:rowOff>123825</xdr:rowOff>
    </xdr:from>
    <xdr:to>
      <xdr:col>28</xdr:col>
      <xdr:colOff>257175</xdr:colOff>
      <xdr:row>12</xdr:row>
      <xdr:rowOff>104775</xdr:rowOff>
    </xdr:to>
    <xdr:sp>
      <xdr:nvSpPr>
        <xdr:cNvPr id="45" name="Oval 76"/>
        <xdr:cNvSpPr>
          <a:spLocks/>
        </xdr:cNvSpPr>
      </xdr:nvSpPr>
      <xdr:spPr>
        <a:xfrm>
          <a:off x="7334250" y="2105025"/>
          <a:ext cx="142875" cy="14287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28</xdr:col>
      <xdr:colOff>114300</xdr:colOff>
      <xdr:row>7</xdr:row>
      <xdr:rowOff>38100</xdr:rowOff>
    </xdr:from>
    <xdr:to>
      <xdr:col>28</xdr:col>
      <xdr:colOff>257175</xdr:colOff>
      <xdr:row>8</xdr:row>
      <xdr:rowOff>19050</xdr:rowOff>
    </xdr:to>
    <xdr:sp>
      <xdr:nvSpPr>
        <xdr:cNvPr id="46" name="Oval 77"/>
        <xdr:cNvSpPr>
          <a:spLocks/>
        </xdr:cNvSpPr>
      </xdr:nvSpPr>
      <xdr:spPr>
        <a:xfrm>
          <a:off x="7334250" y="1371600"/>
          <a:ext cx="142875" cy="14287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27</xdr:col>
      <xdr:colOff>247650</xdr:colOff>
      <xdr:row>9</xdr:row>
      <xdr:rowOff>0</xdr:rowOff>
    </xdr:from>
    <xdr:to>
      <xdr:col>27</xdr:col>
      <xdr:colOff>552450</xdr:colOff>
      <xdr:row>10</xdr:row>
      <xdr:rowOff>142875</xdr:rowOff>
    </xdr:to>
    <xdr:sp>
      <xdr:nvSpPr>
        <xdr:cNvPr id="47" name="Rectangle 78"/>
        <xdr:cNvSpPr>
          <a:spLocks/>
        </xdr:cNvSpPr>
      </xdr:nvSpPr>
      <xdr:spPr>
        <a:xfrm>
          <a:off x="6858000" y="1657350"/>
          <a:ext cx="304800" cy="3048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27</xdr:col>
      <xdr:colOff>400050</xdr:colOff>
      <xdr:row>7</xdr:row>
      <xdr:rowOff>123825</xdr:rowOff>
    </xdr:from>
    <xdr:to>
      <xdr:col>27</xdr:col>
      <xdr:colOff>400050</xdr:colOff>
      <xdr:row>9</xdr:row>
      <xdr:rowOff>133350</xdr:rowOff>
    </xdr:to>
    <xdr:sp>
      <xdr:nvSpPr>
        <xdr:cNvPr id="48" name="Line 79"/>
        <xdr:cNvSpPr>
          <a:spLocks/>
        </xdr:cNvSpPr>
      </xdr:nvSpPr>
      <xdr:spPr>
        <a:xfrm flipV="1">
          <a:off x="7010400" y="1457325"/>
          <a:ext cx="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27</xdr:col>
      <xdr:colOff>419100</xdr:colOff>
      <xdr:row>9</xdr:row>
      <xdr:rowOff>152400</xdr:rowOff>
    </xdr:from>
    <xdr:to>
      <xdr:col>28</xdr:col>
      <xdr:colOff>171450</xdr:colOff>
      <xdr:row>9</xdr:row>
      <xdr:rowOff>152400</xdr:rowOff>
    </xdr:to>
    <xdr:sp>
      <xdr:nvSpPr>
        <xdr:cNvPr id="49" name="Line 80"/>
        <xdr:cNvSpPr>
          <a:spLocks/>
        </xdr:cNvSpPr>
      </xdr:nvSpPr>
      <xdr:spPr>
        <a:xfrm>
          <a:off x="7029450" y="180975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428625</xdr:colOff>
      <xdr:row>8</xdr:row>
      <xdr:rowOff>66675</xdr:rowOff>
    </xdr:from>
    <xdr:to>
      <xdr:col>27</xdr:col>
      <xdr:colOff>400050</xdr:colOff>
      <xdr:row>8</xdr:row>
      <xdr:rowOff>66675</xdr:rowOff>
    </xdr:to>
    <xdr:sp>
      <xdr:nvSpPr>
        <xdr:cNvPr id="50" name="Line 81"/>
        <xdr:cNvSpPr>
          <a:spLocks/>
        </xdr:cNvSpPr>
      </xdr:nvSpPr>
      <xdr:spPr>
        <a:xfrm>
          <a:off x="6429375" y="1562100"/>
          <a:ext cx="581025" cy="0"/>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28</xdr:col>
      <xdr:colOff>38100</xdr:colOff>
      <xdr:row>9</xdr:row>
      <xdr:rowOff>152400</xdr:rowOff>
    </xdr:from>
    <xdr:to>
      <xdr:col>28</xdr:col>
      <xdr:colOff>38100</xdr:colOff>
      <xdr:row>13</xdr:row>
      <xdr:rowOff>57150</xdr:rowOff>
    </xdr:to>
    <xdr:sp>
      <xdr:nvSpPr>
        <xdr:cNvPr id="51" name="Line 82"/>
        <xdr:cNvSpPr>
          <a:spLocks/>
        </xdr:cNvSpPr>
      </xdr:nvSpPr>
      <xdr:spPr>
        <a:xfrm>
          <a:off x="7258050" y="1809750"/>
          <a:ext cx="0" cy="552450"/>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447675</xdr:colOff>
      <xdr:row>12</xdr:row>
      <xdr:rowOff>38100</xdr:rowOff>
    </xdr:from>
    <xdr:to>
      <xdr:col>27</xdr:col>
      <xdr:colOff>9525</xdr:colOff>
      <xdr:row>13</xdr:row>
      <xdr:rowOff>66675</xdr:rowOff>
    </xdr:to>
    <xdr:sp>
      <xdr:nvSpPr>
        <xdr:cNvPr id="52" name="Text Box 83"/>
        <xdr:cNvSpPr txBox="1">
          <a:spLocks noChangeArrowheads="1"/>
        </xdr:cNvSpPr>
      </xdr:nvSpPr>
      <xdr:spPr>
        <a:xfrm>
          <a:off x="6448425" y="2181225"/>
          <a:ext cx="171450" cy="190500"/>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rPr>
            <a:t>1</a:t>
          </a:r>
        </a:p>
      </xdr:txBody>
    </xdr:sp>
    <xdr:clientData/>
  </xdr:twoCellAnchor>
  <xdr:twoCellAnchor>
    <xdr:from>
      <xdr:col>28</xdr:col>
      <xdr:colOff>238125</xdr:colOff>
      <xdr:row>12</xdr:row>
      <xdr:rowOff>47625</xdr:rowOff>
    </xdr:from>
    <xdr:to>
      <xdr:col>28</xdr:col>
      <xdr:colOff>409575</xdr:colOff>
      <xdr:row>13</xdr:row>
      <xdr:rowOff>76200</xdr:rowOff>
    </xdr:to>
    <xdr:sp>
      <xdr:nvSpPr>
        <xdr:cNvPr id="53" name="Text Box 84"/>
        <xdr:cNvSpPr txBox="1">
          <a:spLocks noChangeArrowheads="1"/>
        </xdr:cNvSpPr>
      </xdr:nvSpPr>
      <xdr:spPr>
        <a:xfrm>
          <a:off x="7458075" y="2190750"/>
          <a:ext cx="171450" cy="190500"/>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rPr>
            <a:t>2</a:t>
          </a:r>
        </a:p>
      </xdr:txBody>
    </xdr:sp>
    <xdr:clientData/>
  </xdr:twoCellAnchor>
  <xdr:twoCellAnchor>
    <xdr:from>
      <xdr:col>26</xdr:col>
      <xdr:colOff>438150</xdr:colOff>
      <xdr:row>6</xdr:row>
      <xdr:rowOff>85725</xdr:rowOff>
    </xdr:from>
    <xdr:to>
      <xdr:col>27</xdr:col>
      <xdr:colOff>0</xdr:colOff>
      <xdr:row>7</xdr:row>
      <xdr:rowOff>114300</xdr:rowOff>
    </xdr:to>
    <xdr:sp>
      <xdr:nvSpPr>
        <xdr:cNvPr id="54" name="Text Box 85"/>
        <xdr:cNvSpPr txBox="1">
          <a:spLocks noChangeArrowheads="1"/>
        </xdr:cNvSpPr>
      </xdr:nvSpPr>
      <xdr:spPr>
        <a:xfrm>
          <a:off x="6438900" y="1257300"/>
          <a:ext cx="171450" cy="190500"/>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rPr>
            <a:t>3</a:t>
          </a:r>
        </a:p>
      </xdr:txBody>
    </xdr:sp>
    <xdr:clientData/>
  </xdr:twoCellAnchor>
  <xdr:twoCellAnchor>
    <xdr:from>
      <xdr:col>28</xdr:col>
      <xdr:colOff>238125</xdr:colOff>
      <xdr:row>6</xdr:row>
      <xdr:rowOff>95250</xdr:rowOff>
    </xdr:from>
    <xdr:to>
      <xdr:col>28</xdr:col>
      <xdr:colOff>409575</xdr:colOff>
      <xdr:row>7</xdr:row>
      <xdr:rowOff>123825</xdr:rowOff>
    </xdr:to>
    <xdr:sp>
      <xdr:nvSpPr>
        <xdr:cNvPr id="55" name="Text Box 86"/>
        <xdr:cNvSpPr txBox="1">
          <a:spLocks noChangeArrowheads="1"/>
        </xdr:cNvSpPr>
      </xdr:nvSpPr>
      <xdr:spPr>
        <a:xfrm>
          <a:off x="7458075" y="1266825"/>
          <a:ext cx="171450" cy="190500"/>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rPr>
            <a:t>4</a:t>
          </a:r>
        </a:p>
      </xdr:txBody>
    </xdr:sp>
    <xdr:clientData/>
  </xdr:twoCellAnchor>
  <xdr:twoCellAnchor>
    <xdr:from>
      <xdr:col>26</xdr:col>
      <xdr:colOff>457200</xdr:colOff>
      <xdr:row>10</xdr:row>
      <xdr:rowOff>28575</xdr:rowOff>
    </xdr:from>
    <xdr:to>
      <xdr:col>27</xdr:col>
      <xdr:colOff>104775</xdr:colOff>
      <xdr:row>11</xdr:row>
      <xdr:rowOff>76200</xdr:rowOff>
    </xdr:to>
    <xdr:sp>
      <xdr:nvSpPr>
        <xdr:cNvPr id="56" name="Text Box 87"/>
        <xdr:cNvSpPr txBox="1">
          <a:spLocks noChangeArrowheads="1"/>
        </xdr:cNvSpPr>
      </xdr:nvSpPr>
      <xdr:spPr>
        <a:xfrm>
          <a:off x="6457950" y="1847850"/>
          <a:ext cx="257175" cy="209550"/>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x</a:t>
          </a:r>
          <a:r>
            <a:rPr lang="en-US" cap="none" sz="800" b="0" i="0" u="none" baseline="0">
              <a:solidFill>
                <a:srgbClr val="0000FF"/>
              </a:solidFill>
              <a:latin typeface="Arial"/>
              <a:ea typeface="Arial"/>
              <a:cs typeface="Arial"/>
            </a:rPr>
            <a:t>o</a:t>
          </a:r>
        </a:p>
      </xdr:txBody>
    </xdr:sp>
    <xdr:clientData/>
  </xdr:twoCellAnchor>
  <xdr:twoCellAnchor>
    <xdr:from>
      <xdr:col>27</xdr:col>
      <xdr:colOff>161925</xdr:colOff>
      <xdr:row>12</xdr:row>
      <xdr:rowOff>28575</xdr:rowOff>
    </xdr:from>
    <xdr:to>
      <xdr:col>27</xdr:col>
      <xdr:colOff>419100</xdr:colOff>
      <xdr:row>13</xdr:row>
      <xdr:rowOff>76200</xdr:rowOff>
    </xdr:to>
    <xdr:sp>
      <xdr:nvSpPr>
        <xdr:cNvPr id="57" name="Text Box 88"/>
        <xdr:cNvSpPr txBox="1">
          <a:spLocks noChangeArrowheads="1"/>
        </xdr:cNvSpPr>
      </xdr:nvSpPr>
      <xdr:spPr>
        <a:xfrm>
          <a:off x="6772275" y="2171700"/>
          <a:ext cx="257175" cy="209550"/>
        </a:xfrm>
        <a:prstGeom prst="rect">
          <a:avLst/>
        </a:prstGeom>
        <a:noFill/>
        <a:ln w="9525" cmpd="sng">
          <a:noFill/>
        </a:ln>
      </xdr:spPr>
      <xdr:txBody>
        <a:bodyPr vertOverflow="clip" wrap="square" lIns="27432" tIns="22860" rIns="0" bIns="0"/>
        <a:p>
          <a:pPr algn="l">
            <a:defRPr/>
          </a:pPr>
          <a:r>
            <a:rPr lang="en-US" cap="none" sz="800" b="0" i="0" u="none" baseline="0">
              <a:solidFill>
                <a:srgbClr val="0000FF"/>
              </a:solidFill>
            </a:rPr>
            <a:t>yo</a:t>
          </a:r>
        </a:p>
      </xdr:txBody>
    </xdr:sp>
    <xdr:clientData/>
  </xdr:twoCellAnchor>
  <xdr:twoCellAnchor>
    <xdr:from>
      <xdr:col>27</xdr:col>
      <xdr:colOff>104775</xdr:colOff>
      <xdr:row>7</xdr:row>
      <xdr:rowOff>76200</xdr:rowOff>
    </xdr:from>
    <xdr:to>
      <xdr:col>27</xdr:col>
      <xdr:colOff>361950</xdr:colOff>
      <xdr:row>8</xdr:row>
      <xdr:rowOff>123825</xdr:rowOff>
    </xdr:to>
    <xdr:sp>
      <xdr:nvSpPr>
        <xdr:cNvPr id="58" name="Text Box 89"/>
        <xdr:cNvSpPr txBox="1">
          <a:spLocks noChangeArrowheads="1"/>
        </xdr:cNvSpPr>
      </xdr:nvSpPr>
      <xdr:spPr>
        <a:xfrm>
          <a:off x="6715125" y="1409700"/>
          <a:ext cx="257175" cy="209550"/>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rPr>
            <a:t>X</a:t>
          </a:r>
        </a:p>
      </xdr:txBody>
    </xdr:sp>
    <xdr:clientData/>
  </xdr:twoCellAnchor>
  <xdr:twoCellAnchor>
    <xdr:from>
      <xdr:col>28</xdr:col>
      <xdr:colOff>47625</xdr:colOff>
      <xdr:row>10</xdr:row>
      <xdr:rowOff>133350</xdr:rowOff>
    </xdr:from>
    <xdr:to>
      <xdr:col>28</xdr:col>
      <xdr:colOff>304800</xdr:colOff>
      <xdr:row>12</xdr:row>
      <xdr:rowOff>19050</xdr:rowOff>
    </xdr:to>
    <xdr:sp>
      <xdr:nvSpPr>
        <xdr:cNvPr id="59" name="Text Box 90"/>
        <xdr:cNvSpPr txBox="1">
          <a:spLocks noChangeArrowheads="1"/>
        </xdr:cNvSpPr>
      </xdr:nvSpPr>
      <xdr:spPr>
        <a:xfrm>
          <a:off x="7267575" y="1952625"/>
          <a:ext cx="257175" cy="209550"/>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rPr>
            <a:t>Y</a:t>
          </a:r>
        </a:p>
      </xdr:txBody>
    </xdr:sp>
    <xdr:clientData/>
  </xdr:twoCellAnchor>
  <xdr:twoCellAnchor>
    <xdr:from>
      <xdr:col>28</xdr:col>
      <xdr:colOff>533400</xdr:colOff>
      <xdr:row>12</xdr:row>
      <xdr:rowOff>142875</xdr:rowOff>
    </xdr:from>
    <xdr:to>
      <xdr:col>29</xdr:col>
      <xdr:colOff>180975</xdr:colOff>
      <xdr:row>14</xdr:row>
      <xdr:rowOff>28575</xdr:rowOff>
    </xdr:to>
    <xdr:sp>
      <xdr:nvSpPr>
        <xdr:cNvPr id="60" name="Text Box 91"/>
        <xdr:cNvSpPr txBox="1">
          <a:spLocks noChangeArrowheads="1"/>
        </xdr:cNvSpPr>
      </xdr:nvSpPr>
      <xdr:spPr>
        <a:xfrm>
          <a:off x="7753350" y="2286000"/>
          <a:ext cx="257175" cy="209550"/>
        </a:xfrm>
        <a:prstGeom prst="rect">
          <a:avLst/>
        </a:prstGeom>
        <a:noFill/>
        <a:ln w="9525" cmpd="sng">
          <a:noFill/>
        </a:ln>
      </xdr:spPr>
      <xdr:txBody>
        <a:bodyPr vertOverflow="clip" wrap="square" lIns="27432" tIns="22860" rIns="0" bIns="0"/>
        <a:p>
          <a:pPr algn="l">
            <a:defRPr/>
          </a:pPr>
          <a:r>
            <a:rPr lang="en-US" cap="none" sz="900" b="1" i="0" u="none" baseline="0">
              <a:solidFill>
                <a:srgbClr val="0000FF"/>
              </a:solidFill>
            </a:rPr>
            <a:t>+X</a:t>
          </a:r>
        </a:p>
      </xdr:txBody>
    </xdr:sp>
    <xdr:clientData/>
  </xdr:twoCellAnchor>
  <xdr:twoCellAnchor>
    <xdr:from>
      <xdr:col>26</xdr:col>
      <xdr:colOff>304800</xdr:colOff>
      <xdr:row>4</xdr:row>
      <xdr:rowOff>95250</xdr:rowOff>
    </xdr:from>
    <xdr:to>
      <xdr:col>26</xdr:col>
      <xdr:colOff>561975</xdr:colOff>
      <xdr:row>5</xdr:row>
      <xdr:rowOff>142875</xdr:rowOff>
    </xdr:to>
    <xdr:sp>
      <xdr:nvSpPr>
        <xdr:cNvPr id="61" name="Text Box 92"/>
        <xdr:cNvSpPr txBox="1">
          <a:spLocks noChangeArrowheads="1"/>
        </xdr:cNvSpPr>
      </xdr:nvSpPr>
      <xdr:spPr>
        <a:xfrm>
          <a:off x="6305550" y="942975"/>
          <a:ext cx="257175" cy="209550"/>
        </a:xfrm>
        <a:prstGeom prst="rect">
          <a:avLst/>
        </a:prstGeom>
        <a:noFill/>
        <a:ln w="9525" cmpd="sng">
          <a:noFill/>
        </a:ln>
      </xdr:spPr>
      <xdr:txBody>
        <a:bodyPr vertOverflow="clip" wrap="square" lIns="27432" tIns="22860" rIns="0" bIns="0"/>
        <a:p>
          <a:pPr algn="l">
            <a:defRPr/>
          </a:pPr>
          <a:r>
            <a:rPr lang="en-US" cap="none" sz="900" b="1" i="0" u="none" baseline="0">
              <a:solidFill>
                <a:srgbClr val="0000FF"/>
              </a:solidFill>
            </a:rPr>
            <a:t>+Y</a:t>
          </a:r>
        </a:p>
      </xdr:txBody>
    </xdr:sp>
    <xdr:clientData/>
  </xdr:twoCellAnchor>
  <xdr:twoCellAnchor>
    <xdr:from>
      <xdr:col>26</xdr:col>
      <xdr:colOff>142875</xdr:colOff>
      <xdr:row>13</xdr:row>
      <xdr:rowOff>95250</xdr:rowOff>
    </xdr:from>
    <xdr:to>
      <xdr:col>26</xdr:col>
      <xdr:colOff>400050</xdr:colOff>
      <xdr:row>14</xdr:row>
      <xdr:rowOff>142875</xdr:rowOff>
    </xdr:to>
    <xdr:sp>
      <xdr:nvSpPr>
        <xdr:cNvPr id="62" name="Text Box 93"/>
        <xdr:cNvSpPr txBox="1">
          <a:spLocks noChangeArrowheads="1"/>
        </xdr:cNvSpPr>
      </xdr:nvSpPr>
      <xdr:spPr>
        <a:xfrm>
          <a:off x="6143625" y="2400300"/>
          <a:ext cx="257175" cy="209550"/>
        </a:xfrm>
        <a:prstGeom prst="rect">
          <a:avLst/>
        </a:prstGeom>
        <a:noFill/>
        <a:ln w="9525" cmpd="sng">
          <a:noFill/>
        </a:ln>
      </xdr:spPr>
      <xdr:txBody>
        <a:bodyPr vertOverflow="clip" wrap="square" lIns="27432" tIns="22860" rIns="0" bIns="0"/>
        <a:p>
          <a:pPr algn="l">
            <a:defRPr/>
          </a:pPr>
          <a:r>
            <a:rPr lang="en-US" cap="none" sz="900" b="1" i="0" u="none" baseline="0">
              <a:solidFill>
                <a:srgbClr val="0000FF"/>
              </a:solidFill>
            </a:rPr>
            <a:t>+Z</a:t>
          </a:r>
        </a:p>
      </xdr:txBody>
    </xdr:sp>
    <xdr:clientData/>
  </xdr:twoCellAnchor>
  <xdr:twoCellAnchor>
    <xdr:from>
      <xdr:col>27</xdr:col>
      <xdr:colOff>409575</xdr:colOff>
      <xdr:row>15</xdr:row>
      <xdr:rowOff>142875</xdr:rowOff>
    </xdr:from>
    <xdr:to>
      <xdr:col>28</xdr:col>
      <xdr:colOff>57150</xdr:colOff>
      <xdr:row>17</xdr:row>
      <xdr:rowOff>28575</xdr:rowOff>
    </xdr:to>
    <xdr:sp>
      <xdr:nvSpPr>
        <xdr:cNvPr id="63" name="Text Box 94"/>
        <xdr:cNvSpPr txBox="1">
          <a:spLocks noChangeArrowheads="1"/>
        </xdr:cNvSpPr>
      </xdr:nvSpPr>
      <xdr:spPr>
        <a:xfrm>
          <a:off x="7019925" y="2771775"/>
          <a:ext cx="257175" cy="209550"/>
        </a:xfrm>
        <a:prstGeom prst="rect">
          <a:avLst/>
        </a:prstGeom>
        <a:noFill/>
        <a:ln w="9525" cmpd="sng">
          <a:noFill/>
        </a:ln>
      </xdr:spPr>
      <xdr:txBody>
        <a:bodyPr vertOverflow="clip" wrap="square" lIns="27432" tIns="22860" rIns="0" bIns="0"/>
        <a:p>
          <a:pPr algn="l">
            <a:defRPr/>
          </a:pPr>
          <a:r>
            <a:rPr lang="en-US" cap="none" sz="900" b="1" i="0" u="none" baseline="0">
              <a:solidFill>
                <a:srgbClr val="0000FF"/>
              </a:solidFill>
              <a:latin typeface="Arial"/>
              <a:ea typeface="Arial"/>
              <a:cs typeface="Arial"/>
            </a:rPr>
            <a:t>-P</a:t>
          </a:r>
          <a:r>
            <a:rPr lang="en-US" cap="none" sz="800" b="1" i="0" u="none" baseline="0">
              <a:solidFill>
                <a:srgbClr val="0000FF"/>
              </a:solidFill>
              <a:latin typeface="Arial"/>
              <a:ea typeface="Arial"/>
              <a:cs typeface="Arial"/>
            </a:rPr>
            <a:t>z</a:t>
          </a:r>
        </a:p>
      </xdr:txBody>
    </xdr:sp>
    <xdr:clientData/>
  </xdr:twoCellAnchor>
  <xdr:twoCellAnchor>
    <xdr:from>
      <xdr:col>27</xdr:col>
      <xdr:colOff>533400</xdr:colOff>
      <xdr:row>18</xdr:row>
      <xdr:rowOff>0</xdr:rowOff>
    </xdr:from>
    <xdr:to>
      <xdr:col>28</xdr:col>
      <xdr:colOff>285750</xdr:colOff>
      <xdr:row>19</xdr:row>
      <xdr:rowOff>76200</xdr:rowOff>
    </xdr:to>
    <xdr:sp>
      <xdr:nvSpPr>
        <xdr:cNvPr id="64" name="Text Box 95"/>
        <xdr:cNvSpPr txBox="1">
          <a:spLocks noChangeArrowheads="1"/>
        </xdr:cNvSpPr>
      </xdr:nvSpPr>
      <xdr:spPr>
        <a:xfrm>
          <a:off x="7143750" y="3114675"/>
          <a:ext cx="361950" cy="238125"/>
        </a:xfrm>
        <a:prstGeom prst="rect">
          <a:avLst/>
        </a:prstGeom>
        <a:noFill/>
        <a:ln w="9525" cmpd="sng">
          <a:noFill/>
        </a:ln>
      </xdr:spPr>
      <xdr:txBody>
        <a:bodyPr vertOverflow="clip" wrap="square" lIns="27432" tIns="22860" rIns="0" bIns="0"/>
        <a:p>
          <a:pPr algn="l">
            <a:defRPr/>
          </a:pPr>
          <a:r>
            <a:rPr lang="en-US" cap="none" sz="900" b="1" i="0" u="none" baseline="0">
              <a:solidFill>
                <a:srgbClr val="0000FF"/>
              </a:solidFill>
              <a:latin typeface="Arial"/>
              <a:ea typeface="Arial"/>
              <a:cs typeface="Arial"/>
            </a:rPr>
            <a:t>+M</a:t>
          </a:r>
          <a:r>
            <a:rPr lang="en-US" cap="none" sz="800" b="1" i="0" u="none" baseline="0">
              <a:solidFill>
                <a:srgbClr val="0000FF"/>
              </a:solidFill>
              <a:latin typeface="Arial"/>
              <a:ea typeface="Arial"/>
              <a:cs typeface="Arial"/>
            </a:rPr>
            <a:t>y</a:t>
          </a:r>
        </a:p>
      </xdr:txBody>
    </xdr:sp>
    <xdr:clientData/>
  </xdr:twoCellAnchor>
  <xdr:twoCellAnchor>
    <xdr:from>
      <xdr:col>26</xdr:col>
      <xdr:colOff>552450</xdr:colOff>
      <xdr:row>17</xdr:row>
      <xdr:rowOff>142875</xdr:rowOff>
    </xdr:from>
    <xdr:to>
      <xdr:col>27</xdr:col>
      <xdr:colOff>304800</xdr:colOff>
      <xdr:row>19</xdr:row>
      <xdr:rowOff>57150</xdr:rowOff>
    </xdr:to>
    <xdr:sp>
      <xdr:nvSpPr>
        <xdr:cNvPr id="65" name="Text Box 96"/>
        <xdr:cNvSpPr txBox="1">
          <a:spLocks noChangeArrowheads="1"/>
        </xdr:cNvSpPr>
      </xdr:nvSpPr>
      <xdr:spPr>
        <a:xfrm>
          <a:off x="6553200" y="3095625"/>
          <a:ext cx="361950" cy="238125"/>
        </a:xfrm>
        <a:prstGeom prst="rect">
          <a:avLst/>
        </a:prstGeom>
        <a:noFill/>
        <a:ln w="9525" cmpd="sng">
          <a:noFill/>
        </a:ln>
      </xdr:spPr>
      <xdr:txBody>
        <a:bodyPr vertOverflow="clip" wrap="square" lIns="27432" tIns="22860" rIns="0" bIns="0"/>
        <a:p>
          <a:pPr algn="l">
            <a:defRPr/>
          </a:pPr>
          <a:r>
            <a:rPr lang="en-US" cap="none" sz="900" b="1" i="0" u="none" baseline="0">
              <a:solidFill>
                <a:srgbClr val="0000FF"/>
              </a:solidFill>
              <a:latin typeface="Arial"/>
              <a:ea typeface="Arial"/>
              <a:cs typeface="Arial"/>
            </a:rPr>
            <a:t>+H</a:t>
          </a:r>
          <a:r>
            <a:rPr lang="en-US" cap="none" sz="800" b="1" i="0" u="none" baseline="0">
              <a:solidFill>
                <a:srgbClr val="0000FF"/>
              </a:solidFill>
              <a:latin typeface="Arial"/>
              <a:ea typeface="Arial"/>
              <a:cs typeface="Arial"/>
            </a:rPr>
            <a:t>x</a:t>
          </a:r>
        </a:p>
      </xdr:txBody>
    </xdr:sp>
    <xdr:clientData/>
  </xdr:twoCellAnchor>
  <xdr:twoCellAnchor>
    <xdr:from>
      <xdr:col>26</xdr:col>
      <xdr:colOff>200025</xdr:colOff>
      <xdr:row>19</xdr:row>
      <xdr:rowOff>76200</xdr:rowOff>
    </xdr:from>
    <xdr:to>
      <xdr:col>26</xdr:col>
      <xdr:colOff>371475</xdr:colOff>
      <xdr:row>20</xdr:row>
      <xdr:rowOff>104775</xdr:rowOff>
    </xdr:to>
    <xdr:sp>
      <xdr:nvSpPr>
        <xdr:cNvPr id="66" name="Text Box 97"/>
        <xdr:cNvSpPr txBox="1">
          <a:spLocks noChangeArrowheads="1"/>
        </xdr:cNvSpPr>
      </xdr:nvSpPr>
      <xdr:spPr>
        <a:xfrm>
          <a:off x="6200775" y="3352800"/>
          <a:ext cx="171450" cy="190500"/>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rPr>
            <a:t>h</a:t>
          </a:r>
        </a:p>
      </xdr:txBody>
    </xdr:sp>
    <xdr:clientData/>
  </xdr:twoCellAnchor>
  <xdr:twoCellAnchor>
    <xdr:from>
      <xdr:col>26</xdr:col>
      <xdr:colOff>314325</xdr:colOff>
      <xdr:row>12</xdr:row>
      <xdr:rowOff>95250</xdr:rowOff>
    </xdr:from>
    <xdr:to>
      <xdr:col>26</xdr:col>
      <xdr:colOff>485775</xdr:colOff>
      <xdr:row>13</xdr:row>
      <xdr:rowOff>123825</xdr:rowOff>
    </xdr:to>
    <xdr:sp>
      <xdr:nvSpPr>
        <xdr:cNvPr id="67" name="Text Box 99"/>
        <xdr:cNvSpPr txBox="1">
          <a:spLocks noChangeArrowheads="1"/>
        </xdr:cNvSpPr>
      </xdr:nvSpPr>
      <xdr:spPr>
        <a:xfrm>
          <a:off x="6315075" y="2238375"/>
          <a:ext cx="1714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FF"/>
              </a:solidFill>
            </a:rPr>
            <a:t>0</a:t>
          </a:r>
        </a:p>
      </xdr:txBody>
    </xdr:sp>
    <xdr:clientData/>
  </xdr:twoCellAnchor>
  <xdr:twoCellAnchor>
    <xdr:from>
      <xdr:col>27</xdr:col>
      <xdr:colOff>9525</xdr:colOff>
      <xdr:row>10</xdr:row>
      <xdr:rowOff>152400</xdr:rowOff>
    </xdr:from>
    <xdr:to>
      <xdr:col>27</xdr:col>
      <xdr:colOff>9525</xdr:colOff>
      <xdr:row>12</xdr:row>
      <xdr:rowOff>9525</xdr:rowOff>
    </xdr:to>
    <xdr:sp>
      <xdr:nvSpPr>
        <xdr:cNvPr id="68" name="Line 100"/>
        <xdr:cNvSpPr>
          <a:spLocks/>
        </xdr:cNvSpPr>
      </xdr:nvSpPr>
      <xdr:spPr>
        <a:xfrm flipV="1">
          <a:off x="6619875" y="1971675"/>
          <a:ext cx="0" cy="180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27</xdr:col>
      <xdr:colOff>28575</xdr:colOff>
      <xdr:row>12</xdr:row>
      <xdr:rowOff>28575</xdr:rowOff>
    </xdr:from>
    <xdr:to>
      <xdr:col>27</xdr:col>
      <xdr:colOff>190500</xdr:colOff>
      <xdr:row>12</xdr:row>
      <xdr:rowOff>28575</xdr:rowOff>
    </xdr:to>
    <xdr:sp>
      <xdr:nvSpPr>
        <xdr:cNvPr id="69" name="Line 101"/>
        <xdr:cNvSpPr>
          <a:spLocks/>
        </xdr:cNvSpPr>
      </xdr:nvSpPr>
      <xdr:spPr>
        <a:xfrm>
          <a:off x="6638925" y="2171700"/>
          <a:ext cx="161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428625</xdr:colOff>
      <xdr:row>11</xdr:row>
      <xdr:rowOff>38100</xdr:rowOff>
    </xdr:from>
    <xdr:to>
      <xdr:col>27</xdr:col>
      <xdr:colOff>9525</xdr:colOff>
      <xdr:row>11</xdr:row>
      <xdr:rowOff>38100</xdr:rowOff>
    </xdr:to>
    <xdr:sp>
      <xdr:nvSpPr>
        <xdr:cNvPr id="70" name="Line 102"/>
        <xdr:cNvSpPr>
          <a:spLocks/>
        </xdr:cNvSpPr>
      </xdr:nvSpPr>
      <xdr:spPr>
        <a:xfrm>
          <a:off x="6429375" y="2019300"/>
          <a:ext cx="190500" cy="0"/>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27</xdr:col>
      <xdr:colOff>142875</xdr:colOff>
      <xdr:row>12</xdr:row>
      <xdr:rowOff>28575</xdr:rowOff>
    </xdr:from>
    <xdr:to>
      <xdr:col>27</xdr:col>
      <xdr:colOff>142875</xdr:colOff>
      <xdr:row>13</xdr:row>
      <xdr:rowOff>57150</xdr:rowOff>
    </xdr:to>
    <xdr:sp>
      <xdr:nvSpPr>
        <xdr:cNvPr id="71" name="Line 103"/>
        <xdr:cNvSpPr>
          <a:spLocks/>
        </xdr:cNvSpPr>
      </xdr:nvSpPr>
      <xdr:spPr>
        <a:xfrm>
          <a:off x="6753225" y="2171700"/>
          <a:ext cx="0" cy="190500"/>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27</xdr:col>
      <xdr:colOff>247650</xdr:colOff>
      <xdr:row>21</xdr:row>
      <xdr:rowOff>114300</xdr:rowOff>
    </xdr:from>
    <xdr:to>
      <xdr:col>27</xdr:col>
      <xdr:colOff>590550</xdr:colOff>
      <xdr:row>22</xdr:row>
      <xdr:rowOff>152400</xdr:rowOff>
    </xdr:to>
    <xdr:sp>
      <xdr:nvSpPr>
        <xdr:cNvPr id="72" name="Text Box 104"/>
        <xdr:cNvSpPr txBox="1">
          <a:spLocks noChangeArrowheads="1"/>
        </xdr:cNvSpPr>
      </xdr:nvSpPr>
      <xdr:spPr>
        <a:xfrm>
          <a:off x="6858000" y="3714750"/>
          <a:ext cx="342900" cy="200025"/>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rPr>
            <a:t>Piles</a:t>
          </a:r>
        </a:p>
      </xdr:txBody>
    </xdr:sp>
    <xdr:clientData/>
  </xdr:twoCellAnchor>
  <xdr:twoCellAnchor>
    <xdr:from>
      <xdr:col>27</xdr:col>
      <xdr:colOff>76200</xdr:colOff>
      <xdr:row>22</xdr:row>
      <xdr:rowOff>28575</xdr:rowOff>
    </xdr:from>
    <xdr:to>
      <xdr:col>27</xdr:col>
      <xdr:colOff>209550</xdr:colOff>
      <xdr:row>22</xdr:row>
      <xdr:rowOff>28575</xdr:rowOff>
    </xdr:to>
    <xdr:sp>
      <xdr:nvSpPr>
        <xdr:cNvPr id="73" name="Line 105"/>
        <xdr:cNvSpPr>
          <a:spLocks/>
        </xdr:cNvSpPr>
      </xdr:nvSpPr>
      <xdr:spPr>
        <a:xfrm flipH="1">
          <a:off x="6686550" y="3790950"/>
          <a:ext cx="133350" cy="0"/>
        </a:xfrm>
        <a:prstGeom prst="line">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27</xdr:col>
      <xdr:colOff>590550</xdr:colOff>
      <xdr:row>22</xdr:row>
      <xdr:rowOff>28575</xdr:rowOff>
    </xdr:from>
    <xdr:to>
      <xdr:col>28</xdr:col>
      <xdr:colOff>114300</xdr:colOff>
      <xdr:row>22</xdr:row>
      <xdr:rowOff>28575</xdr:rowOff>
    </xdr:to>
    <xdr:sp>
      <xdr:nvSpPr>
        <xdr:cNvPr id="74" name="Line 106"/>
        <xdr:cNvSpPr>
          <a:spLocks/>
        </xdr:cNvSpPr>
      </xdr:nvSpPr>
      <xdr:spPr>
        <a:xfrm>
          <a:off x="7200900" y="3790950"/>
          <a:ext cx="133350" cy="0"/>
        </a:xfrm>
        <a:prstGeom prst="line">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6</xdr:col>
      <xdr:colOff>19050</xdr:colOff>
      <xdr:row>61</xdr:row>
      <xdr:rowOff>19050</xdr:rowOff>
    </xdr:from>
    <xdr:to>
      <xdr:col>8</xdr:col>
      <xdr:colOff>790575</xdr:colOff>
      <xdr:row>81</xdr:row>
      <xdr:rowOff>0</xdr:rowOff>
    </xdr:to>
    <xdr:graphicFrame>
      <xdr:nvGraphicFramePr>
        <xdr:cNvPr id="75" name="Chart 111"/>
        <xdr:cNvGraphicFramePr/>
      </xdr:nvGraphicFramePr>
      <xdr:xfrm>
        <a:off x="3990975" y="10258425"/>
        <a:ext cx="1990725" cy="3219450"/>
      </xdr:xfrm>
      <a:graphic>
        <a:graphicData uri="http://schemas.openxmlformats.org/drawingml/2006/chart">
          <c:chart xmlns:c="http://schemas.openxmlformats.org/drawingml/2006/chart" r:id="rId2"/>
        </a:graphicData>
      </a:graphic>
    </xdr:graphicFrame>
    <xdr:clientData/>
  </xdr:twoCellAnchor>
  <xdr:twoCellAnchor>
    <xdr:from>
      <xdr:col>6</xdr:col>
      <xdr:colOff>152400</xdr:colOff>
      <xdr:row>66</xdr:row>
      <xdr:rowOff>19050</xdr:rowOff>
    </xdr:from>
    <xdr:to>
      <xdr:col>6</xdr:col>
      <xdr:colOff>152400</xdr:colOff>
      <xdr:row>68</xdr:row>
      <xdr:rowOff>57150</xdr:rowOff>
    </xdr:to>
    <xdr:sp>
      <xdr:nvSpPr>
        <xdr:cNvPr id="76" name="Line 112"/>
        <xdr:cNvSpPr>
          <a:spLocks/>
        </xdr:cNvSpPr>
      </xdr:nvSpPr>
      <xdr:spPr>
        <a:xfrm flipV="1">
          <a:off x="4124325" y="11068050"/>
          <a:ext cx="0" cy="3619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8</xdr:col>
      <xdr:colOff>266700</xdr:colOff>
      <xdr:row>80</xdr:row>
      <xdr:rowOff>19050</xdr:rowOff>
    </xdr:from>
    <xdr:to>
      <xdr:col>8</xdr:col>
      <xdr:colOff>628650</xdr:colOff>
      <xdr:row>80</xdr:row>
      <xdr:rowOff>19050</xdr:rowOff>
    </xdr:to>
    <xdr:sp>
      <xdr:nvSpPr>
        <xdr:cNvPr id="77" name="Line 113"/>
        <xdr:cNvSpPr>
          <a:spLocks/>
        </xdr:cNvSpPr>
      </xdr:nvSpPr>
      <xdr:spPr>
        <a:xfrm>
          <a:off x="5457825" y="13335000"/>
          <a:ext cx="3619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27</xdr:col>
      <xdr:colOff>0</xdr:colOff>
      <xdr:row>53</xdr:row>
      <xdr:rowOff>0</xdr:rowOff>
    </xdr:from>
    <xdr:to>
      <xdr:col>29</xdr:col>
      <xdr:colOff>0</xdr:colOff>
      <xdr:row>56</xdr:row>
      <xdr:rowOff>0</xdr:rowOff>
    </xdr:to>
    <xdr:sp>
      <xdr:nvSpPr>
        <xdr:cNvPr id="78" name="Rectangle 144"/>
        <xdr:cNvSpPr>
          <a:spLocks/>
        </xdr:cNvSpPr>
      </xdr:nvSpPr>
      <xdr:spPr>
        <a:xfrm>
          <a:off x="6610350" y="8782050"/>
          <a:ext cx="1219200" cy="6477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rgb="FFFFC000"/>
  </sheetPr>
  <dimension ref="A1:CC554"/>
  <sheetViews>
    <sheetView showGridLines="0" tabSelected="1" zoomScale="110" zoomScaleNormal="110" zoomScaleSheetLayoutView="106" zoomScalePageLayoutView="0" workbookViewId="0" topLeftCell="A1">
      <pane xSplit="1" ySplit="6" topLeftCell="B7" activePane="bottomRight" state="frozen"/>
      <selection pane="topLeft" activeCell="A1" sqref="A1"/>
      <selection pane="topRight" activeCell="B1" sqref="B1"/>
      <selection pane="bottomLeft" activeCell="A5" sqref="A5"/>
      <selection pane="bottomRight" activeCell="AA14" sqref="AA14"/>
    </sheetView>
  </sheetViews>
  <sheetFormatPr defaultColWidth="9.140625" defaultRowHeight="11.25" customHeight="1"/>
  <cols>
    <col min="1" max="1" width="9.140625" style="4" customWidth="1"/>
    <col min="2" max="2" width="5.57421875" style="7" customWidth="1"/>
    <col min="3" max="3" width="8.7109375" style="9" customWidth="1"/>
    <col min="4" max="22" width="5.57421875" style="9" customWidth="1"/>
    <col min="23" max="25" width="4.7109375" style="14" customWidth="1"/>
    <col min="26" max="34" width="6.00390625" style="14" customWidth="1"/>
    <col min="35" max="38" width="5.421875" style="14" customWidth="1"/>
    <col min="39" max="39" width="7.00390625" style="14" bestFit="1" customWidth="1"/>
    <col min="40" max="40" width="5.421875" style="14" customWidth="1"/>
    <col min="41" max="43" width="5.8515625" style="14" customWidth="1"/>
    <col min="44" max="44" width="7.00390625" style="14" customWidth="1"/>
    <col min="45" max="78" width="5.8515625" style="14" customWidth="1"/>
    <col min="79" max="82" width="5.8515625" style="9" customWidth="1"/>
    <col min="83" max="16384" width="9.140625" style="9" customWidth="1"/>
  </cols>
  <sheetData>
    <row r="1" spans="2:22" ht="11.25" customHeight="1" thickBot="1">
      <c r="B1" s="30"/>
      <c r="C1" s="14"/>
      <c r="D1" s="14"/>
      <c r="E1" s="14"/>
      <c r="F1" s="14"/>
      <c r="G1" s="14"/>
      <c r="H1" s="14"/>
      <c r="I1" s="14"/>
      <c r="J1" s="14"/>
      <c r="K1" s="14"/>
      <c r="L1" s="14"/>
      <c r="M1" s="14"/>
      <c r="N1" s="14"/>
      <c r="O1" s="14"/>
      <c r="P1" s="14"/>
      <c r="Q1" s="14"/>
      <c r="R1" s="14"/>
      <c r="S1" s="14"/>
      <c r="T1" s="14"/>
      <c r="U1" s="14"/>
      <c r="V1" s="14"/>
    </row>
    <row r="2" spans="2:22" ht="11.25" customHeight="1">
      <c r="B2" s="413"/>
      <c r="C2" s="553" t="s">
        <v>355</v>
      </c>
      <c r="D2" s="553"/>
      <c r="E2" s="553"/>
      <c r="F2" s="553"/>
      <c r="G2" s="554"/>
      <c r="H2" s="414" t="s">
        <v>223</v>
      </c>
      <c r="I2" s="415"/>
      <c r="J2" s="545" t="s">
        <v>224</v>
      </c>
      <c r="K2" s="545"/>
      <c r="L2" s="545"/>
      <c r="M2" s="545"/>
      <c r="N2" s="416"/>
      <c r="O2" s="417" t="s">
        <v>225</v>
      </c>
      <c r="P2" s="417"/>
      <c r="Q2" s="531" t="s">
        <v>354</v>
      </c>
      <c r="R2" s="531"/>
      <c r="S2" s="531"/>
      <c r="T2" s="531"/>
      <c r="U2" s="529" t="s">
        <v>226</v>
      </c>
      <c r="V2" s="469">
        <v>1</v>
      </c>
    </row>
    <row r="3" spans="2:22" ht="11.25" customHeight="1">
      <c r="B3" s="418"/>
      <c r="C3" s="555"/>
      <c r="D3" s="555"/>
      <c r="E3" s="555"/>
      <c r="F3" s="555"/>
      <c r="G3" s="556"/>
      <c r="H3" s="49" t="s">
        <v>227</v>
      </c>
      <c r="I3" s="419"/>
      <c r="J3" s="546" t="s">
        <v>228</v>
      </c>
      <c r="K3" s="546"/>
      <c r="L3" s="546"/>
      <c r="M3" s="546"/>
      <c r="N3" s="420"/>
      <c r="O3" s="485" t="s">
        <v>229</v>
      </c>
      <c r="P3" s="486"/>
      <c r="Q3" s="533" t="s">
        <v>353</v>
      </c>
      <c r="R3" s="533"/>
      <c r="S3" s="533"/>
      <c r="T3" s="533"/>
      <c r="U3" s="530"/>
      <c r="V3" s="421" t="s">
        <v>230</v>
      </c>
    </row>
    <row r="4" spans="2:22" ht="11.25" customHeight="1">
      <c r="B4" s="418"/>
      <c r="C4" s="555" t="s">
        <v>356</v>
      </c>
      <c r="D4" s="555"/>
      <c r="E4" s="555"/>
      <c r="F4" s="555"/>
      <c r="G4" s="556"/>
      <c r="H4" s="49" t="s">
        <v>231</v>
      </c>
      <c r="I4" s="419"/>
      <c r="J4" s="546" t="s">
        <v>232</v>
      </c>
      <c r="K4" s="546"/>
      <c r="L4" s="546"/>
      <c r="M4" s="546"/>
      <c r="N4" s="420"/>
      <c r="O4" s="477" t="s">
        <v>233</v>
      </c>
      <c r="P4" s="477"/>
      <c r="Q4" s="532">
        <v>39603</v>
      </c>
      <c r="R4" s="532"/>
      <c r="S4" s="532"/>
      <c r="T4" s="532"/>
      <c r="U4" s="530"/>
      <c r="V4" s="468">
        <v>3</v>
      </c>
    </row>
    <row r="5" spans="2:22" ht="11.25" customHeight="1" thickBot="1">
      <c r="B5" s="422"/>
      <c r="C5" s="557"/>
      <c r="D5" s="557"/>
      <c r="E5" s="557"/>
      <c r="F5" s="557"/>
      <c r="G5" s="558"/>
      <c r="H5" s="423"/>
      <c r="I5" s="424"/>
      <c r="J5" s="424"/>
      <c r="K5" s="425"/>
      <c r="L5" s="42"/>
      <c r="M5" s="43"/>
      <c r="N5" s="426"/>
      <c r="O5" s="427"/>
      <c r="P5" s="427"/>
      <c r="Q5" s="428"/>
      <c r="R5" s="428"/>
      <c r="S5" s="428"/>
      <c r="T5" s="428"/>
      <c r="U5" s="530"/>
      <c r="V5" s="429"/>
    </row>
    <row r="6" spans="2:22" ht="11.25" customHeight="1" thickBot="1">
      <c r="B6" s="479" t="s">
        <v>351</v>
      </c>
      <c r="C6" s="480"/>
      <c r="D6" s="480"/>
      <c r="E6" s="480"/>
      <c r="F6" s="480"/>
      <c r="G6" s="480"/>
      <c r="H6" s="480"/>
      <c r="I6" s="480"/>
      <c r="J6" s="480"/>
      <c r="K6" s="480"/>
      <c r="L6" s="480"/>
      <c r="M6" s="480"/>
      <c r="N6" s="480"/>
      <c r="O6" s="480"/>
      <c r="P6" s="480"/>
      <c r="Q6" s="480"/>
      <c r="R6" s="480"/>
      <c r="S6" s="480"/>
      <c r="T6" s="480"/>
      <c r="U6" s="480"/>
      <c r="V6" s="481"/>
    </row>
    <row r="7" spans="2:22" ht="11.25" customHeight="1">
      <c r="B7" s="329"/>
      <c r="C7" s="13"/>
      <c r="D7" s="13"/>
      <c r="E7" s="13"/>
      <c r="F7" s="13"/>
      <c r="G7" s="13"/>
      <c r="H7" s="13"/>
      <c r="I7" s="13"/>
      <c r="J7" s="13"/>
      <c r="K7" s="13"/>
      <c r="L7" s="13"/>
      <c r="M7" s="13"/>
      <c r="N7" s="13"/>
      <c r="O7" s="13"/>
      <c r="P7" s="13"/>
      <c r="Q7" s="13"/>
      <c r="R7" s="13"/>
      <c r="S7" s="13"/>
      <c r="T7" s="13"/>
      <c r="U7" s="13"/>
      <c r="V7" s="48"/>
    </row>
    <row r="8" spans="2:22" ht="11.25" customHeight="1">
      <c r="B8" s="435" t="s">
        <v>8</v>
      </c>
      <c r="C8" s="436" t="s">
        <v>234</v>
      </c>
      <c r="D8" s="437"/>
      <c r="E8" s="437"/>
      <c r="F8" s="437"/>
      <c r="G8" s="438"/>
      <c r="H8" s="3"/>
      <c r="I8" s="3"/>
      <c r="J8" s="3"/>
      <c r="K8" s="3"/>
      <c r="L8" s="3"/>
      <c r="M8" s="3"/>
      <c r="N8" s="3"/>
      <c r="O8" s="3"/>
      <c r="P8" s="3"/>
      <c r="Q8" s="3"/>
      <c r="R8" s="3"/>
      <c r="S8" s="3"/>
      <c r="T8" s="3"/>
      <c r="U8" s="3"/>
      <c r="V8" s="18"/>
    </row>
    <row r="9" spans="2:22" ht="11.25" customHeight="1">
      <c r="B9" s="422"/>
      <c r="C9" s="439" t="s">
        <v>235</v>
      </c>
      <c r="D9" s="440"/>
      <c r="E9" s="440"/>
      <c r="F9" s="440"/>
      <c r="G9" s="366"/>
      <c r="H9" s="3"/>
      <c r="I9" s="3"/>
      <c r="J9" s="3"/>
      <c r="K9" s="3"/>
      <c r="L9" s="3"/>
      <c r="M9" s="439" t="s">
        <v>240</v>
      </c>
      <c r="N9" s="3"/>
      <c r="O9" s="3"/>
      <c r="P9" s="3"/>
      <c r="Q9" s="3"/>
      <c r="R9" s="3"/>
      <c r="S9" s="3"/>
      <c r="T9" s="3"/>
      <c r="U9" s="3"/>
      <c r="V9" s="18"/>
    </row>
    <row r="10" spans="2:22" ht="11.25" customHeight="1">
      <c r="B10" s="422"/>
      <c r="C10" s="440" t="s">
        <v>236</v>
      </c>
      <c r="D10" s="440"/>
      <c r="E10" s="440"/>
      <c r="F10" s="440" t="s">
        <v>36</v>
      </c>
      <c r="G10" s="361" t="s">
        <v>4</v>
      </c>
      <c r="H10" s="516">
        <v>173</v>
      </c>
      <c r="I10" s="517"/>
      <c r="J10" s="465" t="s">
        <v>329</v>
      </c>
      <c r="K10" s="3"/>
      <c r="L10" s="3"/>
      <c r="M10" s="440" t="s">
        <v>241</v>
      </c>
      <c r="N10" s="3"/>
      <c r="O10" s="3"/>
      <c r="P10" s="3"/>
      <c r="Q10" s="3"/>
      <c r="R10" s="32" t="s">
        <v>4</v>
      </c>
      <c r="S10" s="516" t="s">
        <v>208</v>
      </c>
      <c r="T10" s="517"/>
      <c r="U10" s="3"/>
      <c r="V10" s="18"/>
    </row>
    <row r="11" spans="2:22" ht="11.25" customHeight="1">
      <c r="B11" s="422"/>
      <c r="C11" s="440" t="s">
        <v>237</v>
      </c>
      <c r="D11" s="440"/>
      <c r="E11" s="440" t="str">
        <f>H12&amp;"f'c"</f>
        <v>0.375f'c</v>
      </c>
      <c r="F11" s="440" t="s">
        <v>37</v>
      </c>
      <c r="G11" s="361" t="s">
        <v>4</v>
      </c>
      <c r="H11" s="515">
        <f>H10*H12</f>
        <v>64.875</v>
      </c>
      <c r="I11" s="515"/>
      <c r="J11" s="465" t="s">
        <v>329</v>
      </c>
      <c r="K11" s="3"/>
      <c r="L11" s="3"/>
      <c r="M11" s="440" t="s">
        <v>242</v>
      </c>
      <c r="N11" s="3"/>
      <c r="O11" s="3"/>
      <c r="P11" s="3"/>
      <c r="Q11" s="3" t="s">
        <v>39</v>
      </c>
      <c r="R11" s="32" t="s">
        <v>4</v>
      </c>
      <c r="S11" s="528">
        <f>IF(S10="SR-24",2400,IF(S10="SD-30",3000,IF(S10="SD-40",4000)))</f>
        <v>3000</v>
      </c>
      <c r="T11" s="528"/>
      <c r="U11" s="465" t="s">
        <v>329</v>
      </c>
      <c r="V11" s="18"/>
    </row>
    <row r="12" spans="2:22" ht="11.25" customHeight="1">
      <c r="B12" s="422"/>
      <c r="C12" s="440" t="s">
        <v>238</v>
      </c>
      <c r="D12" s="440"/>
      <c r="E12" s="440"/>
      <c r="F12" s="440"/>
      <c r="G12" s="361" t="s">
        <v>4</v>
      </c>
      <c r="H12" s="516">
        <v>0.375</v>
      </c>
      <c r="I12" s="517"/>
      <c r="J12" s="3"/>
      <c r="K12" s="3"/>
      <c r="L12" s="3"/>
      <c r="M12" s="440" t="s">
        <v>243</v>
      </c>
      <c r="N12" s="3"/>
      <c r="O12" s="3"/>
      <c r="P12" s="3"/>
      <c r="Q12" s="3"/>
      <c r="R12" s="32" t="s">
        <v>4</v>
      </c>
      <c r="S12" s="518">
        <f>MIN(S11*0.5,1700)</f>
        <v>1500</v>
      </c>
      <c r="T12" s="518"/>
      <c r="U12" s="465" t="s">
        <v>329</v>
      </c>
      <c r="V12" s="18"/>
    </row>
    <row r="13" spans="2:22" ht="11.25" customHeight="1">
      <c r="B13" s="422"/>
      <c r="C13" s="440" t="s">
        <v>239</v>
      </c>
      <c r="D13" s="440"/>
      <c r="E13" s="440"/>
      <c r="F13" s="440" t="s">
        <v>38</v>
      </c>
      <c r="G13" s="361" t="s">
        <v>4</v>
      </c>
      <c r="H13" s="502">
        <f>INT(15210*SQRT(H10))</f>
        <v>200056</v>
      </c>
      <c r="I13" s="502"/>
      <c r="J13" s="465" t="s">
        <v>329</v>
      </c>
      <c r="K13" s="3"/>
      <c r="L13" s="3"/>
      <c r="M13" s="440" t="s">
        <v>244</v>
      </c>
      <c r="N13" s="3"/>
      <c r="O13" s="3"/>
      <c r="P13" s="3"/>
      <c r="Q13" s="3"/>
      <c r="R13" s="32" t="s">
        <v>4</v>
      </c>
      <c r="S13" s="516">
        <v>2040000</v>
      </c>
      <c r="T13" s="517"/>
      <c r="U13" s="465" t="s">
        <v>329</v>
      </c>
      <c r="V13" s="18"/>
    </row>
    <row r="14" spans="2:22" ht="11.25" customHeight="1">
      <c r="B14" s="330"/>
      <c r="C14" s="3"/>
      <c r="D14" s="3"/>
      <c r="E14" s="3"/>
      <c r="F14" s="3"/>
      <c r="G14" s="3"/>
      <c r="H14" s="3"/>
      <c r="I14" s="3"/>
      <c r="J14" s="3"/>
      <c r="K14" s="3"/>
      <c r="L14" s="3"/>
      <c r="M14" s="3"/>
      <c r="N14" s="3"/>
      <c r="O14" s="3"/>
      <c r="P14" s="3"/>
      <c r="Q14" s="3"/>
      <c r="R14" s="3"/>
      <c r="S14" s="3"/>
      <c r="T14" s="3"/>
      <c r="U14" s="3"/>
      <c r="V14" s="18"/>
    </row>
    <row r="15" spans="2:22" ht="11.25" customHeight="1">
      <c r="B15" s="435" t="s">
        <v>9</v>
      </c>
      <c r="C15" s="436" t="s">
        <v>245</v>
      </c>
      <c r="D15" s="437"/>
      <c r="E15" s="437"/>
      <c r="F15" s="437"/>
      <c r="G15" s="437"/>
      <c r="H15" s="3"/>
      <c r="I15" s="3"/>
      <c r="J15" s="3"/>
      <c r="K15" s="3"/>
      <c r="L15" s="3"/>
      <c r="M15" s="3"/>
      <c r="N15" s="3"/>
      <c r="O15" s="3"/>
      <c r="P15" s="3"/>
      <c r="Q15" s="3"/>
      <c r="R15" s="3"/>
      <c r="S15" s="3"/>
      <c r="T15" s="3"/>
      <c r="U15" s="3"/>
      <c r="V15" s="18"/>
    </row>
    <row r="16" spans="2:22" ht="11.25" customHeight="1">
      <c r="B16" s="330"/>
      <c r="C16" s="3" t="s">
        <v>0</v>
      </c>
      <c r="D16" s="3"/>
      <c r="E16" s="3" t="s">
        <v>3</v>
      </c>
      <c r="F16" s="3"/>
      <c r="G16" s="32" t="s">
        <v>4</v>
      </c>
      <c r="H16" s="512">
        <f>ROUND((S13/H13),0)</f>
        <v>10</v>
      </c>
      <c r="I16" s="512"/>
      <c r="J16" s="3"/>
      <c r="K16" s="3"/>
      <c r="L16" s="3"/>
      <c r="M16" s="3" t="s">
        <v>40</v>
      </c>
      <c r="N16" s="3"/>
      <c r="O16" s="3" t="s">
        <v>6</v>
      </c>
      <c r="P16" s="3"/>
      <c r="Q16" s="3"/>
      <c r="R16" s="32" t="s">
        <v>4</v>
      </c>
      <c r="S16" s="513">
        <f>1-(H17/3)</f>
        <v>0.8993600930773705</v>
      </c>
      <c r="T16" s="513"/>
      <c r="U16" s="3"/>
      <c r="V16" s="18"/>
    </row>
    <row r="17" spans="2:22" ht="11.25" customHeight="1">
      <c r="B17" s="330"/>
      <c r="C17" s="3" t="s">
        <v>1</v>
      </c>
      <c r="D17" s="3"/>
      <c r="E17" s="3" t="s">
        <v>5</v>
      </c>
      <c r="F17" s="3"/>
      <c r="G17" s="32" t="s">
        <v>4</v>
      </c>
      <c r="H17" s="513">
        <f>1/(1+S12/(H16*H11))</f>
        <v>0.3019197207678883</v>
      </c>
      <c r="I17" s="513"/>
      <c r="J17" s="3"/>
      <c r="K17" s="3"/>
      <c r="L17" s="3"/>
      <c r="M17" s="3" t="s">
        <v>2</v>
      </c>
      <c r="N17" s="3"/>
      <c r="O17" s="3" t="s">
        <v>7</v>
      </c>
      <c r="P17" s="3"/>
      <c r="Q17" s="3"/>
      <c r="R17" s="32" t="s">
        <v>4</v>
      </c>
      <c r="S17" s="513">
        <f>(H11*S16*H17)/2</f>
        <v>8.807901906319575</v>
      </c>
      <c r="T17" s="513"/>
      <c r="U17" s="465" t="s">
        <v>329</v>
      </c>
      <c r="V17" s="18"/>
    </row>
    <row r="18" spans="2:22" ht="11.25" customHeight="1">
      <c r="B18" s="330"/>
      <c r="C18" s="3"/>
      <c r="D18" s="3"/>
      <c r="E18" s="3"/>
      <c r="F18" s="3"/>
      <c r="G18" s="3"/>
      <c r="H18" s="3"/>
      <c r="I18" s="3"/>
      <c r="J18" s="3"/>
      <c r="K18" s="3"/>
      <c r="L18" s="3"/>
      <c r="M18" s="3"/>
      <c r="N18" s="3"/>
      <c r="O18" s="3"/>
      <c r="P18" s="3"/>
      <c r="Q18" s="3"/>
      <c r="R18" s="3"/>
      <c r="S18" s="3"/>
      <c r="T18" s="3"/>
      <c r="U18" s="3"/>
      <c r="V18" s="18"/>
    </row>
    <row r="19" spans="2:22" ht="11.25" customHeight="1">
      <c r="B19" s="441" t="s">
        <v>10</v>
      </c>
      <c r="C19" s="442" t="s">
        <v>246</v>
      </c>
      <c r="D19" s="438"/>
      <c r="E19" s="443"/>
      <c r="F19" s="438"/>
      <c r="G19" s="438"/>
      <c r="H19" s="3"/>
      <c r="I19" s="3"/>
      <c r="J19" s="3"/>
      <c r="K19" s="3"/>
      <c r="L19" s="3"/>
      <c r="M19" s="3"/>
      <c r="O19" s="3"/>
      <c r="P19" s="95"/>
      <c r="Q19" s="3"/>
      <c r="R19" s="502" t="s">
        <v>49</v>
      </c>
      <c r="S19" s="502"/>
      <c r="T19" s="3"/>
      <c r="U19" s="97"/>
      <c r="V19" s="18"/>
    </row>
    <row r="20" spans="2:22" ht="11.25" customHeight="1">
      <c r="B20" s="332"/>
      <c r="C20" s="366" t="s">
        <v>247</v>
      </c>
      <c r="D20" s="366"/>
      <c r="E20" s="366"/>
      <c r="F20" s="366"/>
      <c r="G20" s="361" t="s">
        <v>4</v>
      </c>
      <c r="H20" s="470" t="s">
        <v>200</v>
      </c>
      <c r="I20" s="381"/>
      <c r="J20" s="3"/>
      <c r="K20" s="3"/>
      <c r="L20" s="3"/>
      <c r="M20" s="3"/>
      <c r="O20" s="3"/>
      <c r="P20" s="95"/>
      <c r="Q20" s="3"/>
      <c r="R20" s="3"/>
      <c r="S20" s="32"/>
      <c r="T20" s="99"/>
      <c r="U20" s="339"/>
      <c r="V20" s="18"/>
    </row>
    <row r="21" spans="2:22" ht="11.25" customHeight="1" thickBot="1">
      <c r="B21" s="332"/>
      <c r="C21" s="366" t="s">
        <v>248</v>
      </c>
      <c r="D21" s="366"/>
      <c r="E21" s="366"/>
      <c r="F21" s="366"/>
      <c r="G21" s="361" t="s">
        <v>4</v>
      </c>
      <c r="H21" s="471">
        <v>20</v>
      </c>
      <c r="I21" s="366" t="s">
        <v>330</v>
      </c>
      <c r="J21" s="3"/>
      <c r="K21" s="3"/>
      <c r="L21" s="3"/>
      <c r="M21" s="3"/>
      <c r="O21" s="3"/>
      <c r="P21" s="96"/>
      <c r="Q21" s="20"/>
      <c r="R21" s="20"/>
      <c r="S21" s="20"/>
      <c r="T21" s="20"/>
      <c r="U21" s="98"/>
      <c r="V21" s="18"/>
    </row>
    <row r="22" spans="2:22" ht="11.25" customHeight="1">
      <c r="B22" s="332"/>
      <c r="C22" s="366" t="s">
        <v>249</v>
      </c>
      <c r="D22" s="366"/>
      <c r="E22" s="366"/>
      <c r="F22" s="366"/>
      <c r="G22" s="361" t="s">
        <v>4</v>
      </c>
      <c r="H22" s="471">
        <v>5</v>
      </c>
      <c r="I22" s="366" t="s">
        <v>330</v>
      </c>
      <c r="J22" s="3"/>
      <c r="K22" s="3"/>
      <c r="L22" s="3"/>
      <c r="M22" s="3"/>
      <c r="O22" s="93"/>
      <c r="P22" s="90"/>
      <c r="Q22" s="338"/>
      <c r="R22" s="13"/>
      <c r="S22" s="13"/>
      <c r="T22" s="13"/>
      <c r="U22" s="48"/>
      <c r="V22" s="394"/>
    </row>
    <row r="23" spans="2:22" ht="11.25" customHeight="1">
      <c r="B23" s="332"/>
      <c r="C23" s="366" t="s">
        <v>250</v>
      </c>
      <c r="D23" s="366"/>
      <c r="E23" s="366"/>
      <c r="F23" s="366"/>
      <c r="G23" s="361" t="s">
        <v>4</v>
      </c>
      <c r="H23" s="471">
        <v>8</v>
      </c>
      <c r="I23" s="366" t="s">
        <v>330</v>
      </c>
      <c r="J23" s="3"/>
      <c r="K23" s="3"/>
      <c r="L23" s="3"/>
      <c r="M23" s="3"/>
      <c r="O23" s="18"/>
      <c r="P23" s="91"/>
      <c r="Q23" s="3"/>
      <c r="R23" s="3"/>
      <c r="S23" s="3"/>
      <c r="T23" s="3"/>
      <c r="U23" s="18"/>
      <c r="V23" s="386"/>
    </row>
    <row r="24" spans="2:22" ht="11.25" customHeight="1">
      <c r="B24" s="332"/>
      <c r="C24" s="3"/>
      <c r="D24" s="3"/>
      <c r="E24" s="3"/>
      <c r="F24" s="3"/>
      <c r="G24" s="3"/>
      <c r="H24" s="3"/>
      <c r="I24" s="366"/>
      <c r="J24" s="3"/>
      <c r="K24" s="3"/>
      <c r="L24" s="3"/>
      <c r="M24" s="3"/>
      <c r="O24" s="18"/>
      <c r="P24" s="91"/>
      <c r="Q24" s="3"/>
      <c r="R24" s="3"/>
      <c r="S24" s="3"/>
      <c r="T24" s="3"/>
      <c r="U24" s="18"/>
      <c r="V24" s="394"/>
    </row>
    <row r="25" spans="2:22" ht="11.25" customHeight="1">
      <c r="B25" s="441" t="s">
        <v>11</v>
      </c>
      <c r="C25" s="442" t="s">
        <v>352</v>
      </c>
      <c r="D25" s="438"/>
      <c r="E25" s="438"/>
      <c r="F25" s="438"/>
      <c r="G25" s="438"/>
      <c r="H25" s="3"/>
      <c r="I25" s="366"/>
      <c r="J25" s="3"/>
      <c r="K25" s="3"/>
      <c r="L25" s="3"/>
      <c r="M25" s="3"/>
      <c r="O25" s="3"/>
      <c r="P25" s="91"/>
      <c r="Q25" s="32"/>
      <c r="R25" s="3"/>
      <c r="S25" s="3"/>
      <c r="T25" s="3"/>
      <c r="U25" s="18"/>
      <c r="V25" s="386"/>
    </row>
    <row r="26" spans="2:41" ht="11.25" customHeight="1">
      <c r="B26" s="332"/>
      <c r="C26" s="366" t="s">
        <v>251</v>
      </c>
      <c r="D26" s="444"/>
      <c r="E26" s="444"/>
      <c r="F26" s="366" t="s">
        <v>13</v>
      </c>
      <c r="G26" s="361" t="s">
        <v>4</v>
      </c>
      <c r="H26" s="471">
        <v>100</v>
      </c>
      <c r="I26" s="366" t="s">
        <v>330</v>
      </c>
      <c r="J26" s="3"/>
      <c r="K26" s="3"/>
      <c r="L26" s="3"/>
      <c r="O26" s="3" t="s">
        <v>50</v>
      </c>
      <c r="P26" s="91"/>
      <c r="Q26" s="3"/>
      <c r="R26" s="3"/>
      <c r="S26" s="3"/>
      <c r="T26" s="3"/>
      <c r="U26" s="18"/>
      <c r="V26" s="386"/>
      <c r="AG26" s="78"/>
      <c r="AH26" s="78"/>
      <c r="AI26" s="78"/>
      <c r="AJ26" s="78"/>
      <c r="AK26" s="78"/>
      <c r="AL26" s="78"/>
      <c r="AM26" s="78"/>
      <c r="AN26" s="78"/>
      <c r="AO26" s="78"/>
    </row>
    <row r="27" spans="2:41" ht="11.25" customHeight="1">
      <c r="B27" s="332"/>
      <c r="C27" s="366" t="s">
        <v>252</v>
      </c>
      <c r="D27" s="444"/>
      <c r="E27" s="444"/>
      <c r="F27" s="366" t="s">
        <v>14</v>
      </c>
      <c r="G27" s="361" t="s">
        <v>4</v>
      </c>
      <c r="H27" s="471">
        <v>1</v>
      </c>
      <c r="I27" s="366" t="s">
        <v>331</v>
      </c>
      <c r="J27" s="384"/>
      <c r="K27" s="384"/>
      <c r="L27" s="3"/>
      <c r="M27" s="3"/>
      <c r="O27" s="18"/>
      <c r="P27" s="91"/>
      <c r="Q27" s="3"/>
      <c r="R27" s="3"/>
      <c r="S27" s="382" t="s">
        <v>210</v>
      </c>
      <c r="T27" s="3"/>
      <c r="U27" s="18"/>
      <c r="V27" s="386"/>
      <c r="AG27" s="78"/>
      <c r="AH27" s="78"/>
      <c r="AI27" s="78"/>
      <c r="AJ27" s="78"/>
      <c r="AK27" s="78"/>
      <c r="AL27" s="78"/>
      <c r="AM27" s="78"/>
      <c r="AN27" s="78"/>
      <c r="AO27" s="78"/>
    </row>
    <row r="28" spans="2:41" ht="11.25" customHeight="1">
      <c r="B28" s="332"/>
      <c r="C28" s="366" t="s">
        <v>253</v>
      </c>
      <c r="D28" s="444"/>
      <c r="E28" s="444"/>
      <c r="F28" s="366" t="s">
        <v>15</v>
      </c>
      <c r="G28" s="361" t="s">
        <v>4</v>
      </c>
      <c r="H28" s="471">
        <v>1.5</v>
      </c>
      <c r="I28" s="366" t="s">
        <v>331</v>
      </c>
      <c r="J28" s="3">
        <f>IF(J27="Long Column","R   = ","")</f>
      </c>
      <c r="K28" s="8">
        <f>IF(J27="Long Column",1.07-(0.008*((H22*100)/(0.3*H21))),"")</f>
      </c>
      <c r="L28" s="3"/>
      <c r="M28" s="3"/>
      <c r="O28" s="18"/>
      <c r="P28" s="91"/>
      <c r="Q28" s="3"/>
      <c r="R28" s="3"/>
      <c r="S28" s="3"/>
      <c r="T28" s="3"/>
      <c r="U28" s="18"/>
      <c r="V28" s="386"/>
      <c r="AG28" s="79"/>
      <c r="AH28" s="79"/>
      <c r="AI28" s="79"/>
      <c r="AJ28" s="79"/>
      <c r="AK28" s="79"/>
      <c r="AL28" s="79"/>
      <c r="AM28" s="79"/>
      <c r="AN28" s="79"/>
      <c r="AO28" s="79"/>
    </row>
    <row r="29" spans="2:41" ht="11.25" customHeight="1">
      <c r="B29" s="332"/>
      <c r="C29" s="445" t="s">
        <v>254</v>
      </c>
      <c r="D29" s="444"/>
      <c r="E29" s="444"/>
      <c r="F29" s="444"/>
      <c r="G29" s="361" t="s">
        <v>4</v>
      </c>
      <c r="H29" s="36">
        <f>WF(H32,H33,H68,H31,H34,H35,1900)/1000</f>
        <v>6.498</v>
      </c>
      <c r="I29" s="101" t="s">
        <v>332</v>
      </c>
      <c r="J29" s="3"/>
      <c r="K29" s="3"/>
      <c r="L29" s="3"/>
      <c r="M29" s="3"/>
      <c r="O29" s="18"/>
      <c r="P29" s="91"/>
      <c r="Q29" s="3"/>
      <c r="R29" s="3"/>
      <c r="S29" s="3"/>
      <c r="T29" s="3"/>
      <c r="U29" s="18"/>
      <c r="V29" s="395"/>
      <c r="AG29" s="80"/>
      <c r="AH29" s="80"/>
      <c r="AI29" s="80"/>
      <c r="AJ29" s="80"/>
      <c r="AK29" s="80"/>
      <c r="AL29" s="80"/>
      <c r="AM29" s="80"/>
      <c r="AN29" s="80"/>
      <c r="AO29" s="80"/>
    </row>
    <row r="30" spans="2:47" ht="11.25" customHeight="1">
      <c r="B30" s="332"/>
      <c r="C30" s="446" t="s">
        <v>255</v>
      </c>
      <c r="D30" s="366"/>
      <c r="E30" s="444"/>
      <c r="F30" s="444" t="s">
        <v>183</v>
      </c>
      <c r="G30" s="361" t="s">
        <v>4</v>
      </c>
      <c r="H30" s="36">
        <f>SUM(H26,H29)</f>
        <v>106.498</v>
      </c>
      <c r="I30" s="100" t="s">
        <v>333</v>
      </c>
      <c r="J30" s="3"/>
      <c r="K30" s="3"/>
      <c r="L30" s="3"/>
      <c r="M30" s="3"/>
      <c r="O30" s="18"/>
      <c r="P30" s="91"/>
      <c r="Q30" s="3"/>
      <c r="R30" s="3"/>
      <c r="S30" s="3"/>
      <c r="T30" s="3"/>
      <c r="U30" s="18"/>
      <c r="V30" s="394"/>
      <c r="AG30" s="79"/>
      <c r="AH30" s="80"/>
      <c r="AI30" s="80"/>
      <c r="AJ30" s="80"/>
      <c r="AK30" s="80"/>
      <c r="AL30" s="79"/>
      <c r="AM30" s="81"/>
      <c r="AN30" s="81"/>
      <c r="AO30" s="79"/>
      <c r="AU30" s="30"/>
    </row>
    <row r="31" spans="2:47" ht="11.25" customHeight="1" thickBot="1">
      <c r="B31" s="332"/>
      <c r="C31" s="100" t="s">
        <v>256</v>
      </c>
      <c r="D31" s="447"/>
      <c r="E31" s="447"/>
      <c r="F31" s="447" t="s">
        <v>48</v>
      </c>
      <c r="G31" s="102" t="s">
        <v>4</v>
      </c>
      <c r="H31" s="471">
        <v>1</v>
      </c>
      <c r="I31" s="100" t="s">
        <v>334</v>
      </c>
      <c r="J31" s="3"/>
      <c r="K31" s="3"/>
      <c r="L31" s="3"/>
      <c r="M31" s="3"/>
      <c r="O31" s="94"/>
      <c r="P31" s="92"/>
      <c r="Q31" s="20"/>
      <c r="R31" s="20"/>
      <c r="S31" s="20"/>
      <c r="T31" s="20"/>
      <c r="U31" s="21"/>
      <c r="V31" s="395"/>
      <c r="AG31" s="80"/>
      <c r="AH31" s="80"/>
      <c r="AI31" s="80"/>
      <c r="AJ31" s="80"/>
      <c r="AK31" s="80"/>
      <c r="AL31" s="80"/>
      <c r="AM31" s="80"/>
      <c r="AN31" s="80"/>
      <c r="AO31" s="80"/>
      <c r="AU31" s="30"/>
    </row>
    <row r="32" spans="2:47" ht="11.25" customHeight="1">
      <c r="B32" s="332"/>
      <c r="C32" s="447" t="s">
        <v>257</v>
      </c>
      <c r="D32" s="447"/>
      <c r="E32" s="447"/>
      <c r="F32" s="447" t="s">
        <v>49</v>
      </c>
      <c r="G32" s="102" t="s">
        <v>4</v>
      </c>
      <c r="H32" s="471">
        <v>2.1</v>
      </c>
      <c r="I32" s="100" t="s">
        <v>334</v>
      </c>
      <c r="J32" s="3"/>
      <c r="K32" s="3"/>
      <c r="L32" s="3"/>
      <c r="M32" s="3"/>
      <c r="O32" s="32" t="s">
        <v>201</v>
      </c>
      <c r="P32" s="3"/>
      <c r="Q32" s="3"/>
      <c r="R32" s="3"/>
      <c r="S32" s="3"/>
      <c r="T32" s="3"/>
      <c r="U32" s="3"/>
      <c r="V32" s="18"/>
      <c r="AG32" s="80"/>
      <c r="AH32" s="80"/>
      <c r="AI32" s="80"/>
      <c r="AJ32" s="80"/>
      <c r="AK32" s="80"/>
      <c r="AL32" s="80"/>
      <c r="AM32" s="80"/>
      <c r="AN32" s="80"/>
      <c r="AO32" s="80"/>
      <c r="AU32" s="30"/>
    </row>
    <row r="33" spans="2:47" ht="11.25" customHeight="1">
      <c r="B33" s="332"/>
      <c r="C33" s="447" t="s">
        <v>258</v>
      </c>
      <c r="D33" s="447"/>
      <c r="E33" s="447"/>
      <c r="F33" s="447" t="s">
        <v>50</v>
      </c>
      <c r="G33" s="448" t="s">
        <v>4</v>
      </c>
      <c r="H33" s="471">
        <v>1.4</v>
      </c>
      <c r="I33" s="100" t="s">
        <v>334</v>
      </c>
      <c r="J33" s="3"/>
      <c r="K33" s="3"/>
      <c r="L33" s="3"/>
      <c r="M33" s="3"/>
      <c r="O33" s="3"/>
      <c r="P33" s="3"/>
      <c r="Q33" s="3"/>
      <c r="R33" s="3"/>
      <c r="S33" s="3"/>
      <c r="T33" s="3"/>
      <c r="U33" s="3"/>
      <c r="V33" s="18"/>
      <c r="AG33" s="79"/>
      <c r="AH33" s="80"/>
      <c r="AI33" s="80"/>
      <c r="AJ33" s="80"/>
      <c r="AK33" s="80"/>
      <c r="AL33" s="79"/>
      <c r="AM33" s="81"/>
      <c r="AN33" s="81"/>
      <c r="AO33" s="79"/>
      <c r="AP33" s="30"/>
      <c r="AQ33" s="30"/>
      <c r="AR33" s="30"/>
      <c r="AS33" s="30"/>
      <c r="AT33" s="30"/>
      <c r="AU33" s="30"/>
    </row>
    <row r="34" spans="2:47" ht="11.25" customHeight="1">
      <c r="B34" s="332"/>
      <c r="C34" s="447" t="s">
        <v>259</v>
      </c>
      <c r="D34" s="447"/>
      <c r="E34" s="444"/>
      <c r="F34" s="444" t="s">
        <v>51</v>
      </c>
      <c r="G34" s="102" t="s">
        <v>4</v>
      </c>
      <c r="H34" s="472">
        <v>0.5</v>
      </c>
      <c r="I34" s="100" t="s">
        <v>334</v>
      </c>
      <c r="J34" s="3"/>
      <c r="K34" s="3"/>
      <c r="L34" s="3"/>
      <c r="M34" s="3"/>
      <c r="O34" s="3"/>
      <c r="P34" s="3"/>
      <c r="Q34" s="3"/>
      <c r="R34" s="3"/>
      <c r="S34" s="3"/>
      <c r="T34" s="3"/>
      <c r="U34" s="3"/>
      <c r="V34" s="18"/>
      <c r="AG34" s="79"/>
      <c r="AH34" s="80"/>
      <c r="AI34" s="80"/>
      <c r="AJ34" s="80"/>
      <c r="AK34" s="80"/>
      <c r="AL34" s="79"/>
      <c r="AM34" s="81"/>
      <c r="AN34" s="81"/>
      <c r="AO34" s="79"/>
      <c r="AP34" s="30"/>
      <c r="AQ34" s="30"/>
      <c r="AR34" s="30"/>
      <c r="AS34" s="30"/>
      <c r="AT34" s="30"/>
      <c r="AU34" s="30"/>
    </row>
    <row r="35" spans="2:47" ht="11.25" customHeight="1">
      <c r="B35" s="332"/>
      <c r="C35" s="447" t="s">
        <v>260</v>
      </c>
      <c r="D35" s="447"/>
      <c r="E35" s="444"/>
      <c r="F35" s="444" t="s">
        <v>18</v>
      </c>
      <c r="G35" s="448" t="s">
        <v>4</v>
      </c>
      <c r="H35" s="472">
        <v>0.3</v>
      </c>
      <c r="I35" s="100" t="s">
        <v>334</v>
      </c>
      <c r="J35" s="3"/>
      <c r="K35" s="3"/>
      <c r="L35" s="3"/>
      <c r="M35" s="3"/>
      <c r="O35" s="3"/>
      <c r="P35" s="3"/>
      <c r="Q35" s="3"/>
      <c r="R35" s="3"/>
      <c r="S35" s="3"/>
      <c r="T35" s="3"/>
      <c r="U35" s="3"/>
      <c r="V35" s="18"/>
      <c r="AG35" s="82"/>
      <c r="AH35" s="82"/>
      <c r="AI35" s="82"/>
      <c r="AJ35" s="82"/>
      <c r="AK35" s="82"/>
      <c r="AL35" s="82"/>
      <c r="AM35" s="82"/>
      <c r="AN35" s="82"/>
      <c r="AO35" s="82"/>
      <c r="AP35" s="30"/>
      <c r="AQ35" s="30"/>
      <c r="AR35" s="30"/>
      <c r="AS35" s="30"/>
      <c r="AT35" s="30"/>
      <c r="AU35" s="30"/>
    </row>
    <row r="36" spans="2:47" ht="11.25" customHeight="1">
      <c r="B36" s="330"/>
      <c r="C36" s="3"/>
      <c r="D36" s="3"/>
      <c r="E36" s="3"/>
      <c r="F36" s="3"/>
      <c r="G36" s="3"/>
      <c r="H36" s="3"/>
      <c r="I36" s="3"/>
      <c r="J36" s="3"/>
      <c r="K36" s="3"/>
      <c r="L36" s="3"/>
      <c r="M36" s="3"/>
      <c r="O36" s="3"/>
      <c r="P36" s="3"/>
      <c r="Q36" s="3"/>
      <c r="R36" s="3"/>
      <c r="S36" s="3"/>
      <c r="T36" s="3"/>
      <c r="U36" s="3"/>
      <c r="V36" s="18"/>
      <c r="AG36" s="82"/>
      <c r="AH36" s="82"/>
      <c r="AI36" s="82"/>
      <c r="AJ36" s="82"/>
      <c r="AK36" s="82"/>
      <c r="AL36" s="82"/>
      <c r="AM36" s="82"/>
      <c r="AN36" s="82"/>
      <c r="AO36" s="82"/>
      <c r="AP36" s="30"/>
      <c r="AQ36" s="30"/>
      <c r="AR36" s="30"/>
      <c r="AS36" s="30"/>
      <c r="AT36" s="30"/>
      <c r="AU36" s="30"/>
    </row>
    <row r="37" spans="2:47" ht="11.25" customHeight="1">
      <c r="B37" s="441" t="s">
        <v>31</v>
      </c>
      <c r="C37" s="442" t="s">
        <v>261</v>
      </c>
      <c r="D37" s="438"/>
      <c r="E37" s="438"/>
      <c r="F37" s="438"/>
      <c r="G37" s="449"/>
      <c r="H37" s="466" t="s">
        <v>335</v>
      </c>
      <c r="I37" s="466" t="s">
        <v>336</v>
      </c>
      <c r="J37" s="466" t="s">
        <v>337</v>
      </c>
      <c r="K37" s="466" t="s">
        <v>338</v>
      </c>
      <c r="L37" s="466" t="s">
        <v>339</v>
      </c>
      <c r="M37" s="466" t="s">
        <v>340</v>
      </c>
      <c r="O37" s="3"/>
      <c r="P37" s="3"/>
      <c r="Q37" s="3"/>
      <c r="R37" s="3"/>
      <c r="S37" s="3"/>
      <c r="T37" s="3"/>
      <c r="U37" s="3"/>
      <c r="V37" s="18"/>
      <c r="AG37" s="79"/>
      <c r="AH37" s="80"/>
      <c r="AI37" s="80"/>
      <c r="AJ37" s="80"/>
      <c r="AK37" s="80"/>
      <c r="AL37" s="79"/>
      <c r="AM37" s="83"/>
      <c r="AN37" s="83"/>
      <c r="AO37" s="79"/>
      <c r="AP37" s="30"/>
      <c r="AQ37" s="30"/>
      <c r="AR37" s="30"/>
      <c r="AS37" s="30"/>
      <c r="AT37" s="30"/>
      <c r="AU37" s="30"/>
    </row>
    <row r="38" spans="2:47" ht="11.25" customHeight="1">
      <c r="B38" s="332"/>
      <c r="C38" s="444" t="s">
        <v>262</v>
      </c>
      <c r="D38" s="444"/>
      <c r="E38" s="444"/>
      <c r="F38" s="450"/>
      <c r="G38" s="448" t="s">
        <v>4</v>
      </c>
      <c r="H38" s="471">
        <v>0.35</v>
      </c>
      <c r="I38" s="471">
        <v>0.35</v>
      </c>
      <c r="J38" s="471">
        <v>0.35</v>
      </c>
      <c r="K38" s="471">
        <v>0.35</v>
      </c>
      <c r="L38" s="540">
        <v>0.7</v>
      </c>
      <c r="M38" s="540">
        <v>0.7</v>
      </c>
      <c r="O38" s="3"/>
      <c r="P38" s="3"/>
      <c r="Q38" s="3"/>
      <c r="T38" s="3"/>
      <c r="U38" s="3"/>
      <c r="V38" s="18"/>
      <c r="AG38" s="79"/>
      <c r="AH38" s="80"/>
      <c r="AI38" s="80"/>
      <c r="AJ38" s="80"/>
      <c r="AK38" s="80"/>
      <c r="AL38" s="79"/>
      <c r="AM38" s="83"/>
      <c r="AN38" s="83"/>
      <c r="AO38" s="79"/>
      <c r="AP38" s="30"/>
      <c r="AQ38" s="30"/>
      <c r="AR38" s="30"/>
      <c r="AS38" s="30"/>
      <c r="AT38" s="30"/>
      <c r="AU38" s="30"/>
    </row>
    <row r="39" spans="2:47" ht="11.25" customHeight="1" thickBot="1">
      <c r="B39" s="332"/>
      <c r="C39" s="444" t="s">
        <v>263</v>
      </c>
      <c r="D39" s="444"/>
      <c r="E39" s="444"/>
      <c r="F39" s="103"/>
      <c r="G39" s="448" t="s">
        <v>4</v>
      </c>
      <c r="H39" s="471">
        <v>1.05</v>
      </c>
      <c r="I39" s="471">
        <v>0.35</v>
      </c>
      <c r="J39" s="473" t="s">
        <v>211</v>
      </c>
      <c r="K39" s="473" t="s">
        <v>211</v>
      </c>
      <c r="L39" s="541"/>
      <c r="M39" s="541"/>
      <c r="O39" s="3"/>
      <c r="P39" s="3"/>
      <c r="Q39" s="3"/>
      <c r="R39" s="3"/>
      <c r="S39" s="32"/>
      <c r="T39" s="99"/>
      <c r="U39" s="99"/>
      <c r="V39" s="18"/>
      <c r="AG39" s="28"/>
      <c r="AH39" s="28"/>
      <c r="AI39" s="28"/>
      <c r="AJ39" s="28"/>
      <c r="AK39" s="28"/>
      <c r="AL39" s="28"/>
      <c r="AM39" s="28"/>
      <c r="AN39" s="28"/>
      <c r="AO39" s="28"/>
      <c r="AP39" s="30"/>
      <c r="AQ39" s="30"/>
      <c r="AR39" s="30"/>
      <c r="AS39" s="30"/>
      <c r="AT39" s="30"/>
      <c r="AU39" s="30"/>
    </row>
    <row r="40" spans="2:47" ht="11.25" customHeight="1">
      <c r="B40" s="332"/>
      <c r="C40" s="444" t="s">
        <v>264</v>
      </c>
      <c r="D40" s="444"/>
      <c r="E40" s="444"/>
      <c r="F40" s="444"/>
      <c r="G40" s="448" t="s">
        <v>4</v>
      </c>
      <c r="H40" s="471">
        <v>1.75</v>
      </c>
      <c r="I40" s="471">
        <v>0.35</v>
      </c>
      <c r="J40" s="471">
        <v>0.35</v>
      </c>
      <c r="K40" s="471">
        <v>0.35</v>
      </c>
      <c r="L40" s="541"/>
      <c r="M40" s="541"/>
      <c r="O40" s="3"/>
      <c r="P40" s="90"/>
      <c r="Q40" s="13"/>
      <c r="R40" s="13"/>
      <c r="S40" s="13"/>
      <c r="T40" s="13"/>
      <c r="U40" s="48"/>
      <c r="V40" s="18"/>
      <c r="AG40" s="78"/>
      <c r="AH40" s="78"/>
      <c r="AI40" s="78"/>
      <c r="AJ40" s="78"/>
      <c r="AK40" s="78"/>
      <c r="AL40" s="28"/>
      <c r="AM40" s="28"/>
      <c r="AN40" s="28"/>
      <c r="AO40" s="28"/>
      <c r="AP40" s="30"/>
      <c r="AQ40" s="30"/>
      <c r="AR40" s="30"/>
      <c r="AS40" s="30"/>
      <c r="AT40" s="30"/>
      <c r="AU40" s="30"/>
    </row>
    <row r="41" spans="2:47" ht="11.25" customHeight="1">
      <c r="B41" s="451"/>
      <c r="C41" s="444" t="s">
        <v>265</v>
      </c>
      <c r="D41" s="444"/>
      <c r="E41" s="444"/>
      <c r="F41" s="444"/>
      <c r="G41" s="448" t="s">
        <v>4</v>
      </c>
      <c r="H41" s="471">
        <v>0.35</v>
      </c>
      <c r="I41" s="471">
        <v>1.05</v>
      </c>
      <c r="J41" s="471">
        <v>0.35</v>
      </c>
      <c r="K41" s="471">
        <v>0.35</v>
      </c>
      <c r="L41" s="541"/>
      <c r="M41" s="541"/>
      <c r="O41" s="18"/>
      <c r="P41" s="91"/>
      <c r="Q41" s="354"/>
      <c r="R41" s="3"/>
      <c r="S41" s="3"/>
      <c r="T41" s="3"/>
      <c r="U41" s="18"/>
      <c r="V41" s="386"/>
      <c r="AG41" s="78"/>
      <c r="AH41" s="78"/>
      <c r="AI41" s="78"/>
      <c r="AJ41" s="78"/>
      <c r="AK41" s="78"/>
      <c r="AL41" s="84"/>
      <c r="AM41" s="84"/>
      <c r="AN41" s="28"/>
      <c r="AO41" s="28"/>
      <c r="AP41" s="30"/>
      <c r="AQ41" s="30"/>
      <c r="AR41" s="30"/>
      <c r="AS41" s="30"/>
      <c r="AT41" s="30"/>
      <c r="AU41" s="30"/>
    </row>
    <row r="42" spans="2:47" ht="11.25" customHeight="1">
      <c r="B42" s="451"/>
      <c r="C42" s="444" t="s">
        <v>266</v>
      </c>
      <c r="D42" s="366"/>
      <c r="E42" s="366"/>
      <c r="F42" s="366"/>
      <c r="G42" s="102" t="s">
        <v>4</v>
      </c>
      <c r="H42" s="471">
        <v>1.05</v>
      </c>
      <c r="I42" s="471">
        <v>1.05</v>
      </c>
      <c r="J42" s="473" t="s">
        <v>211</v>
      </c>
      <c r="K42" s="473" t="s">
        <v>211</v>
      </c>
      <c r="L42" s="541"/>
      <c r="M42" s="541"/>
      <c r="O42" s="18"/>
      <c r="P42" s="91"/>
      <c r="Q42" s="3"/>
      <c r="R42" s="3"/>
      <c r="S42" s="3"/>
      <c r="T42" s="3"/>
      <c r="U42" s="18"/>
      <c r="V42" s="386"/>
      <c r="AH42" s="86"/>
      <c r="AI42" s="87"/>
      <c r="AJ42" s="85"/>
      <c r="AK42" s="85"/>
      <c r="AL42" s="28"/>
      <c r="AM42" s="28"/>
      <c r="AN42" s="28"/>
      <c r="AO42" s="28"/>
      <c r="AP42" s="30"/>
      <c r="AQ42" s="30"/>
      <c r="AR42" s="30"/>
      <c r="AS42" s="30"/>
      <c r="AT42" s="30"/>
      <c r="AU42" s="30"/>
    </row>
    <row r="43" spans="2:47" ht="11.25" customHeight="1">
      <c r="B43" s="330"/>
      <c r="C43" s="444" t="s">
        <v>267</v>
      </c>
      <c r="D43" s="3"/>
      <c r="E43" s="3"/>
      <c r="F43" s="3"/>
      <c r="G43" s="102" t="s">
        <v>4</v>
      </c>
      <c r="H43" s="471">
        <v>1.75</v>
      </c>
      <c r="I43" s="471">
        <v>1.05</v>
      </c>
      <c r="J43" s="471">
        <v>0.35</v>
      </c>
      <c r="K43" s="471">
        <v>0.35</v>
      </c>
      <c r="L43" s="542"/>
      <c r="M43" s="542"/>
      <c r="O43" s="18"/>
      <c r="P43" s="91"/>
      <c r="Q43" s="3"/>
      <c r="R43" s="3"/>
      <c r="S43" s="3"/>
      <c r="T43" s="3"/>
      <c r="U43" s="18"/>
      <c r="V43" s="386"/>
      <c r="AH43" s="85"/>
      <c r="AI43" s="85"/>
      <c r="AJ43" s="85"/>
      <c r="AK43" s="85"/>
      <c r="AL43" s="28"/>
      <c r="AM43" s="28"/>
      <c r="AN43" s="28"/>
      <c r="AO43" s="28"/>
      <c r="AP43" s="30"/>
      <c r="AQ43" s="30"/>
      <c r="AR43" s="30"/>
      <c r="AS43" s="30"/>
      <c r="AT43" s="30"/>
      <c r="AU43" s="30"/>
    </row>
    <row r="44" spans="2:47" ht="11.25" customHeight="1">
      <c r="B44" s="330"/>
      <c r="C44" s="444" t="s">
        <v>268</v>
      </c>
      <c r="D44" s="3"/>
      <c r="E44" s="3"/>
      <c r="F44" s="3"/>
      <c r="G44" s="102" t="s">
        <v>4</v>
      </c>
      <c r="H44" s="471">
        <v>1.05</v>
      </c>
      <c r="I44" s="471">
        <v>0.7</v>
      </c>
      <c r="J44" s="3"/>
      <c r="K44" s="5"/>
      <c r="L44" s="3"/>
      <c r="M44" s="3"/>
      <c r="O44" s="18"/>
      <c r="P44" s="91"/>
      <c r="Q44" s="32"/>
      <c r="R44" s="3"/>
      <c r="S44" s="3"/>
      <c r="T44" s="3"/>
      <c r="U44" s="18"/>
      <c r="V44" s="386"/>
      <c r="AH44" s="85"/>
      <c r="AI44" s="87"/>
      <c r="AJ44" s="85"/>
      <c r="AK44" s="88"/>
      <c r="AL44" s="28"/>
      <c r="AM44" s="28"/>
      <c r="AN44" s="28"/>
      <c r="AO44" s="28"/>
      <c r="AP44" s="30"/>
      <c r="AQ44" s="30"/>
      <c r="AR44" s="30"/>
      <c r="AS44" s="30"/>
      <c r="AT44" s="30"/>
      <c r="AU44" s="30"/>
    </row>
    <row r="45" spans="2:47" ht="11.25" customHeight="1">
      <c r="B45" s="330"/>
      <c r="C45" s="444" t="s">
        <v>269</v>
      </c>
      <c r="D45" s="3"/>
      <c r="E45" s="3"/>
      <c r="F45" s="3"/>
      <c r="G45" s="102" t="s">
        <v>4</v>
      </c>
      <c r="H45" s="36">
        <f>+'Piles (&lt;=25)(metric) (2)'!E65/1000</f>
        <v>17.69030075184753</v>
      </c>
      <c r="I45" s="366" t="s">
        <v>330</v>
      </c>
      <c r="J45" s="3"/>
      <c r="K45" s="3"/>
      <c r="L45" s="3"/>
      <c r="M45" s="3"/>
      <c r="O45" s="18"/>
      <c r="P45" s="91"/>
      <c r="Q45" s="3"/>
      <c r="R45" s="3"/>
      <c r="S45" s="3"/>
      <c r="T45" s="32" t="s">
        <v>204</v>
      </c>
      <c r="U45" s="18"/>
      <c r="V45" s="386"/>
      <c r="AH45" s="28"/>
      <c r="AI45" s="28"/>
      <c r="AJ45" s="28"/>
      <c r="AK45" s="28"/>
      <c r="AL45" s="28"/>
      <c r="AM45" s="28"/>
      <c r="AN45" s="28"/>
      <c r="AO45" s="28"/>
      <c r="AP45" s="30"/>
      <c r="AQ45" s="30"/>
      <c r="AR45" s="30"/>
      <c r="AS45" s="30"/>
      <c r="AT45" s="30"/>
      <c r="AU45" s="30"/>
    </row>
    <row r="46" spans="2:47" ht="11.25" customHeight="1">
      <c r="B46" s="330"/>
      <c r="C46" s="444" t="s">
        <v>270</v>
      </c>
      <c r="D46" s="3"/>
      <c r="E46" s="3"/>
      <c r="F46" s="3"/>
      <c r="G46" s="102" t="s">
        <v>4</v>
      </c>
      <c r="H46" s="36">
        <f>+'Piles (&lt;=25)(metric) (2)'!E66/1000</f>
        <v>18.226051841091103</v>
      </c>
      <c r="I46" s="366" t="s">
        <v>330</v>
      </c>
      <c r="J46" s="3"/>
      <c r="K46" s="3"/>
      <c r="L46" s="3"/>
      <c r="M46" s="3"/>
      <c r="O46" s="18"/>
      <c r="P46" s="91"/>
      <c r="Q46" s="3"/>
      <c r="R46" s="3"/>
      <c r="S46" s="3"/>
      <c r="T46" s="3"/>
      <c r="U46" s="18"/>
      <c r="V46" s="386"/>
      <c r="AM46" s="28"/>
      <c r="AN46" s="28"/>
      <c r="AO46" s="28"/>
      <c r="AP46" s="30"/>
      <c r="AQ46" s="30"/>
      <c r="AR46" s="30"/>
      <c r="AS46" s="30"/>
      <c r="AT46" s="30"/>
      <c r="AU46" s="30"/>
    </row>
    <row r="47" spans="2:47" ht="11.25" customHeight="1">
      <c r="B47" s="330"/>
      <c r="C47" s="444" t="s">
        <v>271</v>
      </c>
      <c r="D47" s="3"/>
      <c r="E47" s="3"/>
      <c r="F47" s="3"/>
      <c r="G47" s="102" t="s">
        <v>4</v>
      </c>
      <c r="H47" s="36">
        <f>'Piles (&lt;=25)(metric) (2)'!E67/1000</f>
        <v>18.761802930334674</v>
      </c>
      <c r="I47" s="366" t="s">
        <v>330</v>
      </c>
      <c r="J47" s="3"/>
      <c r="K47" s="3"/>
      <c r="L47" s="3"/>
      <c r="M47" s="3"/>
      <c r="O47" s="3"/>
      <c r="P47" s="91"/>
      <c r="Q47" s="3"/>
      <c r="R47" s="3"/>
      <c r="S47" s="3"/>
      <c r="T47" s="3"/>
      <c r="U47" s="18"/>
      <c r="V47" s="386"/>
      <c r="AM47" s="28"/>
      <c r="AN47" s="28"/>
      <c r="AO47" s="28"/>
      <c r="AP47" s="30"/>
      <c r="AQ47" s="30"/>
      <c r="AR47" s="30"/>
      <c r="AS47" s="30"/>
      <c r="AT47" s="30"/>
      <c r="AU47" s="30"/>
    </row>
    <row r="48" spans="2:47" ht="11.25" customHeight="1">
      <c r="B48" s="330"/>
      <c r="C48" s="444" t="s">
        <v>272</v>
      </c>
      <c r="D48" s="3"/>
      <c r="E48" s="3"/>
      <c r="F48" s="3"/>
      <c r="G48" s="102" t="s">
        <v>4</v>
      </c>
      <c r="H48" s="36">
        <f>'Piles (&lt;=25)(metric) (2)'!E68/1000</f>
        <v>16.737530402998658</v>
      </c>
      <c r="I48" s="366" t="s">
        <v>330</v>
      </c>
      <c r="J48" s="3"/>
      <c r="K48" s="3"/>
      <c r="L48" s="3"/>
      <c r="M48" s="3"/>
      <c r="O48" s="3"/>
      <c r="P48" s="91"/>
      <c r="Q48" s="3"/>
      <c r="R48" s="3"/>
      <c r="S48" s="3"/>
      <c r="T48" s="3"/>
      <c r="U48" s="18"/>
      <c r="V48" s="18"/>
      <c r="AM48" s="28"/>
      <c r="AN48" s="28"/>
      <c r="AO48" s="28"/>
      <c r="AP48" s="30"/>
      <c r="AQ48" s="30"/>
      <c r="AR48" s="30"/>
      <c r="AS48" s="30"/>
      <c r="AT48" s="30"/>
      <c r="AU48" s="30"/>
    </row>
    <row r="49" spans="2:47" ht="11.25" customHeight="1" thickBot="1">
      <c r="B49" s="330"/>
      <c r="C49" s="444" t="s">
        <v>273</v>
      </c>
      <c r="D49" s="3"/>
      <c r="E49" s="3"/>
      <c r="F49" s="3"/>
      <c r="G49" s="102" t="s">
        <v>4</v>
      </c>
      <c r="H49" s="32">
        <f>+'Piles (&lt;=25)(metric) (2)'!E69/1000</f>
        <v>17.273281492242226</v>
      </c>
      <c r="I49" s="366" t="s">
        <v>330</v>
      </c>
      <c r="J49" s="3"/>
      <c r="P49" s="92"/>
      <c r="Q49" s="20"/>
      <c r="R49" s="20"/>
      <c r="S49" s="20"/>
      <c r="T49" s="20"/>
      <c r="U49" s="21"/>
      <c r="V49" s="18"/>
      <c r="AM49" s="28"/>
      <c r="AN49" s="28"/>
      <c r="AO49" s="28"/>
      <c r="AP49" s="30"/>
      <c r="AQ49" s="30"/>
      <c r="AR49" s="30"/>
      <c r="AS49" s="30"/>
      <c r="AT49" s="30"/>
      <c r="AU49" s="30"/>
    </row>
    <row r="50" spans="2:47" ht="11.25" customHeight="1">
      <c r="B50" s="330"/>
      <c r="C50" s="444" t="s">
        <v>274</v>
      </c>
      <c r="G50" s="102" t="s">
        <v>4</v>
      </c>
      <c r="H50" s="400">
        <f>+'Piles (&lt;=25)(metric) (2)'!E70/1000</f>
        <v>17.8090325814858</v>
      </c>
      <c r="I50" s="366" t="s">
        <v>330</v>
      </c>
      <c r="K50" s="3"/>
      <c r="L50" s="3"/>
      <c r="M50" s="3"/>
      <c r="O50" s="361" t="s">
        <v>201</v>
      </c>
      <c r="P50" s="13"/>
      <c r="Q50" s="32"/>
      <c r="R50" s="3"/>
      <c r="S50" s="3"/>
      <c r="T50" s="3"/>
      <c r="U50" s="3"/>
      <c r="V50" s="18"/>
      <c r="AM50" s="28"/>
      <c r="AN50" s="28"/>
      <c r="AO50" s="28"/>
      <c r="AP50" s="30"/>
      <c r="AQ50" s="30"/>
      <c r="AR50" s="30"/>
      <c r="AS50" s="30"/>
      <c r="AT50" s="30"/>
      <c r="AU50" s="30"/>
    </row>
    <row r="51" spans="2:47" ht="11.25" customHeight="1">
      <c r="B51" s="332"/>
      <c r="C51" s="452" t="s">
        <v>275</v>
      </c>
      <c r="D51" s="453"/>
      <c r="E51" s="453"/>
      <c r="F51" s="3"/>
      <c r="G51" s="3"/>
      <c r="H51" s="3"/>
      <c r="I51" s="3"/>
      <c r="J51" s="3"/>
      <c r="K51" s="3"/>
      <c r="L51" s="3"/>
      <c r="M51" s="3"/>
      <c r="O51" s="3"/>
      <c r="P51" s="3"/>
      <c r="Q51" s="3"/>
      <c r="R51" s="3"/>
      <c r="S51" s="3"/>
      <c r="T51" s="3"/>
      <c r="U51" s="3"/>
      <c r="V51" s="18"/>
      <c r="AM51" s="28"/>
      <c r="AN51" s="28"/>
      <c r="AO51" s="28"/>
      <c r="AP51" s="30"/>
      <c r="AQ51" s="30"/>
      <c r="AR51" s="30"/>
      <c r="AS51" s="30"/>
      <c r="AT51" s="30"/>
      <c r="AU51" s="30"/>
    </row>
    <row r="52" spans="2:47" ht="11.25" customHeight="1" thickBot="1">
      <c r="B52" s="332"/>
      <c r="C52" s="453" t="s">
        <v>276</v>
      </c>
      <c r="D52" s="453"/>
      <c r="E52" s="444"/>
      <c r="F52" s="3"/>
      <c r="G52" s="102" t="s">
        <v>4</v>
      </c>
      <c r="H52" s="36">
        <f>IF(OR(H45&gt;0,H46&gt;0,H47&gt;0,H48&gt;0,H49&gt;0,H50&gt;0),MAX(H45:H50),0)</f>
        <v>18.761802930334674</v>
      </c>
      <c r="I52" s="366" t="s">
        <v>330</v>
      </c>
      <c r="J52" s="27" t="str">
        <f>IF(H52&lt;H21,"OK.","NG.")</f>
        <v>OK.</v>
      </c>
      <c r="K52" s="3"/>
      <c r="L52" s="3"/>
      <c r="M52" s="3"/>
      <c r="N52" s="3"/>
      <c r="O52" s="3"/>
      <c r="P52" s="3"/>
      <c r="Q52" s="3"/>
      <c r="R52" s="3"/>
      <c r="S52" s="3"/>
      <c r="T52" s="3"/>
      <c r="U52" s="3"/>
      <c r="V52" s="18"/>
      <c r="AM52" s="28"/>
      <c r="AN52" s="28"/>
      <c r="AO52" s="28"/>
      <c r="AP52" s="30"/>
      <c r="AQ52" s="30"/>
      <c r="AR52" s="30"/>
      <c r="AS52" s="30"/>
      <c r="AT52" s="30"/>
      <c r="AU52" s="30"/>
    </row>
    <row r="53" spans="2:47" ht="11.25" customHeight="1">
      <c r="B53" s="332"/>
      <c r="C53" s="452" t="s">
        <v>277</v>
      </c>
      <c r="D53" s="453"/>
      <c r="E53" s="453"/>
      <c r="F53" s="3"/>
      <c r="G53" s="32"/>
      <c r="H53" s="36"/>
      <c r="I53" s="3"/>
      <c r="J53" s="3"/>
      <c r="K53" s="3"/>
      <c r="L53" s="3"/>
      <c r="N53" s="3"/>
      <c r="O53" s="66"/>
      <c r="P53" s="66"/>
      <c r="Q53" s="13"/>
      <c r="R53" s="13"/>
      <c r="S53" s="13"/>
      <c r="T53" s="13"/>
      <c r="U53" s="3"/>
      <c r="V53" s="18"/>
      <c r="AM53" s="28"/>
      <c r="AN53" s="28"/>
      <c r="AO53" s="28"/>
      <c r="AP53" s="30"/>
      <c r="AQ53" s="30"/>
      <c r="AR53" s="30"/>
      <c r="AS53" s="30"/>
      <c r="AT53" s="30"/>
      <c r="AU53" s="30"/>
    </row>
    <row r="54" spans="2:47" ht="11.25" customHeight="1">
      <c r="B54" s="332"/>
      <c r="C54" s="444" t="s">
        <v>278</v>
      </c>
      <c r="D54" s="444"/>
      <c r="E54" s="444"/>
      <c r="F54" s="3"/>
      <c r="G54" s="102" t="s">
        <v>4</v>
      </c>
      <c r="H54" s="362">
        <f>IF(OR(H45&lt;0,H46&lt;0,H47&lt;0,H48&lt;0,H49&lt;0,H50&lt;0),MIN(H45:H50),0)</f>
        <v>0</v>
      </c>
      <c r="I54" s="366" t="s">
        <v>330</v>
      </c>
      <c r="J54" s="27" t="str">
        <f>IF(H54*-1&lt;H22,"OK.","NG.")</f>
        <v>OK.</v>
      </c>
      <c r="K54" s="3"/>
      <c r="L54" s="3"/>
      <c r="N54" s="3"/>
      <c r="O54" s="3"/>
      <c r="P54" s="3"/>
      <c r="Q54" s="3"/>
      <c r="R54" s="3"/>
      <c r="S54" s="3"/>
      <c r="T54" s="3"/>
      <c r="U54" s="3"/>
      <c r="V54" s="18"/>
      <c r="AM54" s="28"/>
      <c r="AN54" s="28"/>
      <c r="AO54" s="28"/>
      <c r="AP54" s="30"/>
      <c r="AQ54" s="30"/>
      <c r="AR54" s="30"/>
      <c r="AS54" s="30"/>
      <c r="AT54" s="30"/>
      <c r="AU54" s="30"/>
    </row>
    <row r="55" spans="2:47" ht="11.25" customHeight="1">
      <c r="B55" s="330"/>
      <c r="O55" s="3"/>
      <c r="P55" s="3"/>
      <c r="Q55" s="3"/>
      <c r="R55" s="3"/>
      <c r="S55" s="3"/>
      <c r="T55" s="3"/>
      <c r="U55" s="3"/>
      <c r="V55" s="18"/>
      <c r="AM55" s="28"/>
      <c r="AN55" s="28"/>
      <c r="AO55" s="28"/>
      <c r="AP55" s="30"/>
      <c r="AQ55" s="30"/>
      <c r="AR55" s="30"/>
      <c r="AS55" s="30"/>
      <c r="AT55" s="30"/>
      <c r="AU55" s="30"/>
    </row>
    <row r="56" spans="2:47" ht="11.25" customHeight="1">
      <c r="B56" s="454" t="s">
        <v>32</v>
      </c>
      <c r="C56" s="455" t="s">
        <v>279</v>
      </c>
      <c r="D56" s="456"/>
      <c r="E56" s="456"/>
      <c r="F56" s="456"/>
      <c r="G56" s="456"/>
      <c r="H56" s="3"/>
      <c r="I56" s="3"/>
      <c r="J56" s="3"/>
      <c r="K56" s="3"/>
      <c r="L56" s="3"/>
      <c r="N56" s="3"/>
      <c r="O56" s="544" t="s">
        <v>48</v>
      </c>
      <c r="P56" s="3"/>
      <c r="Q56" s="3"/>
      <c r="R56" s="3"/>
      <c r="S56" s="3"/>
      <c r="T56" s="3"/>
      <c r="U56" s="3"/>
      <c r="V56" s="18"/>
      <c r="AM56" s="28"/>
      <c r="AN56" s="28"/>
      <c r="AO56" s="28"/>
      <c r="AP56" s="30"/>
      <c r="AQ56" s="30"/>
      <c r="AR56" s="30"/>
      <c r="AS56" s="30"/>
      <c r="AT56" s="30"/>
      <c r="AU56" s="30"/>
    </row>
    <row r="57" spans="2:47" ht="11.25" customHeight="1" thickBot="1">
      <c r="B57" s="451"/>
      <c r="C57" s="452" t="s">
        <v>280</v>
      </c>
      <c r="D57" s="444"/>
      <c r="E57" s="444"/>
      <c r="F57" s="444"/>
      <c r="G57" s="444"/>
      <c r="H57" s="401" t="s">
        <v>202</v>
      </c>
      <c r="I57" s="402" t="s">
        <v>206</v>
      </c>
      <c r="J57" s="403" t="s">
        <v>205</v>
      </c>
      <c r="K57" s="404" t="s">
        <v>220</v>
      </c>
      <c r="L57" s="405" t="s">
        <v>203</v>
      </c>
      <c r="M57" s="405" t="s">
        <v>210</v>
      </c>
      <c r="N57" s="3"/>
      <c r="O57" s="544"/>
      <c r="P57" s="3"/>
      <c r="Q57" s="3"/>
      <c r="R57" s="3"/>
      <c r="S57" s="3"/>
      <c r="T57" s="3"/>
      <c r="U57" s="3"/>
      <c r="V57" s="18"/>
      <c r="AM57" s="28"/>
      <c r="AN57" s="28"/>
      <c r="AO57" s="28"/>
      <c r="AP57" s="30"/>
      <c r="AQ57" s="30"/>
      <c r="AR57" s="30"/>
      <c r="AS57" s="30"/>
      <c r="AT57" s="30"/>
      <c r="AU57" s="30"/>
    </row>
    <row r="58" spans="2:47" ht="11.25" customHeight="1">
      <c r="B58" s="451"/>
      <c r="C58" s="444" t="s">
        <v>281</v>
      </c>
      <c r="D58" s="444"/>
      <c r="E58" s="444"/>
      <c r="F58" s="444"/>
      <c r="G58" s="448" t="s">
        <v>4</v>
      </c>
      <c r="H58" s="471">
        <v>0.35</v>
      </c>
      <c r="I58" s="471">
        <v>0.35</v>
      </c>
      <c r="J58" s="471">
        <v>0.35</v>
      </c>
      <c r="K58" s="471">
        <v>0.35</v>
      </c>
      <c r="L58" s="471">
        <v>0.35</v>
      </c>
      <c r="M58" s="471">
        <v>0.35</v>
      </c>
      <c r="N58" s="100" t="s">
        <v>334</v>
      </c>
      <c r="O58" s="3"/>
      <c r="P58" s="90"/>
      <c r="Q58" s="13"/>
      <c r="R58" s="13"/>
      <c r="S58" s="13"/>
      <c r="T58" s="13"/>
      <c r="U58" s="48"/>
      <c r="V58" s="394"/>
      <c r="AM58" s="28"/>
      <c r="AN58" s="28"/>
      <c r="AO58" s="28"/>
      <c r="AP58" s="30"/>
      <c r="AQ58" s="30"/>
      <c r="AR58" s="30"/>
      <c r="AS58" s="30"/>
      <c r="AT58" s="30"/>
      <c r="AU58" s="30"/>
    </row>
    <row r="59" spans="2:47" ht="11.25" customHeight="1">
      <c r="B59" s="333"/>
      <c r="C59" s="445" t="s">
        <v>282</v>
      </c>
      <c r="D59" s="100"/>
      <c r="E59" s="100"/>
      <c r="F59" s="100"/>
      <c r="G59" s="448" t="s">
        <v>4</v>
      </c>
      <c r="H59" s="543">
        <f>(Mmax2pile_col(H58,H34,(ABS(H45)))*1000)+(Mmax2pile_col(I58,H34,(ABS(H48)))*1000)</f>
        <v>3442.783115484618</v>
      </c>
      <c r="I59" s="543"/>
      <c r="J59" s="527">
        <f>(Mmax2pile_col(J58,H34,(ABS(H47)))*1000)+(Mmax2pile_col(K58,H34,(ABS(H50)))*1000)</f>
        <v>3657.0835511820464</v>
      </c>
      <c r="K59" s="527"/>
      <c r="L59" s="393" t="s">
        <v>211</v>
      </c>
      <c r="M59" s="393" t="s">
        <v>211</v>
      </c>
      <c r="N59" s="465" t="s">
        <v>341</v>
      </c>
      <c r="O59" s="3"/>
      <c r="P59" s="91"/>
      <c r="Q59" s="3"/>
      <c r="R59" s="3"/>
      <c r="S59" s="3"/>
      <c r="T59" s="6"/>
      <c r="U59" s="396" t="s">
        <v>184</v>
      </c>
      <c r="V59" s="397" t="s">
        <v>185</v>
      </c>
      <c r="AM59" s="28"/>
      <c r="AN59" s="28"/>
      <c r="AO59" s="28"/>
      <c r="AP59" s="30"/>
      <c r="AQ59" s="30"/>
      <c r="AR59" s="30"/>
      <c r="AS59" s="30"/>
      <c r="AT59" s="30"/>
      <c r="AU59" s="30"/>
    </row>
    <row r="60" spans="2:47" ht="11.25" customHeight="1">
      <c r="B60" s="333"/>
      <c r="C60" s="100" t="s">
        <v>283</v>
      </c>
      <c r="D60" s="444"/>
      <c r="E60" s="444"/>
      <c r="F60" s="444"/>
      <c r="G60" s="448" t="s">
        <v>4</v>
      </c>
      <c r="H60" s="537">
        <f>MAX(H59:K59)</f>
        <v>3657.0835511820464</v>
      </c>
      <c r="I60" s="538"/>
      <c r="J60" s="538"/>
      <c r="K60" s="538"/>
      <c r="L60" s="538"/>
      <c r="M60" s="539"/>
      <c r="N60" s="465" t="s">
        <v>341</v>
      </c>
      <c r="O60" s="3"/>
      <c r="P60" s="91"/>
      <c r="Q60" s="3"/>
      <c r="R60" s="3"/>
      <c r="S60" s="3"/>
      <c r="T60" s="3"/>
      <c r="U60" s="18"/>
      <c r="V60" s="386"/>
      <c r="AM60" s="28"/>
      <c r="AN60" s="28"/>
      <c r="AO60" s="28"/>
      <c r="AP60" s="30"/>
      <c r="AQ60" s="30"/>
      <c r="AR60" s="30"/>
      <c r="AS60" s="30"/>
      <c r="AT60" s="30"/>
      <c r="AU60" s="30"/>
    </row>
    <row r="61" spans="2:47" ht="11.25" customHeight="1" thickBot="1">
      <c r="B61" s="451"/>
      <c r="C61" s="452" t="s">
        <v>284</v>
      </c>
      <c r="D61" s="444"/>
      <c r="E61" s="444"/>
      <c r="F61" s="444"/>
      <c r="G61" s="444"/>
      <c r="H61" s="401" t="s">
        <v>202</v>
      </c>
      <c r="I61" s="402" t="s">
        <v>203</v>
      </c>
      <c r="J61" s="401" t="s">
        <v>205</v>
      </c>
      <c r="K61" s="404" t="s">
        <v>206</v>
      </c>
      <c r="L61" s="404" t="s">
        <v>210</v>
      </c>
      <c r="M61" s="404" t="s">
        <v>220</v>
      </c>
      <c r="N61" s="366"/>
      <c r="O61" s="68"/>
      <c r="P61" s="92"/>
      <c r="Q61" s="20"/>
      <c r="R61" s="20"/>
      <c r="S61" s="20"/>
      <c r="T61" s="20"/>
      <c r="U61" s="21"/>
      <c r="V61" s="398"/>
      <c r="AM61" s="28"/>
      <c r="AN61" s="28"/>
      <c r="AO61" s="28"/>
      <c r="AP61" s="30"/>
      <c r="AQ61" s="30"/>
      <c r="AR61" s="30"/>
      <c r="AS61" s="30"/>
      <c r="AT61" s="30"/>
      <c r="AU61" s="30"/>
    </row>
    <row r="62" spans="2:47" ht="11.25" customHeight="1">
      <c r="B62" s="451"/>
      <c r="C62" s="444" t="s">
        <v>285</v>
      </c>
      <c r="D62" s="444"/>
      <c r="E62" s="444"/>
      <c r="F62" s="444"/>
      <c r="G62" s="448" t="s">
        <v>4</v>
      </c>
      <c r="H62" s="471">
        <v>0.35</v>
      </c>
      <c r="I62" s="471">
        <v>0.35</v>
      </c>
      <c r="J62" s="471">
        <v>0.35</v>
      </c>
      <c r="K62" s="471">
        <v>0.35</v>
      </c>
      <c r="L62" s="471">
        <v>0.35</v>
      </c>
      <c r="M62" s="471">
        <v>0.35</v>
      </c>
      <c r="N62" s="100" t="s">
        <v>334</v>
      </c>
      <c r="O62" s="3"/>
      <c r="P62" s="3"/>
      <c r="Q62" s="3"/>
      <c r="R62" s="3"/>
      <c r="S62" s="3"/>
      <c r="T62" s="3"/>
      <c r="U62" s="3"/>
      <c r="V62" s="396"/>
      <c r="AM62" s="28"/>
      <c r="AN62" s="28"/>
      <c r="AO62" s="28"/>
      <c r="AP62" s="30"/>
      <c r="AQ62" s="30"/>
      <c r="AR62" s="30"/>
      <c r="AS62" s="30"/>
      <c r="AT62" s="30"/>
      <c r="AU62" s="30"/>
    </row>
    <row r="63" spans="2:47" ht="11.25" customHeight="1">
      <c r="B63" s="451"/>
      <c r="C63" s="445" t="s">
        <v>286</v>
      </c>
      <c r="D63" s="100"/>
      <c r="E63" s="100"/>
      <c r="F63" s="100"/>
      <c r="G63" s="448" t="s">
        <v>4</v>
      </c>
      <c r="H63" s="489">
        <f>(Mmax2pile_col(H62,$H$35,(ABS(H45)))*1000)+(Mmax2pile_col(I62,$H$35,(ABS(H46)))*1000)+(Mmax2pile_col(J62,$H$35,(ABS(H47)))*1000)</f>
        <v>10935.631104654662</v>
      </c>
      <c r="I63" s="490"/>
      <c r="J63" s="490"/>
      <c r="K63" s="491">
        <f>(Mmax2pile_col(K62,$H$35,(ABS(H48)))*1000)+(Mmax2pile_col(L62,$H$35,(ABS(H49)))*1000)++(Mmax2pile_col(M62,$H$35,(ABS(H50)))*1000)</f>
        <v>10363.968895345335</v>
      </c>
      <c r="L63" s="492"/>
      <c r="M63" s="493"/>
      <c r="N63" s="465" t="s">
        <v>341</v>
      </c>
      <c r="O63" s="3"/>
      <c r="P63" s="3"/>
      <c r="Q63" s="3"/>
      <c r="R63" s="3"/>
      <c r="S63" s="3"/>
      <c r="T63" s="3"/>
      <c r="U63" s="3"/>
      <c r="V63" s="396"/>
      <c r="AM63" s="28"/>
      <c r="AN63" s="28"/>
      <c r="AO63" s="28"/>
      <c r="AP63" s="30"/>
      <c r="AQ63" s="30"/>
      <c r="AR63" s="30"/>
      <c r="AS63" s="30"/>
      <c r="AT63" s="30"/>
      <c r="AU63" s="30"/>
    </row>
    <row r="64" spans="2:47" ht="11.25" customHeight="1">
      <c r="B64" s="451"/>
      <c r="C64" s="100" t="s">
        <v>287</v>
      </c>
      <c r="D64" s="444"/>
      <c r="E64" s="444"/>
      <c r="F64" s="444"/>
      <c r="G64" s="448" t="s">
        <v>4</v>
      </c>
      <c r="H64" s="537">
        <f>MAX(H63:M63)</f>
        <v>10935.631104654662</v>
      </c>
      <c r="I64" s="538"/>
      <c r="J64" s="538"/>
      <c r="K64" s="538"/>
      <c r="L64" s="538"/>
      <c r="M64" s="539"/>
      <c r="N64" s="465" t="s">
        <v>341</v>
      </c>
      <c r="O64" s="3"/>
      <c r="P64" s="3"/>
      <c r="Q64" s="3"/>
      <c r="R64" s="3"/>
      <c r="S64" s="3"/>
      <c r="T64" s="3"/>
      <c r="U64" s="3"/>
      <c r="V64" s="18"/>
      <c r="AM64" s="28"/>
      <c r="AN64" s="28"/>
      <c r="AO64" s="28"/>
      <c r="AP64" s="30"/>
      <c r="AQ64" s="30"/>
      <c r="AR64" s="30"/>
      <c r="AS64" s="30"/>
      <c r="AT64" s="30"/>
      <c r="AU64" s="30"/>
    </row>
    <row r="65" spans="2:47" ht="11.25" customHeight="1">
      <c r="B65" s="333"/>
      <c r="C65" s="445" t="s">
        <v>288</v>
      </c>
      <c r="D65" s="447"/>
      <c r="E65" s="447"/>
      <c r="F65" s="457"/>
      <c r="G65" s="448" t="s">
        <v>4</v>
      </c>
      <c r="H65" s="36">
        <f>MAX(DMINN(H60,S17,H33*100),DMINN(H64,S17,H32*100))</f>
        <v>24.315099092577164</v>
      </c>
      <c r="I65" s="440" t="s">
        <v>342</v>
      </c>
      <c r="J65" s="3"/>
      <c r="K65" s="3"/>
      <c r="L65" s="3"/>
      <c r="N65" s="3"/>
      <c r="O65" s="3"/>
      <c r="P65" s="3"/>
      <c r="Q65" s="3"/>
      <c r="R65" s="3"/>
      <c r="S65" s="3"/>
      <c r="T65" s="3"/>
      <c r="U65" s="3"/>
      <c r="V65" s="18"/>
      <c r="AM65" s="28"/>
      <c r="AN65" s="28"/>
      <c r="AO65" s="28"/>
      <c r="AP65" s="30"/>
      <c r="AQ65" s="30"/>
      <c r="AR65" s="30"/>
      <c r="AS65" s="30"/>
      <c r="AT65" s="30"/>
      <c r="AU65" s="30"/>
    </row>
    <row r="66" spans="2:47" ht="11.25" customHeight="1">
      <c r="B66" s="333"/>
      <c r="C66" s="445" t="s">
        <v>289</v>
      </c>
      <c r="D66" s="447"/>
      <c r="E66" s="447"/>
      <c r="F66" s="447" t="s">
        <v>184</v>
      </c>
      <c r="G66" s="448" t="s">
        <v>4</v>
      </c>
      <c r="H66" s="363">
        <f>(H68-H67)*100</f>
        <v>52.5</v>
      </c>
      <c r="I66" s="440" t="s">
        <v>342</v>
      </c>
      <c r="J66" s="27" t="str">
        <f>IF(H66&gt;H65,"OK.","NG.")</f>
        <v>OK.</v>
      </c>
      <c r="L66" s="3"/>
      <c r="N66" s="399" t="s">
        <v>184</v>
      </c>
      <c r="P66" s="3"/>
      <c r="Q66" s="3"/>
      <c r="R66" s="3"/>
      <c r="S66" s="3"/>
      <c r="T66" s="3"/>
      <c r="U66" s="3"/>
      <c r="V66" s="18"/>
      <c r="AM66" s="28"/>
      <c r="AN66" s="28"/>
      <c r="AO66" s="28"/>
      <c r="AP66" s="30"/>
      <c r="AQ66" s="30"/>
      <c r="AR66" s="30"/>
      <c r="AS66" s="30"/>
      <c r="AT66" s="30"/>
      <c r="AU66" s="30"/>
    </row>
    <row r="67" spans="2:47" ht="11.25" customHeight="1">
      <c r="B67" s="333"/>
      <c r="C67" s="100" t="s">
        <v>350</v>
      </c>
      <c r="D67" s="447"/>
      <c r="E67" s="447"/>
      <c r="F67" s="447"/>
      <c r="G67" s="448" t="s">
        <v>4</v>
      </c>
      <c r="H67" s="472">
        <v>0.075</v>
      </c>
      <c r="I67" s="100" t="s">
        <v>334</v>
      </c>
      <c r="J67" s="3"/>
      <c r="K67" s="3"/>
      <c r="L67" s="3"/>
      <c r="P67" s="3"/>
      <c r="Q67" s="3"/>
      <c r="R67" s="3"/>
      <c r="S67" s="3"/>
      <c r="T67" s="3"/>
      <c r="U67" s="3"/>
      <c r="V67" s="18"/>
      <c r="AM67" s="28"/>
      <c r="AN67" s="28"/>
      <c r="AO67" s="28"/>
      <c r="AP67" s="30"/>
      <c r="AQ67" s="30"/>
      <c r="AR67" s="30"/>
      <c r="AS67" s="30"/>
      <c r="AT67" s="30"/>
      <c r="AU67" s="30"/>
    </row>
    <row r="68" spans="2:47" ht="11.25" customHeight="1">
      <c r="B68" s="333"/>
      <c r="C68" s="445" t="s">
        <v>290</v>
      </c>
      <c r="D68" s="25"/>
      <c r="E68" s="100"/>
      <c r="F68" s="447" t="s">
        <v>185</v>
      </c>
      <c r="G68" s="448" t="s">
        <v>4</v>
      </c>
      <c r="H68" s="471">
        <v>0.6</v>
      </c>
      <c r="I68" s="100" t="s">
        <v>334</v>
      </c>
      <c r="J68" s="3"/>
      <c r="K68" s="3"/>
      <c r="L68" s="3"/>
      <c r="N68" s="32">
        <v>-15</v>
      </c>
      <c r="O68" s="406" t="s">
        <v>221</v>
      </c>
      <c r="P68" s="3"/>
      <c r="Q68" s="3"/>
      <c r="R68" s="3"/>
      <c r="S68" s="3"/>
      <c r="T68" s="3"/>
      <c r="U68" s="3"/>
      <c r="V68" s="18"/>
      <c r="AM68" s="28"/>
      <c r="AN68" s="28"/>
      <c r="AO68" s="28"/>
      <c r="AP68" s="30"/>
      <c r="AQ68" s="30"/>
      <c r="AR68" s="30"/>
      <c r="AS68" s="30"/>
      <c r="AT68" s="30"/>
      <c r="AU68" s="30"/>
    </row>
    <row r="69" spans="2:47" ht="11.25" customHeight="1">
      <c r="B69" s="330"/>
      <c r="C69" s="3"/>
      <c r="D69" s="3"/>
      <c r="E69" s="3"/>
      <c r="F69" s="3"/>
      <c r="G69" s="3"/>
      <c r="H69" s="3"/>
      <c r="I69" s="3"/>
      <c r="J69" s="3"/>
      <c r="K69" s="3"/>
      <c r="L69" s="3"/>
      <c r="N69" s="383" t="s">
        <v>209</v>
      </c>
      <c r="O69" s="407" t="s">
        <v>214</v>
      </c>
      <c r="Q69" s="534" t="s">
        <v>328</v>
      </c>
      <c r="R69" s="535"/>
      <c r="S69" s="535"/>
      <c r="T69" s="536"/>
      <c r="U69" s="3"/>
      <c r="V69" s="89"/>
      <c r="AM69" s="28"/>
      <c r="AN69" s="28"/>
      <c r="AO69" s="28"/>
      <c r="AP69" s="30"/>
      <c r="AQ69" s="30"/>
      <c r="AR69" s="30"/>
      <c r="AS69" s="30"/>
      <c r="AT69" s="30"/>
      <c r="AU69" s="30"/>
    </row>
    <row r="70" spans="2:47" ht="11.25" customHeight="1">
      <c r="B70" s="454" t="s">
        <v>35</v>
      </c>
      <c r="C70" s="455" t="s">
        <v>291</v>
      </c>
      <c r="D70" s="443"/>
      <c r="E70" s="458"/>
      <c r="F70" s="459"/>
      <c r="G70" s="3"/>
      <c r="H70" s="3"/>
      <c r="I70" s="3"/>
      <c r="J70" s="3"/>
      <c r="K70" s="3"/>
      <c r="L70" s="3"/>
      <c r="O70" s="3"/>
      <c r="P70" s="3"/>
      <c r="Q70" s="3"/>
      <c r="R70" s="3"/>
      <c r="S70" s="3"/>
      <c r="T70" s="3"/>
      <c r="U70" s="3"/>
      <c r="V70" s="89"/>
      <c r="AM70" s="28"/>
      <c r="AN70" s="28"/>
      <c r="AO70" s="28"/>
      <c r="AP70" s="30"/>
      <c r="AQ70" s="30"/>
      <c r="AR70" s="30"/>
      <c r="AS70" s="30"/>
      <c r="AT70" s="30"/>
      <c r="AU70" s="30"/>
    </row>
    <row r="71" spans="2:47" ht="11.25" customHeight="1">
      <c r="B71" s="318"/>
      <c r="C71" s="452" t="s">
        <v>280</v>
      </c>
      <c r="D71" s="444"/>
      <c r="E71" s="444"/>
      <c r="F71" s="444"/>
      <c r="G71" s="3"/>
      <c r="H71" s="401" t="s">
        <v>202</v>
      </c>
      <c r="I71" s="402" t="s">
        <v>203</v>
      </c>
      <c r="J71" s="403" t="s">
        <v>205</v>
      </c>
      <c r="K71" s="404" t="s">
        <v>206</v>
      </c>
      <c r="L71" s="405" t="s">
        <v>210</v>
      </c>
      <c r="M71" s="405" t="s">
        <v>220</v>
      </c>
      <c r="N71" s="3"/>
      <c r="O71" s="3"/>
      <c r="P71" s="95"/>
      <c r="Q71" s="3"/>
      <c r="R71" s="501" t="str">
        <f>+K181</f>
        <v>2.10 ม.</v>
      </c>
      <c r="S71" s="501"/>
      <c r="T71" s="3"/>
      <c r="U71" s="97"/>
      <c r="V71" s="18"/>
      <c r="AM71" s="28"/>
      <c r="AN71" s="28"/>
      <c r="AO71" s="28"/>
      <c r="AP71" s="30"/>
      <c r="AQ71" s="30"/>
      <c r="AR71" s="30"/>
      <c r="AS71" s="30"/>
      <c r="AT71" s="30"/>
      <c r="AU71" s="30"/>
    </row>
    <row r="72" spans="2:47" ht="11.25" customHeight="1" thickBot="1">
      <c r="B72" s="333"/>
      <c r="C72" s="444" t="s">
        <v>292</v>
      </c>
      <c r="D72" s="102"/>
      <c r="E72" s="100"/>
      <c r="F72" s="320"/>
      <c r="G72" s="102" t="s">
        <v>4</v>
      </c>
      <c r="H72" s="347">
        <f aca="true" t="shared" si="0" ref="H72:M72">(H58*100)-($H$34*100/2)</f>
        <v>10</v>
      </c>
      <c r="I72" s="347">
        <f t="shared" si="0"/>
        <v>10</v>
      </c>
      <c r="J72" s="347">
        <f t="shared" si="0"/>
        <v>10</v>
      </c>
      <c r="K72" s="347">
        <f t="shared" si="0"/>
        <v>10</v>
      </c>
      <c r="L72" s="347">
        <f t="shared" si="0"/>
        <v>10</v>
      </c>
      <c r="M72" s="347">
        <f t="shared" si="0"/>
        <v>10</v>
      </c>
      <c r="N72" s="440" t="s">
        <v>342</v>
      </c>
      <c r="O72" s="3"/>
      <c r="P72" s="95"/>
      <c r="Q72" s="3"/>
      <c r="R72" s="3"/>
      <c r="S72" s="3"/>
      <c r="T72" s="3"/>
      <c r="U72" s="97"/>
      <c r="V72" s="18"/>
      <c r="AM72" s="28"/>
      <c r="AN72" s="28"/>
      <c r="AO72" s="28"/>
      <c r="AP72" s="30"/>
      <c r="AQ72" s="30"/>
      <c r="AR72" s="30"/>
      <c r="AS72" s="30"/>
      <c r="AT72" s="30"/>
      <c r="AU72" s="30"/>
    </row>
    <row r="73" spans="2:47" ht="11.25" customHeight="1">
      <c r="B73" s="333"/>
      <c r="C73" s="444" t="s">
        <v>293</v>
      </c>
      <c r="D73" s="102"/>
      <c r="E73" s="319"/>
      <c r="F73" s="319" t="s">
        <v>33</v>
      </c>
      <c r="G73" s="102" t="s">
        <v>4</v>
      </c>
      <c r="H73" s="357">
        <f>+H72-H75</f>
        <v>-42.5</v>
      </c>
      <c r="I73" s="357">
        <f>+I72-$H$75</f>
        <v>-42.5</v>
      </c>
      <c r="J73" s="357">
        <f>+J72-$H$75</f>
        <v>-42.5</v>
      </c>
      <c r="K73" s="357">
        <f>+K72-$H$75</f>
        <v>-42.5</v>
      </c>
      <c r="L73" s="357">
        <f>+L72-$H$75</f>
        <v>-42.5</v>
      </c>
      <c r="M73" s="357">
        <f>+M72-$H$75</f>
        <v>-42.5</v>
      </c>
      <c r="N73" s="440" t="s">
        <v>342</v>
      </c>
      <c r="O73" s="93"/>
      <c r="P73" s="90"/>
      <c r="Q73" s="13"/>
      <c r="R73" s="13"/>
      <c r="S73" s="13"/>
      <c r="T73" s="13"/>
      <c r="U73" s="48"/>
      <c r="V73" s="18"/>
      <c r="AM73" s="28"/>
      <c r="AN73" s="28"/>
      <c r="AO73" s="28"/>
      <c r="AP73" s="30"/>
      <c r="AQ73" s="30"/>
      <c r="AR73" s="30"/>
      <c r="AS73" s="30"/>
      <c r="AT73" s="30"/>
      <c r="AU73" s="30"/>
    </row>
    <row r="74" spans="2:47" ht="11.25" customHeight="1">
      <c r="B74" s="333"/>
      <c r="C74" s="100" t="s">
        <v>294</v>
      </c>
      <c r="D74" s="101"/>
      <c r="E74" s="100"/>
      <c r="F74" s="320"/>
      <c r="G74" s="102" t="s">
        <v>4</v>
      </c>
      <c r="H74" s="376">
        <f>pile_d(H45,H73)</f>
        <v>0</v>
      </c>
      <c r="I74" s="376">
        <f>pile_d(H46,I73)</f>
        <v>0</v>
      </c>
      <c r="J74" s="376">
        <f>pile_d(H47,J73)</f>
        <v>0</v>
      </c>
      <c r="K74" s="376">
        <f>pile_d(H48,K73)</f>
        <v>0</v>
      </c>
      <c r="L74" s="376">
        <f>pile_d(H49,L73)</f>
        <v>0</v>
      </c>
      <c r="M74" s="376">
        <f>pile_d(H50,M73)</f>
        <v>0</v>
      </c>
      <c r="N74" s="366" t="s">
        <v>330</v>
      </c>
      <c r="O74" s="18"/>
      <c r="P74" s="91"/>
      <c r="Q74" s="354"/>
      <c r="R74" s="3"/>
      <c r="S74" s="3"/>
      <c r="T74" s="3"/>
      <c r="U74" s="18"/>
      <c r="V74" s="18"/>
      <c r="AM74" s="28"/>
      <c r="AN74" s="28"/>
      <c r="AO74" s="28"/>
      <c r="AP74" s="30"/>
      <c r="AQ74" s="30"/>
      <c r="AR74" s="30"/>
      <c r="AS74" s="30"/>
      <c r="AT74" s="30"/>
      <c r="AU74" s="30"/>
    </row>
    <row r="75" spans="2:41" ht="11.25" customHeight="1" thickBot="1">
      <c r="B75" s="451"/>
      <c r="C75" s="445" t="s">
        <v>289</v>
      </c>
      <c r="D75" s="102"/>
      <c r="E75" s="319"/>
      <c r="F75" s="319" t="s">
        <v>184</v>
      </c>
      <c r="G75" s="102" t="s">
        <v>4</v>
      </c>
      <c r="H75" s="36">
        <f>H66</f>
        <v>52.5</v>
      </c>
      <c r="I75" s="440" t="s">
        <v>342</v>
      </c>
      <c r="J75" s="3"/>
      <c r="K75" s="3"/>
      <c r="L75" s="3"/>
      <c r="M75" s="3"/>
      <c r="O75" s="18"/>
      <c r="P75" s="500" t="str">
        <f>+P227</f>
        <v>17-DB20 มม.</v>
      </c>
      <c r="Q75" s="487" t="str">
        <f>+M221</f>
        <v>11-DB20 มม.</v>
      </c>
      <c r="R75" s="488"/>
      <c r="S75" s="488"/>
      <c r="T75" s="488"/>
      <c r="U75" s="18"/>
      <c r="V75" s="18"/>
      <c r="AM75" s="78"/>
      <c r="AN75" s="78"/>
      <c r="AO75" s="78"/>
    </row>
    <row r="76" spans="2:41" ht="11.25" customHeight="1" thickTop="1">
      <c r="B76" s="451"/>
      <c r="C76" s="100" t="s">
        <v>295</v>
      </c>
      <c r="D76" s="444"/>
      <c r="E76" s="444"/>
      <c r="F76" s="444"/>
      <c r="G76" s="102" t="s">
        <v>4</v>
      </c>
      <c r="H76" s="363">
        <f>Vc_kg(H10,H33*100,H66)/1000</f>
        <v>28.035505332524323</v>
      </c>
      <c r="I76" s="366" t="s">
        <v>330</v>
      </c>
      <c r="J76" s="27" t="str">
        <f>IF(H79&lt;H76,"OK.","NG.")</f>
        <v>OK.</v>
      </c>
      <c r="K76" s="3"/>
      <c r="L76" s="3"/>
      <c r="M76" s="3"/>
      <c r="O76" s="18"/>
      <c r="P76" s="500"/>
      <c r="Q76" s="341"/>
      <c r="R76" s="3"/>
      <c r="S76" s="3"/>
      <c r="T76" s="3"/>
      <c r="U76" s="18"/>
      <c r="V76" s="18"/>
      <c r="AM76" s="78"/>
      <c r="AN76" s="78"/>
      <c r="AO76" s="78"/>
    </row>
    <row r="77" spans="2:41" ht="11.25" customHeight="1">
      <c r="B77" s="330"/>
      <c r="C77" s="100" t="s">
        <v>296</v>
      </c>
      <c r="D77" s="3"/>
      <c r="E77" s="3"/>
      <c r="F77" s="3"/>
      <c r="G77" s="102" t="s">
        <v>4</v>
      </c>
      <c r="H77" s="363">
        <f>+H74+K74</f>
        <v>0</v>
      </c>
      <c r="I77" s="366" t="s">
        <v>330</v>
      </c>
      <c r="J77" s="3"/>
      <c r="K77" s="3"/>
      <c r="L77" s="3"/>
      <c r="M77" s="3"/>
      <c r="N77" s="521" t="str">
        <f>+D192</f>
        <v>1.40 ม.</v>
      </c>
      <c r="O77" s="522"/>
      <c r="P77" s="500"/>
      <c r="Q77" s="342"/>
      <c r="R77" s="3"/>
      <c r="S77" s="3"/>
      <c r="T77" s="3"/>
      <c r="U77" s="18"/>
      <c r="V77" s="18"/>
      <c r="AM77" s="78"/>
      <c r="AN77" s="78"/>
      <c r="AO77" s="78"/>
    </row>
    <row r="78" spans="2:41" ht="11.25" customHeight="1">
      <c r="B78" s="330"/>
      <c r="C78" s="100" t="s">
        <v>297</v>
      </c>
      <c r="D78" s="3"/>
      <c r="E78" s="3"/>
      <c r="F78" s="3"/>
      <c r="G78" s="102" t="s">
        <v>4</v>
      </c>
      <c r="H78" s="363">
        <f>+J74+M74</f>
        <v>0</v>
      </c>
      <c r="I78" s="366" t="s">
        <v>330</v>
      </c>
      <c r="J78" s="3"/>
      <c r="K78" s="3"/>
      <c r="L78" s="3"/>
      <c r="M78" s="3"/>
      <c r="N78" s="521"/>
      <c r="O78" s="522"/>
      <c r="P78" s="500"/>
      <c r="Q78" s="343"/>
      <c r="R78" s="3"/>
      <c r="S78" s="3"/>
      <c r="T78" s="3"/>
      <c r="U78" s="18"/>
      <c r="V78" s="18"/>
      <c r="AM78" s="78"/>
      <c r="AN78" s="78"/>
      <c r="AO78" s="78"/>
    </row>
    <row r="79" spans="2:22" ht="11.25" customHeight="1">
      <c r="B79" s="330"/>
      <c r="C79" s="100" t="s">
        <v>298</v>
      </c>
      <c r="D79" s="3"/>
      <c r="E79" s="3"/>
      <c r="F79" s="3"/>
      <c r="G79" s="102" t="s">
        <v>4</v>
      </c>
      <c r="H79" s="363">
        <f>MAX(H77:H78)</f>
        <v>0</v>
      </c>
      <c r="I79" s="366" t="s">
        <v>330</v>
      </c>
      <c r="J79" s="3"/>
      <c r="K79" s="3"/>
      <c r="L79" s="3"/>
      <c r="O79" s="18"/>
      <c r="P79" s="500"/>
      <c r="Q79" s="343"/>
      <c r="R79" s="3"/>
      <c r="S79" s="3"/>
      <c r="T79" s="3"/>
      <c r="U79" s="18"/>
      <c r="V79" s="18"/>
    </row>
    <row r="80" spans="2:22" ht="11.25" customHeight="1">
      <c r="B80" s="330"/>
      <c r="C80" s="460" t="s">
        <v>207</v>
      </c>
      <c r="D80" s="3"/>
      <c r="E80" s="3"/>
      <c r="F80" s="3"/>
      <c r="G80" s="3"/>
      <c r="H80" s="401" t="s">
        <v>202</v>
      </c>
      <c r="I80" s="402" t="s">
        <v>203</v>
      </c>
      <c r="J80" s="403" t="s">
        <v>205</v>
      </c>
      <c r="K80" s="404" t="s">
        <v>206</v>
      </c>
      <c r="L80" s="405" t="s">
        <v>210</v>
      </c>
      <c r="M80" s="405" t="s">
        <v>220</v>
      </c>
      <c r="O80" s="18"/>
      <c r="P80" s="91"/>
      <c r="Q80" s="343"/>
      <c r="R80" s="3"/>
      <c r="S80" s="3"/>
      <c r="T80" s="3"/>
      <c r="U80" s="18"/>
      <c r="V80" s="18"/>
    </row>
    <row r="81" spans="2:22" ht="11.25" customHeight="1">
      <c r="B81" s="330"/>
      <c r="C81" s="444" t="s">
        <v>292</v>
      </c>
      <c r="D81" s="102"/>
      <c r="E81" s="100"/>
      <c r="F81" s="320"/>
      <c r="G81" s="102" t="s">
        <v>4</v>
      </c>
      <c r="H81" s="347">
        <f aca="true" t="shared" si="1" ref="H81:M81">(H62*100)-($H$35*100/2)</f>
        <v>20</v>
      </c>
      <c r="I81" s="347">
        <f t="shared" si="1"/>
        <v>20</v>
      </c>
      <c r="J81" s="347">
        <f t="shared" si="1"/>
        <v>20</v>
      </c>
      <c r="K81" s="347">
        <f t="shared" si="1"/>
        <v>20</v>
      </c>
      <c r="L81" s="347">
        <f t="shared" si="1"/>
        <v>20</v>
      </c>
      <c r="M81" s="347">
        <f t="shared" si="1"/>
        <v>20</v>
      </c>
      <c r="N81" s="440" t="s">
        <v>342</v>
      </c>
      <c r="O81" s="18"/>
      <c r="P81" s="91"/>
      <c r="Q81" s="343"/>
      <c r="R81" s="3"/>
      <c r="S81" s="3"/>
      <c r="T81" s="3"/>
      <c r="U81" s="18"/>
      <c r="V81" s="18"/>
    </row>
    <row r="82" spans="2:22" ht="11.25" customHeight="1" thickBot="1">
      <c r="B82" s="330"/>
      <c r="C82" s="444" t="s">
        <v>293</v>
      </c>
      <c r="D82" s="102"/>
      <c r="E82" s="319"/>
      <c r="F82" s="319" t="s">
        <v>33</v>
      </c>
      <c r="G82" s="102" t="s">
        <v>4</v>
      </c>
      <c r="H82" s="357">
        <f>H81-$H$84</f>
        <v>-32.5</v>
      </c>
      <c r="I82" s="357">
        <f>I81-$H$84</f>
        <v>-32.5</v>
      </c>
      <c r="J82" s="357">
        <f>J81-$H$84</f>
        <v>-32.5</v>
      </c>
      <c r="K82" s="357">
        <f>K81-$H$84</f>
        <v>-32.5</v>
      </c>
      <c r="L82" s="357">
        <f>+L81-$H$75</f>
        <v>-32.5</v>
      </c>
      <c r="M82" s="357">
        <f>+M81-$H$75</f>
        <v>-32.5</v>
      </c>
      <c r="N82" s="440" t="s">
        <v>342</v>
      </c>
      <c r="O82" s="356"/>
      <c r="P82" s="92"/>
      <c r="Q82" s="20"/>
      <c r="R82" s="20"/>
      <c r="S82" s="20"/>
      <c r="T82" s="20"/>
      <c r="U82" s="355"/>
      <c r="V82" s="18"/>
    </row>
    <row r="83" spans="2:22" ht="11.25" customHeight="1">
      <c r="B83" s="330"/>
      <c r="C83" s="100" t="s">
        <v>294</v>
      </c>
      <c r="D83" s="101"/>
      <c r="E83" s="100"/>
      <c r="F83" s="320"/>
      <c r="G83" s="102" t="s">
        <v>4</v>
      </c>
      <c r="H83" s="376">
        <f>pile_d(H45,H82)</f>
        <v>0</v>
      </c>
      <c r="I83" s="376">
        <f>pile_d(H46,I82)</f>
        <v>0</v>
      </c>
      <c r="J83" s="376">
        <f>pile_d(H47,J82)</f>
        <v>0</v>
      </c>
      <c r="K83" s="376">
        <f>pile_d(H48,K82)</f>
        <v>0</v>
      </c>
      <c r="L83" s="376">
        <f>pile_d(H49,L82)</f>
        <v>0</v>
      </c>
      <c r="M83" s="376">
        <f>pile_d(H50,M82)</f>
        <v>0</v>
      </c>
      <c r="N83" s="366" t="s">
        <v>330</v>
      </c>
      <c r="O83" s="3"/>
      <c r="P83" s="3"/>
      <c r="Q83" s="3"/>
      <c r="R83" s="3"/>
      <c r="S83" s="3"/>
      <c r="T83" s="19"/>
      <c r="U83" s="3"/>
      <c r="V83" s="18"/>
    </row>
    <row r="84" spans="2:22" ht="11.25" customHeight="1">
      <c r="B84" s="330"/>
      <c r="C84" s="445" t="s">
        <v>289</v>
      </c>
      <c r="D84" s="102"/>
      <c r="E84" s="319"/>
      <c r="F84" s="319" t="s">
        <v>184</v>
      </c>
      <c r="G84" s="102" t="s">
        <v>4</v>
      </c>
      <c r="H84" s="36">
        <f>+H75</f>
        <v>52.5</v>
      </c>
      <c r="I84" s="440" t="s">
        <v>342</v>
      </c>
      <c r="J84" s="32"/>
      <c r="K84" s="100"/>
      <c r="L84" s="3"/>
      <c r="M84" s="3"/>
      <c r="O84" s="51"/>
      <c r="P84" s="51"/>
      <c r="Q84" s="51"/>
      <c r="R84" s="51"/>
      <c r="S84" s="51"/>
      <c r="T84" s="51"/>
      <c r="U84" s="3"/>
      <c r="V84" s="18"/>
    </row>
    <row r="85" spans="2:22" ht="11.25" customHeight="1" thickBot="1">
      <c r="B85" s="331"/>
      <c r="C85" s="20"/>
      <c r="D85" s="20"/>
      <c r="E85" s="20"/>
      <c r="F85" s="20"/>
      <c r="G85" s="63"/>
      <c r="H85" s="64"/>
      <c r="I85" s="20"/>
      <c r="J85" s="20"/>
      <c r="K85" s="20"/>
      <c r="L85" s="20"/>
      <c r="M85" s="20"/>
      <c r="N85" s="65"/>
      <c r="O85" s="44" t="str">
        <f>O3&amp;"  "&amp;Q3</f>
        <v>วิศวกรโครงสร้าง :  นาย สุธีร์     แก้วคำ  สย.9698</v>
      </c>
      <c r="P85" s="20"/>
      <c r="Q85" s="20"/>
      <c r="R85" s="20"/>
      <c r="S85" s="20"/>
      <c r="T85" s="65"/>
      <c r="U85" s="20"/>
      <c r="V85" s="21"/>
    </row>
    <row r="86" spans="2:22" ht="11.25" customHeight="1">
      <c r="B86" s="413"/>
      <c r="C86" s="553" t="s">
        <v>355</v>
      </c>
      <c r="D86" s="553"/>
      <c r="E86" s="553"/>
      <c r="F86" s="553"/>
      <c r="G86" s="554"/>
      <c r="H86" s="414" t="s">
        <v>223</v>
      </c>
      <c r="I86" s="37"/>
      <c r="J86" s="37" t="str">
        <f>J2</f>
        <v>อาคารคอนกรีตเสริมเหล็ก 2 ชั้น</v>
      </c>
      <c r="K86" s="10"/>
      <c r="L86" s="11"/>
      <c r="M86" s="12"/>
      <c r="N86" s="430"/>
      <c r="O86" s="417" t="s">
        <v>225</v>
      </c>
      <c r="P86" s="417"/>
      <c r="Q86" s="499" t="str">
        <f>Q2</f>
        <v>F6A</v>
      </c>
      <c r="R86" s="499"/>
      <c r="S86" s="499"/>
      <c r="T86" s="499"/>
      <c r="U86" s="547" t="s">
        <v>226</v>
      </c>
      <c r="V86" s="431">
        <f>V2+1</f>
        <v>2</v>
      </c>
    </row>
    <row r="87" spans="2:22" ht="11.25" customHeight="1">
      <c r="B87" s="418"/>
      <c r="C87" s="555"/>
      <c r="D87" s="555"/>
      <c r="E87" s="555"/>
      <c r="F87" s="555"/>
      <c r="G87" s="556"/>
      <c r="H87" s="49" t="s">
        <v>227</v>
      </c>
      <c r="I87" s="38"/>
      <c r="J87" s="38" t="str">
        <f>J3</f>
        <v>นาย สุธีร์   แก้วคำ</v>
      </c>
      <c r="K87" s="15"/>
      <c r="L87" s="16"/>
      <c r="M87" s="17"/>
      <c r="N87" s="432"/>
      <c r="O87" s="485" t="s">
        <v>229</v>
      </c>
      <c r="P87" s="486"/>
      <c r="Q87" s="523" t="str">
        <f>Q3</f>
        <v>นาย สุธีร์     แก้วคำ  สย.9698</v>
      </c>
      <c r="R87" s="523"/>
      <c r="S87" s="523"/>
      <c r="T87" s="523"/>
      <c r="U87" s="518"/>
      <c r="V87" s="47" t="s">
        <v>230</v>
      </c>
    </row>
    <row r="88" spans="2:22" ht="11.25" customHeight="1">
      <c r="B88" s="418"/>
      <c r="C88" s="555" t="s">
        <v>356</v>
      </c>
      <c r="D88" s="555"/>
      <c r="E88" s="555"/>
      <c r="F88" s="555"/>
      <c r="G88" s="556"/>
      <c r="H88" s="49" t="s">
        <v>231</v>
      </c>
      <c r="I88" s="38"/>
      <c r="J88" s="38" t="str">
        <f>J4</f>
        <v>กรุงเทพ</v>
      </c>
      <c r="K88" s="15"/>
      <c r="L88" s="1"/>
      <c r="M88" s="2"/>
      <c r="N88" s="432"/>
      <c r="O88" s="477" t="s">
        <v>233</v>
      </c>
      <c r="P88" s="477"/>
      <c r="Q88" s="514">
        <f>Q4</f>
        <v>39603</v>
      </c>
      <c r="R88" s="514"/>
      <c r="S88" s="514"/>
      <c r="T88" s="514"/>
      <c r="U88" s="518"/>
      <c r="V88" s="433">
        <f>V4</f>
        <v>3</v>
      </c>
    </row>
    <row r="89" spans="2:22" ht="11.25" customHeight="1" thickBot="1">
      <c r="B89" s="422"/>
      <c r="C89" s="557"/>
      <c r="D89" s="557"/>
      <c r="E89" s="557"/>
      <c r="F89" s="557"/>
      <c r="G89" s="558"/>
      <c r="H89" s="50"/>
      <c r="I89" s="39"/>
      <c r="J89" s="39"/>
      <c r="K89" s="41"/>
      <c r="L89" s="42"/>
      <c r="M89" s="43"/>
      <c r="N89" s="434"/>
      <c r="O89" s="44"/>
      <c r="P89" s="44"/>
      <c r="Q89" s="40"/>
      <c r="R89" s="40"/>
      <c r="S89" s="40"/>
      <c r="T89" s="40"/>
      <c r="U89" s="45"/>
      <c r="V89" s="46"/>
    </row>
    <row r="90" spans="2:22" ht="11.25" customHeight="1" thickBot="1">
      <c r="B90" s="496" t="str">
        <f>+B6</f>
        <v>ออกแบบฐานรากคอนกรีตเสริมเหล็ก วางบนเข็ม  6 ต้น - วิธีหน่วยแรงใช้งาน</v>
      </c>
      <c r="C90" s="497"/>
      <c r="D90" s="497"/>
      <c r="E90" s="497"/>
      <c r="F90" s="497"/>
      <c r="G90" s="497"/>
      <c r="H90" s="497"/>
      <c r="I90" s="497"/>
      <c r="J90" s="497"/>
      <c r="K90" s="497"/>
      <c r="L90" s="497"/>
      <c r="M90" s="497"/>
      <c r="N90" s="497"/>
      <c r="O90" s="497"/>
      <c r="P90" s="497"/>
      <c r="Q90" s="497"/>
      <c r="R90" s="497"/>
      <c r="S90" s="497"/>
      <c r="T90" s="497"/>
      <c r="U90" s="497"/>
      <c r="V90" s="498"/>
    </row>
    <row r="91" spans="2:22" ht="11.25" customHeight="1">
      <c r="B91" s="329"/>
      <c r="C91" s="13"/>
      <c r="D91" s="13"/>
      <c r="E91" s="13"/>
      <c r="F91" s="13"/>
      <c r="G91" s="13"/>
      <c r="H91" s="13"/>
      <c r="I91" s="13"/>
      <c r="J91" s="13"/>
      <c r="K91" s="13"/>
      <c r="L91" s="13"/>
      <c r="M91" s="13"/>
      <c r="N91" s="13"/>
      <c r="O91" s="13"/>
      <c r="P91" s="13"/>
      <c r="Q91" s="13"/>
      <c r="R91" s="13"/>
      <c r="S91" s="13"/>
      <c r="T91" s="13"/>
      <c r="U91" s="13"/>
      <c r="V91" s="48"/>
    </row>
    <row r="92" spans="2:22" ht="11.25" customHeight="1">
      <c r="B92" s="330"/>
      <c r="C92" s="100" t="s">
        <v>299</v>
      </c>
      <c r="D92" s="3"/>
      <c r="E92" s="3"/>
      <c r="F92" s="3"/>
      <c r="G92" s="102" t="s">
        <v>4</v>
      </c>
      <c r="H92" s="36">
        <f>Vc_kg(H10,H32*100,H66)/1000</f>
        <v>42.053257998786485</v>
      </c>
      <c r="I92" s="366" t="s">
        <v>330</v>
      </c>
      <c r="O92" s="3"/>
      <c r="P92" s="3"/>
      <c r="Q92" s="3"/>
      <c r="R92" s="3"/>
      <c r="S92" s="3"/>
      <c r="T92" s="3"/>
      <c r="U92" s="3"/>
      <c r="V92" s="18"/>
    </row>
    <row r="93" spans="2:22" ht="11.25" customHeight="1">
      <c r="B93" s="330"/>
      <c r="C93" s="100" t="s">
        <v>300</v>
      </c>
      <c r="D93" s="3"/>
      <c r="E93" s="3"/>
      <c r="F93" s="3"/>
      <c r="G93" s="102" t="s">
        <v>4</v>
      </c>
      <c r="H93" s="36">
        <f>SUM(H83:J83)</f>
        <v>0</v>
      </c>
      <c r="I93" s="366" t="s">
        <v>330</v>
      </c>
      <c r="O93" s="3"/>
      <c r="P93" s="3"/>
      <c r="Q93" s="3"/>
      <c r="R93" s="3"/>
      <c r="S93" s="3"/>
      <c r="T93" s="3"/>
      <c r="U93" s="3"/>
      <c r="V93" s="18"/>
    </row>
    <row r="94" spans="2:22" ht="11.25" customHeight="1">
      <c r="B94" s="330"/>
      <c r="C94" s="100" t="s">
        <v>301</v>
      </c>
      <c r="D94" s="3"/>
      <c r="E94" s="3"/>
      <c r="F94" s="3"/>
      <c r="G94" s="102" t="s">
        <v>4</v>
      </c>
      <c r="H94" s="36">
        <f>SUM(K83:M83)</f>
        <v>0</v>
      </c>
      <c r="I94" s="366" t="s">
        <v>330</v>
      </c>
      <c r="J94" s="3"/>
      <c r="K94" s="3"/>
      <c r="L94" s="3"/>
      <c r="M94" s="3"/>
      <c r="N94" s="3"/>
      <c r="O94" s="3"/>
      <c r="P94" s="3"/>
      <c r="Q94" s="3"/>
      <c r="R94" s="3"/>
      <c r="S94" s="3"/>
      <c r="T94" s="364"/>
      <c r="U94" s="3"/>
      <c r="V94" s="18"/>
    </row>
    <row r="95" spans="2:22" ht="11.25" customHeight="1">
      <c r="B95" s="330"/>
      <c r="C95" s="100" t="s">
        <v>302</v>
      </c>
      <c r="D95" s="3"/>
      <c r="E95" s="3"/>
      <c r="F95" s="3"/>
      <c r="G95" s="102" t="s">
        <v>4</v>
      </c>
      <c r="H95" s="363">
        <f>MAX(H93,H94)</f>
        <v>0</v>
      </c>
      <c r="I95" s="366" t="s">
        <v>330</v>
      </c>
      <c r="J95" s="3"/>
      <c r="K95" s="3"/>
      <c r="L95" s="3"/>
      <c r="M95" s="3"/>
      <c r="N95" s="3"/>
      <c r="O95" s="502" t="s">
        <v>186</v>
      </c>
      <c r="P95" s="502"/>
      <c r="Q95" s="3"/>
      <c r="R95" s="3"/>
      <c r="S95" s="3"/>
      <c r="T95" s="5"/>
      <c r="U95" s="3"/>
      <c r="V95" s="18"/>
    </row>
    <row r="96" spans="2:22" ht="11.25" customHeight="1">
      <c r="B96" s="330"/>
      <c r="C96" s="3"/>
      <c r="D96" s="3"/>
      <c r="E96" s="3"/>
      <c r="F96" s="3"/>
      <c r="G96" s="3"/>
      <c r="H96" s="3"/>
      <c r="I96" s="3"/>
      <c r="J96" s="3"/>
      <c r="K96" s="3"/>
      <c r="L96" s="3"/>
      <c r="M96" s="3"/>
      <c r="N96" s="3"/>
      <c r="O96" s="3"/>
      <c r="P96" s="3"/>
      <c r="Q96" s="3"/>
      <c r="R96" s="3"/>
      <c r="S96" s="3"/>
      <c r="T96" s="365"/>
      <c r="U96" s="3"/>
      <c r="V96" s="18"/>
    </row>
    <row r="97" spans="2:22" ht="11.25" customHeight="1">
      <c r="B97" s="441" t="s">
        <v>187</v>
      </c>
      <c r="C97" s="455" t="s">
        <v>303</v>
      </c>
      <c r="D97" s="453"/>
      <c r="E97" s="453"/>
      <c r="F97" s="453"/>
      <c r="G97" s="3"/>
      <c r="H97" s="3"/>
      <c r="I97" s="3"/>
      <c r="J97" s="3"/>
      <c r="K97" s="3"/>
      <c r="L97" s="3"/>
      <c r="M97" s="3"/>
      <c r="N97" s="3"/>
      <c r="O97" s="32">
        <v>-15</v>
      </c>
      <c r="P97" s="406" t="s">
        <v>221</v>
      </c>
      <c r="Q97" s="3"/>
      <c r="R97" s="3"/>
      <c r="S97" s="3"/>
      <c r="T97" s="364"/>
      <c r="U97" s="3"/>
      <c r="V97" s="18"/>
    </row>
    <row r="98" spans="2:22" ht="11.25" customHeight="1">
      <c r="B98" s="318"/>
      <c r="C98" s="452" t="s">
        <v>280</v>
      </c>
      <c r="D98" s="444"/>
      <c r="E98" s="444"/>
      <c r="F98" s="444"/>
      <c r="G98" s="3"/>
      <c r="H98" s="401" t="s">
        <v>202</v>
      </c>
      <c r="I98" s="402" t="s">
        <v>203</v>
      </c>
      <c r="J98" s="403" t="s">
        <v>205</v>
      </c>
      <c r="K98" s="404" t="s">
        <v>206</v>
      </c>
      <c r="L98" s="405" t="s">
        <v>210</v>
      </c>
      <c r="M98" s="405" t="s">
        <v>220</v>
      </c>
      <c r="N98" s="3"/>
      <c r="O98" s="383" t="s">
        <v>209</v>
      </c>
      <c r="P98" s="407" t="s">
        <v>214</v>
      </c>
      <c r="Q98" s="3"/>
      <c r="R98" s="3"/>
      <c r="S98" s="3"/>
      <c r="T98" s="3"/>
      <c r="U98" s="3"/>
      <c r="V98" s="18"/>
    </row>
    <row r="99" spans="2:22" ht="11.25" customHeight="1">
      <c r="B99" s="451"/>
      <c r="C99" s="444" t="s">
        <v>292</v>
      </c>
      <c r="D99" s="102"/>
      <c r="E99" s="100"/>
      <c r="F99" s="320"/>
      <c r="G99" s="102" t="s">
        <v>4</v>
      </c>
      <c r="H99" s="377">
        <f aca="true" t="shared" si="2" ref="H99:M99">+H72</f>
        <v>10</v>
      </c>
      <c r="I99" s="377">
        <f t="shared" si="2"/>
        <v>10</v>
      </c>
      <c r="J99" s="377">
        <f t="shared" si="2"/>
        <v>10</v>
      </c>
      <c r="K99" s="377">
        <f t="shared" si="2"/>
        <v>10</v>
      </c>
      <c r="L99" s="377">
        <f t="shared" si="2"/>
        <v>10</v>
      </c>
      <c r="M99" s="377">
        <f t="shared" si="2"/>
        <v>10</v>
      </c>
      <c r="N99" s="440" t="s">
        <v>342</v>
      </c>
      <c r="O99" s="3"/>
      <c r="P99" s="3"/>
      <c r="Q99" s="3"/>
      <c r="R99" s="3"/>
      <c r="S99" s="3"/>
      <c r="T99" s="3"/>
      <c r="U99" s="3"/>
      <c r="V99" s="18"/>
    </row>
    <row r="100" spans="2:22" ht="11.25" customHeight="1">
      <c r="B100" s="451"/>
      <c r="C100" s="444" t="s">
        <v>304</v>
      </c>
      <c r="D100" s="102"/>
      <c r="E100" s="319"/>
      <c r="F100" s="319" t="s">
        <v>33</v>
      </c>
      <c r="G100" s="102" t="s">
        <v>4</v>
      </c>
      <c r="H100" s="357">
        <f aca="true" t="shared" si="3" ref="H100:M100">+H99-$H$102</f>
        <v>-16.25</v>
      </c>
      <c r="I100" s="357">
        <f t="shared" si="3"/>
        <v>-16.25</v>
      </c>
      <c r="J100" s="357">
        <f t="shared" si="3"/>
        <v>-16.25</v>
      </c>
      <c r="K100" s="357">
        <f t="shared" si="3"/>
        <v>-16.25</v>
      </c>
      <c r="L100" s="357">
        <f t="shared" si="3"/>
        <v>-16.25</v>
      </c>
      <c r="M100" s="357">
        <f t="shared" si="3"/>
        <v>-16.25</v>
      </c>
      <c r="N100" s="440" t="s">
        <v>342</v>
      </c>
      <c r="O100" s="3"/>
      <c r="P100" s="3"/>
      <c r="Q100" s="3"/>
      <c r="R100" s="3"/>
      <c r="S100" s="3"/>
      <c r="T100" s="3"/>
      <c r="U100" s="3"/>
      <c r="V100" s="18"/>
    </row>
    <row r="101" spans="2:22" ht="11.25" customHeight="1" thickBot="1">
      <c r="B101" s="318"/>
      <c r="C101" s="100" t="s">
        <v>294</v>
      </c>
      <c r="D101" s="101"/>
      <c r="E101" s="100"/>
      <c r="F101" s="320"/>
      <c r="G101" s="102" t="s">
        <v>4</v>
      </c>
      <c r="H101" s="323">
        <f>pile_d(H45,H100)</f>
        <v>0</v>
      </c>
      <c r="I101" s="377">
        <f>pile_d(H46,I100)</f>
        <v>0</v>
      </c>
      <c r="J101" s="377">
        <f>pile_d(H47,J100)</f>
        <v>0</v>
      </c>
      <c r="K101" s="377">
        <f>pile_d(H48,K100)</f>
        <v>0</v>
      </c>
      <c r="L101" s="377">
        <f>pile_d(H49,L100)</f>
        <v>0</v>
      </c>
      <c r="M101" s="377">
        <f>pile_d(H50,M100)</f>
        <v>0</v>
      </c>
      <c r="N101" s="366" t="s">
        <v>330</v>
      </c>
      <c r="O101" s="3"/>
      <c r="P101" s="3"/>
      <c r="Q101" s="3"/>
      <c r="R101" s="3"/>
      <c r="S101" s="3"/>
      <c r="T101" s="3"/>
      <c r="U101" s="3"/>
      <c r="V101" s="18"/>
    </row>
    <row r="102" spans="2:22" ht="11.25" customHeight="1">
      <c r="B102" s="451"/>
      <c r="C102" s="375" t="s">
        <v>186</v>
      </c>
      <c r="D102" s="102"/>
      <c r="E102" s="319"/>
      <c r="F102" s="444"/>
      <c r="G102" s="102" t="s">
        <v>4</v>
      </c>
      <c r="H102" s="32">
        <f>+H66/2</f>
        <v>26.25</v>
      </c>
      <c r="I102" s="440" t="s">
        <v>342</v>
      </c>
      <c r="J102" s="3"/>
      <c r="K102" s="3"/>
      <c r="L102" s="3"/>
      <c r="N102" s="3"/>
      <c r="O102" s="392"/>
      <c r="P102" s="385"/>
      <c r="Q102" s="392"/>
      <c r="R102" s="3"/>
      <c r="S102" s="3"/>
      <c r="T102" s="3"/>
      <c r="U102" s="3"/>
      <c r="V102" s="18"/>
    </row>
    <row r="103" spans="2:22" ht="11.25" customHeight="1">
      <c r="B103" s="451"/>
      <c r="C103" s="408" t="s">
        <v>305</v>
      </c>
      <c r="D103" s="444"/>
      <c r="E103" s="444"/>
      <c r="F103" s="444"/>
      <c r="G103" s="102" t="s">
        <v>4</v>
      </c>
      <c r="H103" s="361">
        <f>Vall_punch_kg(H10,H66,H34*100,H35*100)/1000</f>
        <v>135.4128718154685</v>
      </c>
      <c r="I103" s="366" t="s">
        <v>330</v>
      </c>
      <c r="J103" s="27" t="str">
        <f>IF(H106&lt;H103,"OK.","NG.")</f>
        <v>OK.</v>
      </c>
      <c r="K103" s="3"/>
      <c r="L103" s="3"/>
      <c r="N103" s="3"/>
      <c r="O103" s="3"/>
      <c r="P103" s="386"/>
      <c r="R103" s="388" t="s">
        <v>209</v>
      </c>
      <c r="S103" s="3"/>
      <c r="T103" s="387" t="s">
        <v>214</v>
      </c>
      <c r="U103" s="3"/>
      <c r="V103" s="18"/>
    </row>
    <row r="104" spans="2:22" ht="11.25" customHeight="1" thickBot="1">
      <c r="B104" s="332"/>
      <c r="C104" s="445" t="s">
        <v>306</v>
      </c>
      <c r="D104" s="3"/>
      <c r="E104" s="3"/>
      <c r="F104" s="3"/>
      <c r="G104" s="102" t="s">
        <v>4</v>
      </c>
      <c r="H104" s="36">
        <f>SUM(H101,K101)</f>
        <v>0</v>
      </c>
      <c r="I104" s="366" t="s">
        <v>330</v>
      </c>
      <c r="J104" s="3"/>
      <c r="K104" s="3"/>
      <c r="L104" s="3"/>
      <c r="N104" s="3"/>
      <c r="O104" s="389"/>
      <c r="P104" s="386"/>
      <c r="R104" s="3"/>
      <c r="S104" s="3"/>
      <c r="T104" s="3"/>
      <c r="U104" s="3"/>
      <c r="V104" s="18"/>
    </row>
    <row r="105" spans="2:22" ht="11.25" customHeight="1">
      <c r="B105" s="330"/>
      <c r="C105" s="445" t="s">
        <v>307</v>
      </c>
      <c r="D105" s="3"/>
      <c r="E105" s="3"/>
      <c r="F105" s="3"/>
      <c r="G105" s="102" t="s">
        <v>4</v>
      </c>
      <c r="H105" s="36">
        <f>SUM(J101,M101)</f>
        <v>0</v>
      </c>
      <c r="I105" s="366" t="s">
        <v>330</v>
      </c>
      <c r="J105" s="3"/>
      <c r="K105" s="3"/>
      <c r="L105" s="3"/>
      <c r="N105" s="3"/>
      <c r="O105" s="390"/>
      <c r="P105" s="3"/>
      <c r="Q105" s="13"/>
      <c r="R105" s="13"/>
      <c r="S105" s="13"/>
      <c r="T105" s="13"/>
      <c r="U105" s="48"/>
      <c r="V105" s="18"/>
    </row>
    <row r="106" spans="2:22" ht="11.25" customHeight="1">
      <c r="B106" s="330"/>
      <c r="C106" s="445" t="s">
        <v>308</v>
      </c>
      <c r="D106" s="3"/>
      <c r="E106" s="3"/>
      <c r="F106" s="3"/>
      <c r="G106" s="102" t="s">
        <v>4</v>
      </c>
      <c r="H106" s="363">
        <f>SUM(H101:M101)</f>
        <v>0</v>
      </c>
      <c r="I106" s="366" t="s">
        <v>330</v>
      </c>
      <c r="J106" s="3"/>
      <c r="K106" s="3"/>
      <c r="L106" s="3"/>
      <c r="N106" s="3"/>
      <c r="O106" s="389"/>
      <c r="P106" s="366" t="s">
        <v>349</v>
      </c>
      <c r="Q106" s="3"/>
      <c r="R106" s="3"/>
      <c r="S106" s="3"/>
      <c r="T106" s="3"/>
      <c r="U106" s="18"/>
      <c r="V106" s="18"/>
    </row>
    <row r="107" spans="2:22" ht="11.25" customHeight="1">
      <c r="B107" s="330"/>
      <c r="C107" s="460" t="s">
        <v>284</v>
      </c>
      <c r="D107" s="3"/>
      <c r="E107" s="3"/>
      <c r="F107" s="3"/>
      <c r="G107" s="3"/>
      <c r="H107" s="401" t="s">
        <v>202</v>
      </c>
      <c r="I107" s="402" t="s">
        <v>203</v>
      </c>
      <c r="J107" s="403" t="s">
        <v>205</v>
      </c>
      <c r="K107" s="404" t="s">
        <v>206</v>
      </c>
      <c r="L107" s="405" t="s">
        <v>210</v>
      </c>
      <c r="M107" s="405" t="s">
        <v>220</v>
      </c>
      <c r="N107" s="3"/>
      <c r="O107" s="389"/>
      <c r="P107" s="3"/>
      <c r="Q107" s="3"/>
      <c r="R107" s="3" t="s">
        <v>213</v>
      </c>
      <c r="S107" s="3"/>
      <c r="T107" s="3" t="s">
        <v>212</v>
      </c>
      <c r="U107" s="18"/>
      <c r="V107" s="18"/>
    </row>
    <row r="108" spans="2:22" ht="11.25" customHeight="1">
      <c r="B108" s="332"/>
      <c r="C108" s="444" t="s">
        <v>292</v>
      </c>
      <c r="D108" s="102"/>
      <c r="E108" s="100"/>
      <c r="F108" s="320"/>
      <c r="G108" s="102" t="s">
        <v>4</v>
      </c>
      <c r="H108" s="377">
        <f aca="true" t="shared" si="4" ref="H108:M108">+H81</f>
        <v>20</v>
      </c>
      <c r="I108" s="377">
        <f t="shared" si="4"/>
        <v>20</v>
      </c>
      <c r="J108" s="377">
        <f t="shared" si="4"/>
        <v>20</v>
      </c>
      <c r="K108" s="377">
        <f t="shared" si="4"/>
        <v>20</v>
      </c>
      <c r="L108" s="377">
        <f t="shared" si="4"/>
        <v>20</v>
      </c>
      <c r="M108" s="377">
        <f t="shared" si="4"/>
        <v>20</v>
      </c>
      <c r="N108" s="440" t="s">
        <v>342</v>
      </c>
      <c r="O108" s="389"/>
      <c r="P108" s="3"/>
      <c r="Q108" s="3"/>
      <c r="R108" s="3"/>
      <c r="S108" s="3"/>
      <c r="T108" s="3"/>
      <c r="U108" s="18"/>
      <c r="V108" s="18"/>
    </row>
    <row r="109" spans="2:22" ht="11.25" customHeight="1" thickBot="1">
      <c r="B109" s="332"/>
      <c r="C109" s="444" t="s">
        <v>304</v>
      </c>
      <c r="D109" s="102"/>
      <c r="E109" s="319"/>
      <c r="F109" s="319" t="s">
        <v>33</v>
      </c>
      <c r="G109" s="102" t="s">
        <v>4</v>
      </c>
      <c r="H109" s="357">
        <f aca="true" t="shared" si="5" ref="H109:M109">+H108-$H$111</f>
        <v>-6.25</v>
      </c>
      <c r="I109" s="357">
        <f t="shared" si="5"/>
        <v>-6.25</v>
      </c>
      <c r="J109" s="357">
        <f t="shared" si="5"/>
        <v>-6.25</v>
      </c>
      <c r="K109" s="357">
        <f t="shared" si="5"/>
        <v>-6.25</v>
      </c>
      <c r="L109" s="357">
        <f t="shared" si="5"/>
        <v>-6.25</v>
      </c>
      <c r="M109" s="357">
        <f t="shared" si="5"/>
        <v>-6.25</v>
      </c>
      <c r="N109" s="440" t="s">
        <v>342</v>
      </c>
      <c r="O109" s="391"/>
      <c r="P109" s="20"/>
      <c r="Q109" s="20"/>
      <c r="R109" s="20"/>
      <c r="S109" s="20"/>
      <c r="T109" s="20"/>
      <c r="U109" s="21"/>
      <c r="V109" s="18"/>
    </row>
    <row r="110" spans="2:41" ht="11.25" customHeight="1">
      <c r="B110" s="332"/>
      <c r="C110" s="100" t="s">
        <v>294</v>
      </c>
      <c r="D110" s="101"/>
      <c r="E110" s="100"/>
      <c r="F110" s="320"/>
      <c r="G110" s="102" t="s">
        <v>4</v>
      </c>
      <c r="H110" s="323">
        <f>pile_d(H45,H109)</f>
        <v>5.159671052622197</v>
      </c>
      <c r="I110" s="323">
        <f>pile_d(H46,I109)</f>
        <v>5.315931786984906</v>
      </c>
      <c r="J110" s="323">
        <f>pile_d(H47,J109)</f>
        <v>5.472192521347614</v>
      </c>
      <c r="K110" s="323">
        <f>pile_d(H48,K109)</f>
        <v>4.881779700874609</v>
      </c>
      <c r="L110" s="323">
        <f>pile_d(H49,L109)</f>
        <v>5.038040435237316</v>
      </c>
      <c r="M110" s="323">
        <f>pile_d(H50,M109)</f>
        <v>5.194301169600025</v>
      </c>
      <c r="N110" s="366" t="s">
        <v>330</v>
      </c>
      <c r="O110" s="389"/>
      <c r="P110" s="3"/>
      <c r="Q110" s="3"/>
      <c r="R110" s="3"/>
      <c r="S110" s="3"/>
      <c r="T110" s="3"/>
      <c r="U110" s="3"/>
      <c r="V110" s="18"/>
      <c r="AK110" s="78"/>
      <c r="AL110" s="78"/>
      <c r="AM110" s="78"/>
      <c r="AN110" s="78"/>
      <c r="AO110" s="78"/>
    </row>
    <row r="111" spans="2:41" ht="11.25" customHeight="1">
      <c r="B111" s="332"/>
      <c r="C111" s="375" t="s">
        <v>186</v>
      </c>
      <c r="D111" s="102"/>
      <c r="E111" s="319"/>
      <c r="F111" s="3"/>
      <c r="G111" s="102" t="s">
        <v>4</v>
      </c>
      <c r="H111" s="32">
        <f>+H102</f>
        <v>26.25</v>
      </c>
      <c r="I111" s="440" t="s">
        <v>342</v>
      </c>
      <c r="J111" s="3"/>
      <c r="K111" s="3"/>
      <c r="L111" s="3"/>
      <c r="M111" s="3"/>
      <c r="N111" s="3"/>
      <c r="O111" s="3"/>
      <c r="P111" s="3"/>
      <c r="Q111" s="3"/>
      <c r="R111" s="3"/>
      <c r="S111" s="3"/>
      <c r="T111" s="3"/>
      <c r="U111" s="3"/>
      <c r="V111" s="18"/>
      <c r="AK111" s="78"/>
      <c r="AL111" s="78"/>
      <c r="AM111" s="78"/>
      <c r="AN111" s="78"/>
      <c r="AO111" s="78"/>
    </row>
    <row r="112" spans="2:41" ht="11.25" customHeight="1">
      <c r="B112" s="330"/>
      <c r="C112" s="408" t="s">
        <v>305</v>
      </c>
      <c r="D112" s="3"/>
      <c r="E112" s="3"/>
      <c r="F112" s="3"/>
      <c r="G112" s="102" t="s">
        <v>4</v>
      </c>
      <c r="H112" s="361">
        <f>+H103</f>
        <v>135.4128718154685</v>
      </c>
      <c r="I112" s="366" t="s">
        <v>330</v>
      </c>
      <c r="J112" s="27" t="str">
        <f>IF(H115&lt;H112,"OK.","NG.")</f>
        <v>OK.</v>
      </c>
      <c r="K112" s="3"/>
      <c r="L112" s="3"/>
      <c r="M112" s="3"/>
      <c r="N112" s="3"/>
      <c r="O112" s="3"/>
      <c r="P112" s="3"/>
      <c r="Q112" s="3"/>
      <c r="R112" s="3"/>
      <c r="S112" s="3"/>
      <c r="T112" s="3"/>
      <c r="U112" s="3"/>
      <c r="V112" s="18"/>
      <c r="AK112" s="79"/>
      <c r="AL112" s="79"/>
      <c r="AM112" s="79"/>
      <c r="AN112" s="79"/>
      <c r="AO112" s="79"/>
    </row>
    <row r="113" spans="2:41" ht="11.25" customHeight="1">
      <c r="B113" s="330"/>
      <c r="C113" s="100" t="s">
        <v>309</v>
      </c>
      <c r="D113" s="3"/>
      <c r="E113" s="3"/>
      <c r="F113" s="3"/>
      <c r="G113" s="102" t="s">
        <v>4</v>
      </c>
      <c r="H113" s="36">
        <f>+H110+I110+J110</f>
        <v>15.947795360954716</v>
      </c>
      <c r="I113" s="366" t="s">
        <v>330</v>
      </c>
      <c r="J113" s="3"/>
      <c r="K113" s="3"/>
      <c r="L113" s="3"/>
      <c r="M113" s="3"/>
      <c r="N113" s="3"/>
      <c r="O113" s="3"/>
      <c r="P113" s="3"/>
      <c r="Q113" s="3"/>
      <c r="R113" s="3"/>
      <c r="S113" s="3"/>
      <c r="T113" s="3"/>
      <c r="U113" s="3"/>
      <c r="V113" s="18"/>
      <c r="AK113" s="80"/>
      <c r="AL113" s="80"/>
      <c r="AM113" s="80"/>
      <c r="AN113" s="80"/>
      <c r="AO113" s="80"/>
    </row>
    <row r="114" spans="2:47" ht="11.25" customHeight="1">
      <c r="B114" s="330"/>
      <c r="C114" s="100" t="s">
        <v>310</v>
      </c>
      <c r="D114" s="3"/>
      <c r="E114" s="3"/>
      <c r="F114" s="3"/>
      <c r="G114" s="102" t="s">
        <v>4</v>
      </c>
      <c r="H114" s="371">
        <f>+L110+K110+M110</f>
        <v>15.11412130571195</v>
      </c>
      <c r="I114" s="366" t="s">
        <v>330</v>
      </c>
      <c r="J114" s="3"/>
      <c r="K114" s="3"/>
      <c r="L114" s="3"/>
      <c r="M114" s="3"/>
      <c r="N114" s="3"/>
      <c r="O114" s="3"/>
      <c r="P114" s="3"/>
      <c r="Q114" s="3"/>
      <c r="R114" s="3"/>
      <c r="S114" s="3"/>
      <c r="T114" s="3"/>
      <c r="U114" s="3"/>
      <c r="V114" s="18"/>
      <c r="AK114" s="80"/>
      <c r="AL114" s="79"/>
      <c r="AM114" s="81"/>
      <c r="AN114" s="81"/>
      <c r="AO114" s="79"/>
      <c r="AU114" s="30"/>
    </row>
    <row r="115" spans="2:47" ht="11.25" customHeight="1">
      <c r="B115" s="330"/>
      <c r="C115" s="408" t="s">
        <v>311</v>
      </c>
      <c r="D115" s="3"/>
      <c r="E115" s="3"/>
      <c r="F115" s="3"/>
      <c r="G115" s="102" t="s">
        <v>4</v>
      </c>
      <c r="H115" s="363">
        <f>SUM(H110:M110)</f>
        <v>31.061916666666665</v>
      </c>
      <c r="I115" s="366" t="s">
        <v>330</v>
      </c>
      <c r="J115" s="3"/>
      <c r="K115" s="3"/>
      <c r="L115" s="3"/>
      <c r="M115" s="3"/>
      <c r="N115" s="3"/>
      <c r="O115" s="3"/>
      <c r="P115" s="3"/>
      <c r="Q115" s="3"/>
      <c r="R115" s="3"/>
      <c r="S115" s="3"/>
      <c r="T115" s="3"/>
      <c r="U115" s="3"/>
      <c r="V115" s="18"/>
      <c r="AK115" s="80"/>
      <c r="AL115" s="80"/>
      <c r="AM115" s="80"/>
      <c r="AN115" s="80"/>
      <c r="AO115" s="80"/>
      <c r="AU115" s="30"/>
    </row>
    <row r="116" spans="2:47" ht="11.25" customHeight="1">
      <c r="B116" s="330"/>
      <c r="C116" s="3"/>
      <c r="D116" s="3"/>
      <c r="E116" s="3"/>
      <c r="F116" s="3"/>
      <c r="G116" s="3"/>
      <c r="H116" s="3"/>
      <c r="I116" s="3"/>
      <c r="J116" s="3"/>
      <c r="K116" s="3"/>
      <c r="L116" s="3"/>
      <c r="M116" s="3"/>
      <c r="N116" s="3"/>
      <c r="O116" s="3"/>
      <c r="P116" s="3"/>
      <c r="Q116" s="3"/>
      <c r="R116" s="3"/>
      <c r="S116" s="3"/>
      <c r="T116" s="3"/>
      <c r="U116" s="3"/>
      <c r="V116" s="18"/>
      <c r="AK116" s="80"/>
      <c r="AL116" s="80"/>
      <c r="AM116" s="80"/>
      <c r="AN116" s="80"/>
      <c r="AO116" s="80"/>
      <c r="AU116" s="30"/>
    </row>
    <row r="117" spans="2:47" ht="11.25" customHeight="1">
      <c r="B117" s="454" t="s">
        <v>194</v>
      </c>
      <c r="C117" s="455" t="s">
        <v>312</v>
      </c>
      <c r="D117" s="455"/>
      <c r="E117" s="461"/>
      <c r="F117" s="462"/>
      <c r="G117" s="482" t="s">
        <v>313</v>
      </c>
      <c r="H117" s="483"/>
      <c r="I117" s="484"/>
      <c r="J117" s="505" t="s">
        <v>314</v>
      </c>
      <c r="K117" s="506"/>
      <c r="L117" s="507"/>
      <c r="M117" s="3"/>
      <c r="N117" s="3"/>
      <c r="O117" s="3"/>
      <c r="P117" s="3"/>
      <c r="Q117" s="32" t="s">
        <v>215</v>
      </c>
      <c r="R117" s="3"/>
      <c r="S117" s="3"/>
      <c r="T117" s="3"/>
      <c r="U117" s="3"/>
      <c r="V117" s="18"/>
      <c r="AK117" s="80"/>
      <c r="AL117" s="79"/>
      <c r="AM117" s="81"/>
      <c r="AN117" s="81"/>
      <c r="AO117" s="79"/>
      <c r="AP117" s="30"/>
      <c r="AQ117" s="30"/>
      <c r="AR117" s="30"/>
      <c r="AS117" s="30"/>
      <c r="AT117" s="30"/>
      <c r="AU117" s="30"/>
    </row>
    <row r="118" spans="2:47" ht="11.25" customHeight="1">
      <c r="B118" s="333"/>
      <c r="C118" s="447" t="s">
        <v>315</v>
      </c>
      <c r="D118" s="463"/>
      <c r="E118" s="321"/>
      <c r="F118" s="322" t="s">
        <v>316</v>
      </c>
      <c r="G118" s="322" t="s">
        <v>317</v>
      </c>
      <c r="H118" s="464" t="s">
        <v>318</v>
      </c>
      <c r="I118" s="322" t="s">
        <v>188</v>
      </c>
      <c r="J118" s="322" t="s">
        <v>317</v>
      </c>
      <c r="K118" s="464" t="s">
        <v>318</v>
      </c>
      <c r="L118" s="322" t="s">
        <v>188</v>
      </c>
      <c r="M118" s="3"/>
      <c r="N118" s="3"/>
      <c r="O118" s="3"/>
      <c r="P118" s="3"/>
      <c r="Q118" s="3"/>
      <c r="R118" s="32" t="s">
        <v>216</v>
      </c>
      <c r="S118" s="3"/>
      <c r="T118" s="3"/>
      <c r="U118" s="3"/>
      <c r="V118" s="18"/>
      <c r="AK118" s="80"/>
      <c r="AL118" s="79"/>
      <c r="AM118" s="81"/>
      <c r="AN118" s="81"/>
      <c r="AO118" s="79"/>
      <c r="AP118" s="30"/>
      <c r="AQ118" s="30"/>
      <c r="AR118" s="30"/>
      <c r="AS118" s="30"/>
      <c r="AT118" s="30"/>
      <c r="AU118" s="30"/>
    </row>
    <row r="119" spans="2:47" ht="11.25" customHeight="1">
      <c r="B119" s="333"/>
      <c r="C119" s="100" t="s">
        <v>189</v>
      </c>
      <c r="D119" s="100" t="s">
        <v>190</v>
      </c>
      <c r="E119" s="447"/>
      <c r="F119" s="322" t="s">
        <v>345</v>
      </c>
      <c r="G119" s="323">
        <f>Ast(H60,S12,S16,H66)</f>
        <v>5.163577588436673</v>
      </c>
      <c r="H119" s="323">
        <f>(PI()/4*(H122/10)^2)*H121</f>
        <v>34.55751918948772</v>
      </c>
      <c r="I119" s="324" t="str">
        <f>IF(H119&gt;G119,"OK.","NG.")</f>
        <v>OK.</v>
      </c>
      <c r="J119" s="325">
        <f>Ast(H64,S12,S16,H66)</f>
        <v>15.44044014776596</v>
      </c>
      <c r="K119" s="323">
        <f>(PI()/4*(K122/10)^2)*K121</f>
        <v>53.40707511102649</v>
      </c>
      <c r="L119" s="324" t="str">
        <f>IF(K119&gt;J119,"OK.","NG.")</f>
        <v>OK.</v>
      </c>
      <c r="M119" s="3"/>
      <c r="N119" s="3"/>
      <c r="O119" s="3"/>
      <c r="P119" s="3"/>
      <c r="Q119" s="3"/>
      <c r="R119" s="3"/>
      <c r="S119" s="32" t="s">
        <v>217</v>
      </c>
      <c r="T119" s="3"/>
      <c r="U119" s="3"/>
      <c r="V119" s="18"/>
      <c r="AK119" s="82"/>
      <c r="AL119" s="82"/>
      <c r="AM119" s="82"/>
      <c r="AN119" s="82"/>
      <c r="AO119" s="82"/>
      <c r="AP119" s="30"/>
      <c r="AQ119" s="30"/>
      <c r="AR119" s="30"/>
      <c r="AS119" s="30"/>
      <c r="AT119" s="30"/>
      <c r="AU119" s="30"/>
    </row>
    <row r="120" spans="2:47" ht="11.25" customHeight="1">
      <c r="B120" s="318"/>
      <c r="C120" s="100" t="s">
        <v>191</v>
      </c>
      <c r="D120" s="447" t="s">
        <v>192</v>
      </c>
      <c r="E120" s="447"/>
      <c r="F120" s="322" t="s">
        <v>345</v>
      </c>
      <c r="G120" s="323">
        <f>Asmin_beam(S11,H33*100,H66)</f>
        <v>34.300000000000004</v>
      </c>
      <c r="H120" s="323">
        <f>(PI()/4*(H122/10)^2)*H121</f>
        <v>34.55751918948772</v>
      </c>
      <c r="I120" s="324" t="str">
        <f>IF(H120&gt;G120,"OK.","NG.")</f>
        <v>OK.</v>
      </c>
      <c r="J120" s="323">
        <f>Asmin_beam(S11,H32*100,H66)</f>
        <v>51.45</v>
      </c>
      <c r="K120" s="323">
        <f>(PI()/4*(K122/10)^2)*K121</f>
        <v>53.40707511102649</v>
      </c>
      <c r="L120" s="324" t="str">
        <f>IF(K120&gt;J120,"OK.","NG.")</f>
        <v>OK.</v>
      </c>
      <c r="M120" s="3"/>
      <c r="N120" s="3"/>
      <c r="O120" s="3"/>
      <c r="P120" s="3"/>
      <c r="Q120" s="3"/>
      <c r="R120" s="3"/>
      <c r="S120" s="3"/>
      <c r="T120" s="32" t="s">
        <v>216</v>
      </c>
      <c r="U120" s="3"/>
      <c r="V120" s="18"/>
      <c r="AK120" s="82"/>
      <c r="AL120" s="82"/>
      <c r="AM120" s="82"/>
      <c r="AN120" s="82"/>
      <c r="AO120" s="82"/>
      <c r="AP120" s="30"/>
      <c r="AQ120" s="30"/>
      <c r="AR120" s="30"/>
      <c r="AS120" s="30"/>
      <c r="AT120" s="30"/>
      <c r="AU120" s="30"/>
    </row>
    <row r="121" spans="2:47" ht="11.25" customHeight="1">
      <c r="B121" s="318"/>
      <c r="C121" s="447" t="s">
        <v>319</v>
      </c>
      <c r="D121" s="366"/>
      <c r="E121" s="366"/>
      <c r="F121" s="322" t="s">
        <v>193</v>
      </c>
      <c r="G121" s="326">
        <f>INT(ROUND(MAX(G119:G120)/As_rebar_cm2(H122),0))</f>
        <v>11</v>
      </c>
      <c r="H121" s="474">
        <v>11</v>
      </c>
      <c r="I121" s="324" t="str">
        <f>IF(H121&gt;=G121,"OK.","NG.")</f>
        <v>OK.</v>
      </c>
      <c r="J121" s="326">
        <f>INT(ROUND(MAX(J119:J120)/As_rebar_cm2(K122),0))</f>
        <v>16</v>
      </c>
      <c r="K121" s="474">
        <v>17</v>
      </c>
      <c r="L121" s="324" t="str">
        <f>IF(K121&gt;=J121,"OK.","NG.")</f>
        <v>OK.</v>
      </c>
      <c r="M121" s="3"/>
      <c r="N121" s="3"/>
      <c r="O121" s="3"/>
      <c r="P121" s="3"/>
      <c r="Q121" s="3"/>
      <c r="R121" s="3"/>
      <c r="S121" s="3"/>
      <c r="T121" s="3"/>
      <c r="U121" s="32" t="s">
        <v>218</v>
      </c>
      <c r="V121" s="18"/>
      <c r="AK121" s="80"/>
      <c r="AL121" s="79"/>
      <c r="AM121" s="83"/>
      <c r="AN121" s="83"/>
      <c r="AO121" s="79"/>
      <c r="AP121" s="30"/>
      <c r="AQ121" s="30"/>
      <c r="AR121" s="30"/>
      <c r="AS121" s="30"/>
      <c r="AT121" s="30"/>
      <c r="AU121" s="30"/>
    </row>
    <row r="122" spans="2:47" ht="11.25" customHeight="1">
      <c r="B122" s="318"/>
      <c r="C122" s="100" t="s">
        <v>320</v>
      </c>
      <c r="D122" s="447"/>
      <c r="E122" s="447"/>
      <c r="F122" s="327"/>
      <c r="G122" s="328"/>
      <c r="H122" s="475">
        <v>20</v>
      </c>
      <c r="I122" s="378" t="s">
        <v>343</v>
      </c>
      <c r="J122" s="328"/>
      <c r="K122" s="474">
        <v>20</v>
      </c>
      <c r="L122" s="378" t="s">
        <v>343</v>
      </c>
      <c r="M122" s="3"/>
      <c r="N122" s="3"/>
      <c r="O122" s="3"/>
      <c r="P122" s="3"/>
      <c r="T122" s="3"/>
      <c r="U122" s="3"/>
      <c r="V122" s="18"/>
      <c r="AK122" s="80"/>
      <c r="AL122" s="79"/>
      <c r="AM122" s="83"/>
      <c r="AN122" s="83"/>
      <c r="AO122" s="79"/>
      <c r="AP122" s="30"/>
      <c r="AQ122" s="30"/>
      <c r="AR122" s="30"/>
      <c r="AS122" s="30"/>
      <c r="AT122" s="30"/>
      <c r="AU122" s="30"/>
    </row>
    <row r="123" spans="2:47" ht="11.25" customHeight="1">
      <c r="B123" s="333"/>
      <c r="C123" s="444" t="s">
        <v>321</v>
      </c>
      <c r="D123" s="474">
        <v>1</v>
      </c>
      <c r="E123" s="474" t="s">
        <v>222</v>
      </c>
      <c r="F123" s="474">
        <v>12</v>
      </c>
      <c r="G123" s="366" t="s">
        <v>343</v>
      </c>
      <c r="H123" s="3"/>
      <c r="I123" s="3"/>
      <c r="J123" s="3"/>
      <c r="K123" s="3"/>
      <c r="L123" s="3"/>
      <c r="M123" s="3"/>
      <c r="N123" s="3"/>
      <c r="O123" s="3"/>
      <c r="P123" s="3"/>
      <c r="Q123" s="3"/>
      <c r="R123" s="524" t="s">
        <v>219</v>
      </c>
      <c r="S123" s="525"/>
      <c r="T123" s="526"/>
      <c r="U123" s="3"/>
      <c r="V123" s="18"/>
      <c r="AK123" s="28"/>
      <c r="AL123" s="28"/>
      <c r="AM123" s="28"/>
      <c r="AN123" s="28"/>
      <c r="AO123" s="28"/>
      <c r="AP123" s="30"/>
      <c r="AQ123" s="30"/>
      <c r="AR123" s="30"/>
      <c r="AS123" s="30"/>
      <c r="AT123" s="30"/>
      <c r="AU123" s="30"/>
    </row>
    <row r="124" spans="2:47" ht="11.25" customHeight="1">
      <c r="B124" s="330"/>
      <c r="C124" s="3"/>
      <c r="D124" s="3"/>
      <c r="E124" s="3"/>
      <c r="F124" s="3"/>
      <c r="G124" s="3"/>
      <c r="H124" s="3"/>
      <c r="I124" s="3"/>
      <c r="J124" s="3"/>
      <c r="K124" s="3"/>
      <c r="L124" s="3"/>
      <c r="M124" s="3"/>
      <c r="N124" s="3"/>
      <c r="O124" s="3"/>
      <c r="P124" s="3"/>
      <c r="Q124" s="3"/>
      <c r="R124" s="3"/>
      <c r="S124" s="3"/>
      <c r="T124" s="3"/>
      <c r="U124" s="3"/>
      <c r="V124" s="18"/>
      <c r="AK124" s="78"/>
      <c r="AL124" s="28"/>
      <c r="AM124" s="28"/>
      <c r="AN124" s="28"/>
      <c r="AO124" s="28"/>
      <c r="AP124" s="30"/>
      <c r="AQ124" s="30"/>
      <c r="AR124" s="30"/>
      <c r="AS124" s="30"/>
      <c r="AT124" s="30"/>
      <c r="AU124" s="30"/>
    </row>
    <row r="125" spans="2:47" ht="11.25" customHeight="1">
      <c r="B125" s="454" t="s">
        <v>198</v>
      </c>
      <c r="C125" s="455" t="s">
        <v>322</v>
      </c>
      <c r="D125" s="456"/>
      <c r="E125" s="456"/>
      <c r="F125" s="456"/>
      <c r="G125" s="482" t="s">
        <v>313</v>
      </c>
      <c r="H125" s="483"/>
      <c r="I125" s="484"/>
      <c r="J125" s="505" t="s">
        <v>314</v>
      </c>
      <c r="K125" s="506"/>
      <c r="L125" s="507"/>
      <c r="M125" s="3"/>
      <c r="N125" s="3"/>
      <c r="O125" s="3"/>
      <c r="P125" s="354"/>
      <c r="Q125" s="3"/>
      <c r="R125" s="3"/>
      <c r="S125" s="3"/>
      <c r="T125" s="3"/>
      <c r="U125" s="3"/>
      <c r="V125" s="18"/>
      <c r="AK125" s="78"/>
      <c r="AL125" s="84"/>
      <c r="AM125" s="84"/>
      <c r="AN125" s="28"/>
      <c r="AO125" s="28"/>
      <c r="AP125" s="30"/>
      <c r="AQ125" s="30"/>
      <c r="AR125" s="30"/>
      <c r="AS125" s="30"/>
      <c r="AT125" s="30"/>
      <c r="AU125" s="30"/>
    </row>
    <row r="126" spans="2:47" ht="11.25" customHeight="1">
      <c r="B126" s="334"/>
      <c r="C126" s="447" t="s">
        <v>315</v>
      </c>
      <c r="D126" s="25"/>
      <c r="E126" s="100"/>
      <c r="F126" s="322" t="s">
        <v>316</v>
      </c>
      <c r="G126" s="322" t="s">
        <v>317</v>
      </c>
      <c r="H126" s="464" t="s">
        <v>318</v>
      </c>
      <c r="I126" s="322" t="s">
        <v>188</v>
      </c>
      <c r="J126" s="322" t="s">
        <v>317</v>
      </c>
      <c r="K126" s="464" t="s">
        <v>318</v>
      </c>
      <c r="L126" s="322" t="s">
        <v>188</v>
      </c>
      <c r="M126" s="3"/>
      <c r="N126" s="3"/>
      <c r="O126" s="3"/>
      <c r="P126" s="3"/>
      <c r="Q126" s="3"/>
      <c r="R126" s="3"/>
      <c r="S126" s="3"/>
      <c r="T126" s="3"/>
      <c r="U126" s="3"/>
      <c r="V126" s="18"/>
      <c r="AK126" s="85"/>
      <c r="AL126" s="28"/>
      <c r="AM126" s="28"/>
      <c r="AN126" s="28"/>
      <c r="AO126" s="28"/>
      <c r="AP126" s="30"/>
      <c r="AQ126" s="30"/>
      <c r="AR126" s="30"/>
      <c r="AS126" s="30"/>
      <c r="AT126" s="30"/>
      <c r="AU126" s="30"/>
    </row>
    <row r="127" spans="2:47" ht="11.25" customHeight="1">
      <c r="B127" s="334"/>
      <c r="C127" s="335" t="s">
        <v>195</v>
      </c>
      <c r="D127" s="25"/>
      <c r="E127" s="100"/>
      <c r="F127" s="322" t="s">
        <v>342</v>
      </c>
      <c r="G127" s="323">
        <f>I128/(IF(S11=2400,MIN(1.615*SQRT(H10)/(H122/10),11),IF(OR(S11=3000,S11=4000),MIN(3.23*SQRT(H10)/(H122/10)),35))*S16*H66)</f>
        <v>36.46249545392119</v>
      </c>
      <c r="H127" s="336">
        <f>perimeter_rebar_cm(H122)*H121</f>
        <v>69.115038388</v>
      </c>
      <c r="I127" s="337" t="str">
        <f>IF(H127&gt;G127,"OK.","NG.")</f>
        <v>OK.</v>
      </c>
      <c r="J127" s="323">
        <f>I129/(IF(S11=2400,MIN(1.615*SQRT(H10)/(K122/10),11),IF(OR(S11=3000,S11=4000),MIN(3.23*SQRT(H10)/(K122/10)),35))*S16*H66)</f>
        <v>54.516173045916375</v>
      </c>
      <c r="K127" s="336">
        <f>perimeter_rebar_cm(K122)*K121</f>
        <v>106.814150236</v>
      </c>
      <c r="L127" s="324" t="str">
        <f>IF(K127&gt;J127,"OK.","NG.")</f>
        <v>OK.</v>
      </c>
      <c r="M127" s="3"/>
      <c r="N127" s="3"/>
      <c r="O127" s="3"/>
      <c r="P127" s="3"/>
      <c r="Q127" s="3"/>
      <c r="R127" s="3"/>
      <c r="S127" s="3"/>
      <c r="T127" s="3"/>
      <c r="U127" s="3"/>
      <c r="V127" s="18"/>
      <c r="AK127" s="85"/>
      <c r="AL127" s="28"/>
      <c r="AM127" s="28"/>
      <c r="AN127" s="28"/>
      <c r="AO127" s="28"/>
      <c r="AP127" s="30"/>
      <c r="AQ127" s="30"/>
      <c r="AR127" s="30"/>
      <c r="AS127" s="30"/>
      <c r="AT127" s="30"/>
      <c r="AU127" s="30"/>
    </row>
    <row r="128" spans="2:47" ht="11.25" customHeight="1">
      <c r="B128" s="334"/>
      <c r="C128" s="447" t="s">
        <v>323</v>
      </c>
      <c r="D128" s="100"/>
      <c r="E128" s="319"/>
      <c r="F128" s="100"/>
      <c r="G128" s="100" t="s">
        <v>196</v>
      </c>
      <c r="H128" s="102" t="s">
        <v>4</v>
      </c>
      <c r="I128" s="412">
        <f>MAX((H45+H48),(H47+H50))*1000</f>
        <v>36570.83551182048</v>
      </c>
      <c r="J128" s="101" t="s">
        <v>344</v>
      </c>
      <c r="K128" s="344"/>
      <c r="L128" s="345"/>
      <c r="M128" s="3"/>
      <c r="N128" s="3"/>
      <c r="O128" s="3"/>
      <c r="P128" s="32"/>
      <c r="Q128" s="3"/>
      <c r="R128" s="3"/>
      <c r="S128" s="3"/>
      <c r="T128" s="3"/>
      <c r="U128" s="3"/>
      <c r="V128" s="18"/>
      <c r="AK128" s="88"/>
      <c r="AL128" s="28"/>
      <c r="AM128" s="28"/>
      <c r="AN128" s="28"/>
      <c r="AO128" s="28"/>
      <c r="AP128" s="30"/>
      <c r="AQ128" s="30"/>
      <c r="AR128" s="30"/>
      <c r="AS128" s="30"/>
      <c r="AT128" s="30"/>
      <c r="AU128" s="30"/>
    </row>
    <row r="129" spans="2:47" ht="11.25" customHeight="1">
      <c r="B129" s="334"/>
      <c r="C129" s="447" t="s">
        <v>302</v>
      </c>
      <c r="D129" s="100"/>
      <c r="E129" s="319"/>
      <c r="F129" s="100"/>
      <c r="G129" s="100" t="s">
        <v>197</v>
      </c>
      <c r="H129" s="102" t="s">
        <v>4</v>
      </c>
      <c r="I129" s="412">
        <f>MAX((H45+H46+H47),(H48+H49+H50))*1000</f>
        <v>54678.15552327331</v>
      </c>
      <c r="J129" s="101" t="s">
        <v>344</v>
      </c>
      <c r="K129" s="100"/>
      <c r="L129" s="100"/>
      <c r="M129" s="3"/>
      <c r="N129" s="3"/>
      <c r="O129" s="3"/>
      <c r="P129" s="3"/>
      <c r="Q129" s="3"/>
      <c r="R129" s="3"/>
      <c r="S129" s="32"/>
      <c r="T129" s="3"/>
      <c r="U129" s="3"/>
      <c r="V129" s="18"/>
      <c r="AK129" s="28"/>
      <c r="AL129" s="28"/>
      <c r="AM129" s="28"/>
      <c r="AN129" s="28"/>
      <c r="AO129" s="28"/>
      <c r="AP129" s="30"/>
      <c r="AQ129" s="30"/>
      <c r="AR129" s="30"/>
      <c r="AS129" s="30"/>
      <c r="AT129" s="30"/>
      <c r="AU129" s="30"/>
    </row>
    <row r="130" spans="2:47" ht="11.25" customHeight="1">
      <c r="B130" s="330"/>
      <c r="C130" s="3"/>
      <c r="D130" s="3"/>
      <c r="E130" s="3"/>
      <c r="F130" s="3"/>
      <c r="G130" s="3"/>
      <c r="H130" s="3"/>
      <c r="I130" s="3"/>
      <c r="J130" s="3"/>
      <c r="K130" s="3"/>
      <c r="L130" s="3"/>
      <c r="M130" s="3"/>
      <c r="N130" s="3"/>
      <c r="O130" s="3"/>
      <c r="P130" s="3"/>
      <c r="Q130" s="3"/>
      <c r="R130" s="3"/>
      <c r="S130" s="3"/>
      <c r="T130" s="3"/>
      <c r="U130" s="3"/>
      <c r="V130" s="18"/>
      <c r="AK130" s="28"/>
      <c r="AL130" s="28"/>
      <c r="AM130" s="28"/>
      <c r="AN130" s="28"/>
      <c r="AO130" s="28"/>
      <c r="AP130" s="30"/>
      <c r="AQ130" s="30"/>
      <c r="AR130" s="30"/>
      <c r="AS130" s="30"/>
      <c r="AT130" s="30"/>
      <c r="AU130" s="30"/>
    </row>
    <row r="131" spans="2:47" ht="11.25" customHeight="1">
      <c r="B131" s="330"/>
      <c r="C131" s="3"/>
      <c r="D131" s="3"/>
      <c r="E131" s="3"/>
      <c r="F131" s="3"/>
      <c r="G131" s="3"/>
      <c r="H131" s="3"/>
      <c r="I131" s="3"/>
      <c r="J131" s="3"/>
      <c r="K131" s="3"/>
      <c r="L131" s="3"/>
      <c r="M131" s="3"/>
      <c r="N131" s="3"/>
      <c r="O131" s="3"/>
      <c r="P131" s="3"/>
      <c r="Q131" s="3"/>
      <c r="R131" s="3"/>
      <c r="S131" s="3"/>
      <c r="T131" s="3"/>
      <c r="U131" s="3"/>
      <c r="V131" s="18"/>
      <c r="AK131" s="28"/>
      <c r="AL131" s="28"/>
      <c r="AM131" s="28"/>
      <c r="AN131" s="28"/>
      <c r="AO131" s="28"/>
      <c r="AP131" s="30"/>
      <c r="AQ131" s="30"/>
      <c r="AR131" s="30"/>
      <c r="AS131" s="30"/>
      <c r="AT131" s="30"/>
      <c r="AU131" s="30"/>
    </row>
    <row r="132" spans="2:47" ht="11.25" customHeight="1">
      <c r="B132" s="330"/>
      <c r="C132" s="3"/>
      <c r="D132" s="3"/>
      <c r="E132" s="3"/>
      <c r="F132" s="3"/>
      <c r="G132" s="3"/>
      <c r="H132" s="3"/>
      <c r="I132" s="3"/>
      <c r="J132" s="3"/>
      <c r="K132" s="3"/>
      <c r="L132" s="3"/>
      <c r="M132" s="3"/>
      <c r="N132" s="3"/>
      <c r="O132" s="3"/>
      <c r="P132" s="3"/>
      <c r="Q132" s="3"/>
      <c r="R132" s="3"/>
      <c r="S132" s="3"/>
      <c r="T132" s="3"/>
      <c r="U132" s="3"/>
      <c r="V132" s="18"/>
      <c r="AH132" s="28"/>
      <c r="AI132" s="28"/>
      <c r="AJ132" s="28"/>
      <c r="AK132" s="28"/>
      <c r="AL132" s="28"/>
      <c r="AM132" s="28"/>
      <c r="AN132" s="28"/>
      <c r="AO132" s="28"/>
      <c r="AP132" s="30"/>
      <c r="AQ132" s="30"/>
      <c r="AR132" s="30"/>
      <c r="AS132" s="30"/>
      <c r="AT132" s="30"/>
      <c r="AU132" s="30"/>
    </row>
    <row r="133" spans="2:47" ht="11.25" customHeight="1">
      <c r="B133" s="330"/>
      <c r="C133" s="3"/>
      <c r="D133" s="3"/>
      <c r="E133" s="3"/>
      <c r="F133" s="3"/>
      <c r="G133" s="3"/>
      <c r="H133" s="3"/>
      <c r="I133" s="3"/>
      <c r="J133" s="3"/>
      <c r="K133" s="3"/>
      <c r="L133" s="3"/>
      <c r="M133" s="3"/>
      <c r="N133" s="361"/>
      <c r="O133" s="3"/>
      <c r="P133" s="3"/>
      <c r="Q133" s="3"/>
      <c r="R133" s="3"/>
      <c r="S133" s="3"/>
      <c r="T133" s="3"/>
      <c r="U133" s="3"/>
      <c r="V133" s="18"/>
      <c r="AH133" s="28"/>
      <c r="AI133" s="28"/>
      <c r="AJ133" s="28"/>
      <c r="AK133" s="28"/>
      <c r="AL133" s="28"/>
      <c r="AM133" s="28"/>
      <c r="AN133" s="28"/>
      <c r="AO133" s="28"/>
      <c r="AP133" s="30"/>
      <c r="AQ133" s="30"/>
      <c r="AR133" s="30"/>
      <c r="AS133" s="30"/>
      <c r="AT133" s="30"/>
      <c r="AU133" s="30"/>
    </row>
    <row r="134" spans="2:47" ht="11.25" customHeight="1">
      <c r="B134" s="332"/>
      <c r="C134" s="3"/>
      <c r="D134" s="3"/>
      <c r="E134" s="3"/>
      <c r="F134" s="3"/>
      <c r="G134" s="102"/>
      <c r="H134" s="362"/>
      <c r="I134" s="3"/>
      <c r="J134" s="27"/>
      <c r="K134" s="3"/>
      <c r="L134" s="3"/>
      <c r="M134" s="3"/>
      <c r="N134" s="3"/>
      <c r="O134" s="3"/>
      <c r="P134" s="32"/>
      <c r="Q134" s="3"/>
      <c r="R134" s="3"/>
      <c r="S134" s="3"/>
      <c r="T134" s="3"/>
      <c r="U134" s="3"/>
      <c r="V134" s="18"/>
      <c r="AH134" s="28"/>
      <c r="AI134" s="28"/>
      <c r="AJ134" s="28"/>
      <c r="AK134" s="28"/>
      <c r="AL134" s="28"/>
      <c r="AM134" s="28"/>
      <c r="AN134" s="28"/>
      <c r="AO134" s="28"/>
      <c r="AP134" s="30"/>
      <c r="AQ134" s="30"/>
      <c r="AR134" s="30"/>
      <c r="AS134" s="30"/>
      <c r="AT134" s="30"/>
      <c r="AU134" s="30"/>
    </row>
    <row r="135" spans="2:47" ht="11.25" customHeight="1">
      <c r="B135" s="332"/>
      <c r="C135" s="3"/>
      <c r="D135" s="3"/>
      <c r="E135" s="3"/>
      <c r="F135" s="3"/>
      <c r="G135" s="3"/>
      <c r="H135" s="3"/>
      <c r="I135" s="3"/>
      <c r="J135" s="3"/>
      <c r="K135" s="3"/>
      <c r="L135" s="3"/>
      <c r="M135" s="3"/>
      <c r="N135" s="3"/>
      <c r="O135" s="3"/>
      <c r="P135" s="3"/>
      <c r="Q135" s="3"/>
      <c r="R135" s="3"/>
      <c r="S135" s="3"/>
      <c r="T135" s="3"/>
      <c r="U135" s="3"/>
      <c r="V135" s="18"/>
      <c r="AI135" s="28"/>
      <c r="AJ135" s="28"/>
      <c r="AK135" s="28"/>
      <c r="AL135" s="28"/>
      <c r="AM135" s="28"/>
      <c r="AN135" s="28"/>
      <c r="AO135" s="28"/>
      <c r="AP135" s="30"/>
      <c r="AQ135" s="30"/>
      <c r="AR135" s="30"/>
      <c r="AS135" s="30"/>
      <c r="AT135" s="30"/>
      <c r="AU135" s="30"/>
    </row>
    <row r="136" spans="2:47" ht="11.25" customHeight="1">
      <c r="B136" s="318"/>
      <c r="C136" s="25"/>
      <c r="D136" s="100"/>
      <c r="E136" s="100"/>
      <c r="F136" s="100"/>
      <c r="G136" s="100"/>
      <c r="H136" s="3"/>
      <c r="I136" s="3"/>
      <c r="J136" s="3"/>
      <c r="K136" s="3"/>
      <c r="L136" s="3"/>
      <c r="M136" s="3"/>
      <c r="N136" s="3"/>
      <c r="O136" s="3"/>
      <c r="P136" s="3"/>
      <c r="Q136" s="3"/>
      <c r="R136" s="3"/>
      <c r="S136" s="3"/>
      <c r="T136" s="3"/>
      <c r="U136" s="3"/>
      <c r="V136" s="18"/>
      <c r="AI136" s="28"/>
      <c r="AJ136" s="28"/>
      <c r="AK136" s="28"/>
      <c r="AL136" s="28"/>
      <c r="AM136" s="28"/>
      <c r="AN136" s="28"/>
      <c r="AO136" s="28"/>
      <c r="AP136" s="30"/>
      <c r="AQ136" s="30"/>
      <c r="AR136" s="30"/>
      <c r="AS136" s="30"/>
      <c r="AT136" s="30"/>
      <c r="AU136" s="30"/>
    </row>
    <row r="137" spans="2:47" ht="11.25" customHeight="1">
      <c r="B137" s="330"/>
      <c r="C137" s="360"/>
      <c r="D137" s="3"/>
      <c r="E137" s="3"/>
      <c r="F137" s="3"/>
      <c r="G137" s="3"/>
      <c r="H137" s="3"/>
      <c r="I137" s="3"/>
      <c r="J137" s="3"/>
      <c r="K137" s="3"/>
      <c r="L137" s="3"/>
      <c r="M137" s="3"/>
      <c r="N137" s="3"/>
      <c r="O137" s="3"/>
      <c r="P137" s="3"/>
      <c r="Q137" s="3"/>
      <c r="R137" s="3"/>
      <c r="S137" s="3"/>
      <c r="T137" s="3"/>
      <c r="U137" s="3"/>
      <c r="V137" s="18"/>
      <c r="AI137" s="28"/>
      <c r="AJ137" s="28"/>
      <c r="AK137" s="28"/>
      <c r="AL137" s="28"/>
      <c r="AM137" s="28"/>
      <c r="AN137" s="28"/>
      <c r="AO137" s="28"/>
      <c r="AP137" s="30"/>
      <c r="AQ137" s="30"/>
      <c r="AR137" s="30"/>
      <c r="AS137" s="30"/>
      <c r="AT137" s="30"/>
      <c r="AU137" s="30"/>
    </row>
    <row r="138" spans="2:47" ht="11.25" customHeight="1">
      <c r="B138" s="330"/>
      <c r="C138" s="3"/>
      <c r="D138" s="3"/>
      <c r="E138" s="3"/>
      <c r="F138" s="3"/>
      <c r="G138" s="102"/>
      <c r="H138" s="3"/>
      <c r="I138" s="3"/>
      <c r="J138" s="3"/>
      <c r="K138" s="3"/>
      <c r="L138" s="3"/>
      <c r="M138" s="3"/>
      <c r="N138" s="3"/>
      <c r="O138" s="3"/>
      <c r="P138" s="3"/>
      <c r="Q138" s="3"/>
      <c r="R138" s="3"/>
      <c r="S138" s="3"/>
      <c r="T138" s="3"/>
      <c r="U138" s="3"/>
      <c r="V138" s="18"/>
      <c r="AI138" s="28"/>
      <c r="AJ138" s="28"/>
      <c r="AK138" s="28"/>
      <c r="AL138" s="28"/>
      <c r="AM138" s="28"/>
      <c r="AN138" s="28"/>
      <c r="AO138" s="28"/>
      <c r="AP138" s="30"/>
      <c r="AQ138" s="30"/>
      <c r="AR138" s="30"/>
      <c r="AS138" s="30"/>
      <c r="AT138" s="30"/>
      <c r="AU138" s="30"/>
    </row>
    <row r="139" spans="2:47" ht="11.25" customHeight="1">
      <c r="B139" s="330"/>
      <c r="C139" s="100"/>
      <c r="D139" s="100"/>
      <c r="E139" s="100"/>
      <c r="F139" s="100"/>
      <c r="G139" s="102"/>
      <c r="H139" s="3"/>
      <c r="I139" s="3"/>
      <c r="J139" s="3"/>
      <c r="K139" s="3"/>
      <c r="L139" s="3"/>
      <c r="M139" s="3"/>
      <c r="N139" s="3"/>
      <c r="O139" s="3"/>
      <c r="P139" s="3"/>
      <c r="Q139" s="3"/>
      <c r="R139" s="3"/>
      <c r="S139" s="3"/>
      <c r="T139" s="3"/>
      <c r="U139" s="3"/>
      <c r="V139" s="18"/>
      <c r="AI139" s="28"/>
      <c r="AJ139" s="28"/>
      <c r="AK139" s="28"/>
      <c r="AL139" s="28"/>
      <c r="AM139" s="28"/>
      <c r="AN139" s="28"/>
      <c r="AO139" s="28"/>
      <c r="AP139" s="30"/>
      <c r="AQ139" s="30"/>
      <c r="AR139" s="30"/>
      <c r="AS139" s="30"/>
      <c r="AT139" s="30"/>
      <c r="AU139" s="30"/>
    </row>
    <row r="140" spans="2:47" ht="11.25" customHeight="1">
      <c r="B140" s="330"/>
      <c r="C140" s="100"/>
      <c r="D140" s="3"/>
      <c r="E140" s="3"/>
      <c r="F140" s="3"/>
      <c r="G140" s="102"/>
      <c r="H140" s="3"/>
      <c r="I140" s="3"/>
      <c r="J140" s="3"/>
      <c r="K140" s="3"/>
      <c r="L140" s="3"/>
      <c r="M140" s="3"/>
      <c r="N140" s="3"/>
      <c r="O140" s="3"/>
      <c r="P140" s="3"/>
      <c r="Q140" s="3"/>
      <c r="R140" s="3"/>
      <c r="S140" s="3"/>
      <c r="T140" s="3"/>
      <c r="U140" s="3"/>
      <c r="V140" s="18"/>
      <c r="AI140" s="28"/>
      <c r="AJ140" s="28"/>
      <c r="AK140" s="28"/>
      <c r="AL140" s="28"/>
      <c r="AM140" s="28"/>
      <c r="AN140" s="28"/>
      <c r="AO140" s="28"/>
      <c r="AP140" s="30"/>
      <c r="AQ140" s="30"/>
      <c r="AR140" s="30"/>
      <c r="AS140" s="30"/>
      <c r="AT140" s="30"/>
      <c r="AU140" s="30"/>
    </row>
    <row r="141" spans="2:47" ht="11.25" customHeight="1">
      <c r="B141" s="330"/>
      <c r="C141" s="360"/>
      <c r="D141" s="3"/>
      <c r="E141" s="3"/>
      <c r="F141" s="3"/>
      <c r="G141" s="3"/>
      <c r="H141" s="359"/>
      <c r="I141" s="32"/>
      <c r="J141" s="359"/>
      <c r="K141" s="32"/>
      <c r="L141" s="3"/>
      <c r="M141" s="3"/>
      <c r="N141" s="24"/>
      <c r="O141" s="3"/>
      <c r="P141" s="3"/>
      <c r="Q141" s="3"/>
      <c r="R141" s="3"/>
      <c r="S141" s="3"/>
      <c r="T141" s="3"/>
      <c r="U141" s="3"/>
      <c r="V141" s="18"/>
      <c r="AI141" s="28"/>
      <c r="AJ141" s="28"/>
      <c r="AK141" s="28"/>
      <c r="AL141" s="28"/>
      <c r="AM141" s="28"/>
      <c r="AN141" s="28"/>
      <c r="AO141" s="28"/>
      <c r="AP141" s="30"/>
      <c r="AQ141" s="30"/>
      <c r="AR141" s="30"/>
      <c r="AS141" s="30"/>
      <c r="AT141" s="30"/>
      <c r="AU141" s="30"/>
    </row>
    <row r="142" spans="2:47" ht="11.25" customHeight="1">
      <c r="B142" s="330"/>
      <c r="C142" s="3"/>
      <c r="D142" s="3"/>
      <c r="E142" s="3"/>
      <c r="F142" s="3"/>
      <c r="G142" s="102"/>
      <c r="H142" s="358"/>
      <c r="I142" s="358"/>
      <c r="J142" s="358"/>
      <c r="K142" s="358"/>
      <c r="L142" s="100"/>
      <c r="M142" s="3"/>
      <c r="N142" s="3"/>
      <c r="O142" s="3"/>
      <c r="P142" s="3"/>
      <c r="Q142" s="3"/>
      <c r="R142" s="3"/>
      <c r="S142" s="3"/>
      <c r="T142" s="3"/>
      <c r="U142" s="3"/>
      <c r="V142" s="18"/>
      <c r="AI142" s="28"/>
      <c r="AJ142" s="28"/>
      <c r="AK142" s="28"/>
      <c r="AL142" s="28"/>
      <c r="AM142" s="28"/>
      <c r="AN142" s="28"/>
      <c r="AO142" s="28"/>
      <c r="AP142" s="30"/>
      <c r="AQ142" s="30"/>
      <c r="AR142" s="30"/>
      <c r="AS142" s="30"/>
      <c r="AT142" s="30"/>
      <c r="AU142" s="30"/>
    </row>
    <row r="143" spans="2:47" ht="11.25" customHeight="1">
      <c r="B143" s="330"/>
      <c r="C143" s="100"/>
      <c r="D143" s="100"/>
      <c r="E143" s="100"/>
      <c r="F143" s="100"/>
      <c r="G143" s="102"/>
      <c r="H143" s="8"/>
      <c r="I143" s="8"/>
      <c r="J143" s="8"/>
      <c r="K143" s="8"/>
      <c r="L143" s="101"/>
      <c r="M143" s="3"/>
      <c r="N143" s="3"/>
      <c r="O143" s="3"/>
      <c r="P143" s="3"/>
      <c r="Q143" s="3"/>
      <c r="R143" s="3"/>
      <c r="S143" s="6"/>
      <c r="T143" s="6"/>
      <c r="U143" s="32"/>
      <c r="V143" s="369"/>
      <c r="AI143" s="28"/>
      <c r="AJ143" s="28"/>
      <c r="AK143" s="28"/>
      <c r="AL143" s="28"/>
      <c r="AM143" s="28"/>
      <c r="AN143" s="28"/>
      <c r="AO143" s="28"/>
      <c r="AP143" s="30"/>
      <c r="AQ143" s="30"/>
      <c r="AR143" s="30"/>
      <c r="AS143" s="30"/>
      <c r="AT143" s="30"/>
      <c r="AU143" s="30"/>
    </row>
    <row r="144" spans="2:47" ht="11.25" customHeight="1">
      <c r="B144" s="330"/>
      <c r="C144" s="3"/>
      <c r="D144" s="3"/>
      <c r="E144" s="3"/>
      <c r="F144" s="3"/>
      <c r="G144" s="3"/>
      <c r="H144" s="3"/>
      <c r="I144" s="3"/>
      <c r="J144" s="3"/>
      <c r="K144" s="3"/>
      <c r="L144" s="3"/>
      <c r="M144" s="3"/>
      <c r="N144" s="3"/>
      <c r="O144" s="3"/>
      <c r="P144" s="3"/>
      <c r="Q144" s="3"/>
      <c r="R144" s="3"/>
      <c r="S144" s="3"/>
      <c r="T144" s="3"/>
      <c r="U144" s="3"/>
      <c r="V144" s="369"/>
      <c r="AI144" s="28"/>
      <c r="AJ144" s="28"/>
      <c r="AK144" s="28"/>
      <c r="AL144" s="28"/>
      <c r="AM144" s="28"/>
      <c r="AN144" s="28"/>
      <c r="AO144" s="28"/>
      <c r="AP144" s="30"/>
      <c r="AQ144" s="30"/>
      <c r="AR144" s="30"/>
      <c r="AS144" s="30"/>
      <c r="AT144" s="30"/>
      <c r="AU144" s="30"/>
    </row>
    <row r="145" spans="2:47" ht="11.25" customHeight="1">
      <c r="B145" s="330"/>
      <c r="C145" s="3"/>
      <c r="D145" s="3"/>
      <c r="E145" s="3"/>
      <c r="F145" s="3"/>
      <c r="G145" s="3"/>
      <c r="H145" s="3"/>
      <c r="I145" s="3"/>
      <c r="J145" s="3"/>
      <c r="K145" s="3"/>
      <c r="L145" s="3"/>
      <c r="M145" s="3"/>
      <c r="N145" s="3"/>
      <c r="O145" s="3"/>
      <c r="P145" s="3"/>
      <c r="Q145" s="3"/>
      <c r="R145" s="3"/>
      <c r="S145" s="3"/>
      <c r="T145" s="3"/>
      <c r="U145" s="5"/>
      <c r="V145" s="18"/>
      <c r="AI145" s="28"/>
      <c r="AJ145" s="28"/>
      <c r="AK145" s="28"/>
      <c r="AL145" s="28"/>
      <c r="AM145" s="28"/>
      <c r="AN145" s="28"/>
      <c r="AO145" s="28"/>
      <c r="AP145" s="30"/>
      <c r="AQ145" s="30"/>
      <c r="AR145" s="30"/>
      <c r="AS145" s="30"/>
      <c r="AT145" s="30"/>
      <c r="AU145" s="30"/>
    </row>
    <row r="146" spans="2:47" ht="11.25" customHeight="1">
      <c r="B146" s="330"/>
      <c r="C146" s="3"/>
      <c r="D146" s="3"/>
      <c r="E146" s="3"/>
      <c r="F146" s="3"/>
      <c r="G146" s="3"/>
      <c r="H146" s="3"/>
      <c r="I146" s="3"/>
      <c r="J146" s="3"/>
      <c r="K146" s="3"/>
      <c r="L146" s="3"/>
      <c r="M146" s="3"/>
      <c r="N146" s="3"/>
      <c r="O146" s="3"/>
      <c r="P146" s="3"/>
      <c r="Q146" s="3"/>
      <c r="R146" s="3"/>
      <c r="S146" s="3"/>
      <c r="T146" s="3"/>
      <c r="U146" s="5"/>
      <c r="V146" s="18"/>
      <c r="AI146" s="28"/>
      <c r="AJ146" s="28"/>
      <c r="AK146" s="28"/>
      <c r="AL146" s="28"/>
      <c r="AM146" s="28"/>
      <c r="AN146" s="28"/>
      <c r="AO146" s="28"/>
      <c r="AP146" s="30"/>
      <c r="AQ146" s="30"/>
      <c r="AR146" s="30"/>
      <c r="AS146" s="30"/>
      <c r="AT146" s="30"/>
      <c r="AU146" s="30"/>
    </row>
    <row r="147" spans="2:47" ht="11.25" customHeight="1">
      <c r="B147" s="330"/>
      <c r="C147" s="3"/>
      <c r="D147" s="3"/>
      <c r="E147" s="3"/>
      <c r="F147" s="3"/>
      <c r="G147" s="3"/>
      <c r="H147" s="3"/>
      <c r="I147" s="3"/>
      <c r="J147" s="3"/>
      <c r="K147" s="3"/>
      <c r="L147" s="3"/>
      <c r="M147" s="3"/>
      <c r="N147" s="3"/>
      <c r="O147" s="3"/>
      <c r="P147" s="3"/>
      <c r="Q147" s="3"/>
      <c r="R147" s="3"/>
      <c r="S147" s="3"/>
      <c r="T147" s="3"/>
      <c r="U147" s="5"/>
      <c r="V147" s="18"/>
      <c r="AI147" s="28"/>
      <c r="AJ147" s="28"/>
      <c r="AK147" s="28"/>
      <c r="AL147" s="28"/>
      <c r="AM147" s="28"/>
      <c r="AN147" s="28"/>
      <c r="AO147" s="28"/>
      <c r="AP147" s="30"/>
      <c r="AQ147" s="30"/>
      <c r="AR147" s="30"/>
      <c r="AS147" s="30"/>
      <c r="AT147" s="30"/>
      <c r="AU147" s="30"/>
    </row>
    <row r="148" spans="2:47" ht="11.25" customHeight="1">
      <c r="B148" s="330"/>
      <c r="C148" s="3"/>
      <c r="D148" s="3"/>
      <c r="E148" s="3"/>
      <c r="F148" s="3"/>
      <c r="G148" s="3"/>
      <c r="H148" s="3"/>
      <c r="I148" s="3"/>
      <c r="J148" s="3"/>
      <c r="K148" s="3"/>
      <c r="L148" s="3"/>
      <c r="M148" s="3"/>
      <c r="N148" s="3"/>
      <c r="O148" s="3"/>
      <c r="P148" s="3"/>
      <c r="Q148" s="3"/>
      <c r="R148" s="3"/>
      <c r="S148" s="3"/>
      <c r="T148" s="3"/>
      <c r="U148" s="3"/>
      <c r="V148" s="18"/>
      <c r="AI148" s="28"/>
      <c r="AJ148" s="28"/>
      <c r="AK148" s="28"/>
      <c r="AL148" s="28"/>
      <c r="AM148" s="28"/>
      <c r="AN148" s="28"/>
      <c r="AO148" s="28"/>
      <c r="AP148" s="30"/>
      <c r="AQ148" s="30"/>
      <c r="AR148" s="30"/>
      <c r="AS148" s="30"/>
      <c r="AT148" s="30"/>
      <c r="AU148" s="30"/>
    </row>
    <row r="149" spans="2:47" ht="11.25" customHeight="1">
      <c r="B149" s="330"/>
      <c r="C149" s="3"/>
      <c r="D149" s="3"/>
      <c r="E149" s="3"/>
      <c r="F149" s="3"/>
      <c r="G149" s="3"/>
      <c r="H149" s="3"/>
      <c r="I149" s="3"/>
      <c r="J149" s="3"/>
      <c r="K149" s="3"/>
      <c r="L149" s="3"/>
      <c r="M149" s="3"/>
      <c r="N149" s="3"/>
      <c r="O149" s="3"/>
      <c r="P149" s="3"/>
      <c r="Q149" s="3"/>
      <c r="R149" s="3"/>
      <c r="S149" s="3"/>
      <c r="T149" s="3"/>
      <c r="U149" s="3"/>
      <c r="V149" s="18"/>
      <c r="AI149" s="28"/>
      <c r="AJ149" s="28"/>
      <c r="AK149" s="28"/>
      <c r="AL149" s="28"/>
      <c r="AM149" s="28"/>
      <c r="AN149" s="28"/>
      <c r="AO149" s="28"/>
      <c r="AP149" s="30"/>
      <c r="AQ149" s="30"/>
      <c r="AR149" s="30"/>
      <c r="AS149" s="30"/>
      <c r="AT149" s="30"/>
      <c r="AU149" s="30"/>
    </row>
    <row r="150" spans="2:47" ht="11.25" customHeight="1">
      <c r="B150" s="330"/>
      <c r="C150" s="3"/>
      <c r="D150" s="3"/>
      <c r="E150" s="3"/>
      <c r="F150" s="3"/>
      <c r="G150" s="3"/>
      <c r="H150" s="3"/>
      <c r="I150" s="3"/>
      <c r="J150" s="3"/>
      <c r="K150" s="3"/>
      <c r="L150" s="3"/>
      <c r="M150" s="3"/>
      <c r="N150" s="3"/>
      <c r="O150" s="3"/>
      <c r="P150" s="3"/>
      <c r="Q150" s="3"/>
      <c r="R150" s="3"/>
      <c r="S150" s="3"/>
      <c r="T150" s="3"/>
      <c r="U150" s="3"/>
      <c r="V150" s="18"/>
      <c r="AI150" s="28"/>
      <c r="AJ150" s="28"/>
      <c r="AK150" s="28"/>
      <c r="AL150" s="28"/>
      <c r="AM150" s="28"/>
      <c r="AN150" s="28"/>
      <c r="AO150" s="28"/>
      <c r="AP150" s="30"/>
      <c r="AQ150" s="30"/>
      <c r="AR150" s="30"/>
      <c r="AS150" s="30"/>
      <c r="AT150" s="30"/>
      <c r="AU150" s="30"/>
    </row>
    <row r="151" spans="2:47" ht="11.25" customHeight="1">
      <c r="B151" s="330"/>
      <c r="C151" s="360"/>
      <c r="D151" s="3"/>
      <c r="E151" s="3"/>
      <c r="F151" s="3"/>
      <c r="G151" s="3"/>
      <c r="H151" s="359"/>
      <c r="I151" s="32"/>
      <c r="J151" s="359"/>
      <c r="K151" s="32"/>
      <c r="L151" s="3"/>
      <c r="M151" s="3"/>
      <c r="N151" s="3"/>
      <c r="O151" s="3"/>
      <c r="P151" s="3"/>
      <c r="Q151" s="3"/>
      <c r="R151" s="3"/>
      <c r="S151" s="3"/>
      <c r="T151" s="3"/>
      <c r="U151" s="3"/>
      <c r="V151" s="18"/>
      <c r="AI151" s="28"/>
      <c r="AJ151" s="28"/>
      <c r="AK151" s="28"/>
      <c r="AL151" s="28"/>
      <c r="AM151" s="28"/>
      <c r="AN151" s="28"/>
      <c r="AO151" s="28"/>
      <c r="AP151" s="30"/>
      <c r="AQ151" s="30"/>
      <c r="AR151" s="30"/>
      <c r="AS151" s="30"/>
      <c r="AT151" s="30"/>
      <c r="AU151" s="30"/>
    </row>
    <row r="152" spans="2:47" ht="11.25" customHeight="1">
      <c r="B152" s="330"/>
      <c r="C152" s="3"/>
      <c r="D152" s="102"/>
      <c r="E152" s="100"/>
      <c r="F152" s="320"/>
      <c r="G152" s="102"/>
      <c r="H152" s="32"/>
      <c r="I152" s="32"/>
      <c r="J152" s="32"/>
      <c r="K152" s="32"/>
      <c r="L152" s="317"/>
      <c r="M152" s="3"/>
      <c r="N152" s="3"/>
      <c r="O152" s="3"/>
      <c r="P152" s="3"/>
      <c r="Q152" s="3"/>
      <c r="R152" s="3"/>
      <c r="S152" s="3"/>
      <c r="T152" s="3"/>
      <c r="U152" s="3"/>
      <c r="V152" s="18"/>
      <c r="AI152" s="28"/>
      <c r="AJ152" s="28"/>
      <c r="AK152" s="28"/>
      <c r="AL152" s="28"/>
      <c r="AM152" s="28"/>
      <c r="AN152" s="28"/>
      <c r="AO152" s="28"/>
      <c r="AP152" s="30"/>
      <c r="AQ152" s="30"/>
      <c r="AR152" s="30"/>
      <c r="AS152" s="30"/>
      <c r="AT152" s="30"/>
      <c r="AU152" s="30"/>
    </row>
    <row r="153" spans="2:47" ht="11.25" customHeight="1">
      <c r="B153" s="330"/>
      <c r="C153" s="3"/>
      <c r="D153" s="102"/>
      <c r="E153" s="319"/>
      <c r="F153" s="319"/>
      <c r="G153" s="102"/>
      <c r="H153" s="36"/>
      <c r="I153" s="36"/>
      <c r="J153" s="36"/>
      <c r="K153" s="36"/>
      <c r="L153" s="317"/>
      <c r="M153" s="3"/>
      <c r="N153" s="3"/>
      <c r="O153" s="3"/>
      <c r="P153" s="31"/>
      <c r="Q153" s="31"/>
      <c r="R153" s="31"/>
      <c r="S153" s="31"/>
      <c r="T153" s="3"/>
      <c r="U153" s="3"/>
      <c r="V153" s="89"/>
      <c r="AI153" s="28"/>
      <c r="AJ153" s="28"/>
      <c r="AK153" s="28"/>
      <c r="AL153" s="28"/>
      <c r="AM153" s="28"/>
      <c r="AN153" s="28"/>
      <c r="AO153" s="28"/>
      <c r="AP153" s="30"/>
      <c r="AQ153" s="30"/>
      <c r="AR153" s="30"/>
      <c r="AS153" s="30"/>
      <c r="AT153" s="30"/>
      <c r="AU153" s="30"/>
    </row>
    <row r="154" spans="2:47" ht="11.25" customHeight="1">
      <c r="B154" s="330"/>
      <c r="C154" s="100"/>
      <c r="D154" s="101"/>
      <c r="E154" s="100"/>
      <c r="F154" s="320"/>
      <c r="G154" s="102"/>
      <c r="H154" s="363"/>
      <c r="I154" s="363"/>
      <c r="J154" s="363"/>
      <c r="K154" s="363"/>
      <c r="L154" s="3"/>
      <c r="M154" s="3"/>
      <c r="N154" s="3"/>
      <c r="O154" s="3"/>
      <c r="P154" s="3"/>
      <c r="Q154" s="3"/>
      <c r="R154" s="3"/>
      <c r="S154" s="3"/>
      <c r="T154" s="3"/>
      <c r="U154" s="3"/>
      <c r="V154" s="89"/>
      <c r="AI154" s="28"/>
      <c r="AJ154" s="28"/>
      <c r="AK154" s="28"/>
      <c r="AL154" s="28"/>
      <c r="AM154" s="28"/>
      <c r="AN154" s="28"/>
      <c r="AO154" s="28"/>
      <c r="AP154" s="30"/>
      <c r="AQ154" s="30"/>
      <c r="AR154" s="30"/>
      <c r="AS154" s="30"/>
      <c r="AT154" s="30"/>
      <c r="AU154" s="30"/>
    </row>
    <row r="155" spans="2:47" ht="11.25" customHeight="1">
      <c r="B155" s="330"/>
      <c r="C155" s="3"/>
      <c r="D155" s="102"/>
      <c r="E155" s="319"/>
      <c r="F155" s="319"/>
      <c r="G155" s="102"/>
      <c r="H155" s="36"/>
      <c r="I155" s="317"/>
      <c r="J155" s="3"/>
      <c r="K155" s="3"/>
      <c r="L155" s="3"/>
      <c r="M155" s="3"/>
      <c r="N155" s="3"/>
      <c r="O155" s="3"/>
      <c r="P155" s="3"/>
      <c r="Q155" s="366"/>
      <c r="R155" s="366"/>
      <c r="S155" s="3"/>
      <c r="T155" s="3"/>
      <c r="U155" s="3"/>
      <c r="V155" s="18"/>
      <c r="AI155" s="28"/>
      <c r="AJ155" s="28"/>
      <c r="AK155" s="28"/>
      <c r="AL155" s="28"/>
      <c r="AM155" s="28"/>
      <c r="AN155" s="28"/>
      <c r="AO155" s="28"/>
      <c r="AP155" s="30"/>
      <c r="AQ155" s="30"/>
      <c r="AR155" s="30"/>
      <c r="AS155" s="30"/>
      <c r="AT155" s="30"/>
      <c r="AU155" s="30"/>
    </row>
    <row r="156" spans="2:47" ht="11.25" customHeight="1">
      <c r="B156" s="330"/>
      <c r="C156" s="100"/>
      <c r="D156" s="3"/>
      <c r="E156" s="3"/>
      <c r="F156" s="3"/>
      <c r="G156" s="102"/>
      <c r="H156" s="363"/>
      <c r="I156" s="3"/>
      <c r="J156" s="27"/>
      <c r="K156" s="3"/>
      <c r="L156" s="3"/>
      <c r="M156" s="3"/>
      <c r="N156" s="3"/>
      <c r="O156" s="3"/>
      <c r="P156" s="3"/>
      <c r="Q156" s="3"/>
      <c r="R156" s="3"/>
      <c r="S156" s="3"/>
      <c r="T156" s="3"/>
      <c r="U156" s="3"/>
      <c r="V156" s="18"/>
      <c r="AI156" s="28"/>
      <c r="AJ156" s="28"/>
      <c r="AK156" s="28"/>
      <c r="AL156" s="28"/>
      <c r="AM156" s="28"/>
      <c r="AN156" s="28"/>
      <c r="AO156" s="28"/>
      <c r="AP156" s="30"/>
      <c r="AQ156" s="30"/>
      <c r="AR156" s="30"/>
      <c r="AS156" s="30"/>
      <c r="AT156" s="30"/>
      <c r="AU156" s="30"/>
    </row>
    <row r="157" spans="2:47" ht="11.25" customHeight="1">
      <c r="B157" s="330"/>
      <c r="C157" s="3"/>
      <c r="D157" s="3"/>
      <c r="E157" s="3"/>
      <c r="F157" s="3"/>
      <c r="G157" s="3"/>
      <c r="H157" s="3"/>
      <c r="I157" s="3"/>
      <c r="J157" s="3"/>
      <c r="K157" s="3"/>
      <c r="L157" s="3"/>
      <c r="M157" s="3"/>
      <c r="N157" s="3"/>
      <c r="O157" s="3"/>
      <c r="P157" s="3"/>
      <c r="Q157" s="3"/>
      <c r="R157" s="3"/>
      <c r="S157" s="3"/>
      <c r="T157" s="3"/>
      <c r="U157" s="3"/>
      <c r="V157" s="18"/>
      <c r="AI157" s="28"/>
      <c r="AJ157" s="28"/>
      <c r="AK157" s="28"/>
      <c r="AL157" s="28"/>
      <c r="AM157" s="28"/>
      <c r="AN157" s="28"/>
      <c r="AO157" s="28"/>
      <c r="AP157" s="30"/>
      <c r="AQ157" s="30"/>
      <c r="AR157" s="30"/>
      <c r="AS157" s="30"/>
      <c r="AT157" s="30"/>
      <c r="AU157" s="30"/>
    </row>
    <row r="158" spans="2:47" ht="11.25" customHeight="1">
      <c r="B158" s="330"/>
      <c r="C158" s="3"/>
      <c r="D158" s="3"/>
      <c r="E158" s="3"/>
      <c r="F158" s="3"/>
      <c r="G158" s="3"/>
      <c r="H158" s="3"/>
      <c r="I158" s="3"/>
      <c r="J158" s="3"/>
      <c r="K158" s="3"/>
      <c r="L158" s="3"/>
      <c r="M158" s="3"/>
      <c r="N158" s="3"/>
      <c r="O158" s="3"/>
      <c r="P158" s="354"/>
      <c r="Q158" s="3"/>
      <c r="R158" s="3"/>
      <c r="S158" s="3"/>
      <c r="T158" s="3"/>
      <c r="U158" s="3"/>
      <c r="V158" s="18"/>
      <c r="AH158" s="28"/>
      <c r="AI158" s="28"/>
      <c r="AJ158" s="28"/>
      <c r="AK158" s="28"/>
      <c r="AL158" s="28"/>
      <c r="AM158" s="28"/>
      <c r="AN158" s="28"/>
      <c r="AO158" s="28"/>
      <c r="AP158" s="30"/>
      <c r="AQ158" s="30"/>
      <c r="AR158" s="30"/>
      <c r="AS158" s="30"/>
      <c r="AT158" s="30"/>
      <c r="AU158" s="30"/>
    </row>
    <row r="159" spans="2:41" ht="11.25" customHeight="1">
      <c r="B159" s="330"/>
      <c r="C159" s="3"/>
      <c r="D159" s="3"/>
      <c r="E159" s="3"/>
      <c r="F159" s="3"/>
      <c r="G159" s="3"/>
      <c r="H159" s="3"/>
      <c r="I159" s="3"/>
      <c r="J159" s="3"/>
      <c r="K159" s="3"/>
      <c r="L159" s="3"/>
      <c r="M159" s="3"/>
      <c r="N159" s="3"/>
      <c r="O159" s="367"/>
      <c r="P159" s="366"/>
      <c r="Q159" s="366"/>
      <c r="R159" s="366"/>
      <c r="S159" s="366"/>
      <c r="T159" s="3"/>
      <c r="U159" s="3"/>
      <c r="V159" s="18"/>
      <c r="AH159" s="78"/>
      <c r="AI159" s="78"/>
      <c r="AJ159" s="78"/>
      <c r="AK159" s="78"/>
      <c r="AL159" s="78"/>
      <c r="AM159" s="78"/>
      <c r="AN159" s="78"/>
      <c r="AO159" s="78"/>
    </row>
    <row r="160" spans="2:41" ht="11.25" customHeight="1">
      <c r="B160" s="330"/>
      <c r="C160" s="3"/>
      <c r="D160" s="3"/>
      <c r="E160" s="3"/>
      <c r="F160" s="3"/>
      <c r="G160" s="3"/>
      <c r="H160" s="3"/>
      <c r="I160" s="3"/>
      <c r="J160" s="3"/>
      <c r="K160" s="3"/>
      <c r="L160" s="3"/>
      <c r="M160" s="3"/>
      <c r="N160" s="3"/>
      <c r="O160" s="367"/>
      <c r="P160" s="3"/>
      <c r="Q160" s="3"/>
      <c r="R160" s="3"/>
      <c r="S160" s="3"/>
      <c r="T160" s="3"/>
      <c r="U160" s="3"/>
      <c r="V160" s="18"/>
      <c r="AI160" s="78"/>
      <c r="AJ160" s="78"/>
      <c r="AK160" s="78"/>
      <c r="AL160" s="78"/>
      <c r="AM160" s="78"/>
      <c r="AN160" s="78"/>
      <c r="AO160" s="78"/>
    </row>
    <row r="161" spans="2:41" ht="11.25" customHeight="1">
      <c r="B161" s="330"/>
      <c r="C161" s="3"/>
      <c r="D161" s="3"/>
      <c r="E161" s="3"/>
      <c r="F161" s="3"/>
      <c r="G161" s="3"/>
      <c r="H161" s="3"/>
      <c r="I161" s="3"/>
      <c r="J161" s="3"/>
      <c r="K161" s="3"/>
      <c r="L161" s="3"/>
      <c r="M161" s="3"/>
      <c r="N161" s="3"/>
      <c r="O161" s="367"/>
      <c r="P161" s="32"/>
      <c r="Q161" s="3"/>
      <c r="R161" s="3"/>
      <c r="S161" s="3"/>
      <c r="T161" s="3"/>
      <c r="U161" s="3"/>
      <c r="V161" s="18"/>
      <c r="AI161" s="78"/>
      <c r="AJ161" s="78"/>
      <c r="AK161" s="78"/>
      <c r="AL161" s="78"/>
      <c r="AM161" s="78"/>
      <c r="AN161" s="78"/>
      <c r="AO161" s="78"/>
    </row>
    <row r="162" spans="2:41" ht="11.25" customHeight="1">
      <c r="B162" s="330"/>
      <c r="C162" s="3"/>
      <c r="D162" s="3"/>
      <c r="E162" s="3"/>
      <c r="F162" s="3"/>
      <c r="G162" s="3"/>
      <c r="H162" s="3"/>
      <c r="I162" s="3"/>
      <c r="J162" s="3"/>
      <c r="K162" s="3"/>
      <c r="L162" s="3"/>
      <c r="M162" s="3"/>
      <c r="N162" s="368"/>
      <c r="O162" s="367"/>
      <c r="P162" s="3"/>
      <c r="Q162" s="3"/>
      <c r="R162" s="3"/>
      <c r="S162" s="3"/>
      <c r="T162" s="3"/>
      <c r="U162" s="3"/>
      <c r="V162" s="18"/>
      <c r="AI162" s="78"/>
      <c r="AJ162" s="78"/>
      <c r="AK162" s="78"/>
      <c r="AL162" s="78"/>
      <c r="AM162" s="78"/>
      <c r="AN162" s="78"/>
      <c r="AO162" s="78"/>
    </row>
    <row r="163" spans="2:22" ht="11.25" customHeight="1">
      <c r="B163" s="330"/>
      <c r="C163" s="3"/>
      <c r="D163" s="3"/>
      <c r="E163" s="3"/>
      <c r="F163" s="3"/>
      <c r="G163" s="3"/>
      <c r="H163" s="3"/>
      <c r="I163" s="3"/>
      <c r="J163" s="3"/>
      <c r="K163" s="3"/>
      <c r="L163" s="3"/>
      <c r="M163" s="3"/>
      <c r="N163" s="3"/>
      <c r="O163" s="367"/>
      <c r="P163" s="3"/>
      <c r="Q163" s="3"/>
      <c r="R163" s="3"/>
      <c r="S163" s="3"/>
      <c r="T163" s="3"/>
      <c r="U163" s="3"/>
      <c r="V163" s="18"/>
    </row>
    <row r="164" spans="2:22" ht="11.25" customHeight="1">
      <c r="B164" s="330"/>
      <c r="C164" s="3"/>
      <c r="D164" s="102"/>
      <c r="E164" s="319"/>
      <c r="F164" s="319"/>
      <c r="G164" s="102"/>
      <c r="H164" s="36"/>
      <c r="I164" s="317"/>
      <c r="J164" s="32"/>
      <c r="K164" s="32"/>
      <c r="L164" s="3"/>
      <c r="M164" s="3"/>
      <c r="N164" s="3"/>
      <c r="O164" s="3"/>
      <c r="P164" s="3"/>
      <c r="Q164" s="3"/>
      <c r="R164" s="3"/>
      <c r="S164" s="3"/>
      <c r="T164" s="3"/>
      <c r="U164" s="3"/>
      <c r="V164" s="18"/>
    </row>
    <row r="165" spans="2:22" ht="11.25" customHeight="1">
      <c r="B165" s="330"/>
      <c r="C165" s="100"/>
      <c r="D165" s="3"/>
      <c r="E165" s="3"/>
      <c r="F165" s="3"/>
      <c r="G165" s="102"/>
      <c r="H165" s="36"/>
      <c r="I165" s="3"/>
      <c r="J165" s="3"/>
      <c r="K165" s="3"/>
      <c r="L165" s="3"/>
      <c r="M165" s="3"/>
      <c r="N165" s="3"/>
      <c r="O165" s="3"/>
      <c r="P165" s="3"/>
      <c r="Q165" s="3"/>
      <c r="R165" s="3"/>
      <c r="S165" s="3"/>
      <c r="T165" s="3"/>
      <c r="U165" s="3"/>
      <c r="V165" s="18"/>
    </row>
    <row r="166" spans="2:22" ht="11.25" customHeight="1">
      <c r="B166" s="330"/>
      <c r="C166" s="100"/>
      <c r="D166" s="3"/>
      <c r="E166" s="3"/>
      <c r="F166" s="3"/>
      <c r="G166" s="102"/>
      <c r="H166" s="36"/>
      <c r="I166" s="3"/>
      <c r="J166" s="3"/>
      <c r="K166" s="3"/>
      <c r="L166" s="3"/>
      <c r="M166" s="3"/>
      <c r="N166" s="19"/>
      <c r="O166" s="3"/>
      <c r="P166" s="3"/>
      <c r="Q166" s="3"/>
      <c r="R166" s="3"/>
      <c r="S166" s="3"/>
      <c r="T166" s="19"/>
      <c r="U166" s="3"/>
      <c r="V166" s="18"/>
    </row>
    <row r="167" spans="2:22" ht="11.25" customHeight="1">
      <c r="B167" s="330"/>
      <c r="C167" s="100"/>
      <c r="D167" s="3"/>
      <c r="E167" s="3"/>
      <c r="F167" s="3"/>
      <c r="G167" s="102"/>
      <c r="H167" s="36"/>
      <c r="I167" s="3"/>
      <c r="J167" s="3"/>
      <c r="K167" s="3"/>
      <c r="L167" s="3"/>
      <c r="M167" s="3"/>
      <c r="N167" s="19"/>
      <c r="O167" s="51"/>
      <c r="P167" s="51"/>
      <c r="Q167" s="51"/>
      <c r="R167" s="51"/>
      <c r="S167" s="51"/>
      <c r="T167" s="374"/>
      <c r="U167" s="3"/>
      <c r="V167" s="18"/>
    </row>
    <row r="168" spans="2:22" ht="11.25" customHeight="1">
      <c r="B168" s="330"/>
      <c r="C168" s="100"/>
      <c r="D168" s="3"/>
      <c r="E168" s="3"/>
      <c r="F168" s="3"/>
      <c r="G168" s="102"/>
      <c r="H168" s="363"/>
      <c r="I168" s="3"/>
      <c r="J168" s="3"/>
      <c r="K168" s="3"/>
      <c r="L168" s="3"/>
      <c r="M168" s="3"/>
      <c r="N168" s="19"/>
      <c r="O168" s="31" t="str">
        <f>O87&amp;"  "&amp;Q87</f>
        <v>วิศวกรโครงสร้าง :  นาย สุธีร์     แก้วคำ  สย.9698</v>
      </c>
      <c r="P168" s="3"/>
      <c r="Q168" s="3"/>
      <c r="R168" s="3"/>
      <c r="S168" s="3"/>
      <c r="T168" s="19"/>
      <c r="U168" s="3"/>
      <c r="V168" s="18"/>
    </row>
    <row r="169" spans="2:22" ht="11.25" customHeight="1" thickBot="1">
      <c r="B169" s="331"/>
      <c r="C169" s="20"/>
      <c r="D169" s="20"/>
      <c r="E169" s="20"/>
      <c r="F169" s="20"/>
      <c r="G169" s="63"/>
      <c r="H169" s="64"/>
      <c r="I169" s="20"/>
      <c r="J169" s="20"/>
      <c r="K169" s="20"/>
      <c r="L169" s="20"/>
      <c r="M169" s="20"/>
      <c r="N169" s="65"/>
      <c r="O169" s="20"/>
      <c r="P169" s="20"/>
      <c r="Q169" s="20"/>
      <c r="R169" s="20"/>
      <c r="S169" s="20"/>
      <c r="T169" s="65"/>
      <c r="U169" s="20"/>
      <c r="V169" s="21"/>
    </row>
    <row r="170" spans="2:22" ht="11.25" customHeight="1">
      <c r="B170" s="413"/>
      <c r="C170" s="553" t="s">
        <v>355</v>
      </c>
      <c r="D170" s="553"/>
      <c r="E170" s="553"/>
      <c r="F170" s="553"/>
      <c r="G170" s="554"/>
      <c r="H170" s="414" t="s">
        <v>223</v>
      </c>
      <c r="I170" s="37"/>
      <c r="J170" s="10" t="str">
        <f>J2</f>
        <v>อาคารคอนกรีตเสริมเหล็ก 2 ชั้น</v>
      </c>
      <c r="K170" s="10"/>
      <c r="L170" s="11"/>
      <c r="M170" s="12"/>
      <c r="N170" s="430"/>
      <c r="O170" s="417" t="s">
        <v>225</v>
      </c>
      <c r="P170" s="417"/>
      <c r="Q170" s="519" t="str">
        <f>Q2</f>
        <v>F6A</v>
      </c>
      <c r="R170" s="519"/>
      <c r="S170" s="519"/>
      <c r="T170" s="519"/>
      <c r="U170" s="494" t="s">
        <v>226</v>
      </c>
      <c r="V170" s="372">
        <f>+V86+1</f>
        <v>3</v>
      </c>
    </row>
    <row r="171" spans="2:22" ht="11.25" customHeight="1">
      <c r="B171" s="418"/>
      <c r="C171" s="555"/>
      <c r="D171" s="555"/>
      <c r="E171" s="555"/>
      <c r="F171" s="555"/>
      <c r="G171" s="556"/>
      <c r="H171" s="49" t="s">
        <v>227</v>
      </c>
      <c r="I171" s="38"/>
      <c r="J171" s="15" t="str">
        <f>J3</f>
        <v>นาย สุธีร์   แก้วคำ</v>
      </c>
      <c r="K171" s="15"/>
      <c r="L171" s="16"/>
      <c r="M171" s="17"/>
      <c r="N171" s="432"/>
      <c r="O171" s="485" t="s">
        <v>229</v>
      </c>
      <c r="P171" s="486"/>
      <c r="Q171" s="520" t="str">
        <f>Q3</f>
        <v>นาย สุธีร์     แก้วคำ  สย.9698</v>
      </c>
      <c r="R171" s="520"/>
      <c r="S171" s="520"/>
      <c r="T171" s="520"/>
      <c r="U171" s="495"/>
      <c r="V171" s="47" t="s">
        <v>230</v>
      </c>
    </row>
    <row r="172" spans="2:22" ht="11.25" customHeight="1">
      <c r="B172" s="418"/>
      <c r="C172" s="555" t="s">
        <v>356</v>
      </c>
      <c r="D172" s="555"/>
      <c r="E172" s="555"/>
      <c r="F172" s="555"/>
      <c r="G172" s="556"/>
      <c r="H172" s="49" t="s">
        <v>231</v>
      </c>
      <c r="I172" s="38"/>
      <c r="J172" s="15" t="str">
        <f>J4</f>
        <v>กรุงเทพ</v>
      </c>
      <c r="K172" s="15"/>
      <c r="L172" s="1"/>
      <c r="M172" s="2"/>
      <c r="N172" s="432"/>
      <c r="O172" s="477" t="s">
        <v>233</v>
      </c>
      <c r="P172" s="477"/>
      <c r="Q172" s="478">
        <f>Q4</f>
        <v>39603</v>
      </c>
      <c r="R172" s="478"/>
      <c r="S172" s="478"/>
      <c r="T172" s="478"/>
      <c r="U172" s="495"/>
      <c r="V172" s="373">
        <f>V170</f>
        <v>3</v>
      </c>
    </row>
    <row r="173" spans="2:22" ht="11.25" customHeight="1" thickBot="1">
      <c r="B173" s="422"/>
      <c r="C173" s="557"/>
      <c r="D173" s="557"/>
      <c r="E173" s="557"/>
      <c r="F173" s="557"/>
      <c r="G173" s="558"/>
      <c r="H173" s="50"/>
      <c r="I173" s="39"/>
      <c r="J173" s="39"/>
      <c r="K173" s="41"/>
      <c r="L173" s="42"/>
      <c r="M173" s="43"/>
      <c r="N173" s="434"/>
      <c r="O173" s="44"/>
      <c r="P173" s="44"/>
      <c r="Q173" s="40"/>
      <c r="R173" s="40"/>
      <c r="S173" s="40"/>
      <c r="T173" s="40"/>
      <c r="U173" s="45"/>
      <c r="V173" s="46"/>
    </row>
    <row r="174" spans="2:22" ht="11.25" customHeight="1" thickBot="1">
      <c r="B174" s="479" t="str">
        <f>B6</f>
        <v>ออกแบบฐานรากคอนกรีตเสริมเหล็ก วางบนเข็ม  6 ต้น - วิธีหน่วยแรงใช้งาน</v>
      </c>
      <c r="C174" s="480"/>
      <c r="D174" s="480"/>
      <c r="E174" s="480"/>
      <c r="F174" s="480"/>
      <c r="G174" s="480"/>
      <c r="H174" s="480"/>
      <c r="I174" s="480"/>
      <c r="J174" s="480"/>
      <c r="K174" s="480"/>
      <c r="L174" s="480"/>
      <c r="M174" s="480"/>
      <c r="N174" s="480"/>
      <c r="O174" s="480"/>
      <c r="P174" s="480"/>
      <c r="Q174" s="480"/>
      <c r="R174" s="480"/>
      <c r="S174" s="480"/>
      <c r="T174" s="480"/>
      <c r="U174" s="480"/>
      <c r="V174" s="481"/>
    </row>
    <row r="175" spans="2:22" ht="11.25" customHeight="1">
      <c r="B175" s="329"/>
      <c r="C175" s="13"/>
      <c r="D175" s="13"/>
      <c r="E175" s="13"/>
      <c r="F175" s="13"/>
      <c r="G175" s="13"/>
      <c r="H175" s="13"/>
      <c r="I175" s="13"/>
      <c r="J175" s="13"/>
      <c r="K175" s="13"/>
      <c r="L175" s="13"/>
      <c r="M175" s="13"/>
      <c r="N175" s="13"/>
      <c r="O175" s="13"/>
      <c r="P175" s="13"/>
      <c r="Q175" s="13"/>
      <c r="R175" s="13"/>
      <c r="S175" s="13"/>
      <c r="T175" s="13"/>
      <c r="U175" s="13"/>
      <c r="V175" s="48"/>
    </row>
    <row r="176" spans="2:22" ht="11.25" customHeight="1">
      <c r="B176" s="330"/>
      <c r="C176" s="3"/>
      <c r="D176" s="3"/>
      <c r="E176" s="3"/>
      <c r="F176" s="3"/>
      <c r="G176" s="3"/>
      <c r="H176" s="3"/>
      <c r="I176" s="3"/>
      <c r="J176" s="3"/>
      <c r="K176" s="3"/>
      <c r="L176" s="3"/>
      <c r="M176" s="3"/>
      <c r="N176" s="3"/>
      <c r="O176" s="3"/>
      <c r="P176" s="3"/>
      <c r="Q176" s="3"/>
      <c r="R176" s="3"/>
      <c r="S176" s="3"/>
      <c r="T176" s="3"/>
      <c r="U176" s="3"/>
      <c r="V176" s="18"/>
    </row>
    <row r="177" spans="2:22" ht="11.25" customHeight="1">
      <c r="B177" s="441" t="s">
        <v>199</v>
      </c>
      <c r="C177" s="442" t="s">
        <v>324</v>
      </c>
      <c r="D177" s="438"/>
      <c r="E177" s="438"/>
      <c r="F177" s="438"/>
      <c r="G177" s="3"/>
      <c r="H177" s="3"/>
      <c r="I177" s="3"/>
      <c r="J177" s="3"/>
      <c r="K177" s="3"/>
      <c r="L177" s="3"/>
      <c r="M177" s="3"/>
      <c r="N177" s="3"/>
      <c r="O177" s="3"/>
      <c r="P177" s="3"/>
      <c r="Q177" s="3"/>
      <c r="R177" s="3"/>
      <c r="S177" s="3"/>
      <c r="T177" s="3"/>
      <c r="U177" s="3"/>
      <c r="V177" s="18"/>
    </row>
    <row r="178" spans="2:22" ht="11.25" customHeight="1" thickBot="1">
      <c r="B178" s="330"/>
      <c r="C178" s="3"/>
      <c r="D178" s="3"/>
      <c r="E178" s="3"/>
      <c r="F178" s="3"/>
      <c r="G178" s="3"/>
      <c r="H178" s="3"/>
      <c r="I178" s="3"/>
      <c r="J178" s="3"/>
      <c r="K178" s="3"/>
      <c r="L178" s="3"/>
      <c r="M178" s="3"/>
      <c r="N178" s="3"/>
      <c r="O178" s="3"/>
      <c r="P178" s="3"/>
      <c r="Q178" s="3"/>
      <c r="R178" s="3"/>
      <c r="S178" s="3"/>
      <c r="T178" s="3"/>
      <c r="U178" s="3"/>
      <c r="V178" s="18"/>
    </row>
    <row r="179" spans="2:22" ht="11.25" customHeight="1">
      <c r="B179" s="330"/>
      <c r="C179" s="349"/>
      <c r="D179" s="350"/>
      <c r="E179" s="350"/>
      <c r="F179" s="350"/>
      <c r="G179" s="350"/>
      <c r="H179" s="350"/>
      <c r="I179" s="350"/>
      <c r="J179" s="350"/>
      <c r="K179" s="350"/>
      <c r="L179" s="350"/>
      <c r="M179" s="350"/>
      <c r="N179" s="350"/>
      <c r="O179" s="350"/>
      <c r="P179" s="350"/>
      <c r="Q179" s="350"/>
      <c r="R179" s="350"/>
      <c r="S179" s="350"/>
      <c r="T179" s="350"/>
      <c r="U179" s="351"/>
      <c r="V179" s="18"/>
    </row>
    <row r="180" spans="2:22" ht="11.25" customHeight="1">
      <c r="B180" s="330"/>
      <c r="C180" s="33"/>
      <c r="D180" s="3"/>
      <c r="E180" s="3"/>
      <c r="F180" s="3"/>
      <c r="G180" s="3"/>
      <c r="H180" s="3"/>
      <c r="I180" s="3"/>
      <c r="J180" s="3"/>
      <c r="K180" s="3"/>
      <c r="L180" s="3"/>
      <c r="M180" s="3"/>
      <c r="N180" s="3"/>
      <c r="O180" s="3"/>
      <c r="P180" s="3"/>
      <c r="Q180" s="3"/>
      <c r="R180" s="3"/>
      <c r="S180" s="3"/>
      <c r="T180" s="3"/>
      <c r="U180" s="34"/>
      <c r="V180" s="18"/>
    </row>
    <row r="181" spans="2:22" ht="11.25" customHeight="1">
      <c r="B181" s="330"/>
      <c r="C181" s="33"/>
      <c r="D181" s="3"/>
      <c r="E181" s="3"/>
      <c r="F181" s="3"/>
      <c r="G181" s="3"/>
      <c r="H181" s="95"/>
      <c r="I181" s="3"/>
      <c r="J181" s="3"/>
      <c r="K181" s="510" t="str">
        <f>FIXED(H32,2)&amp;" ม."</f>
        <v>2.10 ม.</v>
      </c>
      <c r="L181" s="510"/>
      <c r="M181" s="3"/>
      <c r="N181" s="3"/>
      <c r="O181" s="97"/>
      <c r="P181" s="3"/>
      <c r="Q181" s="3"/>
      <c r="R181" s="3"/>
      <c r="S181" s="3"/>
      <c r="T181" s="3"/>
      <c r="U181" s="34"/>
      <c r="V181" s="18"/>
    </row>
    <row r="182" spans="2:22" ht="11.25" customHeight="1">
      <c r="B182" s="330"/>
      <c r="C182" s="33"/>
      <c r="D182" s="3"/>
      <c r="E182" s="3"/>
      <c r="F182" s="3"/>
      <c r="G182" s="3"/>
      <c r="H182" s="95"/>
      <c r="I182" s="3"/>
      <c r="J182" s="3"/>
      <c r="K182" s="3"/>
      <c r="L182" s="3"/>
      <c r="M182" s="3"/>
      <c r="N182" s="3"/>
      <c r="O182" s="97"/>
      <c r="P182" s="3"/>
      <c r="Q182" s="3"/>
      <c r="R182" s="3"/>
      <c r="S182" s="3"/>
      <c r="T182" s="3"/>
      <c r="U182" s="34"/>
      <c r="V182" s="18"/>
    </row>
    <row r="183" spans="2:22" ht="11.25" customHeight="1">
      <c r="B183" s="330"/>
      <c r="C183" s="33"/>
      <c r="D183" s="3"/>
      <c r="E183" s="3"/>
      <c r="F183" s="3"/>
      <c r="G183" s="3"/>
      <c r="H183" s="340" t="str">
        <f>FIXED(J38,2)&amp;" ม."</f>
        <v>0.35 ม.</v>
      </c>
      <c r="I183" s="25"/>
      <c r="J183" s="25" t="str">
        <f>FIXED(M38,2)&amp;" ม."</f>
        <v>0.70 ม.</v>
      </c>
      <c r="L183" s="340"/>
      <c r="M183" s="25" t="str">
        <f>+J183</f>
        <v>0.70 ม.</v>
      </c>
      <c r="O183" s="25" t="str">
        <f>FIXED(J40,2)&amp;" ม."</f>
        <v>0.35 ม.</v>
      </c>
      <c r="P183" s="3"/>
      <c r="Q183" s="3"/>
      <c r="S183" s="70"/>
      <c r="T183" s="70"/>
      <c r="U183" s="34"/>
      <c r="V183" s="18"/>
    </row>
    <row r="184" spans="2:22" ht="11.25" customHeight="1">
      <c r="B184" s="330"/>
      <c r="C184" s="33"/>
      <c r="D184" s="3"/>
      <c r="E184" s="3"/>
      <c r="F184" s="3"/>
      <c r="G184" s="3"/>
      <c r="H184" s="95"/>
      <c r="I184" s="3"/>
      <c r="J184" s="3"/>
      <c r="K184" s="3"/>
      <c r="L184" s="95"/>
      <c r="M184" s="3"/>
      <c r="N184" s="3"/>
      <c r="O184" s="97"/>
      <c r="P184" s="3"/>
      <c r="Q184" s="3"/>
      <c r="R184" s="3"/>
      <c r="S184" s="3"/>
      <c r="T184" s="3"/>
      <c r="U184" s="34"/>
      <c r="V184" s="18"/>
    </row>
    <row r="185" spans="2:22" ht="11.25" customHeight="1" thickBot="1">
      <c r="B185" s="330"/>
      <c r="C185" s="33"/>
      <c r="D185" s="3"/>
      <c r="E185" s="3"/>
      <c r="F185" s="3"/>
      <c r="G185" s="3"/>
      <c r="H185" s="95"/>
      <c r="I185" s="3"/>
      <c r="J185" s="3"/>
      <c r="K185" s="3"/>
      <c r="L185" s="96"/>
      <c r="M185" s="3"/>
      <c r="N185" s="3"/>
      <c r="O185" s="97"/>
      <c r="P185" s="3"/>
      <c r="Q185" s="3"/>
      <c r="R185" s="3"/>
      <c r="S185" s="3"/>
      <c r="T185" s="3"/>
      <c r="U185" s="34"/>
      <c r="V185" s="18"/>
    </row>
    <row r="186" spans="2:22" ht="11.25" customHeight="1">
      <c r="B186" s="330"/>
      <c r="C186" s="33"/>
      <c r="D186" s="3"/>
      <c r="E186" s="66"/>
      <c r="F186" s="66"/>
      <c r="G186" s="66"/>
      <c r="H186" s="90"/>
      <c r="I186" s="13"/>
      <c r="J186" s="13"/>
      <c r="K186" s="13"/>
      <c r="L186" s="13"/>
      <c r="M186" s="13"/>
      <c r="N186" s="13"/>
      <c r="O186" s="48"/>
      <c r="P186" s="3"/>
      <c r="Q186" s="3"/>
      <c r="R186" s="3"/>
      <c r="S186" s="3"/>
      <c r="T186" s="3"/>
      <c r="U186" s="34"/>
      <c r="V186" s="18"/>
    </row>
    <row r="187" spans="2:22" ht="11.25" customHeight="1">
      <c r="B187" s="330"/>
      <c r="C187" s="33"/>
      <c r="D187" s="3"/>
      <c r="E187" s="3"/>
      <c r="F187" s="25" t="str">
        <f>FIXED(K38,2)&amp;" ม."</f>
        <v>0.35 ม.</v>
      </c>
      <c r="G187" s="3"/>
      <c r="H187" s="91"/>
      <c r="I187" s="3"/>
      <c r="J187" s="3"/>
      <c r="K187" s="3"/>
      <c r="L187" s="3"/>
      <c r="M187" s="3"/>
      <c r="N187" s="3"/>
      <c r="O187" s="18"/>
      <c r="P187" s="3"/>
      <c r="Q187" s="3"/>
      <c r="R187" s="3"/>
      <c r="S187" s="3"/>
      <c r="T187" s="3"/>
      <c r="U187" s="34"/>
      <c r="V187" s="18"/>
    </row>
    <row r="188" spans="2:22" ht="11.25" customHeight="1">
      <c r="B188" s="330"/>
      <c r="C188" s="33"/>
      <c r="D188" s="3"/>
      <c r="E188" s="3"/>
      <c r="F188" s="3"/>
      <c r="G188" s="68"/>
      <c r="H188" s="91"/>
      <c r="I188" s="3"/>
      <c r="J188" s="3"/>
      <c r="K188" s="3"/>
      <c r="L188" s="3"/>
      <c r="M188" s="3"/>
      <c r="N188" s="3"/>
      <c r="O188" s="18"/>
      <c r="P188" s="3"/>
      <c r="Q188" s="3"/>
      <c r="R188" s="3"/>
      <c r="S188" s="3"/>
      <c r="T188" s="3"/>
      <c r="U188" s="34"/>
      <c r="V188" s="18"/>
    </row>
    <row r="189" spans="2:22" ht="11.25" customHeight="1">
      <c r="B189" s="330"/>
      <c r="C189" s="33"/>
      <c r="D189" s="3"/>
      <c r="E189" s="25"/>
      <c r="G189" s="18"/>
      <c r="H189" s="91"/>
      <c r="I189" s="3"/>
      <c r="J189" s="3"/>
      <c r="K189" s="3"/>
      <c r="L189" s="3"/>
      <c r="M189" s="3"/>
      <c r="N189" s="3"/>
      <c r="O189" s="18"/>
      <c r="P189" s="3"/>
      <c r="Q189" s="3"/>
      <c r="R189" s="3"/>
      <c r="S189" s="3"/>
      <c r="T189" s="3"/>
      <c r="U189" s="34"/>
      <c r="V189" s="18"/>
    </row>
    <row r="190" spans="2:22" ht="11.25" customHeight="1">
      <c r="B190" s="330"/>
      <c r="C190" s="33"/>
      <c r="D190" s="3"/>
      <c r="E190" s="25"/>
      <c r="G190" s="18"/>
      <c r="H190" s="91"/>
      <c r="I190" s="25"/>
      <c r="J190" s="3"/>
      <c r="K190" s="3"/>
      <c r="L190" s="3"/>
      <c r="M190" s="3"/>
      <c r="N190" s="3"/>
      <c r="O190" s="18"/>
      <c r="P190" s="3"/>
      <c r="Q190" s="3"/>
      <c r="R190" s="3"/>
      <c r="S190" s="3"/>
      <c r="T190" s="3"/>
      <c r="U190" s="34"/>
      <c r="V190" s="18"/>
    </row>
    <row r="191" spans="2:22" ht="11.25" customHeight="1">
      <c r="B191" s="330"/>
      <c r="C191" s="33"/>
      <c r="D191" s="3"/>
      <c r="E191" s="25"/>
      <c r="G191" s="18"/>
      <c r="H191" s="91"/>
      <c r="I191" s="3"/>
      <c r="J191" s="3"/>
      <c r="K191" s="3"/>
      <c r="L191" s="3"/>
      <c r="M191" s="3"/>
      <c r="N191" s="3"/>
      <c r="O191" s="18"/>
      <c r="P191" s="62"/>
      <c r="Q191" s="551"/>
      <c r="R191" s="551"/>
      <c r="S191" s="72"/>
      <c r="T191" s="72"/>
      <c r="U191" s="34"/>
      <c r="V191" s="18"/>
    </row>
    <row r="192" spans="2:22" ht="11.25" customHeight="1">
      <c r="B192" s="330"/>
      <c r="C192" s="33"/>
      <c r="D192" s="77" t="str">
        <f>FIXED(H33,2)&amp;" ม."</f>
        <v>1.40 ม.</v>
      </c>
      <c r="E192" s="3"/>
      <c r="F192" s="511" t="str">
        <f>FIXED(L38,2)&amp;" ม."</f>
        <v>0.70 ม.</v>
      </c>
      <c r="G192" s="18"/>
      <c r="H192" s="91"/>
      <c r="I192" s="3"/>
      <c r="J192" s="3"/>
      <c r="K192" s="3"/>
      <c r="L192" s="3"/>
      <c r="M192" s="3"/>
      <c r="N192" s="3"/>
      <c r="O192" s="18"/>
      <c r="P192" s="62"/>
      <c r="Q192" s="551"/>
      <c r="R192" s="551"/>
      <c r="S192" s="73"/>
      <c r="T192" s="73"/>
      <c r="U192" s="34"/>
      <c r="V192" s="18"/>
    </row>
    <row r="193" spans="2:22" ht="11.25" customHeight="1">
      <c r="B193" s="330"/>
      <c r="C193" s="33"/>
      <c r="D193" s="3"/>
      <c r="E193" s="3"/>
      <c r="F193" s="511"/>
      <c r="G193" s="18"/>
      <c r="H193" s="91"/>
      <c r="I193" s="3"/>
      <c r="J193" s="3"/>
      <c r="K193" s="3"/>
      <c r="L193" s="3"/>
      <c r="M193" s="3"/>
      <c r="N193" s="3"/>
      <c r="O193" s="18"/>
      <c r="P193" s="62"/>
      <c r="Q193" s="353"/>
      <c r="R193" s="3"/>
      <c r="S193" s="3"/>
      <c r="T193" s="27"/>
      <c r="U193" s="34"/>
      <c r="V193" s="18"/>
    </row>
    <row r="194" spans="2:81" ht="11.25" customHeight="1">
      <c r="B194" s="330"/>
      <c r="C194" s="33"/>
      <c r="D194" s="3"/>
      <c r="E194" s="3"/>
      <c r="F194" s="411"/>
      <c r="G194" s="18"/>
      <c r="H194" s="91"/>
      <c r="I194" s="3"/>
      <c r="J194" s="3"/>
      <c r="K194" s="3"/>
      <c r="L194" s="3"/>
      <c r="M194" s="3"/>
      <c r="N194" s="3"/>
      <c r="O194" s="18"/>
      <c r="P194" s="3"/>
      <c r="Q194" s="3"/>
      <c r="R194" s="3"/>
      <c r="S194" s="3"/>
      <c r="T194" s="3"/>
      <c r="U194" s="34"/>
      <c r="V194" s="18"/>
      <c r="Y194" s="57">
        <f>+K121</f>
        <v>17</v>
      </c>
      <c r="Z194" s="57">
        <f>Y194</f>
        <v>17</v>
      </c>
      <c r="AA194" s="57">
        <f>Z194</f>
        <v>17</v>
      </c>
      <c r="AB194" s="53" t="s">
        <v>42</v>
      </c>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E194" s="53" t="s">
        <v>43</v>
      </c>
      <c r="BF194" s="52">
        <v>1</v>
      </c>
      <c r="BG194" s="52">
        <v>2</v>
      </c>
      <c r="BH194" s="52">
        <v>3</v>
      </c>
      <c r="BI194" s="52">
        <v>4</v>
      </c>
      <c r="BJ194" s="52">
        <v>5</v>
      </c>
      <c r="BK194" s="52">
        <v>6</v>
      </c>
      <c r="BL194" s="52">
        <v>7</v>
      </c>
      <c r="BM194" s="52">
        <v>8</v>
      </c>
      <c r="BN194" s="52">
        <v>9</v>
      </c>
      <c r="BO194" s="52">
        <v>10</v>
      </c>
      <c r="BP194" s="52">
        <v>11</v>
      </c>
      <c r="BQ194" s="52">
        <v>12</v>
      </c>
      <c r="BR194" s="52">
        <v>13</v>
      </c>
      <c r="BS194" s="52">
        <v>14</v>
      </c>
      <c r="BT194" s="52">
        <v>15</v>
      </c>
      <c r="BU194" s="52">
        <v>16</v>
      </c>
      <c r="BV194" s="52">
        <v>17</v>
      </c>
      <c r="BW194" s="52">
        <v>18</v>
      </c>
      <c r="BX194" s="52">
        <v>19</v>
      </c>
      <c r="BY194" s="52">
        <v>20</v>
      </c>
      <c r="BZ194" s="52">
        <v>21</v>
      </c>
      <c r="CA194" s="52">
        <v>22</v>
      </c>
      <c r="CB194" s="52">
        <v>23</v>
      </c>
      <c r="CC194" s="52">
        <v>24</v>
      </c>
    </row>
    <row r="195" spans="2:81" ht="11.25" customHeight="1">
      <c r="B195" s="330"/>
      <c r="C195" s="33"/>
      <c r="D195" s="3"/>
      <c r="E195" s="3"/>
      <c r="F195" s="411"/>
      <c r="G195" s="18"/>
      <c r="H195" s="91"/>
      <c r="I195" s="3"/>
      <c r="J195" s="3"/>
      <c r="K195" s="3"/>
      <c r="L195" s="3"/>
      <c r="M195" s="3"/>
      <c r="N195" s="3"/>
      <c r="O195" s="18"/>
      <c r="P195" s="3"/>
      <c r="Q195" s="3"/>
      <c r="R195" s="3"/>
      <c r="S195" s="3"/>
      <c r="T195" s="3"/>
      <c r="U195" s="34"/>
      <c r="V195" s="18"/>
      <c r="Y195" s="52" t="s">
        <v>33</v>
      </c>
      <c r="Z195" s="52" t="s">
        <v>44</v>
      </c>
      <c r="AA195" s="52" t="s">
        <v>45</v>
      </c>
      <c r="AB195" s="54" t="s">
        <v>41</v>
      </c>
      <c r="AC195" s="54">
        <v>2</v>
      </c>
      <c r="AD195" s="54">
        <v>3</v>
      </c>
      <c r="AE195" s="54">
        <v>4</v>
      </c>
      <c r="AF195" s="54">
        <v>5</v>
      </c>
      <c r="AG195" s="54">
        <v>6</v>
      </c>
      <c r="AH195" s="54">
        <v>7</v>
      </c>
      <c r="AI195" s="54">
        <v>8</v>
      </c>
      <c r="AJ195" s="54">
        <v>9</v>
      </c>
      <c r="AK195" s="54">
        <v>10</v>
      </c>
      <c r="AL195" s="54">
        <v>11</v>
      </c>
      <c r="AM195" s="54">
        <v>12</v>
      </c>
      <c r="AN195" s="54">
        <v>13</v>
      </c>
      <c r="AO195" s="54">
        <v>14</v>
      </c>
      <c r="AP195" s="54">
        <v>15</v>
      </c>
      <c r="AQ195" s="54">
        <v>16</v>
      </c>
      <c r="AR195" s="54">
        <v>17</v>
      </c>
      <c r="AS195" s="54">
        <v>18</v>
      </c>
      <c r="AT195" s="54">
        <v>19</v>
      </c>
      <c r="AU195" s="54">
        <v>20</v>
      </c>
      <c r="AV195" s="54">
        <v>21</v>
      </c>
      <c r="AW195" s="54">
        <v>22</v>
      </c>
      <c r="AX195" s="54">
        <v>23</v>
      </c>
      <c r="AY195" s="54">
        <v>24</v>
      </c>
      <c r="AZ195" s="54">
        <v>25</v>
      </c>
      <c r="BA195" s="60"/>
      <c r="BB195" s="57">
        <f>D123+1</f>
        <v>2</v>
      </c>
      <c r="BC195" s="57">
        <f>BB195</f>
        <v>2</v>
      </c>
      <c r="BD195" s="57">
        <f>BC195</f>
        <v>2</v>
      </c>
      <c r="BE195" s="56" t="s">
        <v>41</v>
      </c>
      <c r="BF195" s="56">
        <v>2</v>
      </c>
      <c r="BG195" s="56">
        <v>3</v>
      </c>
      <c r="BH195" s="56">
        <v>4</v>
      </c>
      <c r="BI195" s="56">
        <v>5</v>
      </c>
      <c r="BJ195" s="56">
        <v>6</v>
      </c>
      <c r="BK195" s="56">
        <v>7</v>
      </c>
      <c r="BL195" s="56">
        <v>8</v>
      </c>
      <c r="BM195" s="56">
        <v>9</v>
      </c>
      <c r="BN195" s="56">
        <v>10</v>
      </c>
      <c r="BO195" s="56">
        <v>11</v>
      </c>
      <c r="BP195" s="56">
        <v>12</v>
      </c>
      <c r="BQ195" s="56">
        <v>13</v>
      </c>
      <c r="BR195" s="56">
        <v>14</v>
      </c>
      <c r="BS195" s="56">
        <v>15</v>
      </c>
      <c r="BT195" s="56">
        <v>16</v>
      </c>
      <c r="BU195" s="56">
        <v>17</v>
      </c>
      <c r="BV195" s="56">
        <v>18</v>
      </c>
      <c r="BW195" s="56">
        <v>19</v>
      </c>
      <c r="BX195" s="56">
        <v>20</v>
      </c>
      <c r="BY195" s="56">
        <v>21</v>
      </c>
      <c r="BZ195" s="56">
        <v>22</v>
      </c>
      <c r="CA195" s="56">
        <v>23</v>
      </c>
      <c r="CB195" s="56">
        <v>24</v>
      </c>
      <c r="CC195" s="56">
        <v>25</v>
      </c>
    </row>
    <row r="196" spans="2:81" ht="11.25" customHeight="1">
      <c r="B196" s="330"/>
      <c r="C196" s="33"/>
      <c r="D196" s="3"/>
      <c r="E196" s="3"/>
      <c r="F196" s="3"/>
      <c r="G196" s="18"/>
      <c r="H196" s="91"/>
      <c r="I196" s="3"/>
      <c r="J196" s="3"/>
      <c r="K196" s="3"/>
      <c r="L196" s="3"/>
      <c r="M196" s="3"/>
      <c r="N196" s="3"/>
      <c r="O196" s="18"/>
      <c r="P196" s="3"/>
      <c r="Q196" s="3"/>
      <c r="R196" s="3"/>
      <c r="S196" s="3"/>
      <c r="T196" s="3"/>
      <c r="U196" s="34"/>
      <c r="V196" s="18"/>
      <c r="Y196" s="58">
        <f>HLOOKUP($Y$194,$AC$195:$AZ$217,AB196,FALSE)</f>
        <v>3</v>
      </c>
      <c r="Z196" s="59">
        <v>75</v>
      </c>
      <c r="AA196" s="59">
        <v>5</v>
      </c>
      <c r="AB196" s="26">
        <v>2</v>
      </c>
      <c r="AC196" s="55">
        <v>3</v>
      </c>
      <c r="AD196" s="55">
        <f>AC196</f>
        <v>3</v>
      </c>
      <c r="AE196" s="55">
        <f aca="true" t="shared" si="6" ref="AE196:AZ196">AD196</f>
        <v>3</v>
      </c>
      <c r="AF196" s="55">
        <f t="shared" si="6"/>
        <v>3</v>
      </c>
      <c r="AG196" s="55">
        <f t="shared" si="6"/>
        <v>3</v>
      </c>
      <c r="AH196" s="55">
        <f t="shared" si="6"/>
        <v>3</v>
      </c>
      <c r="AI196" s="55">
        <f t="shared" si="6"/>
        <v>3</v>
      </c>
      <c r="AJ196" s="55">
        <f t="shared" si="6"/>
        <v>3</v>
      </c>
      <c r="AK196" s="55">
        <f t="shared" si="6"/>
        <v>3</v>
      </c>
      <c r="AL196" s="55">
        <f t="shared" si="6"/>
        <v>3</v>
      </c>
      <c r="AM196" s="55">
        <f t="shared" si="6"/>
        <v>3</v>
      </c>
      <c r="AN196" s="55">
        <f t="shared" si="6"/>
        <v>3</v>
      </c>
      <c r="AO196" s="55">
        <f t="shared" si="6"/>
        <v>3</v>
      </c>
      <c r="AP196" s="55">
        <f t="shared" si="6"/>
        <v>3</v>
      </c>
      <c r="AQ196" s="55">
        <f t="shared" si="6"/>
        <v>3</v>
      </c>
      <c r="AR196" s="55">
        <f t="shared" si="6"/>
        <v>3</v>
      </c>
      <c r="AS196" s="55">
        <f t="shared" si="6"/>
        <v>3</v>
      </c>
      <c r="AT196" s="55">
        <f t="shared" si="6"/>
        <v>3</v>
      </c>
      <c r="AU196" s="55">
        <f t="shared" si="6"/>
        <v>3</v>
      </c>
      <c r="AV196" s="55">
        <f t="shared" si="6"/>
        <v>3</v>
      </c>
      <c r="AW196" s="55">
        <f t="shared" si="6"/>
        <v>3</v>
      </c>
      <c r="AX196" s="55">
        <f t="shared" si="6"/>
        <v>3</v>
      </c>
      <c r="AY196" s="55">
        <f t="shared" si="6"/>
        <v>3</v>
      </c>
      <c r="AZ196" s="55">
        <f t="shared" si="6"/>
        <v>3</v>
      </c>
      <c r="BA196" s="61"/>
      <c r="BB196" s="52" t="s">
        <v>46</v>
      </c>
      <c r="BC196" s="52" t="s">
        <v>47</v>
      </c>
      <c r="BD196" s="52" t="s">
        <v>34</v>
      </c>
      <c r="BE196" s="26">
        <v>2</v>
      </c>
      <c r="BF196" s="55">
        <v>5</v>
      </c>
      <c r="BG196" s="55">
        <v>5</v>
      </c>
      <c r="BH196" s="55">
        <v>5</v>
      </c>
      <c r="BI196" s="55">
        <v>5</v>
      </c>
      <c r="BJ196" s="55">
        <v>5</v>
      </c>
      <c r="BK196" s="55">
        <v>5</v>
      </c>
      <c r="BL196" s="55">
        <v>5</v>
      </c>
      <c r="BM196" s="55">
        <v>5</v>
      </c>
      <c r="BN196" s="55">
        <v>5</v>
      </c>
      <c r="BO196" s="55">
        <v>5</v>
      </c>
      <c r="BP196" s="55">
        <v>5</v>
      </c>
      <c r="BQ196" s="55">
        <v>5</v>
      </c>
      <c r="BR196" s="55">
        <v>5</v>
      </c>
      <c r="BS196" s="55">
        <v>5</v>
      </c>
      <c r="BT196" s="55">
        <v>5</v>
      </c>
      <c r="BU196" s="55">
        <v>5</v>
      </c>
      <c r="BV196" s="55">
        <v>5</v>
      </c>
      <c r="BW196" s="55">
        <v>5</v>
      </c>
      <c r="BX196" s="55">
        <v>5</v>
      </c>
      <c r="BY196" s="55">
        <v>5</v>
      </c>
      <c r="BZ196" s="55">
        <v>5</v>
      </c>
      <c r="CA196" s="55">
        <v>5</v>
      </c>
      <c r="CB196" s="55">
        <v>5</v>
      </c>
      <c r="CC196" s="55">
        <v>5</v>
      </c>
    </row>
    <row r="197" spans="2:81" ht="11.25" customHeight="1">
      <c r="B197" s="330"/>
      <c r="C197" s="33"/>
      <c r="D197" s="3"/>
      <c r="E197" s="3"/>
      <c r="F197" s="3"/>
      <c r="G197" s="370"/>
      <c r="H197" s="91"/>
      <c r="I197" s="3"/>
      <c r="J197" s="3"/>
      <c r="K197" s="3"/>
      <c r="L197" s="3"/>
      <c r="M197" s="3"/>
      <c r="N197" s="3"/>
      <c r="O197" s="18"/>
      <c r="P197" s="3"/>
      <c r="Q197" s="3"/>
      <c r="R197" s="3"/>
      <c r="S197" s="3"/>
      <c r="T197" s="3"/>
      <c r="U197" s="34"/>
      <c r="V197" s="18"/>
      <c r="Y197" s="58">
        <f aca="true" t="shared" si="7" ref="Y197:Y217">HLOOKUP($Y$194,$AC$195:$AZ$217,AB197,FALSE)</f>
        <v>5.75</v>
      </c>
      <c r="Z197" s="59">
        <v>75</v>
      </c>
      <c r="AA197" s="59">
        <v>5</v>
      </c>
      <c r="AB197" s="26">
        <f>+AB196+1</f>
        <v>3</v>
      </c>
      <c r="AC197" s="55">
        <v>47</v>
      </c>
      <c r="AD197" s="55">
        <v>25</v>
      </c>
      <c r="AE197" s="55">
        <v>16</v>
      </c>
      <c r="AF197" s="55">
        <v>12</v>
      </c>
      <c r="AG197" s="55">
        <v>11.8</v>
      </c>
      <c r="AH197" s="55">
        <v>10.33</v>
      </c>
      <c r="AI197" s="55">
        <f>44/(AI195-1)+AI196</f>
        <v>9.285714285714285</v>
      </c>
      <c r="AJ197" s="55">
        <f>44/(AJ195-1)+AJ196</f>
        <v>8.5</v>
      </c>
      <c r="AK197" s="55">
        <f aca="true" t="shared" si="8" ref="AK197:AZ197">44/(AK195-1)+AK196</f>
        <v>7.888888888888889</v>
      </c>
      <c r="AL197" s="55">
        <f t="shared" si="8"/>
        <v>7.4</v>
      </c>
      <c r="AM197" s="55">
        <f t="shared" si="8"/>
        <v>7</v>
      </c>
      <c r="AN197" s="55">
        <f t="shared" si="8"/>
        <v>6.666666666666666</v>
      </c>
      <c r="AO197" s="55">
        <f t="shared" si="8"/>
        <v>6.384615384615385</v>
      </c>
      <c r="AP197" s="55">
        <f t="shared" si="8"/>
        <v>6.142857142857142</v>
      </c>
      <c r="AQ197" s="55">
        <f>44/(AQ195-1)+AQ196</f>
        <v>5.933333333333334</v>
      </c>
      <c r="AR197" s="55">
        <f t="shared" si="8"/>
        <v>5.75</v>
      </c>
      <c r="AS197" s="55">
        <f t="shared" si="8"/>
        <v>5.588235294117647</v>
      </c>
      <c r="AT197" s="55">
        <f t="shared" si="8"/>
        <v>5.444444444444445</v>
      </c>
      <c r="AU197" s="55">
        <f t="shared" si="8"/>
        <v>5.315789473684211</v>
      </c>
      <c r="AV197" s="55">
        <f>44/(AV195-1)+AV196</f>
        <v>5.2</v>
      </c>
      <c r="AW197" s="55">
        <f t="shared" si="8"/>
        <v>5.095238095238095</v>
      </c>
      <c r="AX197" s="55">
        <f t="shared" si="8"/>
        <v>5</v>
      </c>
      <c r="AY197" s="55">
        <f t="shared" si="8"/>
        <v>4.913043478260869</v>
      </c>
      <c r="AZ197" s="55">
        <f t="shared" si="8"/>
        <v>4.833333333333333</v>
      </c>
      <c r="BA197" s="61"/>
      <c r="BB197" s="58">
        <v>3</v>
      </c>
      <c r="BC197" s="59">
        <v>47</v>
      </c>
      <c r="BD197" s="58">
        <f>HLOOKUP($BB$195,$BF$195:$CC$217,BE196,FALSE)</f>
        <v>5</v>
      </c>
      <c r="BE197" s="26">
        <f>+BE196+1</f>
        <v>3</v>
      </c>
      <c r="BF197" s="55">
        <v>75</v>
      </c>
      <c r="BG197" s="55">
        <f>70/(BG$195-1)+BG196</f>
        <v>40</v>
      </c>
      <c r="BH197" s="55">
        <f aca="true" t="shared" si="9" ref="BH197:CC197">70/(BH$195-1)+BH196</f>
        <v>28.333333333333332</v>
      </c>
      <c r="BI197" s="55">
        <f t="shared" si="9"/>
        <v>22.5</v>
      </c>
      <c r="BJ197" s="55">
        <f t="shared" si="9"/>
        <v>19</v>
      </c>
      <c r="BK197" s="55">
        <f t="shared" si="9"/>
        <v>16.666666666666664</v>
      </c>
      <c r="BL197" s="55">
        <f t="shared" si="9"/>
        <v>15</v>
      </c>
      <c r="BM197" s="55">
        <f t="shared" si="9"/>
        <v>13.75</v>
      </c>
      <c r="BN197" s="55">
        <f t="shared" si="9"/>
        <v>12.777777777777779</v>
      </c>
      <c r="BO197" s="55">
        <f t="shared" si="9"/>
        <v>12</v>
      </c>
      <c r="BP197" s="55">
        <f t="shared" si="9"/>
        <v>11.363636363636363</v>
      </c>
      <c r="BQ197" s="55">
        <f t="shared" si="9"/>
        <v>10.833333333333332</v>
      </c>
      <c r="BR197" s="55">
        <f t="shared" si="9"/>
        <v>10.384615384615385</v>
      </c>
      <c r="BS197" s="55">
        <f t="shared" si="9"/>
        <v>10</v>
      </c>
      <c r="BT197" s="55">
        <f t="shared" si="9"/>
        <v>9.666666666666668</v>
      </c>
      <c r="BU197" s="55">
        <f t="shared" si="9"/>
        <v>9.375</v>
      </c>
      <c r="BV197" s="55">
        <f t="shared" si="9"/>
        <v>9.117647058823529</v>
      </c>
      <c r="BW197" s="55">
        <f t="shared" si="9"/>
        <v>8.88888888888889</v>
      </c>
      <c r="BX197" s="55">
        <f t="shared" si="9"/>
        <v>8.68421052631579</v>
      </c>
      <c r="BY197" s="55">
        <f t="shared" si="9"/>
        <v>8.5</v>
      </c>
      <c r="BZ197" s="55">
        <f t="shared" si="9"/>
        <v>8.333333333333334</v>
      </c>
      <c r="CA197" s="55">
        <f t="shared" si="9"/>
        <v>8.181818181818182</v>
      </c>
      <c r="CB197" s="55">
        <f t="shared" si="9"/>
        <v>8.043478260869566</v>
      </c>
      <c r="CC197" s="55">
        <f t="shared" si="9"/>
        <v>7.916666666666666</v>
      </c>
    </row>
    <row r="198" spans="2:81" ht="11.25" customHeight="1">
      <c r="B198" s="330"/>
      <c r="C198" s="33"/>
      <c r="D198" s="3"/>
      <c r="E198" s="3"/>
      <c r="F198" s="31" t="str">
        <f>FIXED(K38,2)&amp;" ม."</f>
        <v>0.35 ม.</v>
      </c>
      <c r="G198" s="3"/>
      <c r="H198" s="91"/>
      <c r="I198" s="3"/>
      <c r="J198" s="3"/>
      <c r="K198" s="3"/>
      <c r="L198" s="3"/>
      <c r="M198" s="3"/>
      <c r="N198" s="3"/>
      <c r="O198" s="18"/>
      <c r="P198" s="3"/>
      <c r="Q198" s="31"/>
      <c r="R198" s="3"/>
      <c r="S198" s="3"/>
      <c r="T198" s="3"/>
      <c r="U198" s="34"/>
      <c r="V198" s="18"/>
      <c r="Y198" s="58">
        <f t="shared" si="7"/>
        <v>8.5</v>
      </c>
      <c r="Z198" s="59">
        <v>75</v>
      </c>
      <c r="AA198" s="59">
        <v>5</v>
      </c>
      <c r="AB198" s="26">
        <f aca="true" t="shared" si="10" ref="AB198:AB217">+AB197+1</f>
        <v>4</v>
      </c>
      <c r="AC198" s="26">
        <f>AC197</f>
        <v>47</v>
      </c>
      <c r="AD198" s="55">
        <v>47</v>
      </c>
      <c r="AE198" s="55">
        <v>31</v>
      </c>
      <c r="AF198" s="55">
        <v>24</v>
      </c>
      <c r="AG198" s="55">
        <f>AG197+8.8</f>
        <v>20.6</v>
      </c>
      <c r="AH198" s="55">
        <f>AH197+7.3</f>
        <v>17.63</v>
      </c>
      <c r="AI198" s="55">
        <f aca="true" t="shared" si="11" ref="AI198:AJ202">(44/(AI$195-1))+AI197</f>
        <v>15.57142857142857</v>
      </c>
      <c r="AJ198" s="55">
        <f t="shared" si="11"/>
        <v>14</v>
      </c>
      <c r="AK198" s="55">
        <f aca="true" t="shared" si="12" ref="AK198:AZ206">(44/(AK$195-1))+AK197</f>
        <v>12.777777777777779</v>
      </c>
      <c r="AL198" s="55">
        <f t="shared" si="12"/>
        <v>11.8</v>
      </c>
      <c r="AM198" s="55">
        <f t="shared" si="12"/>
        <v>11</v>
      </c>
      <c r="AN198" s="55">
        <f t="shared" si="12"/>
        <v>10.333333333333332</v>
      </c>
      <c r="AO198" s="55">
        <f t="shared" si="12"/>
        <v>9.76923076923077</v>
      </c>
      <c r="AP198" s="55">
        <f t="shared" si="12"/>
        <v>9.285714285714285</v>
      </c>
      <c r="AQ198" s="55">
        <f>(44/(AQ$195-1))+AQ197</f>
        <v>8.866666666666667</v>
      </c>
      <c r="AR198" s="55">
        <f t="shared" si="12"/>
        <v>8.5</v>
      </c>
      <c r="AS198" s="55">
        <f t="shared" si="12"/>
        <v>8.176470588235293</v>
      </c>
      <c r="AT198" s="55">
        <f t="shared" si="12"/>
        <v>7.888888888888889</v>
      </c>
      <c r="AU198" s="55">
        <f t="shared" si="12"/>
        <v>7.631578947368421</v>
      </c>
      <c r="AV198" s="55">
        <f t="shared" si="12"/>
        <v>7.4</v>
      </c>
      <c r="AW198" s="55">
        <f t="shared" si="12"/>
        <v>7.19047619047619</v>
      </c>
      <c r="AX198" s="55">
        <f t="shared" si="12"/>
        <v>7</v>
      </c>
      <c r="AY198" s="55">
        <f t="shared" si="12"/>
        <v>6.826086956521738</v>
      </c>
      <c r="AZ198" s="55">
        <f t="shared" si="12"/>
        <v>6.666666666666666</v>
      </c>
      <c r="BA198" s="61"/>
      <c r="BB198" s="58">
        <v>3</v>
      </c>
      <c r="BC198" s="59">
        <v>47</v>
      </c>
      <c r="BD198" s="58">
        <f aca="true" t="shared" si="13" ref="BD198:BD217">HLOOKUP($BB$195,$BF$195:$CC$217,BE197,FALSE)</f>
        <v>75</v>
      </c>
      <c r="BE198" s="26">
        <f aca="true" t="shared" si="14" ref="BE198:BE217">+BE197+1</f>
        <v>4</v>
      </c>
      <c r="BF198" s="26">
        <f>BF197</f>
        <v>75</v>
      </c>
      <c r="BG198" s="55">
        <v>75</v>
      </c>
      <c r="BH198" s="55">
        <f aca="true" t="shared" si="15" ref="BH198:CC198">70/(BH$195-1)+BH197</f>
        <v>51.666666666666664</v>
      </c>
      <c r="BI198" s="55">
        <f t="shared" si="15"/>
        <v>40</v>
      </c>
      <c r="BJ198" s="55">
        <f t="shared" si="15"/>
        <v>33</v>
      </c>
      <c r="BK198" s="55">
        <f t="shared" si="15"/>
        <v>28.33333333333333</v>
      </c>
      <c r="BL198" s="55">
        <f t="shared" si="15"/>
        <v>25</v>
      </c>
      <c r="BM198" s="55">
        <f t="shared" si="15"/>
        <v>22.5</v>
      </c>
      <c r="BN198" s="55">
        <f t="shared" si="15"/>
        <v>20.555555555555557</v>
      </c>
      <c r="BO198" s="55">
        <f t="shared" si="15"/>
        <v>19</v>
      </c>
      <c r="BP198" s="55">
        <f t="shared" si="15"/>
        <v>17.727272727272727</v>
      </c>
      <c r="BQ198" s="55">
        <f t="shared" si="15"/>
        <v>16.666666666666664</v>
      </c>
      <c r="BR198" s="55">
        <f t="shared" si="15"/>
        <v>15.76923076923077</v>
      </c>
      <c r="BS198" s="55">
        <f t="shared" si="15"/>
        <v>15</v>
      </c>
      <c r="BT198" s="55">
        <f t="shared" si="15"/>
        <v>14.333333333333336</v>
      </c>
      <c r="BU198" s="55">
        <f t="shared" si="15"/>
        <v>13.75</v>
      </c>
      <c r="BV198" s="55">
        <f t="shared" si="15"/>
        <v>13.235294117647058</v>
      </c>
      <c r="BW198" s="55">
        <f t="shared" si="15"/>
        <v>12.777777777777779</v>
      </c>
      <c r="BX198" s="55">
        <f t="shared" si="15"/>
        <v>12.368421052631579</v>
      </c>
      <c r="BY198" s="55">
        <f t="shared" si="15"/>
        <v>12</v>
      </c>
      <c r="BZ198" s="55">
        <f t="shared" si="15"/>
        <v>11.666666666666668</v>
      </c>
      <c r="CA198" s="55">
        <f t="shared" si="15"/>
        <v>11.363636363636363</v>
      </c>
      <c r="CB198" s="55">
        <f t="shared" si="15"/>
        <v>11.086956521739133</v>
      </c>
      <c r="CC198" s="55">
        <f t="shared" si="15"/>
        <v>10.833333333333332</v>
      </c>
    </row>
    <row r="199" spans="2:81" ht="11.25" customHeight="1" thickBot="1">
      <c r="B199" s="330"/>
      <c r="C199" s="33"/>
      <c r="D199" s="3"/>
      <c r="E199" s="68"/>
      <c r="F199" s="68"/>
      <c r="G199" s="68"/>
      <c r="H199" s="92"/>
      <c r="I199" s="20"/>
      <c r="J199" s="20"/>
      <c r="K199" s="20"/>
      <c r="L199" s="20"/>
      <c r="M199" s="20"/>
      <c r="N199" s="20"/>
      <c r="O199" s="21"/>
      <c r="P199" s="3"/>
      <c r="Q199" s="3"/>
      <c r="R199" s="3"/>
      <c r="S199" s="3"/>
      <c r="T199" s="3"/>
      <c r="U199" s="34"/>
      <c r="V199" s="18"/>
      <c r="Y199" s="58">
        <f t="shared" si="7"/>
        <v>11.25</v>
      </c>
      <c r="Z199" s="59">
        <v>75</v>
      </c>
      <c r="AA199" s="59">
        <v>5</v>
      </c>
      <c r="AB199" s="26">
        <f t="shared" si="10"/>
        <v>5</v>
      </c>
      <c r="AC199" s="26">
        <f aca="true" t="shared" si="16" ref="AC199:AC210">AC198</f>
        <v>47</v>
      </c>
      <c r="AD199" s="26">
        <f>AD198</f>
        <v>47</v>
      </c>
      <c r="AE199" s="55">
        <v>47</v>
      </c>
      <c r="AF199" s="55">
        <v>35</v>
      </c>
      <c r="AG199" s="55">
        <f>AG198+8.8</f>
        <v>29.400000000000002</v>
      </c>
      <c r="AH199" s="55">
        <f>AH198+7.3</f>
        <v>24.93</v>
      </c>
      <c r="AI199" s="55">
        <f t="shared" si="11"/>
        <v>21.857142857142854</v>
      </c>
      <c r="AJ199" s="55">
        <f t="shared" si="11"/>
        <v>19.5</v>
      </c>
      <c r="AK199" s="55">
        <f t="shared" si="12"/>
        <v>17.666666666666668</v>
      </c>
      <c r="AL199" s="55">
        <f t="shared" si="12"/>
        <v>16.200000000000003</v>
      </c>
      <c r="AM199" s="55">
        <f t="shared" si="12"/>
        <v>15</v>
      </c>
      <c r="AN199" s="55">
        <f t="shared" si="12"/>
        <v>13.999999999999998</v>
      </c>
      <c r="AO199" s="55">
        <f t="shared" si="12"/>
        <v>13.153846153846155</v>
      </c>
      <c r="AP199" s="55">
        <f t="shared" si="12"/>
        <v>12.428571428571427</v>
      </c>
      <c r="AQ199" s="55">
        <f t="shared" si="12"/>
        <v>11.8</v>
      </c>
      <c r="AR199" s="55">
        <f t="shared" si="12"/>
        <v>11.25</v>
      </c>
      <c r="AS199" s="55">
        <f t="shared" si="12"/>
        <v>10.76470588235294</v>
      </c>
      <c r="AT199" s="55">
        <f t="shared" si="12"/>
        <v>10.333333333333334</v>
      </c>
      <c r="AU199" s="55">
        <f t="shared" si="12"/>
        <v>9.947368421052632</v>
      </c>
      <c r="AV199" s="55">
        <f t="shared" si="12"/>
        <v>9.600000000000001</v>
      </c>
      <c r="AW199" s="55">
        <f t="shared" si="12"/>
        <v>9.285714285714285</v>
      </c>
      <c r="AX199" s="55">
        <f t="shared" si="12"/>
        <v>9</v>
      </c>
      <c r="AY199" s="55">
        <f t="shared" si="12"/>
        <v>8.739130434782608</v>
      </c>
      <c r="AZ199" s="55">
        <f t="shared" si="12"/>
        <v>8.5</v>
      </c>
      <c r="BA199" s="61"/>
      <c r="BB199" s="58">
        <v>3</v>
      </c>
      <c r="BC199" s="59">
        <v>47</v>
      </c>
      <c r="BD199" s="58">
        <f t="shared" si="13"/>
        <v>75</v>
      </c>
      <c r="BE199" s="26">
        <f t="shared" si="14"/>
        <v>5</v>
      </c>
      <c r="BF199" s="26">
        <f aca="true" t="shared" si="17" ref="BF199:BF210">BF198</f>
        <v>75</v>
      </c>
      <c r="BG199" s="26">
        <f>BG198</f>
        <v>75</v>
      </c>
      <c r="BH199" s="55">
        <v>75</v>
      </c>
      <c r="BI199" s="55">
        <f aca="true" t="shared" si="18" ref="BI199:CC199">70/(BI$195-1)+BI198</f>
        <v>57.5</v>
      </c>
      <c r="BJ199" s="55">
        <f t="shared" si="18"/>
        <v>47</v>
      </c>
      <c r="BK199" s="55">
        <f t="shared" si="18"/>
        <v>39.99999999999999</v>
      </c>
      <c r="BL199" s="55">
        <f t="shared" si="18"/>
        <v>35</v>
      </c>
      <c r="BM199" s="55">
        <f t="shared" si="18"/>
        <v>31.25</v>
      </c>
      <c r="BN199" s="55">
        <f t="shared" si="18"/>
        <v>28.333333333333336</v>
      </c>
      <c r="BO199" s="55">
        <f t="shared" si="18"/>
        <v>26</v>
      </c>
      <c r="BP199" s="55">
        <f t="shared" si="18"/>
        <v>24.09090909090909</v>
      </c>
      <c r="BQ199" s="55">
        <f t="shared" si="18"/>
        <v>22.499999999999996</v>
      </c>
      <c r="BR199" s="55">
        <f t="shared" si="18"/>
        <v>21.153846153846153</v>
      </c>
      <c r="BS199" s="55">
        <f t="shared" si="18"/>
        <v>20</v>
      </c>
      <c r="BT199" s="55">
        <f t="shared" si="18"/>
        <v>19.000000000000004</v>
      </c>
      <c r="BU199" s="55">
        <f t="shared" si="18"/>
        <v>18.125</v>
      </c>
      <c r="BV199" s="55">
        <f t="shared" si="18"/>
        <v>17.352941176470587</v>
      </c>
      <c r="BW199" s="55">
        <f t="shared" si="18"/>
        <v>16.666666666666668</v>
      </c>
      <c r="BX199" s="55">
        <f t="shared" si="18"/>
        <v>16.05263157894737</v>
      </c>
      <c r="BY199" s="55">
        <f t="shared" si="18"/>
        <v>15.5</v>
      </c>
      <c r="BZ199" s="55">
        <f t="shared" si="18"/>
        <v>15.000000000000002</v>
      </c>
      <c r="CA199" s="55">
        <f t="shared" si="18"/>
        <v>14.545454545454545</v>
      </c>
      <c r="CB199" s="55">
        <f t="shared" si="18"/>
        <v>14.130434782608699</v>
      </c>
      <c r="CC199" s="55">
        <f t="shared" si="18"/>
        <v>13.749999999999998</v>
      </c>
    </row>
    <row r="200" spans="2:81" ht="11.25" customHeight="1">
      <c r="B200" s="330"/>
      <c r="C200" s="33"/>
      <c r="D200" s="3"/>
      <c r="E200" s="3"/>
      <c r="F200" s="3"/>
      <c r="G200" s="3"/>
      <c r="H200" s="3"/>
      <c r="I200" s="3"/>
      <c r="J200" s="3"/>
      <c r="K200" s="3"/>
      <c r="L200" s="3"/>
      <c r="M200" s="3"/>
      <c r="N200" s="3"/>
      <c r="O200" s="3"/>
      <c r="P200" s="3"/>
      <c r="Q200" s="31"/>
      <c r="R200" s="3"/>
      <c r="S200" s="3"/>
      <c r="T200" s="3"/>
      <c r="U200" s="34"/>
      <c r="V200" s="18"/>
      <c r="Y200" s="58">
        <f t="shared" si="7"/>
        <v>14</v>
      </c>
      <c r="Z200" s="59">
        <v>75</v>
      </c>
      <c r="AA200" s="59">
        <v>5</v>
      </c>
      <c r="AB200" s="26">
        <f t="shared" si="10"/>
        <v>6</v>
      </c>
      <c r="AC200" s="26">
        <f t="shared" si="16"/>
        <v>47</v>
      </c>
      <c r="AD200" s="26">
        <f aca="true" t="shared" si="19" ref="AD200:AD210">AD199</f>
        <v>47</v>
      </c>
      <c r="AE200" s="26">
        <f>AE199</f>
        <v>47</v>
      </c>
      <c r="AF200" s="55">
        <v>47</v>
      </c>
      <c r="AG200" s="55">
        <f>AG199+8.8</f>
        <v>38.2</v>
      </c>
      <c r="AH200" s="55">
        <f>AH199+7.3</f>
        <v>32.23</v>
      </c>
      <c r="AI200" s="55">
        <f t="shared" si="11"/>
        <v>28.14285714285714</v>
      </c>
      <c r="AJ200" s="55">
        <f t="shared" si="11"/>
        <v>25</v>
      </c>
      <c r="AK200" s="55">
        <f t="shared" si="12"/>
        <v>22.555555555555557</v>
      </c>
      <c r="AL200" s="55">
        <f t="shared" si="12"/>
        <v>20.6</v>
      </c>
      <c r="AM200" s="55">
        <f t="shared" si="12"/>
        <v>19</v>
      </c>
      <c r="AN200" s="55">
        <f t="shared" si="12"/>
        <v>17.666666666666664</v>
      </c>
      <c r="AO200" s="55">
        <f t="shared" si="12"/>
        <v>16.53846153846154</v>
      </c>
      <c r="AP200" s="55">
        <f t="shared" si="12"/>
        <v>15.57142857142857</v>
      </c>
      <c r="AQ200" s="55">
        <f t="shared" si="12"/>
        <v>14.733333333333334</v>
      </c>
      <c r="AR200" s="55">
        <f t="shared" si="12"/>
        <v>14</v>
      </c>
      <c r="AS200" s="55">
        <f t="shared" si="12"/>
        <v>13.352941176470587</v>
      </c>
      <c r="AT200" s="55">
        <f t="shared" si="12"/>
        <v>12.777777777777779</v>
      </c>
      <c r="AU200" s="55">
        <f t="shared" si="12"/>
        <v>12.263157894736842</v>
      </c>
      <c r="AV200" s="55">
        <f aca="true" t="shared" si="20" ref="AV200:AV216">(44/(AV$195-1))+AV199</f>
        <v>11.8</v>
      </c>
      <c r="AW200" s="55">
        <f t="shared" si="12"/>
        <v>11.38095238095238</v>
      </c>
      <c r="AX200" s="55">
        <f t="shared" si="12"/>
        <v>11</v>
      </c>
      <c r="AY200" s="55">
        <f t="shared" si="12"/>
        <v>10.652173913043477</v>
      </c>
      <c r="AZ200" s="55">
        <f t="shared" si="12"/>
        <v>10.333333333333334</v>
      </c>
      <c r="BA200" s="61"/>
      <c r="BB200" s="58">
        <v>3</v>
      </c>
      <c r="BC200" s="59">
        <v>47</v>
      </c>
      <c r="BD200" s="58">
        <f t="shared" si="13"/>
        <v>75</v>
      </c>
      <c r="BE200" s="26">
        <f t="shared" si="14"/>
        <v>6</v>
      </c>
      <c r="BF200" s="26">
        <f t="shared" si="17"/>
        <v>75</v>
      </c>
      <c r="BG200" s="26">
        <f aca="true" t="shared" si="21" ref="BG200:BG210">BG199</f>
        <v>75</v>
      </c>
      <c r="BH200" s="26">
        <f>BH199</f>
        <v>75</v>
      </c>
      <c r="BI200" s="55">
        <v>75</v>
      </c>
      <c r="BJ200" s="55">
        <f aca="true" t="shared" si="22" ref="BJ200:CC200">70/(BJ$195-1)+BJ199</f>
        <v>61</v>
      </c>
      <c r="BK200" s="55">
        <f t="shared" si="22"/>
        <v>51.66666666666666</v>
      </c>
      <c r="BL200" s="55">
        <f t="shared" si="22"/>
        <v>45</v>
      </c>
      <c r="BM200" s="55">
        <f t="shared" si="22"/>
        <v>40</v>
      </c>
      <c r="BN200" s="55">
        <f t="shared" si="22"/>
        <v>36.111111111111114</v>
      </c>
      <c r="BO200" s="55">
        <f t="shared" si="22"/>
        <v>33</v>
      </c>
      <c r="BP200" s="55">
        <f t="shared" si="22"/>
        <v>30.454545454545453</v>
      </c>
      <c r="BQ200" s="55">
        <f t="shared" si="22"/>
        <v>28.33333333333333</v>
      </c>
      <c r="BR200" s="55">
        <f t="shared" si="22"/>
        <v>26.53846153846154</v>
      </c>
      <c r="BS200" s="55">
        <f t="shared" si="22"/>
        <v>25</v>
      </c>
      <c r="BT200" s="55">
        <f t="shared" si="22"/>
        <v>23.66666666666667</v>
      </c>
      <c r="BU200" s="55">
        <f t="shared" si="22"/>
        <v>22.5</v>
      </c>
      <c r="BV200" s="55">
        <f t="shared" si="22"/>
        <v>21.470588235294116</v>
      </c>
      <c r="BW200" s="55">
        <f t="shared" si="22"/>
        <v>20.555555555555557</v>
      </c>
      <c r="BX200" s="55">
        <f t="shared" si="22"/>
        <v>19.736842105263158</v>
      </c>
      <c r="BY200" s="55">
        <f t="shared" si="22"/>
        <v>19</v>
      </c>
      <c r="BZ200" s="55">
        <f t="shared" si="22"/>
        <v>18.333333333333336</v>
      </c>
      <c r="CA200" s="55">
        <f t="shared" si="22"/>
        <v>17.727272727272727</v>
      </c>
      <c r="CB200" s="55">
        <f t="shared" si="22"/>
        <v>17.173913043478265</v>
      </c>
      <c r="CC200" s="55">
        <f t="shared" si="22"/>
        <v>16.666666666666664</v>
      </c>
    </row>
    <row r="201" spans="2:81" ht="11.25" customHeight="1">
      <c r="B201" s="330"/>
      <c r="C201" s="348"/>
      <c r="D201" s="3"/>
      <c r="E201" s="3"/>
      <c r="F201" s="3"/>
      <c r="G201" s="3"/>
      <c r="H201" s="3"/>
      <c r="I201" s="3"/>
      <c r="J201" s="3"/>
      <c r="K201" s="3"/>
      <c r="L201" s="3"/>
      <c r="M201" s="3"/>
      <c r="N201" s="3"/>
      <c r="O201" s="3"/>
      <c r="P201" s="3"/>
      <c r="Q201" s="3"/>
      <c r="R201" s="3"/>
      <c r="S201" s="3"/>
      <c r="T201" s="3"/>
      <c r="U201" s="34"/>
      <c r="V201" s="18"/>
      <c r="Y201" s="58">
        <f t="shared" si="7"/>
        <v>16.75</v>
      </c>
      <c r="Z201" s="59">
        <v>75</v>
      </c>
      <c r="AA201" s="59">
        <v>5</v>
      </c>
      <c r="AB201" s="26">
        <f t="shared" si="10"/>
        <v>7</v>
      </c>
      <c r="AC201" s="26">
        <f t="shared" si="16"/>
        <v>47</v>
      </c>
      <c r="AD201" s="26">
        <f t="shared" si="19"/>
        <v>47</v>
      </c>
      <c r="AE201" s="26">
        <f aca="true" t="shared" si="23" ref="AE201:AE210">AE200</f>
        <v>47</v>
      </c>
      <c r="AF201" s="26">
        <f>AF200</f>
        <v>47</v>
      </c>
      <c r="AG201" s="55">
        <v>47</v>
      </c>
      <c r="AH201" s="55">
        <f>AH200+7.3</f>
        <v>39.529999999999994</v>
      </c>
      <c r="AI201" s="55">
        <f t="shared" si="11"/>
        <v>34.42857142857142</v>
      </c>
      <c r="AJ201" s="55">
        <f t="shared" si="11"/>
        <v>30.5</v>
      </c>
      <c r="AK201" s="55">
        <f t="shared" si="12"/>
        <v>27.444444444444446</v>
      </c>
      <c r="AL201" s="55">
        <f t="shared" si="12"/>
        <v>25</v>
      </c>
      <c r="AM201" s="55">
        <f t="shared" si="12"/>
        <v>23</v>
      </c>
      <c r="AN201" s="55">
        <f t="shared" si="12"/>
        <v>21.333333333333332</v>
      </c>
      <c r="AO201" s="55">
        <f t="shared" si="12"/>
        <v>19.923076923076923</v>
      </c>
      <c r="AP201" s="55">
        <f t="shared" si="12"/>
        <v>18.71428571428571</v>
      </c>
      <c r="AQ201" s="55">
        <f t="shared" si="12"/>
        <v>17.666666666666668</v>
      </c>
      <c r="AR201" s="55">
        <f t="shared" si="12"/>
        <v>16.75</v>
      </c>
      <c r="AS201" s="55">
        <f t="shared" si="12"/>
        <v>15.941176470588234</v>
      </c>
      <c r="AT201" s="55">
        <f t="shared" si="12"/>
        <v>15.222222222222223</v>
      </c>
      <c r="AU201" s="55">
        <f t="shared" si="12"/>
        <v>14.578947368421053</v>
      </c>
      <c r="AV201" s="55">
        <f t="shared" si="20"/>
        <v>14</v>
      </c>
      <c r="AW201" s="55">
        <f t="shared" si="12"/>
        <v>13.476190476190474</v>
      </c>
      <c r="AX201" s="55">
        <f t="shared" si="12"/>
        <v>13</v>
      </c>
      <c r="AY201" s="55">
        <f t="shared" si="12"/>
        <v>12.565217391304346</v>
      </c>
      <c r="AZ201" s="55">
        <f t="shared" si="12"/>
        <v>12.166666666666668</v>
      </c>
      <c r="BA201" s="61"/>
      <c r="BB201" s="58">
        <v>3</v>
      </c>
      <c r="BC201" s="59">
        <v>47</v>
      </c>
      <c r="BD201" s="58">
        <f t="shared" si="13"/>
        <v>75</v>
      </c>
      <c r="BE201" s="26">
        <f t="shared" si="14"/>
        <v>7</v>
      </c>
      <c r="BF201" s="26">
        <f t="shared" si="17"/>
        <v>75</v>
      </c>
      <c r="BG201" s="26">
        <f t="shared" si="21"/>
        <v>75</v>
      </c>
      <c r="BH201" s="26">
        <f aca="true" t="shared" si="24" ref="BH201:BH210">BH200</f>
        <v>75</v>
      </c>
      <c r="BI201" s="26">
        <f>BI200</f>
        <v>75</v>
      </c>
      <c r="BJ201" s="55">
        <v>75</v>
      </c>
      <c r="BK201" s="55">
        <f aca="true" t="shared" si="25" ref="BK201:CC201">70/(BK$195-1)+BK200</f>
        <v>63.33333333333332</v>
      </c>
      <c r="BL201" s="55">
        <f t="shared" si="25"/>
        <v>55</v>
      </c>
      <c r="BM201" s="55">
        <f t="shared" si="25"/>
        <v>48.75</v>
      </c>
      <c r="BN201" s="55">
        <f t="shared" si="25"/>
        <v>43.88888888888889</v>
      </c>
      <c r="BO201" s="55">
        <f t="shared" si="25"/>
        <v>40</v>
      </c>
      <c r="BP201" s="55">
        <f t="shared" si="25"/>
        <v>36.81818181818181</v>
      </c>
      <c r="BQ201" s="55">
        <f t="shared" si="25"/>
        <v>34.166666666666664</v>
      </c>
      <c r="BR201" s="55">
        <f t="shared" si="25"/>
        <v>31.923076923076927</v>
      </c>
      <c r="BS201" s="55">
        <f t="shared" si="25"/>
        <v>30</v>
      </c>
      <c r="BT201" s="55">
        <f t="shared" si="25"/>
        <v>28.33333333333334</v>
      </c>
      <c r="BU201" s="55">
        <f t="shared" si="25"/>
        <v>26.875</v>
      </c>
      <c r="BV201" s="55">
        <f t="shared" si="25"/>
        <v>25.588235294117645</v>
      </c>
      <c r="BW201" s="55">
        <f t="shared" si="25"/>
        <v>24.444444444444446</v>
      </c>
      <c r="BX201" s="55">
        <f t="shared" si="25"/>
        <v>23.421052631578945</v>
      </c>
      <c r="BY201" s="55">
        <f t="shared" si="25"/>
        <v>22.5</v>
      </c>
      <c r="BZ201" s="55">
        <f t="shared" si="25"/>
        <v>21.666666666666668</v>
      </c>
      <c r="CA201" s="55">
        <f t="shared" si="25"/>
        <v>20.909090909090907</v>
      </c>
      <c r="CB201" s="55">
        <f t="shared" si="25"/>
        <v>20.21739130434783</v>
      </c>
      <c r="CC201" s="55">
        <f t="shared" si="25"/>
        <v>19.583333333333332</v>
      </c>
    </row>
    <row r="202" spans="2:81" ht="11.25" customHeight="1">
      <c r="B202" s="330"/>
      <c r="C202" s="33"/>
      <c r="D202" s="3"/>
      <c r="E202" s="3"/>
      <c r="F202" s="3"/>
      <c r="G202" s="3"/>
      <c r="H202" s="3"/>
      <c r="I202" s="3"/>
      <c r="J202" s="3"/>
      <c r="K202" s="3"/>
      <c r="L202" s="3"/>
      <c r="M202" s="3"/>
      <c r="N202" s="3"/>
      <c r="O202" s="3"/>
      <c r="P202" s="3"/>
      <c r="Q202" s="3"/>
      <c r="R202" s="3"/>
      <c r="S202" s="3"/>
      <c r="T202" s="3"/>
      <c r="U202" s="34"/>
      <c r="V202" s="18"/>
      <c r="Y202" s="58">
        <f t="shared" si="7"/>
        <v>19.5</v>
      </c>
      <c r="Z202" s="59">
        <v>75</v>
      </c>
      <c r="AA202" s="59">
        <v>5</v>
      </c>
      <c r="AB202" s="26">
        <f t="shared" si="10"/>
        <v>8</v>
      </c>
      <c r="AC202" s="26">
        <f t="shared" si="16"/>
        <v>47</v>
      </c>
      <c r="AD202" s="26">
        <f t="shared" si="19"/>
        <v>47</v>
      </c>
      <c r="AE202" s="26">
        <f t="shared" si="23"/>
        <v>47</v>
      </c>
      <c r="AF202" s="26">
        <f aca="true" t="shared" si="26" ref="AF202:AF210">AF201</f>
        <v>47</v>
      </c>
      <c r="AG202" s="26">
        <f>AG201</f>
        <v>47</v>
      </c>
      <c r="AH202" s="55">
        <v>47</v>
      </c>
      <c r="AI202" s="55">
        <f t="shared" si="11"/>
        <v>40.71428571428571</v>
      </c>
      <c r="AJ202" s="55">
        <f t="shared" si="11"/>
        <v>36</v>
      </c>
      <c r="AK202" s="55">
        <f t="shared" si="12"/>
        <v>32.333333333333336</v>
      </c>
      <c r="AL202" s="55">
        <f t="shared" si="12"/>
        <v>29.4</v>
      </c>
      <c r="AM202" s="55">
        <f t="shared" si="12"/>
        <v>27</v>
      </c>
      <c r="AN202" s="55">
        <f t="shared" si="12"/>
        <v>25</v>
      </c>
      <c r="AO202" s="55">
        <f t="shared" si="12"/>
        <v>23.307692307692307</v>
      </c>
      <c r="AP202" s="55">
        <f t="shared" si="12"/>
        <v>21.857142857142854</v>
      </c>
      <c r="AQ202" s="55">
        <f t="shared" si="12"/>
        <v>20.6</v>
      </c>
      <c r="AR202" s="55">
        <f t="shared" si="12"/>
        <v>19.5</v>
      </c>
      <c r="AS202" s="55">
        <f t="shared" si="12"/>
        <v>18.52941176470588</v>
      </c>
      <c r="AT202" s="55">
        <f t="shared" si="12"/>
        <v>17.666666666666668</v>
      </c>
      <c r="AU202" s="55">
        <f t="shared" si="12"/>
        <v>16.894736842105264</v>
      </c>
      <c r="AV202" s="55">
        <f t="shared" si="20"/>
        <v>16.2</v>
      </c>
      <c r="AW202" s="55">
        <f t="shared" si="12"/>
        <v>15.57142857142857</v>
      </c>
      <c r="AX202" s="55">
        <f t="shared" si="12"/>
        <v>15</v>
      </c>
      <c r="AY202" s="55">
        <f t="shared" si="12"/>
        <v>14.478260869565215</v>
      </c>
      <c r="AZ202" s="55">
        <f t="shared" si="12"/>
        <v>14.000000000000002</v>
      </c>
      <c r="BA202" s="61"/>
      <c r="BB202" s="58">
        <v>3</v>
      </c>
      <c r="BC202" s="59">
        <v>47</v>
      </c>
      <c r="BD202" s="58">
        <f t="shared" si="13"/>
        <v>75</v>
      </c>
      <c r="BE202" s="26">
        <f t="shared" si="14"/>
        <v>8</v>
      </c>
      <c r="BF202" s="26">
        <f t="shared" si="17"/>
        <v>75</v>
      </c>
      <c r="BG202" s="26">
        <f t="shared" si="21"/>
        <v>75</v>
      </c>
      <c r="BH202" s="26">
        <f t="shared" si="24"/>
        <v>75</v>
      </c>
      <c r="BI202" s="26">
        <f aca="true" t="shared" si="27" ref="BI202:BI210">BI201</f>
        <v>75</v>
      </c>
      <c r="BJ202" s="26">
        <f>BJ201</f>
        <v>75</v>
      </c>
      <c r="BK202" s="55">
        <v>75</v>
      </c>
      <c r="BL202" s="55">
        <f aca="true" t="shared" si="28" ref="BL202:CC202">70/(BL$195-1)+BL201</f>
        <v>65</v>
      </c>
      <c r="BM202" s="55">
        <f t="shared" si="28"/>
        <v>57.5</v>
      </c>
      <c r="BN202" s="55">
        <f t="shared" si="28"/>
        <v>51.66666666666667</v>
      </c>
      <c r="BO202" s="55">
        <f t="shared" si="28"/>
        <v>47</v>
      </c>
      <c r="BP202" s="55">
        <f t="shared" si="28"/>
        <v>43.18181818181817</v>
      </c>
      <c r="BQ202" s="55">
        <f t="shared" si="28"/>
        <v>40</v>
      </c>
      <c r="BR202" s="55">
        <f t="shared" si="28"/>
        <v>37.307692307692314</v>
      </c>
      <c r="BS202" s="55">
        <f t="shared" si="28"/>
        <v>35</v>
      </c>
      <c r="BT202" s="55">
        <f t="shared" si="28"/>
        <v>33.00000000000001</v>
      </c>
      <c r="BU202" s="55">
        <f t="shared" si="28"/>
        <v>31.25</v>
      </c>
      <c r="BV202" s="55">
        <f t="shared" si="28"/>
        <v>29.705882352941174</v>
      </c>
      <c r="BW202" s="55">
        <f t="shared" si="28"/>
        <v>28.333333333333336</v>
      </c>
      <c r="BX202" s="55">
        <f t="shared" si="28"/>
        <v>27.105263157894733</v>
      </c>
      <c r="BY202" s="55">
        <f t="shared" si="28"/>
        <v>26</v>
      </c>
      <c r="BZ202" s="55">
        <f t="shared" si="28"/>
        <v>25</v>
      </c>
      <c r="CA202" s="55">
        <f t="shared" si="28"/>
        <v>24.090909090909086</v>
      </c>
      <c r="CB202" s="55">
        <f t="shared" si="28"/>
        <v>23.260869565217398</v>
      </c>
      <c r="CC202" s="55">
        <f t="shared" si="28"/>
        <v>22.5</v>
      </c>
    </row>
    <row r="203" spans="2:81" ht="11.25" customHeight="1">
      <c r="B203" s="330"/>
      <c r="C203" s="33"/>
      <c r="D203" s="3"/>
      <c r="E203" s="3"/>
      <c r="F203" s="3"/>
      <c r="G203" s="3"/>
      <c r="H203" s="3"/>
      <c r="I203" s="3"/>
      <c r="J203" s="3"/>
      <c r="K203" s="3"/>
      <c r="L203" s="3"/>
      <c r="M203" s="3"/>
      <c r="N203" s="3"/>
      <c r="O203" s="3"/>
      <c r="P203" s="3"/>
      <c r="Q203" s="3"/>
      <c r="R203" s="3"/>
      <c r="S203" s="3"/>
      <c r="T203" s="3"/>
      <c r="U203" s="34"/>
      <c r="V203" s="18"/>
      <c r="Y203" s="58">
        <f t="shared" si="7"/>
        <v>22.25</v>
      </c>
      <c r="Z203" s="59">
        <v>75</v>
      </c>
      <c r="AA203" s="59">
        <v>5</v>
      </c>
      <c r="AB203" s="26">
        <f t="shared" si="10"/>
        <v>9</v>
      </c>
      <c r="AC203" s="26">
        <f t="shared" si="16"/>
        <v>47</v>
      </c>
      <c r="AD203" s="26">
        <f t="shared" si="19"/>
        <v>47</v>
      </c>
      <c r="AE203" s="26">
        <f t="shared" si="23"/>
        <v>47</v>
      </c>
      <c r="AF203" s="26">
        <f t="shared" si="26"/>
        <v>47</v>
      </c>
      <c r="AG203" s="26">
        <f aca="true" t="shared" si="29" ref="AG203:AG210">AG202</f>
        <v>47</v>
      </c>
      <c r="AH203" s="26">
        <f>AH202</f>
        <v>47</v>
      </c>
      <c r="AI203" s="55">
        <v>47</v>
      </c>
      <c r="AJ203" s="55">
        <f>(44/(AJ$195-1))+AJ202</f>
        <v>41.5</v>
      </c>
      <c r="AK203" s="55">
        <f t="shared" si="12"/>
        <v>37.22222222222223</v>
      </c>
      <c r="AL203" s="55">
        <f t="shared" si="12"/>
        <v>33.8</v>
      </c>
      <c r="AM203" s="55">
        <f t="shared" si="12"/>
        <v>31</v>
      </c>
      <c r="AN203" s="55">
        <f t="shared" si="12"/>
        <v>28.666666666666668</v>
      </c>
      <c r="AO203" s="55">
        <f t="shared" si="12"/>
        <v>26.69230769230769</v>
      </c>
      <c r="AP203" s="55">
        <f t="shared" si="12"/>
        <v>24.999999999999996</v>
      </c>
      <c r="AQ203" s="55">
        <f t="shared" si="12"/>
        <v>23.533333333333335</v>
      </c>
      <c r="AR203" s="55">
        <f t="shared" si="12"/>
        <v>22.25</v>
      </c>
      <c r="AS203" s="55">
        <f t="shared" si="12"/>
        <v>21.11764705882353</v>
      </c>
      <c r="AT203" s="55">
        <f t="shared" si="12"/>
        <v>20.111111111111114</v>
      </c>
      <c r="AU203" s="55">
        <f t="shared" si="12"/>
        <v>19.210526315789473</v>
      </c>
      <c r="AV203" s="55">
        <f t="shared" si="20"/>
        <v>18.4</v>
      </c>
      <c r="AW203" s="55">
        <f t="shared" si="12"/>
        <v>17.666666666666664</v>
      </c>
      <c r="AX203" s="55">
        <f t="shared" si="12"/>
        <v>17</v>
      </c>
      <c r="AY203" s="55">
        <f t="shared" si="12"/>
        <v>16.391304347826086</v>
      </c>
      <c r="AZ203" s="55">
        <f t="shared" si="12"/>
        <v>15.833333333333336</v>
      </c>
      <c r="BA203" s="61"/>
      <c r="BB203" s="58">
        <v>3</v>
      </c>
      <c r="BC203" s="59">
        <v>47</v>
      </c>
      <c r="BD203" s="58">
        <f t="shared" si="13"/>
        <v>75</v>
      </c>
      <c r="BE203" s="26">
        <f t="shared" si="14"/>
        <v>9</v>
      </c>
      <c r="BF203" s="26">
        <f t="shared" si="17"/>
        <v>75</v>
      </c>
      <c r="BG203" s="26">
        <f t="shared" si="21"/>
        <v>75</v>
      </c>
      <c r="BH203" s="26">
        <f t="shared" si="24"/>
        <v>75</v>
      </c>
      <c r="BI203" s="26">
        <f t="shared" si="27"/>
        <v>75</v>
      </c>
      <c r="BJ203" s="26">
        <f aca="true" t="shared" si="30" ref="BJ203:BJ210">BJ202</f>
        <v>75</v>
      </c>
      <c r="BK203" s="26">
        <f>BK202</f>
        <v>75</v>
      </c>
      <c r="BL203" s="55">
        <v>75</v>
      </c>
      <c r="BM203" s="55">
        <f aca="true" t="shared" si="31" ref="BM203:CC203">70/(BM$195-1)+BM202</f>
        <v>66.25</v>
      </c>
      <c r="BN203" s="55">
        <f t="shared" si="31"/>
        <v>59.44444444444445</v>
      </c>
      <c r="BO203" s="55">
        <f t="shared" si="31"/>
        <v>54</v>
      </c>
      <c r="BP203" s="55">
        <f t="shared" si="31"/>
        <v>49.54545454545453</v>
      </c>
      <c r="BQ203" s="55">
        <f t="shared" si="31"/>
        <v>45.833333333333336</v>
      </c>
      <c r="BR203" s="55">
        <f t="shared" si="31"/>
        <v>42.6923076923077</v>
      </c>
      <c r="BS203" s="55">
        <f t="shared" si="31"/>
        <v>40</v>
      </c>
      <c r="BT203" s="55">
        <f t="shared" si="31"/>
        <v>37.66666666666667</v>
      </c>
      <c r="BU203" s="55">
        <f t="shared" si="31"/>
        <v>35.625</v>
      </c>
      <c r="BV203" s="55">
        <f t="shared" si="31"/>
        <v>33.8235294117647</v>
      </c>
      <c r="BW203" s="55">
        <f t="shared" si="31"/>
        <v>32.22222222222222</v>
      </c>
      <c r="BX203" s="55">
        <f t="shared" si="31"/>
        <v>30.78947368421052</v>
      </c>
      <c r="BY203" s="55">
        <f t="shared" si="31"/>
        <v>29.5</v>
      </c>
      <c r="BZ203" s="55">
        <f t="shared" si="31"/>
        <v>28.333333333333332</v>
      </c>
      <c r="CA203" s="55">
        <f t="shared" si="31"/>
        <v>27.272727272727266</v>
      </c>
      <c r="CB203" s="55">
        <f t="shared" si="31"/>
        <v>26.304347826086964</v>
      </c>
      <c r="CC203" s="55">
        <f t="shared" si="31"/>
        <v>25.416666666666668</v>
      </c>
    </row>
    <row r="204" spans="2:81" ht="11.25" customHeight="1">
      <c r="B204" s="330"/>
      <c r="C204" s="33"/>
      <c r="D204" s="3"/>
      <c r="E204" s="3"/>
      <c r="F204" s="3"/>
      <c r="G204" s="3"/>
      <c r="H204" s="3"/>
      <c r="I204" s="3"/>
      <c r="N204" s="3"/>
      <c r="O204" s="3"/>
      <c r="P204" s="3"/>
      <c r="Q204" s="3"/>
      <c r="R204" s="3"/>
      <c r="S204" s="3"/>
      <c r="T204" s="3"/>
      <c r="U204" s="34"/>
      <c r="V204" s="18"/>
      <c r="Y204" s="58">
        <f t="shared" si="7"/>
        <v>25</v>
      </c>
      <c r="Z204" s="59">
        <v>75</v>
      </c>
      <c r="AA204" s="59">
        <v>5</v>
      </c>
      <c r="AB204" s="26">
        <f t="shared" si="10"/>
        <v>10</v>
      </c>
      <c r="AC204" s="26">
        <f t="shared" si="16"/>
        <v>47</v>
      </c>
      <c r="AD204" s="26">
        <f t="shared" si="19"/>
        <v>47</v>
      </c>
      <c r="AE204" s="26">
        <f t="shared" si="23"/>
        <v>47</v>
      </c>
      <c r="AF204" s="26">
        <f t="shared" si="26"/>
        <v>47</v>
      </c>
      <c r="AG204" s="26">
        <f t="shared" si="29"/>
        <v>47</v>
      </c>
      <c r="AH204" s="26">
        <f aca="true" t="shared" si="32" ref="AH204:AH210">AH203</f>
        <v>47</v>
      </c>
      <c r="AI204" s="26">
        <f>AI203</f>
        <v>47</v>
      </c>
      <c r="AJ204" s="55">
        <v>47</v>
      </c>
      <c r="AK204" s="55">
        <f t="shared" si="12"/>
        <v>42.111111111111114</v>
      </c>
      <c r="AL204" s="55">
        <f t="shared" si="12"/>
        <v>38.199999999999996</v>
      </c>
      <c r="AM204" s="55">
        <f t="shared" si="12"/>
        <v>35</v>
      </c>
      <c r="AN204" s="55">
        <f aca="true" t="shared" si="33" ref="AN204:AU207">(44/(AN$195-1))+AN203</f>
        <v>32.333333333333336</v>
      </c>
      <c r="AO204" s="55">
        <f t="shared" si="33"/>
        <v>30.076923076923073</v>
      </c>
      <c r="AP204" s="55">
        <f t="shared" si="33"/>
        <v>28.14285714285714</v>
      </c>
      <c r="AQ204" s="55">
        <f>(44/(AQ$195-1))+AQ203</f>
        <v>26.46666666666667</v>
      </c>
      <c r="AR204" s="55">
        <f t="shared" si="33"/>
        <v>25</v>
      </c>
      <c r="AS204" s="55">
        <f t="shared" si="33"/>
        <v>23.705882352941178</v>
      </c>
      <c r="AT204" s="55">
        <f t="shared" si="33"/>
        <v>22.555555555555557</v>
      </c>
      <c r="AU204" s="55">
        <f t="shared" si="33"/>
        <v>21.526315789473685</v>
      </c>
      <c r="AV204" s="55">
        <f t="shared" si="20"/>
        <v>20.599999999999998</v>
      </c>
      <c r="AW204" s="55">
        <f>(44/(AW$195-1))+AW203</f>
        <v>19.76190476190476</v>
      </c>
      <c r="AX204" s="55">
        <f t="shared" si="12"/>
        <v>19</v>
      </c>
      <c r="AY204" s="55">
        <f t="shared" si="12"/>
        <v>18.304347826086957</v>
      </c>
      <c r="AZ204" s="55">
        <f t="shared" si="12"/>
        <v>17.666666666666668</v>
      </c>
      <c r="BA204" s="61"/>
      <c r="BB204" s="58">
        <v>3</v>
      </c>
      <c r="BC204" s="59">
        <v>47</v>
      </c>
      <c r="BD204" s="58">
        <f t="shared" si="13"/>
        <v>75</v>
      </c>
      <c r="BE204" s="26">
        <f t="shared" si="14"/>
        <v>10</v>
      </c>
      <c r="BF204" s="26">
        <f t="shared" si="17"/>
        <v>75</v>
      </c>
      <c r="BG204" s="26">
        <f t="shared" si="21"/>
        <v>75</v>
      </c>
      <c r="BH204" s="26">
        <f t="shared" si="24"/>
        <v>75</v>
      </c>
      <c r="BI204" s="26">
        <f t="shared" si="27"/>
        <v>75</v>
      </c>
      <c r="BJ204" s="26">
        <f t="shared" si="30"/>
        <v>75</v>
      </c>
      <c r="BK204" s="26">
        <f aca="true" t="shared" si="34" ref="BK204:BK210">BK203</f>
        <v>75</v>
      </c>
      <c r="BL204" s="26">
        <f>BL203</f>
        <v>75</v>
      </c>
      <c r="BM204" s="55">
        <v>75</v>
      </c>
      <c r="BN204" s="55">
        <f aca="true" t="shared" si="35" ref="BN204:CC204">70/(BN$195-1)+BN203</f>
        <v>67.22222222222223</v>
      </c>
      <c r="BO204" s="55">
        <f t="shared" si="35"/>
        <v>61</v>
      </c>
      <c r="BP204" s="55">
        <f t="shared" si="35"/>
        <v>55.90909090909089</v>
      </c>
      <c r="BQ204" s="55">
        <f t="shared" si="35"/>
        <v>51.66666666666667</v>
      </c>
      <c r="BR204" s="55">
        <f t="shared" si="35"/>
        <v>48.07692307692309</v>
      </c>
      <c r="BS204" s="55">
        <f t="shared" si="35"/>
        <v>45</v>
      </c>
      <c r="BT204" s="55">
        <f t="shared" si="35"/>
        <v>42.333333333333336</v>
      </c>
      <c r="BU204" s="55">
        <f t="shared" si="35"/>
        <v>40</v>
      </c>
      <c r="BV204" s="55">
        <f t="shared" si="35"/>
        <v>37.94117647058823</v>
      </c>
      <c r="BW204" s="55">
        <f t="shared" si="35"/>
        <v>36.11111111111111</v>
      </c>
      <c r="BX204" s="55">
        <f t="shared" si="35"/>
        <v>34.47368421052631</v>
      </c>
      <c r="BY204" s="55">
        <f t="shared" si="35"/>
        <v>33</v>
      </c>
      <c r="BZ204" s="55">
        <f t="shared" si="35"/>
        <v>31.666666666666664</v>
      </c>
      <c r="CA204" s="55">
        <f t="shared" si="35"/>
        <v>30.454545454545446</v>
      </c>
      <c r="CB204" s="55">
        <f t="shared" si="35"/>
        <v>29.34782608695653</v>
      </c>
      <c r="CC204" s="55">
        <f t="shared" si="35"/>
        <v>28.333333333333336</v>
      </c>
    </row>
    <row r="205" spans="2:81" ht="11.25" customHeight="1">
      <c r="B205" s="330"/>
      <c r="C205" s="33"/>
      <c r="D205" s="3"/>
      <c r="E205" s="3"/>
      <c r="F205" s="3"/>
      <c r="G205" s="3"/>
      <c r="H205" s="3"/>
      <c r="I205" s="3"/>
      <c r="J205" s="548" t="str">
        <f>"แปลน "&amp;Q2</f>
        <v>แปลน F6A</v>
      </c>
      <c r="K205" s="549"/>
      <c r="L205" s="549"/>
      <c r="M205" s="550"/>
      <c r="N205" s="3"/>
      <c r="O205" s="3"/>
      <c r="P205" s="3"/>
      <c r="Q205" s="3"/>
      <c r="R205" s="3"/>
      <c r="S205" s="3"/>
      <c r="T205" s="3"/>
      <c r="U205" s="34"/>
      <c r="V205" s="18"/>
      <c r="Y205" s="58">
        <f t="shared" si="7"/>
        <v>27.75</v>
      </c>
      <c r="Z205" s="59">
        <v>75</v>
      </c>
      <c r="AA205" s="59">
        <v>5</v>
      </c>
      <c r="AB205" s="26">
        <f t="shared" si="10"/>
        <v>11</v>
      </c>
      <c r="AC205" s="26">
        <f t="shared" si="16"/>
        <v>47</v>
      </c>
      <c r="AD205" s="26">
        <f t="shared" si="19"/>
        <v>47</v>
      </c>
      <c r="AE205" s="26">
        <f t="shared" si="23"/>
        <v>47</v>
      </c>
      <c r="AF205" s="26">
        <f t="shared" si="26"/>
        <v>47</v>
      </c>
      <c r="AG205" s="26">
        <f t="shared" si="29"/>
        <v>47</v>
      </c>
      <c r="AH205" s="26">
        <f t="shared" si="32"/>
        <v>47</v>
      </c>
      <c r="AI205" s="26">
        <f aca="true" t="shared" si="36" ref="AI205:AI210">AI204</f>
        <v>47</v>
      </c>
      <c r="AJ205" s="26">
        <f aca="true" t="shared" si="37" ref="AJ205:AJ210">AJ204</f>
        <v>47</v>
      </c>
      <c r="AK205" s="55">
        <v>47</v>
      </c>
      <c r="AL205" s="55">
        <f t="shared" si="12"/>
        <v>42.599999999999994</v>
      </c>
      <c r="AM205" s="55">
        <f t="shared" si="12"/>
        <v>39</v>
      </c>
      <c r="AN205" s="55">
        <f t="shared" si="33"/>
        <v>36</v>
      </c>
      <c r="AO205" s="55">
        <f t="shared" si="33"/>
        <v>33.46153846153846</v>
      </c>
      <c r="AP205" s="55">
        <f t="shared" si="33"/>
        <v>31.28571428571428</v>
      </c>
      <c r="AQ205" s="55">
        <f t="shared" si="33"/>
        <v>29.400000000000002</v>
      </c>
      <c r="AR205" s="55">
        <f t="shared" si="33"/>
        <v>27.75</v>
      </c>
      <c r="AS205" s="55">
        <f t="shared" si="33"/>
        <v>26.294117647058826</v>
      </c>
      <c r="AT205" s="55">
        <f t="shared" si="33"/>
        <v>25</v>
      </c>
      <c r="AU205" s="55">
        <f t="shared" si="33"/>
        <v>23.842105263157897</v>
      </c>
      <c r="AV205" s="55">
        <f t="shared" si="20"/>
        <v>22.799999999999997</v>
      </c>
      <c r="AW205" s="55">
        <f t="shared" si="12"/>
        <v>21.857142857142854</v>
      </c>
      <c r="AX205" s="55">
        <f t="shared" si="12"/>
        <v>21</v>
      </c>
      <c r="AY205" s="55">
        <f t="shared" si="12"/>
        <v>20.217391304347828</v>
      </c>
      <c r="AZ205" s="55">
        <f t="shared" si="12"/>
        <v>19.5</v>
      </c>
      <c r="BA205" s="61"/>
      <c r="BB205" s="58">
        <v>3</v>
      </c>
      <c r="BC205" s="59">
        <v>47</v>
      </c>
      <c r="BD205" s="58">
        <f t="shared" si="13"/>
        <v>75</v>
      </c>
      <c r="BE205" s="26">
        <f t="shared" si="14"/>
        <v>11</v>
      </c>
      <c r="BF205" s="26">
        <f t="shared" si="17"/>
        <v>75</v>
      </c>
      <c r="BG205" s="26">
        <f t="shared" si="21"/>
        <v>75</v>
      </c>
      <c r="BH205" s="26">
        <f t="shared" si="24"/>
        <v>75</v>
      </c>
      <c r="BI205" s="26">
        <f t="shared" si="27"/>
        <v>75</v>
      </c>
      <c r="BJ205" s="26">
        <f t="shared" si="30"/>
        <v>75</v>
      </c>
      <c r="BK205" s="26">
        <f t="shared" si="34"/>
        <v>75</v>
      </c>
      <c r="BL205" s="26">
        <f aca="true" t="shared" si="38" ref="BL205:BL210">BL204</f>
        <v>75</v>
      </c>
      <c r="BM205" s="26">
        <f aca="true" t="shared" si="39" ref="BM205:BM210">BM204</f>
        <v>75</v>
      </c>
      <c r="BN205" s="55">
        <v>75</v>
      </c>
      <c r="BO205" s="55">
        <f aca="true" t="shared" si="40" ref="BO205:CC205">70/(BO$195-1)+BO204</f>
        <v>68</v>
      </c>
      <c r="BP205" s="55">
        <f t="shared" si="40"/>
        <v>62.27272727272725</v>
      </c>
      <c r="BQ205" s="55">
        <f t="shared" si="40"/>
        <v>57.50000000000001</v>
      </c>
      <c r="BR205" s="55">
        <f t="shared" si="40"/>
        <v>53.461538461538474</v>
      </c>
      <c r="BS205" s="55">
        <f t="shared" si="40"/>
        <v>50</v>
      </c>
      <c r="BT205" s="55">
        <f t="shared" si="40"/>
        <v>47</v>
      </c>
      <c r="BU205" s="55">
        <f t="shared" si="40"/>
        <v>44.375</v>
      </c>
      <c r="BV205" s="55">
        <f t="shared" si="40"/>
        <v>42.05882352941176</v>
      </c>
      <c r="BW205" s="55">
        <f t="shared" si="40"/>
        <v>39.99999999999999</v>
      </c>
      <c r="BX205" s="55">
        <f t="shared" si="40"/>
        <v>38.157894736842096</v>
      </c>
      <c r="BY205" s="55">
        <f t="shared" si="40"/>
        <v>36.5</v>
      </c>
      <c r="BZ205" s="55">
        <f t="shared" si="40"/>
        <v>35</v>
      </c>
      <c r="CA205" s="55">
        <f t="shared" si="40"/>
        <v>33.636363636363626</v>
      </c>
      <c r="CB205" s="55">
        <f t="shared" si="40"/>
        <v>32.39130434782609</v>
      </c>
      <c r="CC205" s="55">
        <f t="shared" si="40"/>
        <v>31.250000000000004</v>
      </c>
    </row>
    <row r="206" spans="2:81" ht="11.25" customHeight="1">
      <c r="B206" s="330"/>
      <c r="C206" s="33"/>
      <c r="D206" s="3"/>
      <c r="E206" s="3"/>
      <c r="F206" s="3"/>
      <c r="G206" s="3"/>
      <c r="H206" s="3"/>
      <c r="I206" s="3"/>
      <c r="J206" s="3"/>
      <c r="K206" s="3"/>
      <c r="L206" s="3"/>
      <c r="M206" s="3"/>
      <c r="N206" s="3"/>
      <c r="O206" s="3"/>
      <c r="P206" s="3"/>
      <c r="Q206" s="3"/>
      <c r="R206" s="3"/>
      <c r="S206" s="3"/>
      <c r="T206" s="3"/>
      <c r="U206" s="34"/>
      <c r="V206" s="18"/>
      <c r="Y206" s="58">
        <f t="shared" si="7"/>
        <v>30.5</v>
      </c>
      <c r="Z206" s="59">
        <v>75</v>
      </c>
      <c r="AA206" s="59">
        <v>5</v>
      </c>
      <c r="AB206" s="26">
        <f t="shared" si="10"/>
        <v>12</v>
      </c>
      <c r="AC206" s="26">
        <f t="shared" si="16"/>
        <v>47</v>
      </c>
      <c r="AD206" s="26">
        <f t="shared" si="19"/>
        <v>47</v>
      </c>
      <c r="AE206" s="26">
        <f t="shared" si="23"/>
        <v>47</v>
      </c>
      <c r="AF206" s="26">
        <f t="shared" si="26"/>
        <v>47</v>
      </c>
      <c r="AG206" s="26">
        <f t="shared" si="29"/>
        <v>47</v>
      </c>
      <c r="AH206" s="26">
        <f t="shared" si="32"/>
        <v>47</v>
      </c>
      <c r="AI206" s="26">
        <f t="shared" si="36"/>
        <v>47</v>
      </c>
      <c r="AJ206" s="26">
        <f t="shared" si="37"/>
        <v>47</v>
      </c>
      <c r="AK206" s="26">
        <f>AK205</f>
        <v>47</v>
      </c>
      <c r="AL206" s="55">
        <v>47</v>
      </c>
      <c r="AM206" s="55">
        <f t="shared" si="12"/>
        <v>43</v>
      </c>
      <c r="AN206" s="55">
        <f t="shared" si="33"/>
        <v>39.666666666666664</v>
      </c>
      <c r="AO206" s="55">
        <f t="shared" si="33"/>
        <v>36.84615384615385</v>
      </c>
      <c r="AP206" s="55">
        <f t="shared" si="33"/>
        <v>34.42857142857142</v>
      </c>
      <c r="AQ206" s="55">
        <f t="shared" si="33"/>
        <v>32.333333333333336</v>
      </c>
      <c r="AR206" s="55">
        <f t="shared" si="33"/>
        <v>30.5</v>
      </c>
      <c r="AS206" s="55">
        <f t="shared" si="33"/>
        <v>28.882352941176475</v>
      </c>
      <c r="AT206" s="55">
        <f t="shared" si="33"/>
        <v>27.444444444444443</v>
      </c>
      <c r="AU206" s="55">
        <f t="shared" si="33"/>
        <v>26.15789473684211</v>
      </c>
      <c r="AV206" s="55">
        <f t="shared" si="20"/>
        <v>24.999999999999996</v>
      </c>
      <c r="AW206" s="55">
        <f t="shared" si="12"/>
        <v>23.95238095238095</v>
      </c>
      <c r="AX206" s="55">
        <f t="shared" si="12"/>
        <v>23</v>
      </c>
      <c r="AY206" s="55">
        <f t="shared" si="12"/>
        <v>22.1304347826087</v>
      </c>
      <c r="AZ206" s="55">
        <f t="shared" si="12"/>
        <v>21.333333333333332</v>
      </c>
      <c r="BA206" s="61"/>
      <c r="BB206" s="58">
        <v>3</v>
      </c>
      <c r="BC206" s="59">
        <v>47</v>
      </c>
      <c r="BD206" s="58">
        <f t="shared" si="13"/>
        <v>75</v>
      </c>
      <c r="BE206" s="26">
        <f t="shared" si="14"/>
        <v>12</v>
      </c>
      <c r="BF206" s="26">
        <f t="shared" si="17"/>
        <v>75</v>
      </c>
      <c r="BG206" s="26">
        <f t="shared" si="21"/>
        <v>75</v>
      </c>
      <c r="BH206" s="26">
        <f t="shared" si="24"/>
        <v>75</v>
      </c>
      <c r="BI206" s="26">
        <f t="shared" si="27"/>
        <v>75</v>
      </c>
      <c r="BJ206" s="26">
        <f t="shared" si="30"/>
        <v>75</v>
      </c>
      <c r="BK206" s="26">
        <f t="shared" si="34"/>
        <v>75</v>
      </c>
      <c r="BL206" s="26">
        <f t="shared" si="38"/>
        <v>75</v>
      </c>
      <c r="BM206" s="26">
        <f t="shared" si="39"/>
        <v>75</v>
      </c>
      <c r="BN206" s="26">
        <f>BN205</f>
        <v>75</v>
      </c>
      <c r="BO206" s="55">
        <v>75</v>
      </c>
      <c r="BP206" s="55">
        <f aca="true" t="shared" si="41" ref="BP206:BV206">70/(BP$195-1)+BP205</f>
        <v>68.63636363636361</v>
      </c>
      <c r="BQ206" s="55">
        <f t="shared" si="41"/>
        <v>63.33333333333334</v>
      </c>
      <c r="BR206" s="55">
        <f t="shared" si="41"/>
        <v>58.84615384615386</v>
      </c>
      <c r="BS206" s="55">
        <f t="shared" si="41"/>
        <v>55</v>
      </c>
      <c r="BT206" s="55">
        <f t="shared" si="41"/>
        <v>51.666666666666664</v>
      </c>
      <c r="BU206" s="55">
        <f t="shared" si="41"/>
        <v>48.75</v>
      </c>
      <c r="BV206" s="55">
        <f t="shared" si="41"/>
        <v>46.17647058823529</v>
      </c>
      <c r="BW206" s="55">
        <f aca="true" t="shared" si="42" ref="BW206:CC218">70/(BW$195-1)+BW205</f>
        <v>43.88888888888888</v>
      </c>
      <c r="BX206" s="55">
        <f t="shared" si="42"/>
        <v>41.84210526315788</v>
      </c>
      <c r="BY206" s="55">
        <f t="shared" si="42"/>
        <v>40</v>
      </c>
      <c r="BZ206" s="55">
        <f t="shared" si="42"/>
        <v>38.333333333333336</v>
      </c>
      <c r="CA206" s="55">
        <f t="shared" si="42"/>
        <v>36.818181818181806</v>
      </c>
      <c r="CB206" s="55">
        <f t="shared" si="42"/>
        <v>35.434782608695656</v>
      </c>
      <c r="CC206" s="55">
        <f t="shared" si="42"/>
        <v>34.16666666666667</v>
      </c>
    </row>
    <row r="207" spans="2:81" ht="11.25" customHeight="1">
      <c r="B207" s="330"/>
      <c r="C207" s="33"/>
      <c r="D207" s="3"/>
      <c r="E207" s="3"/>
      <c r="F207" s="3"/>
      <c r="G207" s="3"/>
      <c r="H207" s="3"/>
      <c r="I207" s="3"/>
      <c r="J207" s="3"/>
      <c r="K207" s="3"/>
      <c r="L207" s="3"/>
      <c r="M207" s="3"/>
      <c r="N207" s="3"/>
      <c r="O207" s="3"/>
      <c r="P207" s="3"/>
      <c r="Q207" s="3"/>
      <c r="R207" s="3"/>
      <c r="S207" s="3"/>
      <c r="T207" s="3"/>
      <c r="U207" s="34"/>
      <c r="V207" s="18"/>
      <c r="Y207" s="58">
        <f t="shared" si="7"/>
        <v>33.25</v>
      </c>
      <c r="Z207" s="59">
        <v>75</v>
      </c>
      <c r="AA207" s="59">
        <v>5</v>
      </c>
      <c r="AB207" s="26">
        <f t="shared" si="10"/>
        <v>13</v>
      </c>
      <c r="AC207" s="26">
        <f t="shared" si="16"/>
        <v>47</v>
      </c>
      <c r="AD207" s="26">
        <f t="shared" si="19"/>
        <v>47</v>
      </c>
      <c r="AE207" s="26">
        <f t="shared" si="23"/>
        <v>47</v>
      </c>
      <c r="AF207" s="26">
        <f t="shared" si="26"/>
        <v>47</v>
      </c>
      <c r="AG207" s="26">
        <f t="shared" si="29"/>
        <v>47</v>
      </c>
      <c r="AH207" s="26">
        <f t="shared" si="32"/>
        <v>47</v>
      </c>
      <c r="AI207" s="26">
        <f t="shared" si="36"/>
        <v>47</v>
      </c>
      <c r="AJ207" s="26">
        <f t="shared" si="37"/>
        <v>47</v>
      </c>
      <c r="AK207" s="26">
        <f>AK206</f>
        <v>47</v>
      </c>
      <c r="AL207" s="26">
        <f>AL206</f>
        <v>47</v>
      </c>
      <c r="AM207" s="55">
        <v>47</v>
      </c>
      <c r="AN207" s="55">
        <f t="shared" si="33"/>
        <v>43.33333333333333</v>
      </c>
      <c r="AO207" s="55">
        <f t="shared" si="33"/>
        <v>40.23076923076923</v>
      </c>
      <c r="AP207" s="55">
        <f t="shared" si="33"/>
        <v>37.57142857142857</v>
      </c>
      <c r="AQ207" s="55">
        <f t="shared" si="33"/>
        <v>35.266666666666666</v>
      </c>
      <c r="AR207" s="55">
        <f t="shared" si="33"/>
        <v>33.25</v>
      </c>
      <c r="AS207" s="55">
        <f t="shared" si="33"/>
        <v>31.470588235294123</v>
      </c>
      <c r="AT207" s="55">
        <f t="shared" si="33"/>
        <v>29.888888888888886</v>
      </c>
      <c r="AU207" s="55">
        <f t="shared" si="33"/>
        <v>28.473684210526322</v>
      </c>
      <c r="AV207" s="55">
        <f t="shared" si="20"/>
        <v>27.199999999999996</v>
      </c>
      <c r="AW207" s="55">
        <f aca="true" t="shared" si="43" ref="AW207:AZ217">(44/(AW$195-1))+AW206</f>
        <v>26.047619047619044</v>
      </c>
      <c r="AX207" s="55">
        <f t="shared" si="43"/>
        <v>25</v>
      </c>
      <c r="AY207" s="55">
        <f t="shared" si="43"/>
        <v>24.04347826086957</v>
      </c>
      <c r="AZ207" s="55">
        <f t="shared" si="43"/>
        <v>23.166666666666664</v>
      </c>
      <c r="BA207" s="61"/>
      <c r="BB207" s="58">
        <v>3</v>
      </c>
      <c r="BC207" s="59">
        <v>47</v>
      </c>
      <c r="BD207" s="58">
        <f t="shared" si="13"/>
        <v>75</v>
      </c>
      <c r="BE207" s="26">
        <f t="shared" si="14"/>
        <v>13</v>
      </c>
      <c r="BF207" s="26">
        <f t="shared" si="17"/>
        <v>75</v>
      </c>
      <c r="BG207" s="26">
        <f t="shared" si="21"/>
        <v>75</v>
      </c>
      <c r="BH207" s="26">
        <f t="shared" si="24"/>
        <v>75</v>
      </c>
      <c r="BI207" s="26">
        <f t="shared" si="27"/>
        <v>75</v>
      </c>
      <c r="BJ207" s="26">
        <f t="shared" si="30"/>
        <v>75</v>
      </c>
      <c r="BK207" s="26">
        <f t="shared" si="34"/>
        <v>75</v>
      </c>
      <c r="BL207" s="26">
        <f t="shared" si="38"/>
        <v>75</v>
      </c>
      <c r="BM207" s="26">
        <f t="shared" si="39"/>
        <v>75</v>
      </c>
      <c r="BN207" s="26">
        <f>BN206</f>
        <v>75</v>
      </c>
      <c r="BO207" s="26">
        <f>BO206</f>
        <v>75</v>
      </c>
      <c r="BP207" s="55">
        <v>75</v>
      </c>
      <c r="BQ207" s="55">
        <f aca="true" t="shared" si="44" ref="BQ207:BV207">70/(BQ$195-1)+BQ206</f>
        <v>69.16666666666667</v>
      </c>
      <c r="BR207" s="55">
        <f t="shared" si="44"/>
        <v>64.23076923076924</v>
      </c>
      <c r="BS207" s="55">
        <f t="shared" si="44"/>
        <v>60</v>
      </c>
      <c r="BT207" s="55">
        <f t="shared" si="44"/>
        <v>56.33333333333333</v>
      </c>
      <c r="BU207" s="55">
        <f t="shared" si="44"/>
        <v>53.125</v>
      </c>
      <c r="BV207" s="55">
        <f t="shared" si="44"/>
        <v>50.29411764705882</v>
      </c>
      <c r="BW207" s="55">
        <f t="shared" si="42"/>
        <v>47.777777777777764</v>
      </c>
      <c r="BX207" s="55">
        <f t="shared" si="42"/>
        <v>45.52631578947367</v>
      </c>
      <c r="BY207" s="55">
        <f t="shared" si="42"/>
        <v>43.5</v>
      </c>
      <c r="BZ207" s="55">
        <f t="shared" si="42"/>
        <v>41.66666666666667</v>
      </c>
      <c r="CA207" s="55">
        <f t="shared" si="42"/>
        <v>39.999999999999986</v>
      </c>
      <c r="CB207" s="55">
        <f t="shared" si="42"/>
        <v>38.47826086956522</v>
      </c>
      <c r="CC207" s="55">
        <f t="shared" si="42"/>
        <v>37.083333333333336</v>
      </c>
    </row>
    <row r="208" spans="2:81" ht="11.25" customHeight="1">
      <c r="B208" s="330"/>
      <c r="C208" s="33"/>
      <c r="D208" s="3"/>
      <c r="E208" s="3"/>
      <c r="F208" s="3"/>
      <c r="G208" s="3"/>
      <c r="H208" s="3"/>
      <c r="I208" s="3"/>
      <c r="J208" s="3"/>
      <c r="K208" s="3"/>
      <c r="L208" s="3"/>
      <c r="M208" s="3"/>
      <c r="N208" s="3"/>
      <c r="O208" s="3"/>
      <c r="P208" s="3"/>
      <c r="Q208" s="3"/>
      <c r="R208" s="3"/>
      <c r="S208" s="3"/>
      <c r="T208" s="3"/>
      <c r="U208" s="34"/>
      <c r="V208" s="18"/>
      <c r="Y208" s="58">
        <f t="shared" si="7"/>
        <v>36</v>
      </c>
      <c r="Z208" s="59">
        <v>75</v>
      </c>
      <c r="AA208" s="59">
        <v>5</v>
      </c>
      <c r="AB208" s="26">
        <f t="shared" si="10"/>
        <v>14</v>
      </c>
      <c r="AC208" s="26">
        <f t="shared" si="16"/>
        <v>47</v>
      </c>
      <c r="AD208" s="26">
        <f t="shared" si="19"/>
        <v>47</v>
      </c>
      <c r="AE208" s="26">
        <f t="shared" si="23"/>
        <v>47</v>
      </c>
      <c r="AF208" s="26">
        <f t="shared" si="26"/>
        <v>47</v>
      </c>
      <c r="AG208" s="26">
        <f t="shared" si="29"/>
        <v>47</v>
      </c>
      <c r="AH208" s="26">
        <f t="shared" si="32"/>
        <v>47</v>
      </c>
      <c r="AI208" s="26">
        <f t="shared" si="36"/>
        <v>47</v>
      </c>
      <c r="AJ208" s="26">
        <f t="shared" si="37"/>
        <v>47</v>
      </c>
      <c r="AK208" s="26">
        <f>AK207</f>
        <v>47</v>
      </c>
      <c r="AL208" s="26">
        <f>AL207</f>
        <v>47</v>
      </c>
      <c r="AM208" s="26">
        <f>AM207</f>
        <v>47</v>
      </c>
      <c r="AN208" s="55">
        <v>47</v>
      </c>
      <c r="AO208" s="55">
        <f aca="true" t="shared" si="45" ref="AO208:AU208">(44/(AO$195-1))+AO207</f>
        <v>43.61538461538462</v>
      </c>
      <c r="AP208" s="55">
        <f t="shared" si="45"/>
        <v>40.714285714285715</v>
      </c>
      <c r="AQ208" s="55">
        <f>(44/(AQ$195-1))+AQ207</f>
        <v>38.199999999999996</v>
      </c>
      <c r="AR208" s="55">
        <f t="shared" si="45"/>
        <v>36</v>
      </c>
      <c r="AS208" s="55">
        <f t="shared" si="45"/>
        <v>34.05882352941177</v>
      </c>
      <c r="AT208" s="55">
        <f t="shared" si="45"/>
        <v>32.33333333333333</v>
      </c>
      <c r="AU208" s="55">
        <f t="shared" si="45"/>
        <v>30.789473684210535</v>
      </c>
      <c r="AV208" s="55">
        <f t="shared" si="20"/>
        <v>29.399999999999995</v>
      </c>
      <c r="AW208" s="55">
        <f t="shared" si="43"/>
        <v>28.14285714285714</v>
      </c>
      <c r="AX208" s="55">
        <f t="shared" si="43"/>
        <v>27</v>
      </c>
      <c r="AY208" s="55">
        <f t="shared" si="43"/>
        <v>25.95652173913044</v>
      </c>
      <c r="AZ208" s="55">
        <f t="shared" si="43"/>
        <v>24.999999999999996</v>
      </c>
      <c r="BA208" s="61"/>
      <c r="BB208" s="58">
        <v>3</v>
      </c>
      <c r="BC208" s="59">
        <v>47</v>
      </c>
      <c r="BD208" s="58">
        <f t="shared" si="13"/>
        <v>75</v>
      </c>
      <c r="BE208" s="26">
        <f t="shared" si="14"/>
        <v>14</v>
      </c>
      <c r="BF208" s="26">
        <f t="shared" si="17"/>
        <v>75</v>
      </c>
      <c r="BG208" s="26">
        <f t="shared" si="21"/>
        <v>75</v>
      </c>
      <c r="BH208" s="26">
        <f t="shared" si="24"/>
        <v>75</v>
      </c>
      <c r="BI208" s="26">
        <f t="shared" si="27"/>
        <v>75</v>
      </c>
      <c r="BJ208" s="26">
        <f t="shared" si="30"/>
        <v>75</v>
      </c>
      <c r="BK208" s="26">
        <f t="shared" si="34"/>
        <v>75</v>
      </c>
      <c r="BL208" s="26">
        <f t="shared" si="38"/>
        <v>75</v>
      </c>
      <c r="BM208" s="26">
        <f t="shared" si="39"/>
        <v>75</v>
      </c>
      <c r="BN208" s="26">
        <f>BN207</f>
        <v>75</v>
      </c>
      <c r="BO208" s="26">
        <f>BO207</f>
        <v>75</v>
      </c>
      <c r="BP208" s="26">
        <f>BP207</f>
        <v>75</v>
      </c>
      <c r="BQ208" s="55">
        <v>75</v>
      </c>
      <c r="BR208" s="55">
        <f>70/(BR$195-1)+BR207</f>
        <v>69.61538461538463</v>
      </c>
      <c r="BS208" s="55">
        <f>70/(BS$195-1)+BS207</f>
        <v>65</v>
      </c>
      <c r="BT208" s="55">
        <f>70/(BT$195-1)+BT207</f>
        <v>60.99999999999999</v>
      </c>
      <c r="BU208" s="55">
        <f>70/(BU$195-1)+BU207</f>
        <v>57.5</v>
      </c>
      <c r="BV208" s="55">
        <f>70/(BV$195-1)+BV207</f>
        <v>54.41176470588235</v>
      </c>
      <c r="BW208" s="55">
        <f t="shared" si="42"/>
        <v>51.66666666666665</v>
      </c>
      <c r="BX208" s="55">
        <f t="shared" si="42"/>
        <v>49.21052631578946</v>
      </c>
      <c r="BY208" s="55">
        <f t="shared" si="42"/>
        <v>47</v>
      </c>
      <c r="BZ208" s="55">
        <f t="shared" si="42"/>
        <v>45.00000000000001</v>
      </c>
      <c r="CA208" s="55">
        <f t="shared" si="42"/>
        <v>43.181818181818166</v>
      </c>
      <c r="CB208" s="55">
        <f t="shared" si="42"/>
        <v>41.52173913043478</v>
      </c>
      <c r="CC208" s="55">
        <f t="shared" si="42"/>
        <v>40</v>
      </c>
    </row>
    <row r="209" spans="2:81" ht="11.25" customHeight="1">
      <c r="B209" s="330"/>
      <c r="C209" s="33"/>
      <c r="D209" s="3"/>
      <c r="E209" s="3"/>
      <c r="F209" s="3"/>
      <c r="G209" s="3"/>
      <c r="H209" s="3"/>
      <c r="I209" s="3"/>
      <c r="J209" s="3"/>
      <c r="K209" s="3"/>
      <c r="L209" s="3"/>
      <c r="M209" s="3"/>
      <c r="N209" s="3"/>
      <c r="O209" s="3"/>
      <c r="P209" s="3"/>
      <c r="Q209" s="3"/>
      <c r="R209" s="3"/>
      <c r="S209" s="3"/>
      <c r="T209" s="3"/>
      <c r="U209" s="34"/>
      <c r="V209" s="18"/>
      <c r="Y209" s="58">
        <f t="shared" si="7"/>
        <v>38.75</v>
      </c>
      <c r="Z209" s="59">
        <v>75</v>
      </c>
      <c r="AA209" s="59">
        <v>5</v>
      </c>
      <c r="AB209" s="26">
        <f t="shared" si="10"/>
        <v>15</v>
      </c>
      <c r="AC209" s="26">
        <f t="shared" si="16"/>
        <v>47</v>
      </c>
      <c r="AD209" s="26">
        <f t="shared" si="19"/>
        <v>47</v>
      </c>
      <c r="AE209" s="26">
        <f t="shared" si="23"/>
        <v>47</v>
      </c>
      <c r="AF209" s="26">
        <f t="shared" si="26"/>
        <v>47</v>
      </c>
      <c r="AG209" s="26">
        <f t="shared" si="29"/>
        <v>47</v>
      </c>
      <c r="AH209" s="26">
        <f t="shared" si="32"/>
        <v>47</v>
      </c>
      <c r="AI209" s="26">
        <f t="shared" si="36"/>
        <v>47</v>
      </c>
      <c r="AJ209" s="26">
        <f t="shared" si="37"/>
        <v>47</v>
      </c>
      <c r="AK209" s="26">
        <f>AK208</f>
        <v>47</v>
      </c>
      <c r="AL209" s="26">
        <f>AL208</f>
        <v>47</v>
      </c>
      <c r="AM209" s="26">
        <f>AM208</f>
        <v>47</v>
      </c>
      <c r="AN209" s="26">
        <f>AN208</f>
        <v>47</v>
      </c>
      <c r="AO209" s="55">
        <v>47</v>
      </c>
      <c r="AP209" s="55">
        <f aca="true" t="shared" si="46" ref="AP209:AU210">(44/(AP$195-1))+AP208</f>
        <v>43.85714285714286</v>
      </c>
      <c r="AQ209" s="55">
        <f>(44/(AQ$195-1))+AQ208</f>
        <v>41.133333333333326</v>
      </c>
      <c r="AR209" s="55">
        <f t="shared" si="46"/>
        <v>38.75</v>
      </c>
      <c r="AS209" s="55">
        <f t="shared" si="46"/>
        <v>36.64705882352941</v>
      </c>
      <c r="AT209" s="55">
        <f t="shared" si="46"/>
        <v>34.77777777777777</v>
      </c>
      <c r="AU209" s="55">
        <f t="shared" si="46"/>
        <v>33.10526315789475</v>
      </c>
      <c r="AV209" s="55">
        <f t="shared" si="20"/>
        <v>31.599999999999994</v>
      </c>
      <c r="AW209" s="55">
        <f t="shared" si="43"/>
        <v>30.238095238095234</v>
      </c>
      <c r="AX209" s="55">
        <f t="shared" si="43"/>
        <v>29</v>
      </c>
      <c r="AY209" s="55">
        <f t="shared" si="43"/>
        <v>27.86956521739131</v>
      </c>
      <c r="AZ209" s="55">
        <f t="shared" si="43"/>
        <v>26.83333333333333</v>
      </c>
      <c r="BA209" s="61"/>
      <c r="BB209" s="58">
        <v>3</v>
      </c>
      <c r="BC209" s="59">
        <v>47</v>
      </c>
      <c r="BD209" s="58">
        <f t="shared" si="13"/>
        <v>75</v>
      </c>
      <c r="BE209" s="26">
        <f t="shared" si="14"/>
        <v>15</v>
      </c>
      <c r="BF209" s="26">
        <f t="shared" si="17"/>
        <v>75</v>
      </c>
      <c r="BG209" s="26">
        <f t="shared" si="21"/>
        <v>75</v>
      </c>
      <c r="BH209" s="26">
        <f t="shared" si="24"/>
        <v>75</v>
      </c>
      <c r="BI209" s="26">
        <f t="shared" si="27"/>
        <v>75</v>
      </c>
      <c r="BJ209" s="26">
        <f t="shared" si="30"/>
        <v>75</v>
      </c>
      <c r="BK209" s="26">
        <f t="shared" si="34"/>
        <v>75</v>
      </c>
      <c r="BL209" s="26">
        <f t="shared" si="38"/>
        <v>75</v>
      </c>
      <c r="BM209" s="26">
        <f t="shared" si="39"/>
        <v>75</v>
      </c>
      <c r="BN209" s="26">
        <f>BN208</f>
        <v>75</v>
      </c>
      <c r="BO209" s="26">
        <f>BO208</f>
        <v>75</v>
      </c>
      <c r="BP209" s="26">
        <f>BP208</f>
        <v>75</v>
      </c>
      <c r="BQ209" s="26">
        <f>BQ208</f>
        <v>75</v>
      </c>
      <c r="BR209" s="55">
        <v>75</v>
      </c>
      <c r="BS209" s="55">
        <f>70/(BS$195-1)+BS208</f>
        <v>70</v>
      </c>
      <c r="BT209" s="55">
        <f>70/(BT$195-1)+BT208</f>
        <v>65.66666666666666</v>
      </c>
      <c r="BU209" s="55">
        <f>70/(BU$195-1)+BU208</f>
        <v>61.875</v>
      </c>
      <c r="BV209" s="55">
        <f>70/(BV$195-1)+BV208</f>
        <v>58.52941176470588</v>
      </c>
      <c r="BW209" s="55">
        <f t="shared" si="42"/>
        <v>55.555555555555536</v>
      </c>
      <c r="BX209" s="55">
        <f t="shared" si="42"/>
        <v>52.894736842105246</v>
      </c>
      <c r="BY209" s="55">
        <f t="shared" si="42"/>
        <v>50.5</v>
      </c>
      <c r="BZ209" s="55">
        <f t="shared" si="42"/>
        <v>48.33333333333334</v>
      </c>
      <c r="CA209" s="55">
        <f t="shared" si="42"/>
        <v>46.363636363636346</v>
      </c>
      <c r="CB209" s="55">
        <f t="shared" si="42"/>
        <v>44.565217391304344</v>
      </c>
      <c r="CC209" s="55">
        <f t="shared" si="42"/>
        <v>42.916666666666664</v>
      </c>
    </row>
    <row r="210" spans="2:81" ht="11.25" customHeight="1" thickBot="1">
      <c r="B210" s="330"/>
      <c r="C210" s="33"/>
      <c r="D210" s="3"/>
      <c r="E210" s="3"/>
      <c r="F210" s="3"/>
      <c r="G210" s="24"/>
      <c r="H210" s="69"/>
      <c r="I210" s="3"/>
      <c r="J210" s="3"/>
      <c r="K210" s="76"/>
      <c r="L210" s="76"/>
      <c r="M210" s="3"/>
      <c r="N210" s="3"/>
      <c r="O210" s="22"/>
      <c r="P210" s="3"/>
      <c r="Q210" s="3"/>
      <c r="R210" s="3"/>
      <c r="S210" s="3"/>
      <c r="T210" s="3"/>
      <c r="U210" s="34"/>
      <c r="V210" s="18"/>
      <c r="Y210" s="58">
        <f>HLOOKUP($Y$194,$AC$195:$AZ$217,AB210,FALSE)</f>
        <v>41.5</v>
      </c>
      <c r="Z210" s="59">
        <v>75</v>
      </c>
      <c r="AA210" s="59">
        <v>5</v>
      </c>
      <c r="AB210" s="26">
        <f t="shared" si="10"/>
        <v>16</v>
      </c>
      <c r="AC210" s="26">
        <f t="shared" si="16"/>
        <v>47</v>
      </c>
      <c r="AD210" s="26">
        <f t="shared" si="19"/>
        <v>47</v>
      </c>
      <c r="AE210" s="26">
        <f t="shared" si="23"/>
        <v>47</v>
      </c>
      <c r="AF210" s="26">
        <f t="shared" si="26"/>
        <v>47</v>
      </c>
      <c r="AG210" s="26">
        <f t="shared" si="29"/>
        <v>47</v>
      </c>
      <c r="AH210" s="26">
        <f t="shared" si="32"/>
        <v>47</v>
      </c>
      <c r="AI210" s="26">
        <f t="shared" si="36"/>
        <v>47</v>
      </c>
      <c r="AJ210" s="26">
        <f t="shared" si="37"/>
        <v>47</v>
      </c>
      <c r="AK210" s="26">
        <f>AK209</f>
        <v>47</v>
      </c>
      <c r="AL210" s="26">
        <f>AL209</f>
        <v>47</v>
      </c>
      <c r="AM210" s="26">
        <f>AM209</f>
        <v>47</v>
      </c>
      <c r="AN210" s="26">
        <f>AN209</f>
        <v>47</v>
      </c>
      <c r="AO210" s="26">
        <f>AO209</f>
        <v>47</v>
      </c>
      <c r="AP210" s="55">
        <f t="shared" si="46"/>
        <v>47.00000000000001</v>
      </c>
      <c r="AQ210" s="55">
        <f>(44/(AQ$195-1))+AQ209</f>
        <v>44.066666666666656</v>
      </c>
      <c r="AR210" s="55">
        <f aca="true" t="shared" si="47" ref="AR210:AU212">(44/(AR$195-1))+AR209</f>
        <v>41.5</v>
      </c>
      <c r="AS210" s="55">
        <f t="shared" si="47"/>
        <v>39.23529411764706</v>
      </c>
      <c r="AT210" s="55">
        <f t="shared" si="47"/>
        <v>37.222222222222214</v>
      </c>
      <c r="AU210" s="55">
        <f t="shared" si="47"/>
        <v>35.42105263157896</v>
      </c>
      <c r="AV210" s="55">
        <f t="shared" si="20"/>
        <v>33.8</v>
      </c>
      <c r="AW210" s="55">
        <f t="shared" si="43"/>
        <v>32.33333333333333</v>
      </c>
      <c r="AX210" s="55">
        <f t="shared" si="43"/>
        <v>31</v>
      </c>
      <c r="AY210" s="55">
        <f t="shared" si="43"/>
        <v>29.782608695652183</v>
      </c>
      <c r="AZ210" s="55">
        <f t="shared" si="43"/>
        <v>28.66666666666666</v>
      </c>
      <c r="BA210" s="61"/>
      <c r="BB210" s="58">
        <v>3</v>
      </c>
      <c r="BC210" s="59">
        <v>47</v>
      </c>
      <c r="BD210" s="58">
        <f t="shared" si="13"/>
        <v>75</v>
      </c>
      <c r="BE210" s="26">
        <f t="shared" si="14"/>
        <v>16</v>
      </c>
      <c r="BF210" s="26">
        <f t="shared" si="17"/>
        <v>75</v>
      </c>
      <c r="BG210" s="26">
        <f t="shared" si="21"/>
        <v>75</v>
      </c>
      <c r="BH210" s="26">
        <f t="shared" si="24"/>
        <v>75</v>
      </c>
      <c r="BI210" s="26">
        <f t="shared" si="27"/>
        <v>75</v>
      </c>
      <c r="BJ210" s="26">
        <f t="shared" si="30"/>
        <v>75</v>
      </c>
      <c r="BK210" s="26">
        <f t="shared" si="34"/>
        <v>75</v>
      </c>
      <c r="BL210" s="26">
        <f t="shared" si="38"/>
        <v>75</v>
      </c>
      <c r="BM210" s="26">
        <f t="shared" si="39"/>
        <v>75</v>
      </c>
      <c r="BN210" s="26">
        <f>BN209</f>
        <v>75</v>
      </c>
      <c r="BO210" s="26">
        <f>BO209</f>
        <v>75</v>
      </c>
      <c r="BP210" s="26">
        <f>BP209</f>
        <v>75</v>
      </c>
      <c r="BQ210" s="26">
        <f>BQ209</f>
        <v>75</v>
      </c>
      <c r="BR210" s="26">
        <f>BR209</f>
        <v>75</v>
      </c>
      <c r="BS210" s="55">
        <v>75</v>
      </c>
      <c r="BT210" s="55">
        <f aca="true" t="shared" si="48" ref="BT210:BV211">70/(BT$195-1)+BT209</f>
        <v>70.33333333333333</v>
      </c>
      <c r="BU210" s="55">
        <f t="shared" si="48"/>
        <v>66.25</v>
      </c>
      <c r="BV210" s="55">
        <f t="shared" si="48"/>
        <v>62.647058823529406</v>
      </c>
      <c r="BW210" s="55">
        <f t="shared" si="42"/>
        <v>59.44444444444442</v>
      </c>
      <c r="BX210" s="55">
        <f t="shared" si="42"/>
        <v>56.578947368421034</v>
      </c>
      <c r="BY210" s="55">
        <f t="shared" si="42"/>
        <v>54</v>
      </c>
      <c r="BZ210" s="55">
        <f t="shared" si="42"/>
        <v>51.66666666666668</v>
      </c>
      <c r="CA210" s="55">
        <f t="shared" si="42"/>
        <v>49.545454545454525</v>
      </c>
      <c r="CB210" s="55">
        <f t="shared" si="42"/>
        <v>47.60869565217391</v>
      </c>
      <c r="CC210" s="55">
        <f t="shared" si="42"/>
        <v>45.83333333333333</v>
      </c>
    </row>
    <row r="211" spans="2:81" ht="11.25" customHeight="1" thickBot="1">
      <c r="B211" s="330"/>
      <c r="C211" s="33"/>
      <c r="D211" s="3"/>
      <c r="E211" s="3"/>
      <c r="F211" s="3"/>
      <c r="G211" s="352"/>
      <c r="H211" s="20"/>
      <c r="I211" s="346" t="s">
        <v>346</v>
      </c>
      <c r="J211" s="20"/>
      <c r="K211" s="3"/>
      <c r="L211" s="3"/>
      <c r="M211" s="31" t="s">
        <v>325</v>
      </c>
      <c r="N211" s="3"/>
      <c r="O211" s="3"/>
      <c r="P211" s="3"/>
      <c r="Q211" s="3"/>
      <c r="R211" s="3"/>
      <c r="S211" s="3"/>
      <c r="T211" s="3"/>
      <c r="U211" s="34"/>
      <c r="V211" s="18"/>
      <c r="Y211" s="58">
        <f t="shared" si="7"/>
        <v>44.25</v>
      </c>
      <c r="Z211" s="59">
        <v>75</v>
      </c>
      <c r="AA211" s="59">
        <v>5</v>
      </c>
      <c r="AB211" s="26">
        <f t="shared" si="10"/>
        <v>17</v>
      </c>
      <c r="AC211" s="26">
        <f aca="true" t="shared" si="49" ref="AC211:AL217">+$AC$197</f>
        <v>47</v>
      </c>
      <c r="AD211" s="26">
        <f t="shared" si="49"/>
        <v>47</v>
      </c>
      <c r="AE211" s="26">
        <f t="shared" si="49"/>
        <v>47</v>
      </c>
      <c r="AF211" s="26">
        <f t="shared" si="49"/>
        <v>47</v>
      </c>
      <c r="AG211" s="26">
        <f t="shared" si="49"/>
        <v>47</v>
      </c>
      <c r="AH211" s="26">
        <f t="shared" si="49"/>
        <v>47</v>
      </c>
      <c r="AI211" s="26">
        <f t="shared" si="49"/>
        <v>47</v>
      </c>
      <c r="AJ211" s="26">
        <f t="shared" si="49"/>
        <v>47</v>
      </c>
      <c r="AK211" s="26">
        <f t="shared" si="49"/>
        <v>47</v>
      </c>
      <c r="AL211" s="26">
        <f t="shared" si="49"/>
        <v>47</v>
      </c>
      <c r="AM211" s="26">
        <f aca="true" t="shared" si="50" ref="AM211:AS217">+$AC$197</f>
        <v>47</v>
      </c>
      <c r="AN211" s="26">
        <f t="shared" si="50"/>
        <v>47</v>
      </c>
      <c r="AO211" s="26">
        <f t="shared" si="50"/>
        <v>47</v>
      </c>
      <c r="AP211" s="26">
        <f t="shared" si="50"/>
        <v>47</v>
      </c>
      <c r="AQ211" s="409">
        <f>(44/(AQ$195-1))+AQ210</f>
        <v>46.999999999999986</v>
      </c>
      <c r="AR211" s="55">
        <f t="shared" si="47"/>
        <v>44.25</v>
      </c>
      <c r="AS211" s="55">
        <f t="shared" si="47"/>
        <v>41.8235294117647</v>
      </c>
      <c r="AT211" s="55">
        <f t="shared" si="47"/>
        <v>39.66666666666666</v>
      </c>
      <c r="AU211" s="55">
        <f t="shared" si="47"/>
        <v>37.73684210526317</v>
      </c>
      <c r="AV211" s="55">
        <f t="shared" si="20"/>
        <v>36</v>
      </c>
      <c r="AW211" s="55">
        <f t="shared" si="43"/>
        <v>34.42857142857142</v>
      </c>
      <c r="AX211" s="55">
        <f t="shared" si="43"/>
        <v>33</v>
      </c>
      <c r="AY211" s="55">
        <f t="shared" si="43"/>
        <v>31.695652173913054</v>
      </c>
      <c r="AZ211" s="55">
        <f t="shared" si="43"/>
        <v>30.499999999999993</v>
      </c>
      <c r="BA211" s="61"/>
      <c r="BB211" s="58">
        <v>3</v>
      </c>
      <c r="BC211" s="59">
        <v>47</v>
      </c>
      <c r="BD211" s="58">
        <f t="shared" si="13"/>
        <v>75</v>
      </c>
      <c r="BE211" s="26">
        <f t="shared" si="14"/>
        <v>17</v>
      </c>
      <c r="BF211" s="26">
        <f aca="true" t="shared" si="51" ref="BF211:BO217">+$BF$197</f>
        <v>75</v>
      </c>
      <c r="BG211" s="26">
        <f t="shared" si="51"/>
        <v>75</v>
      </c>
      <c r="BH211" s="26">
        <f t="shared" si="51"/>
        <v>75</v>
      </c>
      <c r="BI211" s="26">
        <f t="shared" si="51"/>
        <v>75</v>
      </c>
      <c r="BJ211" s="26">
        <f t="shared" si="51"/>
        <v>75</v>
      </c>
      <c r="BK211" s="26">
        <f t="shared" si="51"/>
        <v>75</v>
      </c>
      <c r="BL211" s="26">
        <f t="shared" si="51"/>
        <v>75</v>
      </c>
      <c r="BM211" s="26">
        <f t="shared" si="51"/>
        <v>75</v>
      </c>
      <c r="BN211" s="26">
        <f t="shared" si="51"/>
        <v>75</v>
      </c>
      <c r="BO211" s="26">
        <f t="shared" si="51"/>
        <v>75</v>
      </c>
      <c r="BP211" s="26">
        <f aca="true" t="shared" si="52" ref="BP211:BV217">+$BF$197</f>
        <v>75</v>
      </c>
      <c r="BQ211" s="26">
        <f t="shared" si="52"/>
        <v>75</v>
      </c>
      <c r="BR211" s="26">
        <f t="shared" si="52"/>
        <v>75</v>
      </c>
      <c r="BS211" s="26">
        <f t="shared" si="52"/>
        <v>75</v>
      </c>
      <c r="BT211" s="55">
        <f t="shared" si="48"/>
        <v>75</v>
      </c>
      <c r="BU211" s="55">
        <f t="shared" si="48"/>
        <v>70.625</v>
      </c>
      <c r="BV211" s="55">
        <f t="shared" si="48"/>
        <v>66.76470588235293</v>
      </c>
      <c r="BW211" s="55">
        <f t="shared" si="42"/>
        <v>63.33333333333331</v>
      </c>
      <c r="BX211" s="55">
        <f t="shared" si="42"/>
        <v>60.26315789473682</v>
      </c>
      <c r="BY211" s="55">
        <f t="shared" si="42"/>
        <v>57.5</v>
      </c>
      <c r="BZ211" s="55">
        <f t="shared" si="42"/>
        <v>55.000000000000014</v>
      </c>
      <c r="CA211" s="55">
        <f t="shared" si="42"/>
        <v>52.727272727272705</v>
      </c>
      <c r="CB211" s="55">
        <f t="shared" si="42"/>
        <v>50.65217391304347</v>
      </c>
      <c r="CC211" s="55">
        <f t="shared" si="42"/>
        <v>48.74999999999999</v>
      </c>
    </row>
    <row r="212" spans="2:81" ht="11.25" customHeight="1">
      <c r="B212" s="330"/>
      <c r="C212" s="33"/>
      <c r="D212" s="3"/>
      <c r="E212" s="66"/>
      <c r="F212" s="66"/>
      <c r="G212" s="24"/>
      <c r="H212" s="24"/>
      <c r="I212" s="3"/>
      <c r="J212" s="3"/>
      <c r="K212" s="13"/>
      <c r="L212" s="13"/>
      <c r="M212" s="13"/>
      <c r="N212" s="13"/>
      <c r="O212" s="13"/>
      <c r="P212" s="3"/>
      <c r="Q212" s="3"/>
      <c r="R212" s="3"/>
      <c r="S212" s="3"/>
      <c r="T212" s="3"/>
      <c r="U212" s="34"/>
      <c r="V212" s="18"/>
      <c r="Y212" s="58">
        <f t="shared" si="7"/>
        <v>47</v>
      </c>
      <c r="Z212" s="59">
        <v>75</v>
      </c>
      <c r="AA212" s="59">
        <v>5</v>
      </c>
      <c r="AB212" s="26">
        <f t="shared" si="10"/>
        <v>18</v>
      </c>
      <c r="AC212" s="26">
        <f t="shared" si="49"/>
        <v>47</v>
      </c>
      <c r="AD212" s="26">
        <f t="shared" si="49"/>
        <v>47</v>
      </c>
      <c r="AE212" s="26">
        <f t="shared" si="49"/>
        <v>47</v>
      </c>
      <c r="AF212" s="26">
        <f t="shared" si="49"/>
        <v>47</v>
      </c>
      <c r="AG212" s="26">
        <f t="shared" si="49"/>
        <v>47</v>
      </c>
      <c r="AH212" s="26">
        <f t="shared" si="49"/>
        <v>47</v>
      </c>
      <c r="AI212" s="26">
        <f t="shared" si="49"/>
        <v>47</v>
      </c>
      <c r="AJ212" s="26">
        <f t="shared" si="49"/>
        <v>47</v>
      </c>
      <c r="AK212" s="26">
        <f t="shared" si="49"/>
        <v>47</v>
      </c>
      <c r="AL212" s="26">
        <f t="shared" si="49"/>
        <v>47</v>
      </c>
      <c r="AM212" s="26">
        <f t="shared" si="50"/>
        <v>47</v>
      </c>
      <c r="AN212" s="26">
        <f t="shared" si="50"/>
        <v>47</v>
      </c>
      <c r="AO212" s="26">
        <f t="shared" si="50"/>
        <v>47</v>
      </c>
      <c r="AP212" s="26">
        <f t="shared" si="50"/>
        <v>47</v>
      </c>
      <c r="AQ212" s="376">
        <f t="shared" si="50"/>
        <v>47</v>
      </c>
      <c r="AR212" s="55">
        <f t="shared" si="47"/>
        <v>47</v>
      </c>
      <c r="AS212" s="55">
        <f t="shared" si="47"/>
        <v>44.41176470588235</v>
      </c>
      <c r="AT212" s="55">
        <f t="shared" si="47"/>
        <v>42.1111111111111</v>
      </c>
      <c r="AU212" s="55">
        <f t="shared" si="47"/>
        <v>40.052631578947384</v>
      </c>
      <c r="AV212" s="55">
        <f t="shared" si="20"/>
        <v>38.2</v>
      </c>
      <c r="AW212" s="55">
        <f t="shared" si="43"/>
        <v>36.52380952380952</v>
      </c>
      <c r="AX212" s="55">
        <f t="shared" si="43"/>
        <v>35</v>
      </c>
      <c r="AY212" s="55">
        <f t="shared" si="43"/>
        <v>33.60869565217392</v>
      </c>
      <c r="AZ212" s="55">
        <f t="shared" si="43"/>
        <v>32.33333333333333</v>
      </c>
      <c r="BA212" s="61"/>
      <c r="BB212" s="58">
        <v>3</v>
      </c>
      <c r="BC212" s="59">
        <v>47</v>
      </c>
      <c r="BD212" s="58">
        <f t="shared" si="13"/>
        <v>75</v>
      </c>
      <c r="BE212" s="26">
        <f t="shared" si="14"/>
        <v>18</v>
      </c>
      <c r="BF212" s="26">
        <f t="shared" si="51"/>
        <v>75</v>
      </c>
      <c r="BG212" s="26">
        <f t="shared" si="51"/>
        <v>75</v>
      </c>
      <c r="BH212" s="26">
        <f t="shared" si="51"/>
        <v>75</v>
      </c>
      <c r="BI212" s="26">
        <f t="shared" si="51"/>
        <v>75</v>
      </c>
      <c r="BJ212" s="26">
        <f t="shared" si="51"/>
        <v>75</v>
      </c>
      <c r="BK212" s="26">
        <f t="shared" si="51"/>
        <v>75</v>
      </c>
      <c r="BL212" s="26">
        <f t="shared" si="51"/>
        <v>75</v>
      </c>
      <c r="BM212" s="26">
        <f t="shared" si="51"/>
        <v>75</v>
      </c>
      <c r="BN212" s="26">
        <f t="shared" si="51"/>
        <v>75</v>
      </c>
      <c r="BO212" s="26">
        <f t="shared" si="51"/>
        <v>75</v>
      </c>
      <c r="BP212" s="26">
        <f t="shared" si="52"/>
        <v>75</v>
      </c>
      <c r="BQ212" s="26">
        <f t="shared" si="52"/>
        <v>75</v>
      </c>
      <c r="BR212" s="26">
        <f t="shared" si="52"/>
        <v>75</v>
      </c>
      <c r="BS212" s="26">
        <f t="shared" si="52"/>
        <v>75</v>
      </c>
      <c r="BT212" s="26"/>
      <c r="BU212" s="55">
        <f>70/(BU$195-1)+BU211</f>
        <v>75</v>
      </c>
      <c r="BV212" s="55">
        <f>70/(BV$195-1)+BV211</f>
        <v>70.88235294117646</v>
      </c>
      <c r="BW212" s="55">
        <f t="shared" si="42"/>
        <v>67.2222222222222</v>
      </c>
      <c r="BX212" s="55">
        <f t="shared" si="42"/>
        <v>63.94736842105261</v>
      </c>
      <c r="BY212" s="55">
        <f t="shared" si="42"/>
        <v>61</v>
      </c>
      <c r="BZ212" s="55">
        <f t="shared" si="42"/>
        <v>58.33333333333335</v>
      </c>
      <c r="CA212" s="55">
        <f t="shared" si="42"/>
        <v>55.909090909090885</v>
      </c>
      <c r="CB212" s="55">
        <f t="shared" si="42"/>
        <v>53.69565217391303</v>
      </c>
      <c r="CC212" s="55">
        <f t="shared" si="42"/>
        <v>51.66666666666666</v>
      </c>
    </row>
    <row r="213" spans="2:81" ht="11.25" customHeight="1">
      <c r="B213" s="330"/>
      <c r="C213" s="33"/>
      <c r="D213" s="3"/>
      <c r="E213" s="3"/>
      <c r="F213" s="3"/>
      <c r="G213" s="3"/>
      <c r="H213" s="3"/>
      <c r="I213" s="3"/>
      <c r="J213" s="3"/>
      <c r="K213" s="3"/>
      <c r="L213" s="3"/>
      <c r="M213" s="3"/>
      <c r="N213" s="3"/>
      <c r="O213" s="3"/>
      <c r="P213" s="3"/>
      <c r="Q213" s="3"/>
      <c r="R213" s="3"/>
      <c r="S213" s="3"/>
      <c r="T213" s="3"/>
      <c r="U213" s="34"/>
      <c r="V213" s="18"/>
      <c r="Y213" s="58">
        <f t="shared" si="7"/>
        <v>47</v>
      </c>
      <c r="Z213" s="59">
        <v>75</v>
      </c>
      <c r="AA213" s="59">
        <v>5</v>
      </c>
      <c r="AB213" s="26">
        <f t="shared" si="10"/>
        <v>19</v>
      </c>
      <c r="AC213" s="26">
        <f t="shared" si="49"/>
        <v>47</v>
      </c>
      <c r="AD213" s="26">
        <f t="shared" si="49"/>
        <v>47</v>
      </c>
      <c r="AE213" s="26">
        <f t="shared" si="49"/>
        <v>47</v>
      </c>
      <c r="AF213" s="26">
        <f t="shared" si="49"/>
        <v>47</v>
      </c>
      <c r="AG213" s="26">
        <f t="shared" si="49"/>
        <v>47</v>
      </c>
      <c r="AH213" s="26">
        <f t="shared" si="49"/>
        <v>47</v>
      </c>
      <c r="AI213" s="26">
        <f t="shared" si="49"/>
        <v>47</v>
      </c>
      <c r="AJ213" s="26">
        <f t="shared" si="49"/>
        <v>47</v>
      </c>
      <c r="AK213" s="26">
        <f t="shared" si="49"/>
        <v>47</v>
      </c>
      <c r="AL213" s="26">
        <f t="shared" si="49"/>
        <v>47</v>
      </c>
      <c r="AM213" s="26">
        <f t="shared" si="50"/>
        <v>47</v>
      </c>
      <c r="AN213" s="26">
        <f t="shared" si="50"/>
        <v>47</v>
      </c>
      <c r="AO213" s="26">
        <f t="shared" si="50"/>
        <v>47</v>
      </c>
      <c r="AP213" s="26">
        <f t="shared" si="50"/>
        <v>47</v>
      </c>
      <c r="AQ213" s="376">
        <f t="shared" si="50"/>
        <v>47</v>
      </c>
      <c r="AR213" s="26">
        <f t="shared" si="50"/>
        <v>47</v>
      </c>
      <c r="AS213" s="55">
        <f>(44/(AS$195-1))+AS212</f>
        <v>46.99999999999999</v>
      </c>
      <c r="AT213" s="55">
        <f>(44/(AT$195-1))+AT212</f>
        <v>44.55555555555554</v>
      </c>
      <c r="AU213" s="55">
        <f>(44/(AU$195-1))+AU212</f>
        <v>42.3684210526316</v>
      </c>
      <c r="AV213" s="55">
        <f t="shared" si="20"/>
        <v>40.400000000000006</v>
      </c>
      <c r="AW213" s="55">
        <f t="shared" si="43"/>
        <v>38.61904761904761</v>
      </c>
      <c r="AX213" s="55">
        <f t="shared" si="43"/>
        <v>37</v>
      </c>
      <c r="AY213" s="55">
        <f t="shared" si="43"/>
        <v>35.52173913043479</v>
      </c>
      <c r="AZ213" s="55">
        <f t="shared" si="43"/>
        <v>34.166666666666664</v>
      </c>
      <c r="BA213" s="61"/>
      <c r="BB213" s="58">
        <v>3</v>
      </c>
      <c r="BC213" s="59">
        <v>47</v>
      </c>
      <c r="BD213" s="58">
        <f t="shared" si="13"/>
        <v>75</v>
      </c>
      <c r="BE213" s="26">
        <f t="shared" si="14"/>
        <v>19</v>
      </c>
      <c r="BF213" s="26">
        <f t="shared" si="51"/>
        <v>75</v>
      </c>
      <c r="BG213" s="26">
        <f t="shared" si="51"/>
        <v>75</v>
      </c>
      <c r="BH213" s="26">
        <f t="shared" si="51"/>
        <v>75</v>
      </c>
      <c r="BI213" s="26">
        <f t="shared" si="51"/>
        <v>75</v>
      </c>
      <c r="BJ213" s="26">
        <f t="shared" si="51"/>
        <v>75</v>
      </c>
      <c r="BK213" s="26">
        <f t="shared" si="51"/>
        <v>75</v>
      </c>
      <c r="BL213" s="26">
        <f t="shared" si="51"/>
        <v>75</v>
      </c>
      <c r="BM213" s="26">
        <f t="shared" si="51"/>
        <v>75</v>
      </c>
      <c r="BN213" s="26">
        <f t="shared" si="51"/>
        <v>75</v>
      </c>
      <c r="BO213" s="26">
        <f t="shared" si="51"/>
        <v>75</v>
      </c>
      <c r="BP213" s="26">
        <f t="shared" si="52"/>
        <v>75</v>
      </c>
      <c r="BQ213" s="26">
        <f t="shared" si="52"/>
        <v>75</v>
      </c>
      <c r="BR213" s="26">
        <f t="shared" si="52"/>
        <v>75</v>
      </c>
      <c r="BS213" s="26">
        <f t="shared" si="52"/>
        <v>75</v>
      </c>
      <c r="BT213" s="26">
        <f t="shared" si="52"/>
        <v>75</v>
      </c>
      <c r="BU213" s="26">
        <f t="shared" si="52"/>
        <v>75</v>
      </c>
      <c r="BV213" s="55">
        <f>70/(BV$195-1)+BV212</f>
        <v>75</v>
      </c>
      <c r="BW213" s="55">
        <f t="shared" si="42"/>
        <v>71.11111111111109</v>
      </c>
      <c r="BX213" s="55">
        <f t="shared" si="42"/>
        <v>67.6315789473684</v>
      </c>
      <c r="BY213" s="55">
        <f t="shared" si="42"/>
        <v>64.5</v>
      </c>
      <c r="BZ213" s="55">
        <f t="shared" si="42"/>
        <v>61.666666666666686</v>
      </c>
      <c r="CA213" s="55">
        <f t="shared" si="42"/>
        <v>59.090909090909065</v>
      </c>
      <c r="CB213" s="55">
        <f t="shared" si="42"/>
        <v>56.739130434782595</v>
      </c>
      <c r="CC213" s="55">
        <f t="shared" si="42"/>
        <v>54.58333333333332</v>
      </c>
    </row>
    <row r="214" spans="2:81" ht="11.25" customHeight="1">
      <c r="B214" s="330"/>
      <c r="C214" s="33"/>
      <c r="D214" s="3"/>
      <c r="E214" s="3"/>
      <c r="F214" s="3"/>
      <c r="G214" s="3"/>
      <c r="H214" s="3"/>
      <c r="I214" s="3"/>
      <c r="J214" s="3"/>
      <c r="K214" s="3"/>
      <c r="L214" s="3"/>
      <c r="M214" s="3"/>
      <c r="N214" s="3"/>
      <c r="O214" s="3"/>
      <c r="P214" s="3"/>
      <c r="Q214" s="3"/>
      <c r="R214" s="3"/>
      <c r="S214" s="70"/>
      <c r="T214" s="70"/>
      <c r="U214" s="34"/>
      <c r="V214" s="18"/>
      <c r="Y214" s="58">
        <f t="shared" si="7"/>
        <v>47</v>
      </c>
      <c r="Z214" s="59">
        <v>75</v>
      </c>
      <c r="AA214" s="59">
        <v>5</v>
      </c>
      <c r="AB214" s="26">
        <f t="shared" si="10"/>
        <v>20</v>
      </c>
      <c r="AC214" s="26">
        <f t="shared" si="49"/>
        <v>47</v>
      </c>
      <c r="AD214" s="26">
        <f t="shared" si="49"/>
        <v>47</v>
      </c>
      <c r="AE214" s="26">
        <f t="shared" si="49"/>
        <v>47</v>
      </c>
      <c r="AF214" s="26">
        <f t="shared" si="49"/>
        <v>47</v>
      </c>
      <c r="AG214" s="26">
        <f t="shared" si="49"/>
        <v>47</v>
      </c>
      <c r="AH214" s="26">
        <f t="shared" si="49"/>
        <v>47</v>
      </c>
      <c r="AI214" s="26">
        <f t="shared" si="49"/>
        <v>47</v>
      </c>
      <c r="AJ214" s="26">
        <f t="shared" si="49"/>
        <v>47</v>
      </c>
      <c r="AK214" s="26">
        <f t="shared" si="49"/>
        <v>47</v>
      </c>
      <c r="AL214" s="26">
        <f t="shared" si="49"/>
        <v>47</v>
      </c>
      <c r="AM214" s="26">
        <f t="shared" si="50"/>
        <v>47</v>
      </c>
      <c r="AN214" s="26">
        <f t="shared" si="50"/>
        <v>47</v>
      </c>
      <c r="AO214" s="26">
        <f t="shared" si="50"/>
        <v>47</v>
      </c>
      <c r="AP214" s="26">
        <f t="shared" si="50"/>
        <v>47</v>
      </c>
      <c r="AQ214" s="376">
        <f t="shared" si="50"/>
        <v>47</v>
      </c>
      <c r="AR214" s="26">
        <f t="shared" si="50"/>
        <v>47</v>
      </c>
      <c r="AS214" s="26">
        <f t="shared" si="50"/>
        <v>47</v>
      </c>
      <c r="AT214" s="55">
        <f>(44/(AT$195-1))+AT213</f>
        <v>46.999999999999986</v>
      </c>
      <c r="AU214" s="55">
        <f>(44/(AU$195-1))+AU213</f>
        <v>44.68421052631581</v>
      </c>
      <c r="AV214" s="55">
        <f t="shared" si="20"/>
        <v>42.60000000000001</v>
      </c>
      <c r="AW214" s="55">
        <f t="shared" si="43"/>
        <v>40.71428571428571</v>
      </c>
      <c r="AX214" s="55">
        <f>(44/(AX$195-1))+AX213</f>
        <v>39</v>
      </c>
      <c r="AY214" s="55">
        <f t="shared" si="43"/>
        <v>37.434782608695656</v>
      </c>
      <c r="AZ214" s="55">
        <f t="shared" si="43"/>
        <v>36</v>
      </c>
      <c r="BA214" s="61"/>
      <c r="BB214" s="58">
        <v>3</v>
      </c>
      <c r="BC214" s="59">
        <v>47</v>
      </c>
      <c r="BD214" s="58">
        <f t="shared" si="13"/>
        <v>75</v>
      </c>
      <c r="BE214" s="26">
        <f t="shared" si="14"/>
        <v>20</v>
      </c>
      <c r="BF214" s="26">
        <f t="shared" si="51"/>
        <v>75</v>
      </c>
      <c r="BG214" s="26">
        <f t="shared" si="51"/>
        <v>75</v>
      </c>
      <c r="BH214" s="26">
        <f t="shared" si="51"/>
        <v>75</v>
      </c>
      <c r="BI214" s="26">
        <f t="shared" si="51"/>
        <v>75</v>
      </c>
      <c r="BJ214" s="26">
        <f t="shared" si="51"/>
        <v>75</v>
      </c>
      <c r="BK214" s="26">
        <f t="shared" si="51"/>
        <v>75</v>
      </c>
      <c r="BL214" s="26">
        <f t="shared" si="51"/>
        <v>75</v>
      </c>
      <c r="BM214" s="26">
        <f t="shared" si="51"/>
        <v>75</v>
      </c>
      <c r="BN214" s="26">
        <f t="shared" si="51"/>
        <v>75</v>
      </c>
      <c r="BO214" s="26">
        <f t="shared" si="51"/>
        <v>75</v>
      </c>
      <c r="BP214" s="26">
        <f t="shared" si="52"/>
        <v>75</v>
      </c>
      <c r="BQ214" s="26">
        <f t="shared" si="52"/>
        <v>75</v>
      </c>
      <c r="BR214" s="26">
        <f t="shared" si="52"/>
        <v>75</v>
      </c>
      <c r="BS214" s="26">
        <f t="shared" si="52"/>
        <v>75</v>
      </c>
      <c r="BT214" s="26">
        <f t="shared" si="52"/>
        <v>75</v>
      </c>
      <c r="BU214" s="26">
        <f t="shared" si="52"/>
        <v>75</v>
      </c>
      <c r="BV214" s="26">
        <f t="shared" si="52"/>
        <v>75</v>
      </c>
      <c r="BW214" s="55">
        <f t="shared" si="42"/>
        <v>74.99999999999997</v>
      </c>
      <c r="BX214" s="55">
        <f t="shared" si="42"/>
        <v>71.31578947368419</v>
      </c>
      <c r="BY214" s="55">
        <f t="shared" si="42"/>
        <v>68</v>
      </c>
      <c r="BZ214" s="55">
        <f t="shared" si="42"/>
        <v>65.00000000000001</v>
      </c>
      <c r="CA214" s="55">
        <f t="shared" si="42"/>
        <v>62.272727272727245</v>
      </c>
      <c r="CB214" s="55">
        <f t="shared" si="42"/>
        <v>59.78260869565216</v>
      </c>
      <c r="CC214" s="55">
        <f t="shared" si="42"/>
        <v>57.499999999999986</v>
      </c>
    </row>
    <row r="215" spans="2:81" ht="11.25" customHeight="1">
      <c r="B215" s="330"/>
      <c r="C215" s="33"/>
      <c r="D215" s="3"/>
      <c r="E215" s="3"/>
      <c r="F215" s="3"/>
      <c r="P215" s="3"/>
      <c r="Q215" s="3"/>
      <c r="R215" s="3"/>
      <c r="S215" s="3"/>
      <c r="T215" s="3"/>
      <c r="U215" s="34"/>
      <c r="V215" s="18"/>
      <c r="Y215" s="58">
        <f t="shared" si="7"/>
        <v>47</v>
      </c>
      <c r="Z215" s="59">
        <v>75</v>
      </c>
      <c r="AA215" s="59">
        <v>5</v>
      </c>
      <c r="AB215" s="26">
        <f t="shared" si="10"/>
        <v>21</v>
      </c>
      <c r="AC215" s="26">
        <f t="shared" si="49"/>
        <v>47</v>
      </c>
      <c r="AD215" s="26">
        <f t="shared" si="49"/>
        <v>47</v>
      </c>
      <c r="AE215" s="26">
        <f t="shared" si="49"/>
        <v>47</v>
      </c>
      <c r="AF215" s="26">
        <f t="shared" si="49"/>
        <v>47</v>
      </c>
      <c r="AG215" s="26">
        <f t="shared" si="49"/>
        <v>47</v>
      </c>
      <c r="AH215" s="26">
        <f t="shared" si="49"/>
        <v>47</v>
      </c>
      <c r="AI215" s="26">
        <f t="shared" si="49"/>
        <v>47</v>
      </c>
      <c r="AJ215" s="26">
        <f t="shared" si="49"/>
        <v>47</v>
      </c>
      <c r="AK215" s="26">
        <f t="shared" si="49"/>
        <v>47</v>
      </c>
      <c r="AL215" s="26">
        <f t="shared" si="49"/>
        <v>47</v>
      </c>
      <c r="AM215" s="26">
        <f t="shared" si="50"/>
        <v>47</v>
      </c>
      <c r="AN215" s="26">
        <f t="shared" si="50"/>
        <v>47</v>
      </c>
      <c r="AO215" s="26">
        <f t="shared" si="50"/>
        <v>47</v>
      </c>
      <c r="AP215" s="26">
        <f t="shared" si="50"/>
        <v>47</v>
      </c>
      <c r="AQ215" s="376">
        <f t="shared" si="50"/>
        <v>47</v>
      </c>
      <c r="AR215" s="26">
        <f t="shared" si="50"/>
        <v>47</v>
      </c>
      <c r="AS215" s="26">
        <f t="shared" si="50"/>
        <v>47</v>
      </c>
      <c r="AT215" s="26">
        <f>AT214</f>
        <v>46.999999999999986</v>
      </c>
      <c r="AU215" s="55">
        <f>(44/(AU$195-1))+AU214</f>
        <v>47.00000000000002</v>
      </c>
      <c r="AV215" s="55">
        <f t="shared" si="20"/>
        <v>44.80000000000001</v>
      </c>
      <c r="AW215" s="55">
        <f t="shared" si="43"/>
        <v>42.8095238095238</v>
      </c>
      <c r="AX215" s="55">
        <f t="shared" si="43"/>
        <v>41</v>
      </c>
      <c r="AY215" s="55">
        <f t="shared" si="43"/>
        <v>39.34782608695652</v>
      </c>
      <c r="AZ215" s="55">
        <f t="shared" si="43"/>
        <v>37.833333333333336</v>
      </c>
      <c r="BA215" s="61"/>
      <c r="BB215" s="58">
        <v>3</v>
      </c>
      <c r="BC215" s="59">
        <v>47</v>
      </c>
      <c r="BD215" s="58">
        <f t="shared" si="13"/>
        <v>75</v>
      </c>
      <c r="BE215" s="26">
        <f t="shared" si="14"/>
        <v>21</v>
      </c>
      <c r="BF215" s="26">
        <f t="shared" si="51"/>
        <v>75</v>
      </c>
      <c r="BG215" s="26">
        <f t="shared" si="51"/>
        <v>75</v>
      </c>
      <c r="BH215" s="26">
        <f t="shared" si="51"/>
        <v>75</v>
      </c>
      <c r="BI215" s="26">
        <f t="shared" si="51"/>
        <v>75</v>
      </c>
      <c r="BJ215" s="26">
        <f t="shared" si="51"/>
        <v>75</v>
      </c>
      <c r="BK215" s="26">
        <f t="shared" si="51"/>
        <v>75</v>
      </c>
      <c r="BL215" s="26">
        <f t="shared" si="51"/>
        <v>75</v>
      </c>
      <c r="BM215" s="26">
        <f t="shared" si="51"/>
        <v>75</v>
      </c>
      <c r="BN215" s="26">
        <f t="shared" si="51"/>
        <v>75</v>
      </c>
      <c r="BO215" s="26">
        <f t="shared" si="51"/>
        <v>75</v>
      </c>
      <c r="BP215" s="26">
        <f t="shared" si="52"/>
        <v>75</v>
      </c>
      <c r="BQ215" s="26">
        <f t="shared" si="52"/>
        <v>75</v>
      </c>
      <c r="BR215" s="26">
        <f t="shared" si="52"/>
        <v>75</v>
      </c>
      <c r="BS215" s="26">
        <f t="shared" si="52"/>
        <v>75</v>
      </c>
      <c r="BT215" s="26">
        <f t="shared" si="52"/>
        <v>75</v>
      </c>
      <c r="BU215" s="26">
        <f t="shared" si="52"/>
        <v>75</v>
      </c>
      <c r="BV215" s="26">
        <f t="shared" si="52"/>
        <v>75</v>
      </c>
      <c r="BW215" s="26">
        <f>BW214</f>
        <v>74.99999999999997</v>
      </c>
      <c r="BX215" s="55">
        <f t="shared" si="42"/>
        <v>74.99999999999999</v>
      </c>
      <c r="BY215" s="55">
        <f t="shared" si="42"/>
        <v>71.5</v>
      </c>
      <c r="BZ215" s="55">
        <f t="shared" si="42"/>
        <v>68.33333333333334</v>
      </c>
      <c r="CA215" s="55">
        <f t="shared" si="42"/>
        <v>65.45454545454542</v>
      </c>
      <c r="CB215" s="55">
        <f t="shared" si="42"/>
        <v>62.82608695652172</v>
      </c>
      <c r="CC215" s="55">
        <f t="shared" si="42"/>
        <v>60.41666666666665</v>
      </c>
    </row>
    <row r="216" spans="2:81" ht="11.25" customHeight="1">
      <c r="B216" s="330"/>
      <c r="C216" s="33"/>
      <c r="D216" s="3"/>
      <c r="E216" s="3"/>
      <c r="F216" s="3"/>
      <c r="P216" s="3"/>
      <c r="Q216" s="3"/>
      <c r="R216" s="3"/>
      <c r="S216" s="3"/>
      <c r="T216" s="3"/>
      <c r="U216" s="34"/>
      <c r="V216" s="18"/>
      <c r="Y216" s="58">
        <f t="shared" si="7"/>
        <v>47</v>
      </c>
      <c r="Z216" s="59">
        <v>75</v>
      </c>
      <c r="AA216" s="59">
        <v>5</v>
      </c>
      <c r="AB216" s="26">
        <f t="shared" si="10"/>
        <v>22</v>
      </c>
      <c r="AC216" s="26">
        <f t="shared" si="49"/>
        <v>47</v>
      </c>
      <c r="AD216" s="26">
        <f t="shared" si="49"/>
        <v>47</v>
      </c>
      <c r="AE216" s="26">
        <f t="shared" si="49"/>
        <v>47</v>
      </c>
      <c r="AF216" s="26">
        <f t="shared" si="49"/>
        <v>47</v>
      </c>
      <c r="AG216" s="26">
        <f t="shared" si="49"/>
        <v>47</v>
      </c>
      <c r="AH216" s="26">
        <f t="shared" si="49"/>
        <v>47</v>
      </c>
      <c r="AI216" s="26">
        <f t="shared" si="49"/>
        <v>47</v>
      </c>
      <c r="AJ216" s="26">
        <f t="shared" si="49"/>
        <v>47</v>
      </c>
      <c r="AK216" s="26">
        <f t="shared" si="49"/>
        <v>47</v>
      </c>
      <c r="AL216" s="26">
        <f t="shared" si="49"/>
        <v>47</v>
      </c>
      <c r="AM216" s="26">
        <f t="shared" si="50"/>
        <v>47</v>
      </c>
      <c r="AN216" s="26">
        <f t="shared" si="50"/>
        <v>47</v>
      </c>
      <c r="AO216" s="26">
        <f t="shared" si="50"/>
        <v>47</v>
      </c>
      <c r="AP216" s="26">
        <f t="shared" si="50"/>
        <v>47</v>
      </c>
      <c r="AQ216" s="376">
        <f t="shared" si="50"/>
        <v>47</v>
      </c>
      <c r="AR216" s="26">
        <f t="shared" si="50"/>
        <v>47</v>
      </c>
      <c r="AS216" s="26">
        <f t="shared" si="50"/>
        <v>47</v>
      </c>
      <c r="AT216" s="26">
        <f>AT215</f>
        <v>46.999999999999986</v>
      </c>
      <c r="AU216" s="26">
        <f>AU215</f>
        <v>47.00000000000002</v>
      </c>
      <c r="AV216" s="55">
        <f t="shared" si="20"/>
        <v>47.000000000000014</v>
      </c>
      <c r="AW216" s="55">
        <f t="shared" si="43"/>
        <v>44.9047619047619</v>
      </c>
      <c r="AX216" s="55">
        <f t="shared" si="43"/>
        <v>43</v>
      </c>
      <c r="AY216" s="55">
        <f t="shared" si="43"/>
        <v>41.26086956521739</v>
      </c>
      <c r="AZ216" s="55">
        <f t="shared" si="43"/>
        <v>39.66666666666667</v>
      </c>
      <c r="BA216" s="61"/>
      <c r="BB216" s="58">
        <v>3</v>
      </c>
      <c r="BC216" s="59">
        <v>47</v>
      </c>
      <c r="BD216" s="58">
        <f t="shared" si="13"/>
        <v>75</v>
      </c>
      <c r="BE216" s="26">
        <f t="shared" si="14"/>
        <v>22</v>
      </c>
      <c r="BF216" s="26">
        <f t="shared" si="51"/>
        <v>75</v>
      </c>
      <c r="BG216" s="26">
        <f t="shared" si="51"/>
        <v>75</v>
      </c>
      <c r="BH216" s="26">
        <f t="shared" si="51"/>
        <v>75</v>
      </c>
      <c r="BI216" s="26">
        <f t="shared" si="51"/>
        <v>75</v>
      </c>
      <c r="BJ216" s="26">
        <f t="shared" si="51"/>
        <v>75</v>
      </c>
      <c r="BK216" s="26">
        <f t="shared" si="51"/>
        <v>75</v>
      </c>
      <c r="BL216" s="26">
        <f t="shared" si="51"/>
        <v>75</v>
      </c>
      <c r="BM216" s="26">
        <f t="shared" si="51"/>
        <v>75</v>
      </c>
      <c r="BN216" s="26">
        <f t="shared" si="51"/>
        <v>75</v>
      </c>
      <c r="BO216" s="26">
        <f t="shared" si="51"/>
        <v>75</v>
      </c>
      <c r="BP216" s="26">
        <f t="shared" si="52"/>
        <v>75</v>
      </c>
      <c r="BQ216" s="26">
        <f t="shared" si="52"/>
        <v>75</v>
      </c>
      <c r="BR216" s="26">
        <f t="shared" si="52"/>
        <v>75</v>
      </c>
      <c r="BS216" s="26">
        <f t="shared" si="52"/>
        <v>75</v>
      </c>
      <c r="BT216" s="26">
        <f t="shared" si="52"/>
        <v>75</v>
      </c>
      <c r="BU216" s="26">
        <f t="shared" si="52"/>
        <v>75</v>
      </c>
      <c r="BV216" s="26">
        <f t="shared" si="52"/>
        <v>75</v>
      </c>
      <c r="BW216" s="26">
        <f>BW215</f>
        <v>74.99999999999997</v>
      </c>
      <c r="BX216" s="26">
        <f>BX215</f>
        <v>74.99999999999999</v>
      </c>
      <c r="BY216" s="55">
        <f t="shared" si="42"/>
        <v>75</v>
      </c>
      <c r="BZ216" s="55">
        <f t="shared" si="42"/>
        <v>71.66666666666667</v>
      </c>
      <c r="CA216" s="55">
        <f t="shared" si="42"/>
        <v>68.63636363636361</v>
      </c>
      <c r="CB216" s="55">
        <f t="shared" si="42"/>
        <v>65.86956521739128</v>
      </c>
      <c r="CC216" s="55">
        <f t="shared" si="42"/>
        <v>63.333333333333314</v>
      </c>
    </row>
    <row r="217" spans="2:81" ht="11.25" customHeight="1">
      <c r="B217" s="330"/>
      <c r="C217" s="33"/>
      <c r="D217" s="508">
        <f>+H31-H68</f>
        <v>0.4</v>
      </c>
      <c r="E217" s="508"/>
      <c r="F217" s="3"/>
      <c r="P217" s="3"/>
      <c r="Q217" s="3"/>
      <c r="R217" s="3"/>
      <c r="S217" s="3"/>
      <c r="T217" s="3"/>
      <c r="U217" s="34"/>
      <c r="V217" s="18"/>
      <c r="Y217" s="58">
        <f t="shared" si="7"/>
        <v>47</v>
      </c>
      <c r="Z217" s="59">
        <v>75</v>
      </c>
      <c r="AA217" s="59">
        <v>5</v>
      </c>
      <c r="AB217" s="26">
        <f t="shared" si="10"/>
        <v>23</v>
      </c>
      <c r="AC217" s="26">
        <f t="shared" si="49"/>
        <v>47</v>
      </c>
      <c r="AD217" s="26">
        <f t="shared" si="49"/>
        <v>47</v>
      </c>
      <c r="AE217" s="26">
        <f t="shared" si="49"/>
        <v>47</v>
      </c>
      <c r="AF217" s="26">
        <f t="shared" si="49"/>
        <v>47</v>
      </c>
      <c r="AG217" s="26">
        <f t="shared" si="49"/>
        <v>47</v>
      </c>
      <c r="AH217" s="26">
        <f t="shared" si="49"/>
        <v>47</v>
      </c>
      <c r="AI217" s="26">
        <f t="shared" si="49"/>
        <v>47</v>
      </c>
      <c r="AJ217" s="26">
        <f t="shared" si="49"/>
        <v>47</v>
      </c>
      <c r="AK217" s="26">
        <f t="shared" si="49"/>
        <v>47</v>
      </c>
      <c r="AL217" s="26">
        <f t="shared" si="49"/>
        <v>47</v>
      </c>
      <c r="AM217" s="26">
        <f t="shared" si="50"/>
        <v>47</v>
      </c>
      <c r="AN217" s="26">
        <f t="shared" si="50"/>
        <v>47</v>
      </c>
      <c r="AO217" s="26">
        <f t="shared" si="50"/>
        <v>47</v>
      </c>
      <c r="AP217" s="26">
        <f t="shared" si="50"/>
        <v>47</v>
      </c>
      <c r="AQ217" s="376">
        <f t="shared" si="50"/>
        <v>47</v>
      </c>
      <c r="AR217" s="26">
        <f t="shared" si="50"/>
        <v>47</v>
      </c>
      <c r="AS217" s="26">
        <f t="shared" si="50"/>
        <v>47</v>
      </c>
      <c r="AT217" s="26">
        <f>AT216</f>
        <v>46.999999999999986</v>
      </c>
      <c r="AU217" s="26">
        <f>AU216</f>
        <v>47.00000000000002</v>
      </c>
      <c r="AV217" s="26">
        <f>AV216</f>
        <v>47.000000000000014</v>
      </c>
      <c r="AW217" s="55">
        <f t="shared" si="43"/>
        <v>46.99999999999999</v>
      </c>
      <c r="AX217" s="55">
        <f t="shared" si="43"/>
        <v>45</v>
      </c>
      <c r="AY217" s="55">
        <f t="shared" si="43"/>
        <v>43.17391304347826</v>
      </c>
      <c r="AZ217" s="55">
        <f t="shared" si="43"/>
        <v>41.50000000000001</v>
      </c>
      <c r="BA217" s="61"/>
      <c r="BB217" s="58">
        <v>3</v>
      </c>
      <c r="BC217" s="59">
        <v>47</v>
      </c>
      <c r="BD217" s="58">
        <f t="shared" si="13"/>
        <v>75</v>
      </c>
      <c r="BE217" s="26">
        <f t="shared" si="14"/>
        <v>23</v>
      </c>
      <c r="BF217" s="26">
        <f t="shared" si="51"/>
        <v>75</v>
      </c>
      <c r="BG217" s="26">
        <f t="shared" si="51"/>
        <v>75</v>
      </c>
      <c r="BH217" s="26">
        <f t="shared" si="51"/>
        <v>75</v>
      </c>
      <c r="BI217" s="26">
        <f t="shared" si="51"/>
        <v>75</v>
      </c>
      <c r="BJ217" s="26">
        <f t="shared" si="51"/>
        <v>75</v>
      </c>
      <c r="BK217" s="26">
        <f t="shared" si="51"/>
        <v>75</v>
      </c>
      <c r="BL217" s="26">
        <f t="shared" si="51"/>
        <v>75</v>
      </c>
      <c r="BM217" s="26">
        <f t="shared" si="51"/>
        <v>75</v>
      </c>
      <c r="BN217" s="26">
        <f t="shared" si="51"/>
        <v>75</v>
      </c>
      <c r="BO217" s="26">
        <f t="shared" si="51"/>
        <v>75</v>
      </c>
      <c r="BP217" s="26">
        <f t="shared" si="52"/>
        <v>75</v>
      </c>
      <c r="BQ217" s="26">
        <f t="shared" si="52"/>
        <v>75</v>
      </c>
      <c r="BR217" s="26">
        <f t="shared" si="52"/>
        <v>75</v>
      </c>
      <c r="BS217" s="26">
        <f t="shared" si="52"/>
        <v>75</v>
      </c>
      <c r="BT217" s="26">
        <f t="shared" si="52"/>
        <v>75</v>
      </c>
      <c r="BU217" s="26">
        <f t="shared" si="52"/>
        <v>75</v>
      </c>
      <c r="BV217" s="26">
        <f t="shared" si="52"/>
        <v>75</v>
      </c>
      <c r="BW217" s="26">
        <f>BW216</f>
        <v>74.99999999999997</v>
      </c>
      <c r="BX217" s="26">
        <f>BX216</f>
        <v>74.99999999999999</v>
      </c>
      <c r="BY217" s="26">
        <f>BY216</f>
        <v>75</v>
      </c>
      <c r="BZ217" s="55">
        <f t="shared" si="42"/>
        <v>75</v>
      </c>
      <c r="CA217" s="55">
        <f t="shared" si="42"/>
        <v>71.8181818181818</v>
      </c>
      <c r="CB217" s="55">
        <f t="shared" si="42"/>
        <v>68.91304347826085</v>
      </c>
      <c r="CC217" s="55">
        <f t="shared" si="42"/>
        <v>66.24999999999999</v>
      </c>
    </row>
    <row r="218" spans="2:81" ht="11.25" customHeight="1">
      <c r="B218" s="330"/>
      <c r="C218" s="33"/>
      <c r="D218" s="508"/>
      <c r="E218" s="508"/>
      <c r="F218" s="3"/>
      <c r="P218" s="3"/>
      <c r="Q218" s="3"/>
      <c r="R218" s="3"/>
      <c r="S218" s="3"/>
      <c r="T218" s="3"/>
      <c r="U218" s="34"/>
      <c r="V218" s="18"/>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62"/>
      <c r="BB218" s="58"/>
      <c r="BC218" s="59"/>
      <c r="BD218" s="58"/>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c r="CA218" s="55">
        <f t="shared" si="42"/>
        <v>74.99999999999999</v>
      </c>
      <c r="CB218" s="55">
        <f t="shared" si="42"/>
        <v>71.95652173913041</v>
      </c>
      <c r="CC218" s="55">
        <f t="shared" si="42"/>
        <v>69.16666666666666</v>
      </c>
    </row>
    <row r="219" spans="2:51" ht="11.25" customHeight="1">
      <c r="B219" s="330"/>
      <c r="C219" s="33"/>
      <c r="D219" s="3"/>
      <c r="E219" s="3"/>
      <c r="F219" s="3"/>
      <c r="P219" s="3"/>
      <c r="Q219" s="3"/>
      <c r="R219" s="3"/>
      <c r="S219" s="3"/>
      <c r="T219" s="3"/>
      <c r="U219" s="34"/>
      <c r="V219" s="18"/>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row>
    <row r="220" spans="2:51" ht="11.25" customHeight="1">
      <c r="B220" s="330"/>
      <c r="C220" s="33"/>
      <c r="E220" s="379"/>
      <c r="F220" s="509" t="str">
        <f>CONCATENATE("Loop ",D123,"-",E123,F123," ","มม.")</f>
        <v>Loop 1-RB12 มม.</v>
      </c>
      <c r="G220" s="509"/>
      <c r="H220" s="509"/>
      <c r="I220" s="3"/>
      <c r="J220" s="3"/>
      <c r="K220" s="3"/>
      <c r="L220" s="3"/>
      <c r="M220" s="3"/>
      <c r="N220" s="3"/>
      <c r="O220" s="3"/>
      <c r="P220" s="3"/>
      <c r="Q220" s="3"/>
      <c r="R220" s="3"/>
      <c r="S220" s="3"/>
      <c r="T220" s="3"/>
      <c r="U220" s="34"/>
      <c r="V220" s="18"/>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row>
    <row r="221" spans="2:51" ht="11.25" customHeight="1">
      <c r="B221" s="330"/>
      <c r="C221" s="33"/>
      <c r="D221" s="379"/>
      <c r="E221" s="379"/>
      <c r="F221" s="3"/>
      <c r="G221" s="3"/>
      <c r="H221" s="3"/>
      <c r="I221" s="3"/>
      <c r="J221" s="3"/>
      <c r="K221" s="3"/>
      <c r="L221" s="3"/>
      <c r="M221" s="510" t="str">
        <f>IF(S10="SR-24",CONCATENATE(H121,"-","RB",H122," ","มม."),CONCATENATE(H121,"-","DB",H122," ","มม."))</f>
        <v>11-DB20 มม.</v>
      </c>
      <c r="N221" s="510"/>
      <c r="O221" s="510"/>
      <c r="P221" s="510"/>
      <c r="Q221" s="3"/>
      <c r="R221" s="3"/>
      <c r="S221" s="3"/>
      <c r="T221" s="3"/>
      <c r="U221" s="34"/>
      <c r="V221" s="18"/>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row>
    <row r="222" spans="2:51" ht="11.25" customHeight="1">
      <c r="B222" s="330"/>
      <c r="C222" s="33"/>
      <c r="D222" s="3"/>
      <c r="E222" s="3"/>
      <c r="F222" s="3"/>
      <c r="G222" s="3"/>
      <c r="H222" s="3"/>
      <c r="I222" s="3"/>
      <c r="J222" s="3"/>
      <c r="K222" s="3"/>
      <c r="L222" s="3"/>
      <c r="M222" s="3"/>
      <c r="N222" s="3"/>
      <c r="O222" s="3"/>
      <c r="P222" s="3"/>
      <c r="Q222" s="3"/>
      <c r="R222" s="3"/>
      <c r="S222" s="3"/>
      <c r="T222" s="3"/>
      <c r="U222" s="34"/>
      <c r="V222" s="18"/>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row>
    <row r="223" spans="2:51" ht="11.25" customHeight="1">
      <c r="B223" s="330"/>
      <c r="C223" s="467">
        <f>+H31</f>
        <v>1</v>
      </c>
      <c r="D223" s="3"/>
      <c r="E223" s="3"/>
      <c r="F223" s="68"/>
      <c r="G223" s="3"/>
      <c r="H223" s="3"/>
      <c r="I223" s="3"/>
      <c r="J223" s="3"/>
      <c r="K223" s="3"/>
      <c r="L223" s="3"/>
      <c r="M223" s="3"/>
      <c r="N223" s="3"/>
      <c r="O223" s="3"/>
      <c r="P223" s="3"/>
      <c r="Q223" s="3"/>
      <c r="R223" s="3"/>
      <c r="S223" s="3"/>
      <c r="T223" s="3"/>
      <c r="U223" s="34"/>
      <c r="V223" s="18"/>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row>
    <row r="224" spans="2:51" ht="11.25" customHeight="1">
      <c r="B224" s="330"/>
      <c r="C224" s="380"/>
      <c r="D224" s="3"/>
      <c r="E224" s="66"/>
      <c r="F224" s="3"/>
      <c r="G224" s="66"/>
      <c r="H224" s="3"/>
      <c r="I224" s="3"/>
      <c r="J224" s="3"/>
      <c r="K224" s="3"/>
      <c r="L224" s="3"/>
      <c r="M224" s="3"/>
      <c r="N224" s="3"/>
      <c r="O224" s="22"/>
      <c r="P224" s="3"/>
      <c r="Q224" s="3"/>
      <c r="R224" s="3"/>
      <c r="S224" s="3"/>
      <c r="T224" s="3"/>
      <c r="U224" s="34"/>
      <c r="V224" s="18"/>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row>
    <row r="225" spans="2:51" ht="11.25" customHeight="1">
      <c r="B225" s="330"/>
      <c r="C225" s="380"/>
      <c r="D225" s="3"/>
      <c r="E225" s="3"/>
      <c r="F225" s="3"/>
      <c r="G225" s="3"/>
      <c r="H225" s="3"/>
      <c r="I225" s="3"/>
      <c r="J225" s="3"/>
      <c r="K225" s="3"/>
      <c r="L225" s="3"/>
      <c r="M225" s="3"/>
      <c r="N225" s="3"/>
      <c r="O225" s="3"/>
      <c r="P225" s="3"/>
      <c r="Q225" s="3"/>
      <c r="R225" s="3"/>
      <c r="S225" s="31"/>
      <c r="T225" s="3"/>
      <c r="U225" s="34"/>
      <c r="V225" s="18"/>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row>
    <row r="226" spans="2:51" ht="11.25" customHeight="1">
      <c r="B226" s="330"/>
      <c r="C226" s="380"/>
      <c r="D226" s="3"/>
      <c r="E226" s="3"/>
      <c r="F226" s="3"/>
      <c r="G226" s="3"/>
      <c r="H226" s="3"/>
      <c r="I226" s="3"/>
      <c r="J226" s="3"/>
      <c r="K226" s="3"/>
      <c r="L226" s="3"/>
      <c r="M226" s="3"/>
      <c r="N226" s="3"/>
      <c r="O226" s="3"/>
      <c r="P226" s="3"/>
      <c r="Q226" s="3"/>
      <c r="R226" s="3"/>
      <c r="S226" s="3"/>
      <c r="T226" s="3"/>
      <c r="U226" s="34"/>
      <c r="V226" s="18"/>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row>
    <row r="227" spans="2:51" ht="11.25" customHeight="1">
      <c r="B227" s="330"/>
      <c r="C227" s="33"/>
      <c r="D227" s="3"/>
      <c r="E227" s="3"/>
      <c r="F227" s="3"/>
      <c r="G227" s="3"/>
      <c r="H227" s="3"/>
      <c r="I227" s="3"/>
      <c r="J227" s="3"/>
      <c r="K227" s="3"/>
      <c r="L227" s="3"/>
      <c r="M227" s="3"/>
      <c r="N227" s="3"/>
      <c r="O227" s="3"/>
      <c r="P227" s="510" t="str">
        <f>IF(S10="SR-24",CONCATENATE(K121,"-","RB",K122," ","มม."),CONCATENATE(K121,"-","DB",K122," ","มม."))</f>
        <v>17-DB20 มม.</v>
      </c>
      <c r="Q227" s="510"/>
      <c r="R227" s="510"/>
      <c r="S227" s="510"/>
      <c r="T227" s="3"/>
      <c r="U227" s="34"/>
      <c r="V227" s="18"/>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row>
    <row r="228" spans="2:51" ht="11.25" customHeight="1">
      <c r="B228" s="330"/>
      <c r="C228" s="33"/>
      <c r="D228" s="508">
        <f>H68</f>
        <v>0.6</v>
      </c>
      <c r="E228" s="508"/>
      <c r="F228" s="3"/>
      <c r="G228" s="3"/>
      <c r="H228" s="3"/>
      <c r="I228" s="3"/>
      <c r="J228" s="3"/>
      <c r="K228" s="3"/>
      <c r="L228" s="3"/>
      <c r="M228" s="3"/>
      <c r="N228" s="3"/>
      <c r="O228" s="3"/>
      <c r="P228" s="3"/>
      <c r="Q228" s="3"/>
      <c r="R228" s="3"/>
      <c r="S228" s="3"/>
      <c r="T228" s="3"/>
      <c r="U228" s="34"/>
      <c r="V228" s="18"/>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row>
    <row r="229" spans="2:51" ht="11.25" customHeight="1">
      <c r="B229" s="330"/>
      <c r="C229" s="33"/>
      <c r="D229" s="508"/>
      <c r="E229" s="508"/>
      <c r="F229" s="3"/>
      <c r="G229" s="3"/>
      <c r="H229" s="3"/>
      <c r="I229" s="3"/>
      <c r="J229" s="3"/>
      <c r="K229" s="3"/>
      <c r="L229" s="3"/>
      <c r="M229" s="3"/>
      <c r="N229" s="3"/>
      <c r="O229" s="3"/>
      <c r="P229" s="3"/>
      <c r="Q229" s="3"/>
      <c r="R229" s="3"/>
      <c r="S229" s="35"/>
      <c r="T229" s="3"/>
      <c r="U229" s="34"/>
      <c r="V229" s="18"/>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row>
    <row r="230" spans="2:22" ht="11.25" customHeight="1">
      <c r="B230" s="330"/>
      <c r="C230" s="33"/>
      <c r="D230" s="508"/>
      <c r="E230" s="508"/>
      <c r="F230" s="3"/>
      <c r="G230" s="3"/>
      <c r="H230" s="3"/>
      <c r="I230" s="3"/>
      <c r="J230" s="3"/>
      <c r="K230" s="3"/>
      <c r="L230" s="3"/>
      <c r="M230" s="3"/>
      <c r="N230" s="3"/>
      <c r="O230" s="3"/>
      <c r="P230" s="3"/>
      <c r="Q230" s="3"/>
      <c r="R230" s="3"/>
      <c r="S230" s="3"/>
      <c r="T230" s="3"/>
      <c r="U230" s="34"/>
      <c r="V230" s="18"/>
    </row>
    <row r="231" spans="2:22" ht="11.25" customHeight="1">
      <c r="B231" s="330"/>
      <c r="C231" s="33"/>
      <c r="D231" s="3"/>
      <c r="E231" s="3"/>
      <c r="F231" s="3"/>
      <c r="G231" s="3"/>
      <c r="H231" s="3"/>
      <c r="I231" s="3"/>
      <c r="J231" s="3"/>
      <c r="K231" s="3"/>
      <c r="L231" s="3"/>
      <c r="M231" s="3"/>
      <c r="N231" s="3"/>
      <c r="O231" s="3"/>
      <c r="P231" s="3"/>
      <c r="Q231" s="3"/>
      <c r="R231" s="3"/>
      <c r="S231" s="3"/>
      <c r="T231" s="3"/>
      <c r="U231" s="34"/>
      <c r="V231" s="18"/>
    </row>
    <row r="232" spans="2:22" ht="11.25" customHeight="1">
      <c r="B232" s="330"/>
      <c r="C232" s="33"/>
      <c r="D232" s="3"/>
      <c r="E232" s="3"/>
      <c r="F232" s="3"/>
      <c r="G232" s="3"/>
      <c r="H232" s="3"/>
      <c r="I232" s="3"/>
      <c r="J232" s="3"/>
      <c r="K232" s="3"/>
      <c r="L232" s="3"/>
      <c r="M232" s="3"/>
      <c r="N232" s="3"/>
      <c r="O232" s="3"/>
      <c r="P232" s="3"/>
      <c r="Q232" s="3"/>
      <c r="R232" s="3"/>
      <c r="S232" s="3"/>
      <c r="T232" s="3"/>
      <c r="U232" s="34"/>
      <c r="V232" s="18"/>
    </row>
    <row r="233" spans="2:22" ht="11.25" customHeight="1">
      <c r="B233" s="330"/>
      <c r="C233" s="33"/>
      <c r="D233" s="3"/>
      <c r="E233" s="3"/>
      <c r="F233" s="3"/>
      <c r="G233" s="3"/>
      <c r="H233" s="3"/>
      <c r="I233" s="3"/>
      <c r="J233" s="3"/>
      <c r="K233" s="3"/>
      <c r="L233" s="3"/>
      <c r="M233" s="3"/>
      <c r="N233" s="3"/>
      <c r="O233" s="3"/>
      <c r="P233" s="3"/>
      <c r="Q233" s="3"/>
      <c r="R233" s="3"/>
      <c r="S233" s="3"/>
      <c r="T233" s="3"/>
      <c r="U233" s="34"/>
      <c r="V233" s="18"/>
    </row>
    <row r="234" spans="2:22" ht="11.25" customHeight="1">
      <c r="B234" s="330"/>
      <c r="C234" s="33"/>
      <c r="D234" s="3"/>
      <c r="E234" s="3"/>
      <c r="F234" s="3"/>
      <c r="G234" s="3"/>
      <c r="H234" s="3"/>
      <c r="I234" s="3"/>
      <c r="J234" s="3"/>
      <c r="K234" s="3"/>
      <c r="L234" s="3"/>
      <c r="M234" s="3"/>
      <c r="N234" s="3"/>
      <c r="O234" s="3"/>
      <c r="P234" s="3"/>
      <c r="Q234" s="3"/>
      <c r="R234" s="3"/>
      <c r="S234" s="3"/>
      <c r="T234" s="3"/>
      <c r="U234" s="34"/>
      <c r="V234" s="18"/>
    </row>
    <row r="235" spans="2:22" ht="11.25" customHeight="1">
      <c r="B235" s="330"/>
      <c r="C235" s="33"/>
      <c r="D235" s="476" t="s">
        <v>347</v>
      </c>
      <c r="E235" s="67"/>
      <c r="F235" s="67"/>
      <c r="G235" s="67"/>
      <c r="H235" s="3"/>
      <c r="I235" s="3"/>
      <c r="J235" s="3"/>
      <c r="K235" s="3"/>
      <c r="L235" s="3"/>
      <c r="M235" s="3"/>
      <c r="N235" s="3"/>
      <c r="O235" s="3"/>
      <c r="P235" s="3"/>
      <c r="Q235" s="31" t="s">
        <v>326</v>
      </c>
      <c r="R235" s="366"/>
      <c r="S235" s="366"/>
      <c r="T235" s="3"/>
      <c r="U235" s="34"/>
      <c r="V235" s="18"/>
    </row>
    <row r="236" spans="2:22" ht="11.25" customHeight="1">
      <c r="B236" s="330"/>
      <c r="C236" s="33"/>
      <c r="D236" s="503" t="s">
        <v>348</v>
      </c>
      <c r="E236" s="66"/>
      <c r="F236" s="3"/>
      <c r="G236" s="66"/>
      <c r="H236" s="3"/>
      <c r="I236" s="3"/>
      <c r="J236" s="3"/>
      <c r="K236" s="3"/>
      <c r="L236" s="3"/>
      <c r="M236" s="3"/>
      <c r="N236" s="3"/>
      <c r="O236" s="3"/>
      <c r="P236" s="3"/>
      <c r="Q236" s="552" t="s">
        <v>327</v>
      </c>
      <c r="R236" s="552"/>
      <c r="S236" s="552"/>
      <c r="T236" s="3"/>
      <c r="U236" s="34"/>
      <c r="V236" s="18"/>
    </row>
    <row r="237" spans="2:22" ht="11.25" customHeight="1">
      <c r="B237" s="330"/>
      <c r="C237" s="33"/>
      <c r="D237" s="504"/>
      <c r="E237" s="68"/>
      <c r="F237" s="3"/>
      <c r="G237" s="68"/>
      <c r="H237" s="3"/>
      <c r="I237" s="3"/>
      <c r="J237" s="3"/>
      <c r="K237" s="3"/>
      <c r="L237" s="3"/>
      <c r="M237" s="3"/>
      <c r="N237" s="3"/>
      <c r="O237" s="25"/>
      <c r="P237" s="3"/>
      <c r="Q237" s="552"/>
      <c r="R237" s="552"/>
      <c r="S237" s="552"/>
      <c r="T237" s="3"/>
      <c r="U237" s="34"/>
      <c r="V237" s="18"/>
    </row>
    <row r="238" spans="2:22" ht="11.25" customHeight="1">
      <c r="B238" s="330"/>
      <c r="C238" s="33"/>
      <c r="D238" s="3"/>
      <c r="E238" s="3"/>
      <c r="F238" s="66"/>
      <c r="G238" s="3"/>
      <c r="H238" s="3"/>
      <c r="I238" s="3"/>
      <c r="J238" s="3"/>
      <c r="K238" s="3"/>
      <c r="L238" s="3"/>
      <c r="M238" s="3"/>
      <c r="N238" s="3"/>
      <c r="O238" s="3"/>
      <c r="P238" s="3"/>
      <c r="Q238" s="3"/>
      <c r="R238" s="3"/>
      <c r="S238" s="3"/>
      <c r="T238" s="3"/>
      <c r="U238" s="34"/>
      <c r="V238" s="18"/>
    </row>
    <row r="239" spans="2:22" ht="11.25" customHeight="1">
      <c r="B239" s="330"/>
      <c r="C239" s="33"/>
      <c r="D239" s="3"/>
      <c r="E239" s="3"/>
      <c r="F239" s="3"/>
      <c r="G239" s="3"/>
      <c r="H239" s="3"/>
      <c r="I239" s="3"/>
      <c r="J239" s="3"/>
      <c r="K239" s="3"/>
      <c r="L239" s="3"/>
      <c r="M239" s="3"/>
      <c r="N239" s="3"/>
      <c r="O239" s="3"/>
      <c r="P239" s="3"/>
      <c r="Q239" s="3"/>
      <c r="R239" s="3"/>
      <c r="S239" s="3"/>
      <c r="T239" s="3"/>
      <c r="U239" s="34"/>
      <c r="V239" s="18"/>
    </row>
    <row r="240" spans="2:22" ht="11.25" customHeight="1">
      <c r="B240" s="330"/>
      <c r="C240" s="33"/>
      <c r="D240" s="3"/>
      <c r="E240" s="3"/>
      <c r="F240" s="3"/>
      <c r="G240" s="3"/>
      <c r="H240" s="3"/>
      <c r="I240" s="3"/>
      <c r="J240" s="3"/>
      <c r="K240" s="3"/>
      <c r="L240" s="3"/>
      <c r="M240" s="3"/>
      <c r="N240" s="3"/>
      <c r="O240" s="3"/>
      <c r="P240" s="3"/>
      <c r="Q240" s="3"/>
      <c r="R240" s="3"/>
      <c r="S240" s="3"/>
      <c r="T240" s="3"/>
      <c r="U240" s="34"/>
      <c r="V240" s="18"/>
    </row>
    <row r="241" spans="2:22" ht="11.25" customHeight="1">
      <c r="B241" s="330"/>
      <c r="C241" s="33"/>
      <c r="D241" s="3"/>
      <c r="E241" s="3"/>
      <c r="F241" s="3"/>
      <c r="G241" s="3"/>
      <c r="H241" s="3"/>
      <c r="I241" s="3"/>
      <c r="J241" s="3"/>
      <c r="K241" s="3"/>
      <c r="L241" s="74"/>
      <c r="M241" s="3"/>
      <c r="N241" s="3"/>
      <c r="O241" s="3"/>
      <c r="P241" s="75" t="str">
        <f>"เสาเข็มคอนกรีตอัดแรง -ต้น "&amp;H20</f>
        <v>เสาเข็มคอนกรีตอัดแรง -ต้น I-22x22</v>
      </c>
      <c r="Q241" s="3"/>
      <c r="R241" s="3"/>
      <c r="S241" s="3"/>
      <c r="T241" s="3"/>
      <c r="U241" s="34"/>
      <c r="V241" s="18"/>
    </row>
    <row r="242" spans="2:22" ht="11.25" customHeight="1">
      <c r="B242" s="330"/>
      <c r="C242" s="33"/>
      <c r="D242" s="3"/>
      <c r="E242" s="3"/>
      <c r="F242" s="3"/>
      <c r="G242" s="3"/>
      <c r="H242" s="3"/>
      <c r="I242" s="3"/>
      <c r="J242" s="3"/>
      <c r="K242" s="3"/>
      <c r="L242" s="3"/>
      <c r="M242" s="3"/>
      <c r="N242" s="3"/>
      <c r="O242" s="3"/>
      <c r="P242" s="31" t="str">
        <f>"รับน้ำหนักปลอดภัยได้ไม่น้อยกว่า "&amp;H21&amp;" ตัน / ต้น"</f>
        <v>รับน้ำหนักปลอดภัยได้ไม่น้อยกว่า 20 ตัน / ต้น</v>
      </c>
      <c r="Q242" s="3"/>
      <c r="R242" s="3"/>
      <c r="S242" s="3"/>
      <c r="T242" s="3"/>
      <c r="U242" s="34"/>
      <c r="V242" s="18"/>
    </row>
    <row r="243" spans="2:22" ht="11.25" customHeight="1">
      <c r="B243" s="330"/>
      <c r="C243" s="33"/>
      <c r="D243" s="3"/>
      <c r="E243" s="3"/>
      <c r="F243" s="3"/>
      <c r="G243" s="3"/>
      <c r="H243" s="3"/>
      <c r="I243" s="3"/>
      <c r="J243" s="3"/>
      <c r="K243" s="3"/>
      <c r="L243" s="3"/>
      <c r="M243" s="3"/>
      <c r="N243" s="3"/>
      <c r="O243" s="3"/>
      <c r="P243" s="3"/>
      <c r="Q243" s="3"/>
      <c r="R243" s="3"/>
      <c r="S243" s="3"/>
      <c r="T243" s="3"/>
      <c r="U243" s="34"/>
      <c r="V243" s="18"/>
    </row>
    <row r="244" spans="2:22" ht="11.25" customHeight="1">
      <c r="B244" s="330"/>
      <c r="C244" s="33"/>
      <c r="D244" s="3"/>
      <c r="E244" s="3"/>
      <c r="F244" s="3"/>
      <c r="G244" s="3"/>
      <c r="H244" s="3"/>
      <c r="I244" s="3"/>
      <c r="J244" s="3"/>
      <c r="K244" s="3"/>
      <c r="L244" s="3"/>
      <c r="M244" s="3"/>
      <c r="N244" s="3"/>
      <c r="O244" s="3"/>
      <c r="P244" s="3"/>
      <c r="Q244" s="3"/>
      <c r="R244" s="3"/>
      <c r="S244" s="3"/>
      <c r="T244" s="3"/>
      <c r="U244" s="34"/>
      <c r="V244" s="18"/>
    </row>
    <row r="245" spans="2:22" ht="11.25" customHeight="1">
      <c r="B245" s="330"/>
      <c r="C245" s="33"/>
      <c r="D245" s="3"/>
      <c r="E245" s="3"/>
      <c r="F245" s="3"/>
      <c r="G245" s="3"/>
      <c r="H245" s="3"/>
      <c r="I245" s="3"/>
      <c r="J245" s="3"/>
      <c r="K245" s="3"/>
      <c r="L245" s="3"/>
      <c r="M245" s="3"/>
      <c r="N245" s="3"/>
      <c r="O245" s="3"/>
      <c r="P245" s="3"/>
      <c r="Q245" s="3"/>
      <c r="R245" s="3"/>
      <c r="S245" s="3"/>
      <c r="T245" s="3"/>
      <c r="U245" s="34"/>
      <c r="V245" s="18"/>
    </row>
    <row r="246" spans="2:22" ht="11.25" customHeight="1">
      <c r="B246" s="330"/>
      <c r="C246" s="33"/>
      <c r="D246" s="3"/>
      <c r="E246" s="3"/>
      <c r="F246" s="3"/>
      <c r="G246" s="3"/>
      <c r="H246" s="3"/>
      <c r="I246" s="3"/>
      <c r="J246" s="3"/>
      <c r="K246" s="3"/>
      <c r="L246" s="3"/>
      <c r="M246" s="3"/>
      <c r="N246" s="3"/>
      <c r="O246" s="3"/>
      <c r="P246" s="3"/>
      <c r="Q246" s="75"/>
      <c r="R246" s="3"/>
      <c r="S246" s="3"/>
      <c r="T246" s="3"/>
      <c r="U246" s="34"/>
      <c r="V246" s="18"/>
    </row>
    <row r="247" spans="2:22" ht="11.25" customHeight="1">
      <c r="B247" s="330"/>
      <c r="C247" s="33"/>
      <c r="D247" s="3"/>
      <c r="E247" s="3"/>
      <c r="F247" s="3"/>
      <c r="G247" s="3"/>
      <c r="H247" s="3"/>
      <c r="I247" s="3"/>
      <c r="J247" s="548" t="str">
        <f>"รูปตัด "&amp;Q2</f>
        <v>รูปตัด F6A</v>
      </c>
      <c r="K247" s="549"/>
      <c r="L247" s="549"/>
      <c r="M247" s="550"/>
      <c r="N247" s="3"/>
      <c r="O247" s="3"/>
      <c r="P247" s="3"/>
      <c r="Q247" s="3"/>
      <c r="R247" s="3"/>
      <c r="S247" s="3"/>
      <c r="T247" s="3"/>
      <c r="U247" s="34"/>
      <c r="V247" s="18"/>
    </row>
    <row r="248" spans="2:22" ht="11.25" customHeight="1" thickBot="1">
      <c r="B248" s="330"/>
      <c r="C248" s="33"/>
      <c r="D248" s="3"/>
      <c r="E248" s="3"/>
      <c r="F248" s="3"/>
      <c r="G248" s="3"/>
      <c r="H248" s="3"/>
      <c r="I248" s="71"/>
      <c r="J248" s="3"/>
      <c r="K248" s="3"/>
      <c r="L248" s="3"/>
      <c r="M248" s="3"/>
      <c r="N248" s="71"/>
      <c r="O248" s="71"/>
      <c r="P248" s="3"/>
      <c r="Q248" s="3"/>
      <c r="R248" s="3"/>
      <c r="S248" s="3"/>
      <c r="T248" s="3"/>
      <c r="U248" s="34"/>
      <c r="V248" s="18"/>
    </row>
    <row r="249" spans="2:22" ht="11.25" customHeight="1">
      <c r="B249" s="330"/>
      <c r="C249" s="350"/>
      <c r="D249" s="350"/>
      <c r="E249" s="350"/>
      <c r="F249" s="350"/>
      <c r="G249" s="350"/>
      <c r="H249" s="350"/>
      <c r="I249" s="350"/>
      <c r="J249" s="350"/>
      <c r="K249" s="350"/>
      <c r="L249" s="350"/>
      <c r="M249" s="350"/>
      <c r="N249" s="350"/>
      <c r="O249" s="350"/>
      <c r="P249" s="350"/>
      <c r="Q249" s="350"/>
      <c r="R249" s="350"/>
      <c r="S249" s="350"/>
      <c r="T249" s="350"/>
      <c r="U249" s="350"/>
      <c r="V249" s="18"/>
    </row>
    <row r="250" spans="2:22" ht="11.25" customHeight="1">
      <c r="B250" s="330"/>
      <c r="C250" s="3"/>
      <c r="D250" s="3"/>
      <c r="E250" s="3"/>
      <c r="F250" s="3"/>
      <c r="G250" s="3"/>
      <c r="H250" s="3"/>
      <c r="I250" s="3"/>
      <c r="J250" s="3"/>
      <c r="K250" s="3"/>
      <c r="L250" s="3"/>
      <c r="M250" s="3"/>
      <c r="N250" s="3"/>
      <c r="O250" s="3"/>
      <c r="P250" s="3"/>
      <c r="Q250" s="3"/>
      <c r="R250" s="3"/>
      <c r="S250" s="3"/>
      <c r="T250" s="3"/>
      <c r="U250" s="3"/>
      <c r="V250" s="18"/>
    </row>
    <row r="251" spans="2:22" ht="11.25" customHeight="1">
      <c r="B251" s="330"/>
      <c r="C251" s="3"/>
      <c r="D251" s="3"/>
      <c r="E251" s="3"/>
      <c r="F251" s="3"/>
      <c r="G251" s="3"/>
      <c r="H251" s="3"/>
      <c r="I251" s="3"/>
      <c r="J251" s="3"/>
      <c r="K251" s="3"/>
      <c r="L251" s="3"/>
      <c r="M251" s="3"/>
      <c r="N251" s="3"/>
      <c r="O251" s="51"/>
      <c r="P251" s="51"/>
      <c r="Q251" s="51"/>
      <c r="R251" s="51"/>
      <c r="S251" s="51"/>
      <c r="T251" s="51"/>
      <c r="U251" s="3"/>
      <c r="V251" s="18"/>
    </row>
    <row r="252" spans="2:22" ht="11.25" customHeight="1">
      <c r="B252" s="330"/>
      <c r="C252" s="3"/>
      <c r="D252" s="3"/>
      <c r="E252" s="3"/>
      <c r="F252" s="3"/>
      <c r="G252" s="3"/>
      <c r="H252" s="3"/>
      <c r="I252" s="3"/>
      <c r="J252" s="3"/>
      <c r="K252" s="3"/>
      <c r="L252" s="3"/>
      <c r="M252" s="3"/>
      <c r="N252" s="3"/>
      <c r="O252" s="31" t="str">
        <f>O85</f>
        <v>วิศวกรโครงสร้าง :  นาย สุธีร์     แก้วคำ  สย.9698</v>
      </c>
      <c r="P252" s="3"/>
      <c r="Q252" s="3"/>
      <c r="R252" s="3"/>
      <c r="S252" s="3"/>
      <c r="T252" s="3"/>
      <c r="U252" s="3"/>
      <c r="V252" s="18"/>
    </row>
    <row r="253" spans="2:22" ht="11.25" customHeight="1" thickBot="1">
      <c r="B253" s="331"/>
      <c r="C253" s="20"/>
      <c r="D253" s="20"/>
      <c r="E253" s="20"/>
      <c r="F253" s="20"/>
      <c r="G253" s="20"/>
      <c r="H253" s="20"/>
      <c r="I253" s="20"/>
      <c r="J253" s="20"/>
      <c r="K253" s="20"/>
      <c r="L253" s="20"/>
      <c r="M253" s="20"/>
      <c r="N253" s="20"/>
      <c r="O253" s="20"/>
      <c r="P253" s="20"/>
      <c r="Q253" s="20"/>
      <c r="R253" s="20"/>
      <c r="S253" s="20"/>
      <c r="T253" s="20"/>
      <c r="U253" s="20"/>
      <c r="V253" s="21"/>
    </row>
    <row r="254" spans="2:22" ht="11.25" customHeight="1">
      <c r="B254" s="30"/>
      <c r="C254" s="14"/>
      <c r="D254" s="14"/>
      <c r="E254" s="14"/>
      <c r="F254" s="14"/>
      <c r="G254" s="14"/>
      <c r="H254" s="14"/>
      <c r="I254" s="14"/>
      <c r="J254" s="14"/>
      <c r="K254" s="14"/>
      <c r="L254" s="14"/>
      <c r="M254" s="14"/>
      <c r="N254" s="14"/>
      <c r="O254" s="14"/>
      <c r="P254" s="14"/>
      <c r="Q254" s="14"/>
      <c r="R254" s="14"/>
      <c r="S254" s="14"/>
      <c r="T254" s="14"/>
      <c r="U254" s="14"/>
      <c r="V254" s="14"/>
    </row>
    <row r="255" spans="2:22" ht="11.25" customHeight="1">
      <c r="B255" s="30"/>
      <c r="C255" s="14"/>
      <c r="D255" s="14"/>
      <c r="E255" s="14"/>
      <c r="F255" s="14"/>
      <c r="G255" s="14"/>
      <c r="H255" s="14"/>
      <c r="I255" s="14"/>
      <c r="J255" s="14"/>
      <c r="K255" s="14"/>
      <c r="L255" s="14"/>
      <c r="M255" s="14"/>
      <c r="N255" s="14"/>
      <c r="O255" s="14"/>
      <c r="P255" s="14"/>
      <c r="Q255" s="14"/>
      <c r="R255" s="14"/>
      <c r="S255" s="14"/>
      <c r="T255" s="14"/>
      <c r="U255" s="14"/>
      <c r="V255" s="14"/>
    </row>
    <row r="256" spans="2:22" ht="11.25" customHeight="1">
      <c r="B256" s="30"/>
      <c r="C256" s="14"/>
      <c r="D256" s="14"/>
      <c r="E256" s="14"/>
      <c r="F256" s="14"/>
      <c r="G256" s="14"/>
      <c r="H256" s="14"/>
      <c r="I256" s="14"/>
      <c r="J256" s="14"/>
      <c r="K256" s="14"/>
      <c r="L256" s="14"/>
      <c r="M256" s="14"/>
      <c r="N256" s="14"/>
      <c r="O256" s="14"/>
      <c r="P256" s="14"/>
      <c r="Q256" s="14"/>
      <c r="R256" s="14"/>
      <c r="S256" s="14"/>
      <c r="T256" s="14"/>
      <c r="U256" s="14"/>
      <c r="V256" s="14"/>
    </row>
    <row r="257" spans="2:22" ht="11.25" customHeight="1">
      <c r="B257" s="30"/>
      <c r="C257" s="14"/>
      <c r="D257" s="14"/>
      <c r="E257" s="14"/>
      <c r="F257" s="14"/>
      <c r="G257" s="14"/>
      <c r="H257" s="14"/>
      <c r="I257" s="14"/>
      <c r="J257" s="14"/>
      <c r="K257" s="14"/>
      <c r="L257" s="14"/>
      <c r="M257" s="14"/>
      <c r="N257" s="14"/>
      <c r="O257" s="14"/>
      <c r="P257" s="14"/>
      <c r="Q257" s="14"/>
      <c r="R257" s="14"/>
      <c r="S257" s="14"/>
      <c r="T257" s="14"/>
      <c r="U257" s="14"/>
      <c r="V257" s="14"/>
    </row>
    <row r="258" spans="2:22" ht="11.25" customHeight="1">
      <c r="B258" s="30"/>
      <c r="C258" s="14"/>
      <c r="D258" s="14"/>
      <c r="E258" s="14"/>
      <c r="F258" s="14"/>
      <c r="G258" s="14"/>
      <c r="H258" s="14"/>
      <c r="I258" s="14"/>
      <c r="J258" s="14"/>
      <c r="K258" s="14"/>
      <c r="L258" s="14"/>
      <c r="M258" s="14"/>
      <c r="N258" s="14"/>
      <c r="O258" s="14"/>
      <c r="P258" s="14"/>
      <c r="Q258" s="14"/>
      <c r="R258" s="14"/>
      <c r="S258" s="14"/>
      <c r="T258" s="14"/>
      <c r="U258" s="14"/>
      <c r="V258" s="14"/>
    </row>
    <row r="259" spans="2:22" ht="11.25" customHeight="1">
      <c r="B259" s="30"/>
      <c r="C259" s="14"/>
      <c r="D259" s="14"/>
      <c r="E259" s="14"/>
      <c r="F259" s="14"/>
      <c r="G259" s="14"/>
      <c r="H259" s="14"/>
      <c r="I259" s="14"/>
      <c r="J259" s="14"/>
      <c r="K259" s="14"/>
      <c r="L259" s="14"/>
      <c r="M259" s="14"/>
      <c r="N259" s="14"/>
      <c r="O259" s="14"/>
      <c r="P259" s="14"/>
      <c r="Q259" s="14"/>
      <c r="R259" s="14"/>
      <c r="S259" s="14"/>
      <c r="T259" s="14"/>
      <c r="U259" s="14"/>
      <c r="V259" s="14"/>
    </row>
    <row r="260" spans="2:22" ht="11.25" customHeight="1">
      <c r="B260" s="30"/>
      <c r="C260" s="14"/>
      <c r="D260" s="14"/>
      <c r="E260" s="14"/>
      <c r="F260" s="14"/>
      <c r="G260" s="14"/>
      <c r="H260" s="14"/>
      <c r="I260" s="14"/>
      <c r="J260" s="14"/>
      <c r="K260" s="14"/>
      <c r="L260" s="14"/>
      <c r="M260" s="14"/>
      <c r="N260" s="14"/>
      <c r="O260" s="14"/>
      <c r="P260" s="14"/>
      <c r="Q260" s="14"/>
      <c r="R260" s="14"/>
      <c r="S260" s="14"/>
      <c r="T260" s="14"/>
      <c r="U260" s="14"/>
      <c r="V260" s="14"/>
    </row>
    <row r="261" spans="2:22" ht="11.25" customHeight="1">
      <c r="B261" s="30"/>
      <c r="C261" s="14"/>
      <c r="D261" s="14"/>
      <c r="E261" s="14"/>
      <c r="F261" s="14"/>
      <c r="G261" s="14"/>
      <c r="H261" s="14"/>
      <c r="I261" s="14"/>
      <c r="J261" s="14"/>
      <c r="K261" s="14"/>
      <c r="L261" s="14"/>
      <c r="M261" s="14"/>
      <c r="N261" s="14"/>
      <c r="O261" s="14"/>
      <c r="P261" s="14"/>
      <c r="Q261" s="14"/>
      <c r="R261" s="14"/>
      <c r="S261" s="14"/>
      <c r="T261" s="14"/>
      <c r="U261" s="14"/>
      <c r="V261" s="14"/>
    </row>
    <row r="262" spans="2:22" ht="11.25" customHeight="1">
      <c r="B262" s="30"/>
      <c r="C262" s="14"/>
      <c r="D262" s="14"/>
      <c r="E262" s="14"/>
      <c r="F262" s="14"/>
      <c r="G262" s="14"/>
      <c r="H262" s="14"/>
      <c r="I262" s="14"/>
      <c r="J262" s="14"/>
      <c r="K262" s="14"/>
      <c r="L262" s="14"/>
      <c r="M262" s="14"/>
      <c r="N262" s="14"/>
      <c r="O262" s="14"/>
      <c r="P262" s="14"/>
      <c r="Q262" s="14"/>
      <c r="R262" s="14"/>
      <c r="S262" s="14"/>
      <c r="T262" s="14"/>
      <c r="U262" s="14"/>
      <c r="V262" s="14"/>
    </row>
    <row r="263" spans="2:22" ht="11.25" customHeight="1">
      <c r="B263" s="30"/>
      <c r="C263" s="14"/>
      <c r="D263" s="14"/>
      <c r="E263" s="14"/>
      <c r="F263" s="14"/>
      <c r="G263" s="14"/>
      <c r="H263" s="14"/>
      <c r="I263" s="14"/>
      <c r="J263" s="14"/>
      <c r="K263" s="14"/>
      <c r="L263" s="14"/>
      <c r="M263" s="14"/>
      <c r="N263" s="14"/>
      <c r="O263" s="14"/>
      <c r="P263" s="14"/>
      <c r="Q263" s="14"/>
      <c r="R263" s="14"/>
      <c r="S263" s="14"/>
      <c r="T263" s="14"/>
      <c r="U263" s="14"/>
      <c r="V263" s="14"/>
    </row>
    <row r="264" spans="2:22" ht="11.25" customHeight="1">
      <c r="B264" s="30"/>
      <c r="C264" s="14"/>
      <c r="D264" s="14"/>
      <c r="E264" s="14"/>
      <c r="F264" s="14"/>
      <c r="G264" s="14"/>
      <c r="H264" s="14"/>
      <c r="I264" s="14"/>
      <c r="J264" s="14"/>
      <c r="K264" s="14"/>
      <c r="L264" s="14"/>
      <c r="M264" s="14"/>
      <c r="N264" s="14"/>
      <c r="O264" s="14"/>
      <c r="P264" s="14"/>
      <c r="Q264" s="14"/>
      <c r="R264" s="14"/>
      <c r="S264" s="14"/>
      <c r="T264" s="14"/>
      <c r="U264" s="14"/>
      <c r="V264" s="14"/>
    </row>
    <row r="265" spans="2:22" ht="11.25" customHeight="1">
      <c r="B265" s="30"/>
      <c r="C265" s="14"/>
      <c r="D265" s="14"/>
      <c r="E265" s="14"/>
      <c r="F265" s="14"/>
      <c r="G265" s="14"/>
      <c r="H265" s="14"/>
      <c r="I265" s="14"/>
      <c r="J265" s="14"/>
      <c r="K265" s="14"/>
      <c r="L265" s="14"/>
      <c r="M265" s="14"/>
      <c r="N265" s="14"/>
      <c r="O265" s="14"/>
      <c r="P265" s="14"/>
      <c r="Q265" s="14"/>
      <c r="R265" s="14"/>
      <c r="S265" s="14"/>
      <c r="T265" s="14"/>
      <c r="U265" s="14"/>
      <c r="V265" s="14"/>
    </row>
    <row r="266" spans="2:22" ht="11.25" customHeight="1">
      <c r="B266" s="30"/>
      <c r="C266" s="14"/>
      <c r="D266" s="14"/>
      <c r="E266" s="14"/>
      <c r="F266" s="14"/>
      <c r="G266" s="14"/>
      <c r="H266" s="14"/>
      <c r="I266" s="14"/>
      <c r="J266" s="14"/>
      <c r="K266" s="14"/>
      <c r="L266" s="14"/>
      <c r="M266" s="14"/>
      <c r="N266" s="14"/>
      <c r="O266" s="14"/>
      <c r="P266" s="14"/>
      <c r="Q266" s="14"/>
      <c r="R266" s="14"/>
      <c r="S266" s="14"/>
      <c r="T266" s="14"/>
      <c r="U266" s="14"/>
      <c r="V266" s="14"/>
    </row>
    <row r="267" spans="2:22" ht="11.25" customHeight="1">
      <c r="B267" s="30"/>
      <c r="C267" s="14"/>
      <c r="D267" s="14"/>
      <c r="E267" s="14"/>
      <c r="F267" s="14"/>
      <c r="G267" s="14"/>
      <c r="H267" s="14"/>
      <c r="I267" s="14"/>
      <c r="J267" s="14"/>
      <c r="K267" s="14"/>
      <c r="L267" s="14"/>
      <c r="M267" s="14"/>
      <c r="N267" s="14"/>
      <c r="O267" s="14"/>
      <c r="P267" s="14"/>
      <c r="Q267" s="14"/>
      <c r="R267" s="14"/>
      <c r="S267" s="14"/>
      <c r="T267" s="14"/>
      <c r="U267" s="14"/>
      <c r="V267" s="14"/>
    </row>
    <row r="268" spans="2:22" ht="11.25" customHeight="1">
      <c r="B268" s="30"/>
      <c r="C268" s="14"/>
      <c r="D268" s="14"/>
      <c r="E268" s="14"/>
      <c r="F268" s="14"/>
      <c r="G268" s="14"/>
      <c r="H268" s="14"/>
      <c r="I268" s="14"/>
      <c r="J268" s="14"/>
      <c r="K268" s="14"/>
      <c r="L268" s="14"/>
      <c r="M268" s="14"/>
      <c r="N268" s="14"/>
      <c r="O268" s="14"/>
      <c r="P268" s="14"/>
      <c r="Q268" s="14"/>
      <c r="R268" s="14"/>
      <c r="S268" s="14"/>
      <c r="T268" s="14"/>
      <c r="U268" s="14"/>
      <c r="V268" s="14"/>
    </row>
    <row r="269" spans="2:22" ht="11.25" customHeight="1">
      <c r="B269" s="30"/>
      <c r="C269" s="14"/>
      <c r="D269" s="14"/>
      <c r="E269" s="14"/>
      <c r="F269" s="14"/>
      <c r="G269" s="14"/>
      <c r="H269" s="14"/>
      <c r="I269" s="14"/>
      <c r="J269" s="14"/>
      <c r="K269" s="14"/>
      <c r="L269" s="14"/>
      <c r="M269" s="14"/>
      <c r="N269" s="14"/>
      <c r="O269" s="14"/>
      <c r="P269" s="14"/>
      <c r="Q269" s="14"/>
      <c r="R269" s="14"/>
      <c r="S269" s="14"/>
      <c r="T269" s="14"/>
      <c r="U269" s="14"/>
      <c r="V269" s="14"/>
    </row>
    <row r="270" spans="2:22" ht="11.25" customHeight="1">
      <c r="B270" s="30"/>
      <c r="C270" s="14"/>
      <c r="D270" s="14"/>
      <c r="E270" s="14"/>
      <c r="F270" s="14"/>
      <c r="G270" s="14"/>
      <c r="H270" s="14"/>
      <c r="I270" s="14"/>
      <c r="J270" s="14"/>
      <c r="K270" s="14"/>
      <c r="L270" s="14"/>
      <c r="M270" s="14"/>
      <c r="N270" s="14"/>
      <c r="O270" s="14"/>
      <c r="P270" s="14"/>
      <c r="Q270" s="14"/>
      <c r="R270" s="14"/>
      <c r="S270" s="14"/>
      <c r="T270" s="14"/>
      <c r="U270" s="14"/>
      <c r="V270" s="14"/>
    </row>
    <row r="271" spans="2:22" ht="11.25" customHeight="1">
      <c r="B271" s="30"/>
      <c r="C271" s="14"/>
      <c r="D271" s="14"/>
      <c r="E271" s="14"/>
      <c r="F271" s="14"/>
      <c r="G271" s="14"/>
      <c r="H271" s="14"/>
      <c r="I271" s="14"/>
      <c r="J271" s="14"/>
      <c r="K271" s="14"/>
      <c r="L271" s="14"/>
      <c r="M271" s="14"/>
      <c r="N271" s="14"/>
      <c r="O271" s="14"/>
      <c r="P271" s="14"/>
      <c r="Q271" s="14"/>
      <c r="R271" s="14"/>
      <c r="S271" s="14"/>
      <c r="T271" s="14"/>
      <c r="U271" s="14"/>
      <c r="V271" s="14"/>
    </row>
    <row r="272" spans="2:22" ht="11.25" customHeight="1">
      <c r="B272" s="30"/>
      <c r="C272" s="14"/>
      <c r="D272" s="14"/>
      <c r="E272" s="14"/>
      <c r="F272" s="14"/>
      <c r="G272" s="14"/>
      <c r="H272" s="14"/>
      <c r="I272" s="14"/>
      <c r="J272" s="14"/>
      <c r="K272" s="14"/>
      <c r="L272" s="14"/>
      <c r="M272" s="14"/>
      <c r="N272" s="14"/>
      <c r="O272" s="14"/>
      <c r="P272" s="14"/>
      <c r="Q272" s="14"/>
      <c r="R272" s="14"/>
      <c r="S272" s="14"/>
      <c r="T272" s="14"/>
      <c r="U272" s="14"/>
      <c r="V272" s="14"/>
    </row>
    <row r="273" spans="1:2" s="14" customFormat="1" ht="11.25" customHeight="1">
      <c r="A273" s="4"/>
      <c r="B273" s="30"/>
    </row>
    <row r="274" spans="1:2" s="14" customFormat="1" ht="11.25" customHeight="1">
      <c r="A274" s="4"/>
      <c r="B274" s="30"/>
    </row>
    <row r="275" spans="1:2" s="14" customFormat="1" ht="11.25" customHeight="1">
      <c r="A275" s="4"/>
      <c r="B275" s="30"/>
    </row>
    <row r="276" spans="1:2" s="14" customFormat="1" ht="11.25" customHeight="1">
      <c r="A276" s="4"/>
      <c r="B276" s="30"/>
    </row>
    <row r="277" spans="1:2" s="14" customFormat="1" ht="11.25" customHeight="1">
      <c r="A277" s="4"/>
      <c r="B277" s="30"/>
    </row>
    <row r="278" spans="1:2" s="14" customFormat="1" ht="11.25" customHeight="1">
      <c r="A278" s="4"/>
      <c r="B278" s="30"/>
    </row>
    <row r="279" spans="1:2" s="14" customFormat="1" ht="11.25" customHeight="1">
      <c r="A279" s="4"/>
      <c r="B279" s="30"/>
    </row>
    <row r="280" spans="1:2" s="14" customFormat="1" ht="11.25" customHeight="1">
      <c r="A280" s="4"/>
      <c r="B280" s="30"/>
    </row>
    <row r="281" spans="1:2" s="14" customFormat="1" ht="11.25" customHeight="1">
      <c r="A281" s="4"/>
      <c r="B281" s="30"/>
    </row>
    <row r="282" spans="1:2" s="14" customFormat="1" ht="11.25" customHeight="1">
      <c r="A282" s="4"/>
      <c r="B282" s="30"/>
    </row>
    <row r="283" spans="1:2" s="14" customFormat="1" ht="11.25" customHeight="1">
      <c r="A283" s="4"/>
      <c r="B283" s="30"/>
    </row>
    <row r="284" spans="1:2" s="14" customFormat="1" ht="11.25" customHeight="1">
      <c r="A284" s="4"/>
      <c r="B284" s="30"/>
    </row>
    <row r="285" spans="1:2" s="14" customFormat="1" ht="11.25" customHeight="1">
      <c r="A285" s="4"/>
      <c r="B285" s="30"/>
    </row>
    <row r="286" spans="1:2" s="14" customFormat="1" ht="11.25" customHeight="1">
      <c r="A286" s="4"/>
      <c r="B286" s="30"/>
    </row>
    <row r="287" spans="1:2" s="14" customFormat="1" ht="11.25" customHeight="1">
      <c r="A287" s="4"/>
      <c r="B287" s="30"/>
    </row>
    <row r="288" spans="1:2" s="14" customFormat="1" ht="11.25" customHeight="1">
      <c r="A288" s="4"/>
      <c r="B288" s="30"/>
    </row>
    <row r="289" spans="1:2" s="14" customFormat="1" ht="11.25" customHeight="1">
      <c r="A289" s="4"/>
      <c r="B289" s="30"/>
    </row>
    <row r="290" spans="1:2" s="14" customFormat="1" ht="11.25" customHeight="1">
      <c r="A290" s="4"/>
      <c r="B290" s="30"/>
    </row>
    <row r="291" spans="1:2" s="14" customFormat="1" ht="11.25" customHeight="1">
      <c r="A291" s="4"/>
      <c r="B291" s="30"/>
    </row>
    <row r="292" spans="1:2" s="14" customFormat="1" ht="11.25" customHeight="1">
      <c r="A292" s="4"/>
      <c r="B292" s="30"/>
    </row>
    <row r="293" spans="1:2" s="14" customFormat="1" ht="11.25" customHeight="1">
      <c r="A293" s="4"/>
      <c r="B293" s="30"/>
    </row>
    <row r="294" spans="1:2" s="14" customFormat="1" ht="11.25" customHeight="1">
      <c r="A294" s="4"/>
      <c r="B294" s="30"/>
    </row>
    <row r="295" spans="1:2" s="14" customFormat="1" ht="11.25" customHeight="1">
      <c r="A295" s="4"/>
      <c r="B295" s="30"/>
    </row>
    <row r="296" spans="1:2" s="14" customFormat="1" ht="11.25" customHeight="1">
      <c r="A296" s="4"/>
      <c r="B296" s="30"/>
    </row>
    <row r="297" spans="1:2" s="14" customFormat="1" ht="11.25" customHeight="1">
      <c r="A297" s="4"/>
      <c r="B297" s="30"/>
    </row>
    <row r="298" spans="1:2" s="14" customFormat="1" ht="11.25" customHeight="1">
      <c r="A298" s="4"/>
      <c r="B298" s="30"/>
    </row>
    <row r="299" spans="1:2" s="14" customFormat="1" ht="11.25" customHeight="1">
      <c r="A299" s="4"/>
      <c r="B299" s="30"/>
    </row>
    <row r="300" spans="1:2" s="14" customFormat="1" ht="11.25" customHeight="1">
      <c r="A300" s="4"/>
      <c r="B300" s="30"/>
    </row>
    <row r="301" spans="1:2" s="14" customFormat="1" ht="11.25" customHeight="1">
      <c r="A301" s="4"/>
      <c r="B301" s="30"/>
    </row>
    <row r="302" spans="1:2" s="14" customFormat="1" ht="11.25" customHeight="1">
      <c r="A302" s="4"/>
      <c r="B302" s="30"/>
    </row>
    <row r="303" spans="1:2" s="14" customFormat="1" ht="11.25" customHeight="1">
      <c r="A303" s="4"/>
      <c r="B303" s="30"/>
    </row>
    <row r="304" spans="1:2" s="14" customFormat="1" ht="11.25" customHeight="1">
      <c r="A304" s="4"/>
      <c r="B304" s="30"/>
    </row>
    <row r="305" spans="1:2" s="14" customFormat="1" ht="11.25" customHeight="1">
      <c r="A305" s="4"/>
      <c r="B305" s="30"/>
    </row>
    <row r="306" spans="1:2" s="14" customFormat="1" ht="11.25" customHeight="1">
      <c r="A306" s="4"/>
      <c r="B306" s="30"/>
    </row>
    <row r="307" spans="1:2" s="14" customFormat="1" ht="11.25" customHeight="1">
      <c r="A307" s="4"/>
      <c r="B307" s="30"/>
    </row>
    <row r="308" spans="1:2" s="14" customFormat="1" ht="11.25" customHeight="1">
      <c r="A308" s="4"/>
      <c r="B308" s="30"/>
    </row>
    <row r="309" spans="1:2" s="14" customFormat="1" ht="11.25" customHeight="1">
      <c r="A309" s="4"/>
      <c r="B309" s="30"/>
    </row>
    <row r="310" spans="1:2" s="14" customFormat="1" ht="11.25" customHeight="1">
      <c r="A310" s="4"/>
      <c r="B310" s="30"/>
    </row>
    <row r="311" spans="1:2" s="14" customFormat="1" ht="11.25" customHeight="1">
      <c r="A311" s="4"/>
      <c r="B311" s="30"/>
    </row>
    <row r="312" spans="1:2" s="14" customFormat="1" ht="11.25" customHeight="1">
      <c r="A312" s="4"/>
      <c r="B312" s="30"/>
    </row>
    <row r="313" spans="1:2" s="14" customFormat="1" ht="11.25" customHeight="1">
      <c r="A313" s="4"/>
      <c r="B313" s="30"/>
    </row>
    <row r="314" spans="1:2" s="14" customFormat="1" ht="11.25" customHeight="1">
      <c r="A314" s="4"/>
      <c r="B314" s="30"/>
    </row>
    <row r="315" spans="1:2" s="14" customFormat="1" ht="11.25" customHeight="1">
      <c r="A315" s="4"/>
      <c r="B315" s="30"/>
    </row>
    <row r="316" spans="1:2" s="14" customFormat="1" ht="11.25" customHeight="1">
      <c r="A316" s="4"/>
      <c r="B316" s="30"/>
    </row>
    <row r="317" spans="1:2" s="14" customFormat="1" ht="11.25" customHeight="1">
      <c r="A317" s="4"/>
      <c r="B317" s="30"/>
    </row>
    <row r="318" spans="1:2" s="14" customFormat="1" ht="11.25" customHeight="1">
      <c r="A318" s="4"/>
      <c r="B318" s="30"/>
    </row>
    <row r="319" spans="1:2" s="14" customFormat="1" ht="11.25" customHeight="1">
      <c r="A319" s="4"/>
      <c r="B319" s="30"/>
    </row>
    <row r="320" spans="1:2" s="14" customFormat="1" ht="11.25" customHeight="1">
      <c r="A320" s="4"/>
      <c r="B320" s="30"/>
    </row>
    <row r="321" spans="1:2" s="14" customFormat="1" ht="11.25" customHeight="1">
      <c r="A321" s="4"/>
      <c r="B321" s="30"/>
    </row>
    <row r="322" spans="1:2" s="14" customFormat="1" ht="11.25" customHeight="1">
      <c r="A322" s="4"/>
      <c r="B322" s="30"/>
    </row>
    <row r="323" spans="1:2" s="14" customFormat="1" ht="11.25" customHeight="1">
      <c r="A323" s="4"/>
      <c r="B323" s="30"/>
    </row>
    <row r="324" spans="1:2" s="14" customFormat="1" ht="11.25" customHeight="1">
      <c r="A324" s="4"/>
      <c r="B324" s="30"/>
    </row>
    <row r="325" spans="1:2" s="14" customFormat="1" ht="11.25" customHeight="1">
      <c r="A325" s="4"/>
      <c r="B325" s="30"/>
    </row>
    <row r="326" spans="1:2" s="14" customFormat="1" ht="11.25" customHeight="1">
      <c r="A326" s="4"/>
      <c r="B326" s="30"/>
    </row>
    <row r="327" spans="1:2" s="14" customFormat="1" ht="11.25" customHeight="1">
      <c r="A327" s="4"/>
      <c r="B327" s="30"/>
    </row>
    <row r="328" spans="1:2" s="14" customFormat="1" ht="11.25" customHeight="1">
      <c r="A328" s="4"/>
      <c r="B328" s="30"/>
    </row>
    <row r="329" spans="1:2" s="14" customFormat="1" ht="11.25" customHeight="1">
      <c r="A329" s="4"/>
      <c r="B329" s="30"/>
    </row>
    <row r="330" spans="1:2" s="14" customFormat="1" ht="11.25" customHeight="1">
      <c r="A330" s="4"/>
      <c r="B330" s="30"/>
    </row>
    <row r="331" spans="1:2" s="14" customFormat="1" ht="11.25" customHeight="1">
      <c r="A331" s="4"/>
      <c r="B331" s="30"/>
    </row>
    <row r="332" spans="1:2" s="14" customFormat="1" ht="11.25" customHeight="1">
      <c r="A332" s="4"/>
      <c r="B332" s="30"/>
    </row>
    <row r="333" spans="1:2" s="14" customFormat="1" ht="11.25" customHeight="1">
      <c r="A333" s="4"/>
      <c r="B333" s="30"/>
    </row>
    <row r="334" spans="1:2" s="14" customFormat="1" ht="11.25" customHeight="1">
      <c r="A334" s="4"/>
      <c r="B334" s="30"/>
    </row>
    <row r="335" spans="1:2" s="14" customFormat="1" ht="11.25" customHeight="1">
      <c r="A335" s="4"/>
      <c r="B335" s="30"/>
    </row>
    <row r="336" spans="1:2" s="14" customFormat="1" ht="11.25" customHeight="1">
      <c r="A336" s="4"/>
      <c r="B336" s="30"/>
    </row>
    <row r="337" spans="1:2" s="14" customFormat="1" ht="11.25" customHeight="1">
      <c r="A337" s="4"/>
      <c r="B337" s="30"/>
    </row>
    <row r="338" spans="1:2" s="14" customFormat="1" ht="11.25" customHeight="1">
      <c r="A338" s="4"/>
      <c r="B338" s="30"/>
    </row>
    <row r="339" spans="1:2" s="14" customFormat="1" ht="11.25" customHeight="1">
      <c r="A339" s="4"/>
      <c r="B339" s="30"/>
    </row>
    <row r="340" spans="1:2" s="14" customFormat="1" ht="11.25" customHeight="1">
      <c r="A340" s="4"/>
      <c r="B340" s="30"/>
    </row>
    <row r="341" spans="1:2" s="14" customFormat="1" ht="11.25" customHeight="1">
      <c r="A341" s="4"/>
      <c r="B341" s="30"/>
    </row>
    <row r="342" spans="1:2" s="14" customFormat="1" ht="11.25" customHeight="1">
      <c r="A342" s="4"/>
      <c r="B342" s="30"/>
    </row>
    <row r="343" spans="1:2" s="14" customFormat="1" ht="11.25" customHeight="1">
      <c r="A343" s="4"/>
      <c r="B343" s="30"/>
    </row>
    <row r="344" spans="1:2" s="14" customFormat="1" ht="11.25" customHeight="1">
      <c r="A344" s="4"/>
      <c r="B344" s="30"/>
    </row>
    <row r="345" spans="1:2" s="14" customFormat="1" ht="11.25" customHeight="1">
      <c r="A345" s="4"/>
      <c r="B345" s="30"/>
    </row>
    <row r="346" spans="1:2" s="14" customFormat="1" ht="11.25" customHeight="1">
      <c r="A346" s="4"/>
      <c r="B346" s="30"/>
    </row>
    <row r="347" spans="1:2" s="14" customFormat="1" ht="11.25" customHeight="1">
      <c r="A347" s="4"/>
      <c r="B347" s="30"/>
    </row>
    <row r="348" spans="1:2" s="14" customFormat="1" ht="11.25" customHeight="1">
      <c r="A348" s="4"/>
      <c r="B348" s="30"/>
    </row>
    <row r="349" spans="1:2" s="14" customFormat="1" ht="11.25" customHeight="1">
      <c r="A349" s="4"/>
      <c r="B349" s="30"/>
    </row>
    <row r="350" spans="1:2" s="14" customFormat="1" ht="11.25" customHeight="1">
      <c r="A350" s="4"/>
      <c r="B350" s="30"/>
    </row>
    <row r="351" spans="1:2" s="14" customFormat="1" ht="11.25" customHeight="1">
      <c r="A351" s="4"/>
      <c r="B351" s="30"/>
    </row>
    <row r="352" spans="1:2" s="14" customFormat="1" ht="11.25" customHeight="1">
      <c r="A352" s="4"/>
      <c r="B352" s="30"/>
    </row>
    <row r="353" spans="1:2" s="14" customFormat="1" ht="11.25" customHeight="1">
      <c r="A353" s="4"/>
      <c r="B353" s="30"/>
    </row>
    <row r="354" spans="1:2" s="14" customFormat="1" ht="11.25" customHeight="1">
      <c r="A354" s="4"/>
      <c r="B354" s="30"/>
    </row>
    <row r="355" spans="1:2" s="14" customFormat="1" ht="11.25" customHeight="1">
      <c r="A355" s="4"/>
      <c r="B355" s="30"/>
    </row>
    <row r="356" spans="1:2" s="14" customFormat="1" ht="11.25" customHeight="1">
      <c r="A356" s="4"/>
      <c r="B356" s="30"/>
    </row>
    <row r="357" spans="1:2" s="14" customFormat="1" ht="11.25" customHeight="1">
      <c r="A357" s="4"/>
      <c r="B357" s="30"/>
    </row>
    <row r="358" spans="1:2" s="14" customFormat="1" ht="11.25" customHeight="1">
      <c r="A358" s="4"/>
      <c r="B358" s="30"/>
    </row>
    <row r="359" spans="1:2" s="14" customFormat="1" ht="11.25" customHeight="1">
      <c r="A359" s="4"/>
      <c r="B359" s="30"/>
    </row>
    <row r="360" spans="1:2" s="14" customFormat="1" ht="11.25" customHeight="1">
      <c r="A360" s="4"/>
      <c r="B360" s="30"/>
    </row>
    <row r="361" spans="1:2" s="14" customFormat="1" ht="11.25" customHeight="1">
      <c r="A361" s="4"/>
      <c r="B361" s="30"/>
    </row>
    <row r="362" spans="1:2" s="14" customFormat="1" ht="11.25" customHeight="1">
      <c r="A362" s="4"/>
      <c r="B362" s="30"/>
    </row>
    <row r="363" spans="1:2" s="14" customFormat="1" ht="11.25" customHeight="1">
      <c r="A363" s="4"/>
      <c r="B363" s="30"/>
    </row>
    <row r="364" spans="1:2" s="14" customFormat="1" ht="11.25" customHeight="1">
      <c r="A364" s="4"/>
      <c r="B364" s="30"/>
    </row>
    <row r="365" spans="1:2" s="14" customFormat="1" ht="11.25" customHeight="1">
      <c r="A365" s="4"/>
      <c r="B365" s="30"/>
    </row>
    <row r="366" spans="1:2" s="14" customFormat="1" ht="11.25" customHeight="1">
      <c r="A366" s="4"/>
      <c r="B366" s="30"/>
    </row>
    <row r="367" spans="1:2" s="14" customFormat="1" ht="11.25" customHeight="1">
      <c r="A367" s="4"/>
      <c r="B367" s="30"/>
    </row>
    <row r="368" spans="1:2" s="14" customFormat="1" ht="11.25" customHeight="1">
      <c r="A368" s="4"/>
      <c r="B368" s="30"/>
    </row>
    <row r="369" spans="1:2" s="14" customFormat="1" ht="11.25" customHeight="1">
      <c r="A369" s="4"/>
      <c r="B369" s="30"/>
    </row>
    <row r="370" spans="1:2" s="14" customFormat="1" ht="11.25" customHeight="1">
      <c r="A370" s="4"/>
      <c r="B370" s="30"/>
    </row>
    <row r="371" spans="1:2" s="14" customFormat="1" ht="11.25" customHeight="1">
      <c r="A371" s="4"/>
      <c r="B371" s="30"/>
    </row>
    <row r="372" spans="1:2" s="14" customFormat="1" ht="11.25" customHeight="1">
      <c r="A372" s="4"/>
      <c r="B372" s="30"/>
    </row>
    <row r="373" spans="1:2" s="14" customFormat="1" ht="11.25" customHeight="1">
      <c r="A373" s="4"/>
      <c r="B373" s="30"/>
    </row>
    <row r="374" spans="1:2" s="14" customFormat="1" ht="11.25" customHeight="1">
      <c r="A374" s="4"/>
      <c r="B374" s="30"/>
    </row>
    <row r="375" spans="1:2" s="14" customFormat="1" ht="11.25" customHeight="1">
      <c r="A375" s="4"/>
      <c r="B375" s="30"/>
    </row>
    <row r="376" spans="1:2" s="14" customFormat="1" ht="11.25" customHeight="1">
      <c r="A376" s="4"/>
      <c r="B376" s="30"/>
    </row>
    <row r="377" spans="1:2" s="14" customFormat="1" ht="11.25" customHeight="1">
      <c r="A377" s="4"/>
      <c r="B377" s="30"/>
    </row>
    <row r="378" spans="1:2" s="14" customFormat="1" ht="11.25" customHeight="1">
      <c r="A378" s="4"/>
      <c r="B378" s="30"/>
    </row>
    <row r="379" spans="1:2" s="14" customFormat="1" ht="11.25" customHeight="1">
      <c r="A379" s="4"/>
      <c r="B379" s="30"/>
    </row>
    <row r="380" spans="1:2" s="14" customFormat="1" ht="11.25" customHeight="1">
      <c r="A380" s="4"/>
      <c r="B380" s="30"/>
    </row>
    <row r="381" spans="1:2" s="14" customFormat="1" ht="11.25" customHeight="1">
      <c r="A381" s="4"/>
      <c r="B381" s="30"/>
    </row>
    <row r="382" spans="1:2" s="14" customFormat="1" ht="11.25" customHeight="1">
      <c r="A382" s="4"/>
      <c r="B382" s="30"/>
    </row>
    <row r="383" spans="1:2" s="14" customFormat="1" ht="11.25" customHeight="1">
      <c r="A383" s="4"/>
      <c r="B383" s="30"/>
    </row>
    <row r="384" spans="1:2" s="14" customFormat="1" ht="11.25" customHeight="1">
      <c r="A384" s="4"/>
      <c r="B384" s="30"/>
    </row>
    <row r="385" spans="1:2" s="14" customFormat="1" ht="11.25" customHeight="1">
      <c r="A385" s="4"/>
      <c r="B385" s="30"/>
    </row>
    <row r="386" spans="1:2" s="14" customFormat="1" ht="11.25" customHeight="1">
      <c r="A386" s="4"/>
      <c r="B386" s="30"/>
    </row>
    <row r="387" spans="1:2" s="14" customFormat="1" ht="11.25" customHeight="1">
      <c r="A387" s="4"/>
      <c r="B387" s="30"/>
    </row>
    <row r="388" spans="1:2" s="14" customFormat="1" ht="11.25" customHeight="1">
      <c r="A388" s="4"/>
      <c r="B388" s="30"/>
    </row>
    <row r="389" spans="1:2" s="14" customFormat="1" ht="11.25" customHeight="1">
      <c r="A389" s="4"/>
      <c r="B389" s="30"/>
    </row>
    <row r="390" spans="1:2" s="14" customFormat="1" ht="11.25" customHeight="1">
      <c r="A390" s="4"/>
      <c r="B390" s="30"/>
    </row>
    <row r="391" spans="1:2" s="14" customFormat="1" ht="11.25" customHeight="1">
      <c r="A391" s="4"/>
      <c r="B391" s="30"/>
    </row>
    <row r="392" spans="1:2" s="14" customFormat="1" ht="11.25" customHeight="1">
      <c r="A392" s="4"/>
      <c r="B392" s="30"/>
    </row>
    <row r="393" spans="1:2" s="14" customFormat="1" ht="11.25" customHeight="1">
      <c r="A393" s="4"/>
      <c r="B393" s="30"/>
    </row>
    <row r="394" spans="1:2" s="14" customFormat="1" ht="11.25" customHeight="1">
      <c r="A394" s="4"/>
      <c r="B394" s="30"/>
    </row>
    <row r="395" spans="1:2" s="14" customFormat="1" ht="11.25" customHeight="1">
      <c r="A395" s="4"/>
      <c r="B395" s="30"/>
    </row>
    <row r="396" spans="1:2" s="14" customFormat="1" ht="11.25" customHeight="1">
      <c r="A396" s="4"/>
      <c r="B396" s="30"/>
    </row>
    <row r="397" spans="1:2" s="14" customFormat="1" ht="11.25" customHeight="1">
      <c r="A397" s="4"/>
      <c r="B397" s="30"/>
    </row>
    <row r="398" spans="1:2" s="14" customFormat="1" ht="11.25" customHeight="1">
      <c r="A398" s="4"/>
      <c r="B398" s="30"/>
    </row>
    <row r="399" spans="1:2" s="14" customFormat="1" ht="11.25" customHeight="1">
      <c r="A399" s="4"/>
      <c r="B399" s="30"/>
    </row>
    <row r="400" spans="1:2" s="14" customFormat="1" ht="11.25" customHeight="1">
      <c r="A400" s="4"/>
      <c r="B400" s="30"/>
    </row>
    <row r="401" spans="1:2" s="14" customFormat="1" ht="11.25" customHeight="1">
      <c r="A401" s="4"/>
      <c r="B401" s="30"/>
    </row>
    <row r="402" spans="1:2" s="14" customFormat="1" ht="11.25" customHeight="1">
      <c r="A402" s="4"/>
      <c r="B402" s="30"/>
    </row>
    <row r="403" spans="1:2" s="14" customFormat="1" ht="11.25" customHeight="1">
      <c r="A403" s="4"/>
      <c r="B403" s="30"/>
    </row>
    <row r="404" spans="1:2" s="14" customFormat="1" ht="11.25" customHeight="1">
      <c r="A404" s="4"/>
      <c r="B404" s="30"/>
    </row>
    <row r="405" spans="1:2" s="14" customFormat="1" ht="11.25" customHeight="1">
      <c r="A405" s="4"/>
      <c r="B405" s="30"/>
    </row>
    <row r="406" spans="1:2" s="14" customFormat="1" ht="11.25" customHeight="1">
      <c r="A406" s="4"/>
      <c r="B406" s="30"/>
    </row>
    <row r="407" spans="1:2" s="14" customFormat="1" ht="11.25" customHeight="1">
      <c r="A407" s="4"/>
      <c r="B407" s="30"/>
    </row>
    <row r="408" spans="1:2" s="14" customFormat="1" ht="11.25" customHeight="1">
      <c r="A408" s="4"/>
      <c r="B408" s="30"/>
    </row>
    <row r="409" spans="1:2" s="14" customFormat="1" ht="11.25" customHeight="1">
      <c r="A409" s="4"/>
      <c r="B409" s="30"/>
    </row>
    <row r="410" spans="1:2" s="14" customFormat="1" ht="11.25" customHeight="1">
      <c r="A410" s="4"/>
      <c r="B410" s="30"/>
    </row>
    <row r="411" spans="1:2" s="14" customFormat="1" ht="11.25" customHeight="1">
      <c r="A411" s="4"/>
      <c r="B411" s="30"/>
    </row>
    <row r="412" spans="1:2" s="14" customFormat="1" ht="11.25" customHeight="1">
      <c r="A412" s="4"/>
      <c r="B412" s="30"/>
    </row>
    <row r="413" spans="1:2" s="14" customFormat="1" ht="11.25" customHeight="1">
      <c r="A413" s="4"/>
      <c r="B413" s="30"/>
    </row>
    <row r="414" spans="1:2" s="14" customFormat="1" ht="11.25" customHeight="1">
      <c r="A414" s="4"/>
      <c r="B414" s="30"/>
    </row>
    <row r="415" spans="1:2" s="14" customFormat="1" ht="11.25" customHeight="1">
      <c r="A415" s="4"/>
      <c r="B415" s="30"/>
    </row>
    <row r="416" spans="1:2" s="14" customFormat="1" ht="11.25" customHeight="1">
      <c r="A416" s="4"/>
      <c r="B416" s="30"/>
    </row>
    <row r="417" spans="1:2" s="14" customFormat="1" ht="11.25" customHeight="1">
      <c r="A417" s="4"/>
      <c r="B417" s="30"/>
    </row>
    <row r="418" spans="1:2" s="14" customFormat="1" ht="11.25" customHeight="1">
      <c r="A418" s="4"/>
      <c r="B418" s="30"/>
    </row>
    <row r="419" spans="1:2" s="14" customFormat="1" ht="11.25" customHeight="1">
      <c r="A419" s="4"/>
      <c r="B419" s="30"/>
    </row>
    <row r="420" spans="1:2" s="14" customFormat="1" ht="11.25" customHeight="1">
      <c r="A420" s="4"/>
      <c r="B420" s="30"/>
    </row>
    <row r="421" spans="1:2" s="14" customFormat="1" ht="11.25" customHeight="1">
      <c r="A421" s="4"/>
      <c r="B421" s="30"/>
    </row>
    <row r="422" spans="1:2" s="14" customFormat="1" ht="11.25" customHeight="1">
      <c r="A422" s="4"/>
      <c r="B422" s="30"/>
    </row>
    <row r="423" spans="1:2" s="14" customFormat="1" ht="11.25" customHeight="1">
      <c r="A423" s="4"/>
      <c r="B423" s="30"/>
    </row>
    <row r="424" spans="1:2" s="14" customFormat="1" ht="11.25" customHeight="1">
      <c r="A424" s="4"/>
      <c r="B424" s="30"/>
    </row>
    <row r="425" spans="1:2" s="14" customFormat="1" ht="11.25" customHeight="1">
      <c r="A425" s="4"/>
      <c r="B425" s="30"/>
    </row>
    <row r="426" spans="1:2" s="14" customFormat="1" ht="11.25" customHeight="1">
      <c r="A426" s="4"/>
      <c r="B426" s="30"/>
    </row>
    <row r="427" spans="1:2" s="14" customFormat="1" ht="11.25" customHeight="1">
      <c r="A427" s="4"/>
      <c r="B427" s="30"/>
    </row>
    <row r="428" spans="1:2" s="14" customFormat="1" ht="11.25" customHeight="1">
      <c r="A428" s="4"/>
      <c r="B428" s="30"/>
    </row>
    <row r="429" spans="1:2" s="14" customFormat="1" ht="11.25" customHeight="1">
      <c r="A429" s="4"/>
      <c r="B429" s="30"/>
    </row>
    <row r="430" spans="1:2" s="14" customFormat="1" ht="11.25" customHeight="1">
      <c r="A430" s="4"/>
      <c r="B430" s="30"/>
    </row>
    <row r="431" spans="1:2" s="14" customFormat="1" ht="11.25" customHeight="1">
      <c r="A431" s="4"/>
      <c r="B431" s="30"/>
    </row>
    <row r="432" spans="1:2" s="14" customFormat="1" ht="11.25" customHeight="1">
      <c r="A432" s="4"/>
      <c r="B432" s="30"/>
    </row>
    <row r="433" spans="1:2" s="14" customFormat="1" ht="11.25" customHeight="1">
      <c r="A433" s="4"/>
      <c r="B433" s="30"/>
    </row>
    <row r="434" spans="1:2" s="14" customFormat="1" ht="11.25" customHeight="1">
      <c r="A434" s="4"/>
      <c r="B434" s="30"/>
    </row>
    <row r="435" spans="1:2" s="14" customFormat="1" ht="11.25" customHeight="1">
      <c r="A435" s="4"/>
      <c r="B435" s="30"/>
    </row>
    <row r="436" spans="1:2" s="14" customFormat="1" ht="11.25" customHeight="1">
      <c r="A436" s="4"/>
      <c r="B436" s="30"/>
    </row>
    <row r="437" spans="1:2" s="14" customFormat="1" ht="11.25" customHeight="1">
      <c r="A437" s="4"/>
      <c r="B437" s="30"/>
    </row>
    <row r="438" spans="1:2" s="14" customFormat="1" ht="11.25" customHeight="1">
      <c r="A438" s="4"/>
      <c r="B438" s="30"/>
    </row>
    <row r="439" spans="1:2" s="14" customFormat="1" ht="11.25" customHeight="1">
      <c r="A439" s="4"/>
      <c r="B439" s="30"/>
    </row>
    <row r="440" spans="1:2" s="14" customFormat="1" ht="11.25" customHeight="1">
      <c r="A440" s="4"/>
      <c r="B440" s="30"/>
    </row>
    <row r="441" spans="1:2" s="14" customFormat="1" ht="11.25" customHeight="1">
      <c r="A441" s="4"/>
      <c r="B441" s="30"/>
    </row>
    <row r="442" spans="1:2" s="14" customFormat="1" ht="11.25" customHeight="1">
      <c r="A442" s="4"/>
      <c r="B442" s="30"/>
    </row>
    <row r="443" spans="1:2" s="14" customFormat="1" ht="11.25" customHeight="1">
      <c r="A443" s="4"/>
      <c r="B443" s="30"/>
    </row>
    <row r="444" spans="1:2" s="14" customFormat="1" ht="11.25" customHeight="1">
      <c r="A444" s="4"/>
      <c r="B444" s="30"/>
    </row>
    <row r="445" spans="1:2" s="14" customFormat="1" ht="11.25" customHeight="1">
      <c r="A445" s="4"/>
      <c r="B445" s="30"/>
    </row>
    <row r="446" spans="1:2" s="14" customFormat="1" ht="11.25" customHeight="1">
      <c r="A446" s="4"/>
      <c r="B446" s="30"/>
    </row>
    <row r="447" spans="1:2" s="14" customFormat="1" ht="11.25" customHeight="1">
      <c r="A447" s="4"/>
      <c r="B447" s="30"/>
    </row>
    <row r="448" spans="1:2" s="14" customFormat="1" ht="11.25" customHeight="1">
      <c r="A448" s="4"/>
      <c r="B448" s="30"/>
    </row>
    <row r="449" spans="1:2" s="14" customFormat="1" ht="11.25" customHeight="1">
      <c r="A449" s="4"/>
      <c r="B449" s="30"/>
    </row>
    <row r="450" spans="1:2" s="14" customFormat="1" ht="11.25" customHeight="1">
      <c r="A450" s="4"/>
      <c r="B450" s="30"/>
    </row>
    <row r="451" spans="1:2" s="14" customFormat="1" ht="11.25" customHeight="1">
      <c r="A451" s="4"/>
      <c r="B451" s="30"/>
    </row>
    <row r="452" spans="1:2" s="14" customFormat="1" ht="11.25" customHeight="1">
      <c r="A452" s="4"/>
      <c r="B452" s="30"/>
    </row>
    <row r="453" spans="1:2" s="14" customFormat="1" ht="11.25" customHeight="1">
      <c r="A453" s="4"/>
      <c r="B453" s="30"/>
    </row>
    <row r="454" spans="1:2" s="14" customFormat="1" ht="11.25" customHeight="1">
      <c r="A454" s="4"/>
      <c r="B454" s="30"/>
    </row>
    <row r="455" spans="1:2" s="14" customFormat="1" ht="11.25" customHeight="1">
      <c r="A455" s="4"/>
      <c r="B455" s="30"/>
    </row>
    <row r="456" spans="1:2" s="14" customFormat="1" ht="11.25" customHeight="1">
      <c r="A456" s="4"/>
      <c r="B456" s="30"/>
    </row>
    <row r="457" spans="1:2" s="14" customFormat="1" ht="11.25" customHeight="1">
      <c r="A457" s="4"/>
      <c r="B457" s="30"/>
    </row>
    <row r="458" spans="1:2" s="14" customFormat="1" ht="11.25" customHeight="1">
      <c r="A458" s="4"/>
      <c r="B458" s="30"/>
    </row>
    <row r="459" spans="1:2" s="14" customFormat="1" ht="11.25" customHeight="1">
      <c r="A459" s="4"/>
      <c r="B459" s="30"/>
    </row>
    <row r="460" spans="1:2" s="14" customFormat="1" ht="11.25" customHeight="1">
      <c r="A460" s="4"/>
      <c r="B460" s="30"/>
    </row>
    <row r="461" spans="1:2" s="14" customFormat="1" ht="11.25" customHeight="1">
      <c r="A461" s="4"/>
      <c r="B461" s="30"/>
    </row>
    <row r="462" spans="1:2" s="14" customFormat="1" ht="11.25" customHeight="1">
      <c r="A462" s="4"/>
      <c r="B462" s="30"/>
    </row>
    <row r="463" spans="1:2" s="14" customFormat="1" ht="11.25" customHeight="1">
      <c r="A463" s="4"/>
      <c r="B463" s="30"/>
    </row>
    <row r="464" spans="1:2" s="14" customFormat="1" ht="11.25" customHeight="1">
      <c r="A464" s="4"/>
      <c r="B464" s="30"/>
    </row>
    <row r="465" spans="1:2" s="14" customFormat="1" ht="11.25" customHeight="1">
      <c r="A465" s="4"/>
      <c r="B465" s="30"/>
    </row>
    <row r="466" spans="1:2" s="14" customFormat="1" ht="11.25" customHeight="1">
      <c r="A466" s="4"/>
      <c r="B466" s="30"/>
    </row>
    <row r="467" spans="1:2" s="14" customFormat="1" ht="11.25" customHeight="1">
      <c r="A467" s="4"/>
      <c r="B467" s="30"/>
    </row>
    <row r="468" spans="1:2" s="14" customFormat="1" ht="11.25" customHeight="1">
      <c r="A468" s="4"/>
      <c r="B468" s="30"/>
    </row>
    <row r="469" spans="1:2" s="14" customFormat="1" ht="11.25" customHeight="1">
      <c r="A469" s="4"/>
      <c r="B469" s="30"/>
    </row>
    <row r="470" spans="1:2" s="14" customFormat="1" ht="11.25" customHeight="1">
      <c r="A470" s="4"/>
      <c r="B470" s="30"/>
    </row>
    <row r="471" spans="1:2" s="14" customFormat="1" ht="11.25" customHeight="1">
      <c r="A471" s="4"/>
      <c r="B471" s="30"/>
    </row>
    <row r="472" spans="1:2" s="14" customFormat="1" ht="11.25" customHeight="1">
      <c r="A472" s="4"/>
      <c r="B472" s="30"/>
    </row>
    <row r="473" spans="1:2" s="14" customFormat="1" ht="11.25" customHeight="1">
      <c r="A473" s="4"/>
      <c r="B473" s="30"/>
    </row>
    <row r="474" spans="1:2" s="14" customFormat="1" ht="11.25" customHeight="1">
      <c r="A474" s="4"/>
      <c r="B474" s="30"/>
    </row>
    <row r="475" spans="1:2" s="14" customFormat="1" ht="11.25" customHeight="1">
      <c r="A475" s="4"/>
      <c r="B475" s="30"/>
    </row>
    <row r="476" spans="1:2" s="14" customFormat="1" ht="11.25" customHeight="1">
      <c r="A476" s="4"/>
      <c r="B476" s="30"/>
    </row>
    <row r="477" spans="1:2" s="14" customFormat="1" ht="11.25" customHeight="1">
      <c r="A477" s="4"/>
      <c r="B477" s="30"/>
    </row>
    <row r="478" spans="1:2" s="14" customFormat="1" ht="11.25" customHeight="1">
      <c r="A478" s="4"/>
      <c r="B478" s="30"/>
    </row>
    <row r="479" spans="1:2" s="14" customFormat="1" ht="11.25" customHeight="1">
      <c r="A479" s="4"/>
      <c r="B479" s="30"/>
    </row>
    <row r="480" spans="1:2" s="14" customFormat="1" ht="11.25" customHeight="1">
      <c r="A480" s="4"/>
      <c r="B480" s="30"/>
    </row>
    <row r="481" spans="1:2" s="14" customFormat="1" ht="11.25" customHeight="1">
      <c r="A481" s="4"/>
      <c r="B481" s="30"/>
    </row>
    <row r="482" spans="1:2" s="14" customFormat="1" ht="11.25" customHeight="1">
      <c r="A482" s="4"/>
      <c r="B482" s="30"/>
    </row>
    <row r="483" spans="1:2" s="14" customFormat="1" ht="11.25" customHeight="1">
      <c r="A483" s="4"/>
      <c r="B483" s="30"/>
    </row>
    <row r="484" spans="1:2" s="14" customFormat="1" ht="11.25" customHeight="1">
      <c r="A484" s="4"/>
      <c r="B484" s="30"/>
    </row>
    <row r="485" spans="1:2" s="14" customFormat="1" ht="11.25" customHeight="1">
      <c r="A485" s="4"/>
      <c r="B485" s="30"/>
    </row>
    <row r="486" spans="1:2" s="14" customFormat="1" ht="11.25" customHeight="1">
      <c r="A486" s="4"/>
      <c r="B486" s="30"/>
    </row>
    <row r="487" spans="1:2" s="14" customFormat="1" ht="11.25" customHeight="1">
      <c r="A487" s="4"/>
      <c r="B487" s="30"/>
    </row>
    <row r="488" spans="1:2" s="14" customFormat="1" ht="11.25" customHeight="1">
      <c r="A488" s="4"/>
      <c r="B488" s="30"/>
    </row>
    <row r="489" spans="1:2" s="14" customFormat="1" ht="11.25" customHeight="1">
      <c r="A489" s="4"/>
      <c r="B489" s="30"/>
    </row>
    <row r="490" spans="1:2" s="14" customFormat="1" ht="11.25" customHeight="1">
      <c r="A490" s="4"/>
      <c r="B490" s="30"/>
    </row>
    <row r="491" spans="1:2" s="14" customFormat="1" ht="11.25" customHeight="1">
      <c r="A491" s="4"/>
      <c r="B491" s="30"/>
    </row>
    <row r="492" spans="1:2" s="14" customFormat="1" ht="11.25" customHeight="1">
      <c r="A492" s="4"/>
      <c r="B492" s="30"/>
    </row>
    <row r="493" spans="1:2" s="14" customFormat="1" ht="11.25" customHeight="1">
      <c r="A493" s="4"/>
      <c r="B493" s="30"/>
    </row>
    <row r="494" spans="1:2" s="14" customFormat="1" ht="11.25" customHeight="1">
      <c r="A494" s="4"/>
      <c r="B494" s="30"/>
    </row>
    <row r="495" spans="1:2" s="14" customFormat="1" ht="11.25" customHeight="1">
      <c r="A495" s="4"/>
      <c r="B495" s="30"/>
    </row>
    <row r="496" spans="1:2" s="14" customFormat="1" ht="11.25" customHeight="1">
      <c r="A496" s="4"/>
      <c r="B496" s="30"/>
    </row>
    <row r="497" spans="1:2" s="14" customFormat="1" ht="11.25" customHeight="1">
      <c r="A497" s="4"/>
      <c r="B497" s="30"/>
    </row>
    <row r="498" spans="1:2" s="14" customFormat="1" ht="11.25" customHeight="1">
      <c r="A498" s="4"/>
      <c r="B498" s="30"/>
    </row>
    <row r="499" spans="1:2" s="14" customFormat="1" ht="11.25" customHeight="1">
      <c r="A499" s="4"/>
      <c r="B499" s="30"/>
    </row>
    <row r="500" spans="1:2" s="14" customFormat="1" ht="11.25" customHeight="1">
      <c r="A500" s="4"/>
      <c r="B500" s="30"/>
    </row>
    <row r="501" spans="1:2" s="14" customFormat="1" ht="11.25" customHeight="1">
      <c r="A501" s="4"/>
      <c r="B501" s="30"/>
    </row>
    <row r="502" spans="1:2" s="14" customFormat="1" ht="11.25" customHeight="1">
      <c r="A502" s="4"/>
      <c r="B502" s="30"/>
    </row>
    <row r="503" spans="1:2" s="14" customFormat="1" ht="11.25" customHeight="1">
      <c r="A503" s="4"/>
      <c r="B503" s="30"/>
    </row>
    <row r="504" spans="1:2" s="14" customFormat="1" ht="11.25" customHeight="1">
      <c r="A504" s="4"/>
      <c r="B504" s="30"/>
    </row>
    <row r="505" spans="1:2" s="14" customFormat="1" ht="11.25" customHeight="1">
      <c r="A505" s="4"/>
      <c r="B505" s="30"/>
    </row>
    <row r="506" spans="1:2" s="14" customFormat="1" ht="11.25" customHeight="1">
      <c r="A506" s="4"/>
      <c r="B506" s="30"/>
    </row>
    <row r="507" spans="1:2" s="14" customFormat="1" ht="11.25" customHeight="1">
      <c r="A507" s="4"/>
      <c r="B507" s="30"/>
    </row>
    <row r="508" spans="1:2" s="14" customFormat="1" ht="11.25" customHeight="1">
      <c r="A508" s="4"/>
      <c r="B508" s="30"/>
    </row>
    <row r="509" spans="1:2" s="14" customFormat="1" ht="11.25" customHeight="1">
      <c r="A509" s="4"/>
      <c r="B509" s="30"/>
    </row>
    <row r="510" spans="1:2" s="14" customFormat="1" ht="11.25" customHeight="1">
      <c r="A510" s="4"/>
      <c r="B510" s="30"/>
    </row>
    <row r="511" spans="1:2" s="14" customFormat="1" ht="11.25" customHeight="1">
      <c r="A511" s="4"/>
      <c r="B511" s="30"/>
    </row>
    <row r="512" spans="1:2" s="14" customFormat="1" ht="11.25" customHeight="1">
      <c r="A512" s="4"/>
      <c r="B512" s="30"/>
    </row>
    <row r="513" spans="1:2" s="14" customFormat="1" ht="11.25" customHeight="1">
      <c r="A513" s="4"/>
      <c r="B513" s="30"/>
    </row>
    <row r="514" spans="1:2" s="14" customFormat="1" ht="11.25" customHeight="1">
      <c r="A514" s="4"/>
      <c r="B514" s="30"/>
    </row>
    <row r="515" spans="1:2" s="14" customFormat="1" ht="11.25" customHeight="1">
      <c r="A515" s="4"/>
      <c r="B515" s="30"/>
    </row>
    <row r="516" spans="1:2" s="14" customFormat="1" ht="11.25" customHeight="1">
      <c r="A516" s="4"/>
      <c r="B516" s="30"/>
    </row>
    <row r="517" spans="1:2" s="14" customFormat="1" ht="11.25" customHeight="1">
      <c r="A517" s="4"/>
      <c r="B517" s="30"/>
    </row>
    <row r="518" spans="1:2" s="14" customFormat="1" ht="11.25" customHeight="1">
      <c r="A518" s="4"/>
      <c r="B518" s="30"/>
    </row>
    <row r="519" spans="1:2" s="14" customFormat="1" ht="11.25" customHeight="1">
      <c r="A519" s="4"/>
      <c r="B519" s="30"/>
    </row>
    <row r="520" spans="1:2" s="14" customFormat="1" ht="11.25" customHeight="1">
      <c r="A520" s="4"/>
      <c r="B520" s="30"/>
    </row>
    <row r="521" spans="1:2" s="14" customFormat="1" ht="11.25" customHeight="1">
      <c r="A521" s="4"/>
      <c r="B521" s="30"/>
    </row>
    <row r="522" spans="1:2" s="14" customFormat="1" ht="11.25" customHeight="1">
      <c r="A522" s="4"/>
      <c r="B522" s="30"/>
    </row>
    <row r="523" spans="1:2" s="14" customFormat="1" ht="11.25" customHeight="1">
      <c r="A523" s="4"/>
      <c r="B523" s="30"/>
    </row>
    <row r="524" spans="1:2" s="14" customFormat="1" ht="11.25" customHeight="1">
      <c r="A524" s="4"/>
      <c r="B524" s="30"/>
    </row>
    <row r="525" spans="1:2" s="14" customFormat="1" ht="11.25" customHeight="1">
      <c r="A525" s="4"/>
      <c r="B525" s="30"/>
    </row>
    <row r="526" spans="1:2" s="14" customFormat="1" ht="11.25" customHeight="1">
      <c r="A526" s="4"/>
      <c r="B526" s="30"/>
    </row>
    <row r="527" spans="1:2" s="14" customFormat="1" ht="11.25" customHeight="1">
      <c r="A527" s="4"/>
      <c r="B527" s="30"/>
    </row>
    <row r="528" spans="1:2" s="14" customFormat="1" ht="11.25" customHeight="1">
      <c r="A528" s="4"/>
      <c r="B528" s="30"/>
    </row>
    <row r="529" spans="1:2" s="14" customFormat="1" ht="11.25" customHeight="1">
      <c r="A529" s="4"/>
      <c r="B529" s="30"/>
    </row>
    <row r="530" spans="1:2" s="14" customFormat="1" ht="11.25" customHeight="1">
      <c r="A530" s="4"/>
      <c r="B530" s="30"/>
    </row>
    <row r="531" spans="1:2" s="14" customFormat="1" ht="11.25" customHeight="1">
      <c r="A531" s="4"/>
      <c r="B531" s="30"/>
    </row>
    <row r="532" spans="1:2" s="14" customFormat="1" ht="11.25" customHeight="1">
      <c r="A532" s="4"/>
      <c r="B532" s="30"/>
    </row>
    <row r="533" spans="1:2" s="14" customFormat="1" ht="11.25" customHeight="1">
      <c r="A533" s="4"/>
      <c r="B533" s="30"/>
    </row>
    <row r="534" spans="1:2" s="14" customFormat="1" ht="11.25" customHeight="1">
      <c r="A534" s="4"/>
      <c r="B534" s="30"/>
    </row>
    <row r="535" spans="1:2" s="14" customFormat="1" ht="11.25" customHeight="1">
      <c r="A535" s="4"/>
      <c r="B535" s="30"/>
    </row>
    <row r="536" spans="1:2" s="14" customFormat="1" ht="11.25" customHeight="1">
      <c r="A536" s="4"/>
      <c r="B536" s="30"/>
    </row>
    <row r="537" spans="1:2" s="14" customFormat="1" ht="11.25" customHeight="1">
      <c r="A537" s="4"/>
      <c r="B537" s="30"/>
    </row>
    <row r="538" spans="1:2" s="14" customFormat="1" ht="11.25" customHeight="1">
      <c r="A538" s="4"/>
      <c r="B538" s="30"/>
    </row>
    <row r="539" spans="1:2" s="14" customFormat="1" ht="11.25" customHeight="1">
      <c r="A539" s="4"/>
      <c r="B539" s="30"/>
    </row>
    <row r="540" spans="1:2" s="14" customFormat="1" ht="11.25" customHeight="1">
      <c r="A540" s="4"/>
      <c r="B540" s="30"/>
    </row>
    <row r="541" spans="1:2" s="14" customFormat="1" ht="11.25" customHeight="1">
      <c r="A541" s="4"/>
      <c r="B541" s="30"/>
    </row>
    <row r="542" spans="1:2" s="14" customFormat="1" ht="11.25" customHeight="1">
      <c r="A542" s="4"/>
      <c r="B542" s="30"/>
    </row>
    <row r="543" spans="1:2" s="14" customFormat="1" ht="11.25" customHeight="1">
      <c r="A543" s="4"/>
      <c r="B543" s="30"/>
    </row>
    <row r="544" spans="1:2" s="14" customFormat="1" ht="11.25" customHeight="1">
      <c r="A544" s="4"/>
      <c r="B544" s="30"/>
    </row>
    <row r="545" spans="2:22" ht="11.25" customHeight="1">
      <c r="B545" s="30"/>
      <c r="C545" s="14"/>
      <c r="D545" s="14"/>
      <c r="E545" s="14"/>
      <c r="F545" s="14"/>
      <c r="G545" s="14"/>
      <c r="H545" s="14"/>
      <c r="I545" s="14"/>
      <c r="J545" s="14"/>
      <c r="K545" s="14"/>
      <c r="L545" s="14"/>
      <c r="M545" s="14"/>
      <c r="N545" s="14"/>
      <c r="O545" s="14"/>
      <c r="P545" s="14"/>
      <c r="Q545" s="14"/>
      <c r="R545" s="14"/>
      <c r="S545" s="14"/>
      <c r="T545" s="14"/>
      <c r="U545" s="14"/>
      <c r="V545" s="14"/>
    </row>
    <row r="546" spans="2:22" ht="11.25" customHeight="1">
      <c r="B546" s="30"/>
      <c r="C546" s="14"/>
      <c r="D546" s="14"/>
      <c r="E546" s="14"/>
      <c r="F546" s="14"/>
      <c r="G546" s="14"/>
      <c r="H546" s="14"/>
      <c r="I546" s="14"/>
      <c r="J546" s="14"/>
      <c r="K546" s="14"/>
      <c r="L546" s="14"/>
      <c r="M546" s="14"/>
      <c r="N546" s="14"/>
      <c r="O546" s="14"/>
      <c r="P546" s="14"/>
      <c r="Q546" s="14"/>
      <c r="R546" s="14"/>
      <c r="S546" s="14"/>
      <c r="T546" s="14"/>
      <c r="U546" s="14"/>
      <c r="V546" s="14"/>
    </row>
    <row r="547" spans="2:22" ht="11.25" customHeight="1">
      <c r="B547" s="30"/>
      <c r="C547" s="14"/>
      <c r="D547" s="14"/>
      <c r="E547" s="14"/>
      <c r="F547" s="14"/>
      <c r="G547" s="14"/>
      <c r="H547" s="14"/>
      <c r="I547" s="14"/>
      <c r="J547" s="14"/>
      <c r="K547" s="14"/>
      <c r="L547" s="14"/>
      <c r="M547" s="14"/>
      <c r="N547" s="14"/>
      <c r="O547" s="14"/>
      <c r="P547" s="14"/>
      <c r="Q547" s="14"/>
      <c r="R547" s="14"/>
      <c r="S547" s="14"/>
      <c r="T547" s="14"/>
      <c r="U547" s="14"/>
      <c r="V547" s="14"/>
    </row>
    <row r="548" spans="2:22" ht="11.25" customHeight="1">
      <c r="B548" s="30"/>
      <c r="C548" s="14"/>
      <c r="D548" s="14"/>
      <c r="E548" s="14"/>
      <c r="F548" s="14"/>
      <c r="G548" s="14"/>
      <c r="H548" s="14"/>
      <c r="I548" s="14"/>
      <c r="J548" s="14"/>
      <c r="K548" s="14"/>
      <c r="L548" s="14"/>
      <c r="M548" s="14"/>
      <c r="N548" s="14"/>
      <c r="O548" s="14"/>
      <c r="P548" s="14"/>
      <c r="Q548" s="14"/>
      <c r="R548" s="14"/>
      <c r="S548" s="14"/>
      <c r="T548" s="14"/>
      <c r="U548" s="14"/>
      <c r="V548" s="14"/>
    </row>
    <row r="549" spans="2:22" ht="11.25" customHeight="1">
      <c r="B549" s="30"/>
      <c r="C549" s="14"/>
      <c r="D549" s="14"/>
      <c r="E549" s="14"/>
      <c r="F549" s="14"/>
      <c r="G549" s="14"/>
      <c r="H549" s="14"/>
      <c r="I549" s="14"/>
      <c r="J549" s="14"/>
      <c r="K549" s="14"/>
      <c r="L549" s="14"/>
      <c r="M549" s="14"/>
      <c r="N549" s="14"/>
      <c r="O549" s="14"/>
      <c r="P549" s="14"/>
      <c r="Q549" s="14"/>
      <c r="R549" s="14"/>
      <c r="S549" s="14"/>
      <c r="T549" s="14"/>
      <c r="U549" s="14"/>
      <c r="V549" s="14"/>
    </row>
    <row r="550" spans="2:22" ht="11.25" customHeight="1">
      <c r="B550" s="30"/>
      <c r="C550" s="14"/>
      <c r="D550" s="14"/>
      <c r="E550" s="14"/>
      <c r="F550" s="14"/>
      <c r="G550" s="14"/>
      <c r="H550" s="14"/>
      <c r="I550" s="14"/>
      <c r="J550" s="14"/>
      <c r="K550" s="14"/>
      <c r="L550" s="14"/>
      <c r="M550" s="14"/>
      <c r="N550" s="14"/>
      <c r="O550" s="14"/>
      <c r="P550" s="14"/>
      <c r="Q550" s="14"/>
      <c r="R550" s="14"/>
      <c r="S550" s="14"/>
      <c r="T550" s="14"/>
      <c r="U550" s="14"/>
      <c r="V550" s="14"/>
    </row>
    <row r="551" spans="2:22" ht="11.25" customHeight="1">
      <c r="B551" s="30"/>
      <c r="C551" s="14"/>
      <c r="D551" s="14"/>
      <c r="E551" s="14"/>
      <c r="F551" s="14"/>
      <c r="G551" s="14"/>
      <c r="H551" s="14"/>
      <c r="I551" s="14"/>
      <c r="J551" s="14"/>
      <c r="K551" s="14"/>
      <c r="L551" s="14"/>
      <c r="M551" s="14"/>
      <c r="N551" s="14"/>
      <c r="O551" s="14"/>
      <c r="P551" s="14"/>
      <c r="Q551" s="14"/>
      <c r="R551" s="14"/>
      <c r="S551" s="14"/>
      <c r="T551" s="14"/>
      <c r="U551" s="14"/>
      <c r="V551" s="14"/>
    </row>
    <row r="552" spans="2:22" ht="11.25" customHeight="1">
      <c r="B552" s="30"/>
      <c r="C552" s="14"/>
      <c r="D552" s="14"/>
      <c r="E552" s="14"/>
      <c r="F552" s="14"/>
      <c r="G552" s="14"/>
      <c r="H552" s="14"/>
      <c r="I552" s="14"/>
      <c r="J552" s="14"/>
      <c r="K552" s="14"/>
      <c r="L552" s="14"/>
      <c r="M552" s="14"/>
      <c r="N552" s="14"/>
      <c r="O552" s="14"/>
      <c r="P552" s="14"/>
      <c r="Q552" s="14"/>
      <c r="R552" s="14"/>
      <c r="S552" s="14"/>
      <c r="T552" s="14"/>
      <c r="U552" s="14"/>
      <c r="V552" s="14"/>
    </row>
    <row r="553" spans="2:22" ht="11.25" customHeight="1">
      <c r="B553" s="30"/>
      <c r="C553" s="14"/>
      <c r="D553" s="14"/>
      <c r="E553" s="14"/>
      <c r="F553" s="14"/>
      <c r="G553" s="14"/>
      <c r="H553" s="14"/>
      <c r="I553" s="14"/>
      <c r="J553" s="14"/>
      <c r="K553" s="14"/>
      <c r="L553" s="14"/>
      <c r="M553" s="14"/>
      <c r="N553" s="14"/>
      <c r="O553" s="14"/>
      <c r="P553" s="14"/>
      <c r="Q553" s="14"/>
      <c r="R553" s="14"/>
      <c r="S553" s="14"/>
      <c r="T553" s="14"/>
      <c r="U553" s="14"/>
      <c r="V553" s="14"/>
    </row>
    <row r="554" spans="2:22" ht="11.25" customHeight="1">
      <c r="B554" s="30"/>
      <c r="C554" s="14"/>
      <c r="D554" s="14"/>
      <c r="E554" s="14"/>
      <c r="F554" s="14"/>
      <c r="G554" s="14"/>
      <c r="H554" s="14"/>
      <c r="I554" s="14"/>
      <c r="J554" s="14"/>
      <c r="K554" s="14"/>
      <c r="L554" s="14"/>
      <c r="M554" s="14"/>
      <c r="N554" s="14"/>
      <c r="O554" s="14"/>
      <c r="P554" s="14"/>
      <c r="Q554" s="14"/>
      <c r="R554" s="14"/>
      <c r="S554" s="14"/>
      <c r="T554" s="14"/>
      <c r="U554" s="14"/>
      <c r="V554" s="14"/>
    </row>
  </sheetData>
  <sheetProtection/>
  <mergeCells count="76">
    <mergeCell ref="C2:G3"/>
    <mergeCell ref="C4:G5"/>
    <mergeCell ref="C86:G87"/>
    <mergeCell ref="C88:G89"/>
    <mergeCell ref="C170:G171"/>
    <mergeCell ref="C172:G173"/>
    <mergeCell ref="J2:M2"/>
    <mergeCell ref="J3:M3"/>
    <mergeCell ref="J4:M4"/>
    <mergeCell ref="U86:U88"/>
    <mergeCell ref="J247:M247"/>
    <mergeCell ref="Q191:R191"/>
    <mergeCell ref="Q192:R192"/>
    <mergeCell ref="J205:M205"/>
    <mergeCell ref="Q236:S237"/>
    <mergeCell ref="P227:S227"/>
    <mergeCell ref="M221:P221"/>
    <mergeCell ref="S13:T13"/>
    <mergeCell ref="R19:S19"/>
    <mergeCell ref="Q69:T69"/>
    <mergeCell ref="H64:M64"/>
    <mergeCell ref="H60:M60"/>
    <mergeCell ref="L38:L43"/>
    <mergeCell ref="M38:M43"/>
    <mergeCell ref="H59:I59"/>
    <mergeCell ref="O56:O57"/>
    <mergeCell ref="J59:K59"/>
    <mergeCell ref="S10:T10"/>
    <mergeCell ref="H10:I10"/>
    <mergeCell ref="O3:P3"/>
    <mergeCell ref="S11:T11"/>
    <mergeCell ref="U2:U5"/>
    <mergeCell ref="Q2:T2"/>
    <mergeCell ref="Q4:T4"/>
    <mergeCell ref="B6:V6"/>
    <mergeCell ref="Q3:T3"/>
    <mergeCell ref="O4:P4"/>
    <mergeCell ref="Q170:T170"/>
    <mergeCell ref="Q171:T171"/>
    <mergeCell ref="N77:O78"/>
    <mergeCell ref="Q87:T87"/>
    <mergeCell ref="R123:T123"/>
    <mergeCell ref="H13:I13"/>
    <mergeCell ref="H16:I16"/>
    <mergeCell ref="H17:I17"/>
    <mergeCell ref="J125:L125"/>
    <mergeCell ref="Q88:T88"/>
    <mergeCell ref="H11:I11"/>
    <mergeCell ref="H12:I12"/>
    <mergeCell ref="S12:T12"/>
    <mergeCell ref="S16:T16"/>
    <mergeCell ref="S17:T17"/>
    <mergeCell ref="D236:D237"/>
    <mergeCell ref="G117:I117"/>
    <mergeCell ref="J117:L117"/>
    <mergeCell ref="D228:E230"/>
    <mergeCell ref="F220:H220"/>
    <mergeCell ref="D217:E218"/>
    <mergeCell ref="K181:L181"/>
    <mergeCell ref="F192:F193"/>
    <mergeCell ref="H63:J63"/>
    <mergeCell ref="K63:M63"/>
    <mergeCell ref="U170:U172"/>
    <mergeCell ref="O88:P88"/>
    <mergeCell ref="B90:V90"/>
    <mergeCell ref="Q86:T86"/>
    <mergeCell ref="O87:P87"/>
    <mergeCell ref="P75:P79"/>
    <mergeCell ref="R71:S71"/>
    <mergeCell ref="O95:P95"/>
    <mergeCell ref="O172:P172"/>
    <mergeCell ref="Q172:T172"/>
    <mergeCell ref="B174:V174"/>
    <mergeCell ref="G125:I125"/>
    <mergeCell ref="O171:P171"/>
    <mergeCell ref="Q75:T75"/>
  </mergeCells>
  <conditionalFormatting sqref="J54 J52 J66 J76 J103 J112 T193 J156 J134">
    <cfRule type="cellIs" priority="15" dxfId="4" operator="equal" stopIfTrue="1">
      <formula>"NG."</formula>
    </cfRule>
    <cfRule type="cellIs" priority="16" dxfId="5" operator="equal" stopIfTrue="1">
      <formula>"OK."</formula>
    </cfRule>
  </conditionalFormatting>
  <conditionalFormatting sqref="I119:I121 L119:L121 L127:L128 I127">
    <cfRule type="cellIs" priority="19" dxfId="6" operator="equal" stopIfTrue="1">
      <formula>"NG."</formula>
    </cfRule>
  </conditionalFormatting>
  <dataValidations count="7">
    <dataValidation type="list" allowBlank="1" showInputMessage="1" showErrorMessage="1" sqref="H122 K122 F123">
      <formula1>"12,15,16,20,19,22,25,32"</formula1>
    </dataValidation>
    <dataValidation type="list" allowBlank="1" showInputMessage="1" showErrorMessage="1" sqref="E123">
      <formula1>"RB,DB"</formula1>
    </dataValidation>
    <dataValidation type="list" allowBlank="1" showInputMessage="1" showErrorMessage="1" sqref="H121 K121">
      <formula1>"2,3,4,5,6,7,8,9,10,11,12,13,14,15,16,17,18,19,20,21,22,23"</formula1>
    </dataValidation>
    <dataValidation type="list" allowBlank="1" showInputMessage="1" showErrorMessage="1" sqref="D123">
      <formula1>"1,2,3,4,5,6,7,8,9,10,11,12,13,14,15,16,17,18,19,20,21,22,23"</formula1>
    </dataValidation>
    <dataValidation type="list" allowBlank="1" showInputMessage="1" showErrorMessage="1" sqref="H12">
      <formula1>"0.375,.45"</formula1>
    </dataValidation>
    <dataValidation type="list" allowBlank="1" showInputMessage="1" showErrorMessage="1" sqref="V70 V154">
      <formula1>"12,16,20,25,32"</formula1>
    </dataValidation>
    <dataValidation type="list" allowBlank="1" showInputMessage="1" showErrorMessage="1" sqref="S10">
      <formula1>"SR-24,SD-30,SD-40"</formula1>
    </dataValidation>
  </dataValidations>
  <printOptions horizontalCentered="1" verticalCentered="1"/>
  <pageMargins left="0.3937007874015748" right="0.31496062992125984" top="0.3937007874015748" bottom="0.3937007874015748" header="0.31496062992125984" footer="0.07874015748031496"/>
  <pageSetup fitToHeight="3" horizontalDpi="600" verticalDpi="600" orientation="portrait" paperSize="9" scale="85" r:id="rId4"/>
  <headerFooter>
    <oddFooter>&amp;L&amp;11&amp;Z&amp;F&amp;R&amp;11&amp;D/&amp;T</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4">
    <tabColor indexed="10"/>
  </sheetPr>
  <dimension ref="A1:AK103"/>
  <sheetViews>
    <sheetView showGridLines="0" zoomScalePageLayoutView="0" workbookViewId="0" topLeftCell="A54">
      <pane ySplit="5" topLeftCell="A80" activePane="bottomLeft" state="frozen"/>
      <selection pane="topLeft" activeCell="A54" sqref="A54"/>
      <selection pane="bottomLeft" activeCell="C97" sqref="C97"/>
    </sheetView>
  </sheetViews>
  <sheetFormatPr defaultColWidth="9.140625" defaultRowHeight="23.25"/>
  <cols>
    <col min="1" max="1" width="11.8515625" style="314" customWidth="1"/>
    <col min="2" max="3" width="9.140625" style="314" customWidth="1"/>
    <col min="4" max="4" width="9.57421875" style="314" customWidth="1"/>
    <col min="5" max="5" width="10.7109375" style="314" customWidth="1"/>
    <col min="6" max="8" width="9.140625" style="314" customWidth="1"/>
    <col min="9" max="9" width="12.140625" style="314" customWidth="1"/>
    <col min="10" max="11" width="9.140625" style="110" hidden="1" customWidth="1"/>
    <col min="12" max="12" width="10.7109375" style="110" hidden="1" customWidth="1"/>
    <col min="13" max="14" width="9.140625" style="110" hidden="1" customWidth="1"/>
    <col min="15" max="15" width="10.7109375" style="110" hidden="1" customWidth="1"/>
    <col min="16" max="18" width="9.140625" style="110" hidden="1" customWidth="1"/>
    <col min="19" max="25" width="10.7109375" style="110" hidden="1" customWidth="1"/>
    <col min="26" max="26" width="9.140625" style="110" hidden="1" customWidth="1"/>
    <col min="27" max="27" width="9.140625" style="110" customWidth="1"/>
    <col min="28" max="28" width="9.140625" style="112" customWidth="1"/>
    <col min="29" max="16384" width="9.140625" style="110" customWidth="1"/>
  </cols>
  <sheetData>
    <row r="1" spans="1:27" ht="15.75">
      <c r="A1" s="104" t="s">
        <v>52</v>
      </c>
      <c r="B1" s="105"/>
      <c r="C1" s="106"/>
      <c r="D1" s="106"/>
      <c r="E1" s="106"/>
      <c r="F1" s="106"/>
      <c r="G1" s="105"/>
      <c r="H1" s="105"/>
      <c r="I1" s="107"/>
      <c r="J1" s="108"/>
      <c r="K1" s="109" t="s">
        <v>53</v>
      </c>
      <c r="N1" s="109"/>
      <c r="AA1" s="111" t="s">
        <v>54</v>
      </c>
    </row>
    <row r="2" spans="1:29" ht="25.5">
      <c r="A2" s="113" t="s">
        <v>55</v>
      </c>
      <c r="B2" s="114"/>
      <c r="C2" s="115"/>
      <c r="D2" s="114"/>
      <c r="E2" s="114"/>
      <c r="F2" s="114"/>
      <c r="G2" s="116"/>
      <c r="H2" s="116"/>
      <c r="I2" s="117"/>
      <c r="J2" s="108"/>
      <c r="AB2" s="118" t="s">
        <v>56</v>
      </c>
      <c r="AC2" s="119"/>
    </row>
    <row r="3" spans="1:29" ht="12.75">
      <c r="A3" s="120" t="s">
        <v>57</v>
      </c>
      <c r="B3" s="121"/>
      <c r="C3" s="121"/>
      <c r="D3" s="121"/>
      <c r="E3" s="121"/>
      <c r="F3" s="121"/>
      <c r="G3" s="122"/>
      <c r="H3" s="122"/>
      <c r="I3" s="123"/>
      <c r="J3" s="108"/>
      <c r="L3" s="124" t="s">
        <v>58</v>
      </c>
      <c r="M3" s="125"/>
      <c r="N3" s="124" t="s">
        <v>59</v>
      </c>
      <c r="O3" s="126"/>
      <c r="P3" s="125"/>
      <c r="Q3" s="124" t="s">
        <v>60</v>
      </c>
      <c r="R3" s="125"/>
      <c r="S3" s="124" t="s">
        <v>61</v>
      </c>
      <c r="T3" s="127"/>
      <c r="AB3" s="128" t="s">
        <v>62</v>
      </c>
      <c r="AC3" s="128" t="s">
        <v>63</v>
      </c>
    </row>
    <row r="4" spans="1:29" ht="12.75">
      <c r="A4" s="129" t="s">
        <v>64</v>
      </c>
      <c r="B4" s="130"/>
      <c r="C4" s="131"/>
      <c r="D4" s="131"/>
      <c r="E4" s="131"/>
      <c r="F4" s="132" t="s">
        <v>65</v>
      </c>
      <c r="G4" s="133"/>
      <c r="H4" s="134"/>
      <c r="I4" s="135"/>
      <c r="J4" s="136"/>
      <c r="K4" s="137" t="s">
        <v>66</v>
      </c>
      <c r="L4" s="138" t="s">
        <v>67</v>
      </c>
      <c r="M4" s="138" t="s">
        <v>68</v>
      </c>
      <c r="N4" s="139" t="s">
        <v>16</v>
      </c>
      <c r="O4" s="139" t="s">
        <v>17</v>
      </c>
      <c r="P4" s="139" t="s">
        <v>69</v>
      </c>
      <c r="Q4" s="140" t="s">
        <v>70</v>
      </c>
      <c r="R4" s="140" t="s">
        <v>71</v>
      </c>
      <c r="S4" s="140" t="s">
        <v>72</v>
      </c>
      <c r="T4" s="140" t="s">
        <v>73</v>
      </c>
      <c r="AB4" s="141">
        <f>+AB56</f>
        <v>0.4</v>
      </c>
      <c r="AC4" s="142">
        <f>+AC56</f>
        <v>0.4</v>
      </c>
    </row>
    <row r="5" spans="1:34" ht="12.75">
      <c r="A5" s="129" t="s">
        <v>74</v>
      </c>
      <c r="B5" s="143"/>
      <c r="C5" s="134"/>
      <c r="D5" s="134"/>
      <c r="E5" s="135"/>
      <c r="F5" s="144" t="s">
        <v>75</v>
      </c>
      <c r="G5" s="145"/>
      <c r="H5" s="146" t="s">
        <v>76</v>
      </c>
      <c r="I5" s="147"/>
      <c r="J5" s="136"/>
      <c r="K5" s="112">
        <v>1</v>
      </c>
      <c r="L5" s="148">
        <f>IF($C$9&gt;=1,$C12+0.000001-$L$35,"")</f>
        <v>-0.3499989999999999</v>
      </c>
      <c r="M5" s="148">
        <f>IF($C$9&gt;=1,$B12+0.000001-$L$34,"")</f>
        <v>-0.699999</v>
      </c>
      <c r="N5" s="149">
        <f>IF($C$9&gt;=1,$L5^2,"")</f>
        <v>0.12249930000099993</v>
      </c>
      <c r="O5" s="149">
        <f>IF($C$9&gt;=1,$M5^2,"")</f>
        <v>0.48999860000100004</v>
      </c>
      <c r="P5" s="149">
        <f>IF($C$9&gt;=1,$L5*$M5,"")</f>
        <v>0.24499895000099994</v>
      </c>
      <c r="Q5" s="150">
        <f>IF($C$9&gt;=1,$B12-$L$34,"")</f>
        <v>-0.7000000000000001</v>
      </c>
      <c r="R5" s="150">
        <f>IF($C$9&gt;=1,$C12-$L$35,"")</f>
        <v>-0.34999999999999987</v>
      </c>
      <c r="S5" s="151">
        <f>IF($C$9&gt;=1,(-$P$43/$C$9+($P$47*$L$36--$P$46*$L$39)/($L$36*$L$37-$L$39^2)*$Q5+(-$P$46*$L$37-$P$47*$L$39)/($L$36*$L$37-$L$39^2)*$R5),"")</f>
        <v>173.4710891726169</v>
      </c>
      <c r="T5" s="151">
        <f>IF($C$9&gt;=1,((($P$44/$C$9+$P$48*-$R5/$L$38)^2+($P$45/$C$9+$P$48*$Q5/$L$38)^2)^(1/2)),"")</f>
        <v>0</v>
      </c>
      <c r="AE5" s="152" t="s">
        <v>129</v>
      </c>
      <c r="AF5" s="153"/>
      <c r="AG5" s="153"/>
      <c r="AH5" s="153"/>
    </row>
    <row r="6" spans="1:34" ht="12.75">
      <c r="A6" s="154"/>
      <c r="B6" s="155"/>
      <c r="C6" s="155"/>
      <c r="D6" s="155"/>
      <c r="E6" s="155"/>
      <c r="F6" s="155"/>
      <c r="G6" s="155"/>
      <c r="H6" s="156"/>
      <c r="I6" s="157"/>
      <c r="J6" s="108"/>
      <c r="K6" s="112">
        <v>2</v>
      </c>
      <c r="L6" s="148">
        <f>IF($C$9&gt;=2,$C13-$L$35,"")</f>
        <v>-0.34999999999999987</v>
      </c>
      <c r="M6" s="148">
        <f>IF($C$9&gt;=2,$B13-$L$34,"")</f>
        <v>0</v>
      </c>
      <c r="N6" s="149">
        <f>IF($C$9&gt;=2,$L6^2,"")</f>
        <v>0.1224999999999999</v>
      </c>
      <c r="O6" s="149">
        <f>IF($C$9&gt;=2,$M6^2,"")</f>
        <v>0</v>
      </c>
      <c r="P6" s="149">
        <f>IF($C$9&gt;=2,$L6*$M6,"")</f>
        <v>0</v>
      </c>
      <c r="Q6" s="150">
        <f>IF($C$9&gt;=2,$B13-$L$34,"")</f>
        <v>0</v>
      </c>
      <c r="R6" s="150">
        <f>IF($C$9&gt;=2,$C13-$L$35,"")</f>
        <v>-0.34999999999999987</v>
      </c>
      <c r="S6" s="151">
        <f>IF($C$9&gt;=2,(-$P$43/$C$9+($P$47*$L$36--$P$46*$L$39)/($L$36*$L$37-$L$39^2)*$Q6+(-$P$46*$L$37-$P$47*$L$39)/($L$36*$L$37-$L$39^2)*$R6),"")</f>
        <v>178.72466435373934</v>
      </c>
      <c r="T6" s="151">
        <f>IF($C$9&gt;=2,((($P$44/$C$9+$P$48*-$R6/$L$38)^2+($P$45/$C$9+$P$48*$Q6/$L$38)^2)^(1/2)),"")</f>
        <v>0</v>
      </c>
      <c r="AE6" s="153" t="s">
        <v>77</v>
      </c>
      <c r="AF6" s="153"/>
      <c r="AG6" s="153"/>
      <c r="AH6" s="153"/>
    </row>
    <row r="7" spans="1:34" ht="12.75">
      <c r="A7" s="158" t="s">
        <v>78</v>
      </c>
      <c r="B7" s="155"/>
      <c r="C7" s="159"/>
      <c r="D7" s="155"/>
      <c r="E7" s="155"/>
      <c r="F7" s="155"/>
      <c r="G7" s="155"/>
      <c r="H7" s="156"/>
      <c r="I7" s="160"/>
      <c r="J7" s="108"/>
      <c r="K7" s="112">
        <v>3</v>
      </c>
      <c r="L7" s="148">
        <f>IF($C$9&gt;=3,$C14-$L$35,"")</f>
        <v>-0.34999999999999987</v>
      </c>
      <c r="M7" s="148">
        <f>IF($C$9&gt;=3,$B14-$L$34,"")</f>
        <v>0.7</v>
      </c>
      <c r="N7" s="149">
        <f>IF($C$9&gt;=3,$L7^2,"")</f>
        <v>0.1224999999999999</v>
      </c>
      <c r="O7" s="149">
        <f>IF($C$9&gt;=3,$M7^2,"")</f>
        <v>0.48999999999999994</v>
      </c>
      <c r="P7" s="149">
        <f>IF($C$9&gt;=3,$L7*$M7,"")</f>
        <v>-0.24499999999999988</v>
      </c>
      <c r="Q7" s="150">
        <f>IF($C$9&gt;=3,$B14-$L$34,"")</f>
        <v>0.7</v>
      </c>
      <c r="R7" s="150">
        <f>IF($C$9&gt;=3,$C14-$L$35,"")</f>
        <v>-0.34999999999999987</v>
      </c>
      <c r="S7" s="151">
        <f>IF($C$9&gt;=3,(-$P$43/$C$9+($P$47*$L$36--$P$46*$L$39)/($L$36*$L$37-$L$39^2)*$Q7+(-$P$46*$L$37-$P$47*$L$39)/($L$36*$L$37-$L$39^2)*$R7),"")</f>
        <v>183.97823953486179</v>
      </c>
      <c r="T7" s="151">
        <f>IF($C$9&gt;=3,((($P$44/$C$9+$P$48*-$R7/$L$38)^2+($P$45/$C$9+$P$48*$Q7/$L$38)^2)^(1/2)),"")</f>
        <v>0</v>
      </c>
      <c r="AE7" s="153" t="s">
        <v>79</v>
      </c>
      <c r="AF7" s="153"/>
      <c r="AG7" s="153"/>
      <c r="AH7" s="153"/>
    </row>
    <row r="8" spans="1:34" ht="12.75">
      <c r="A8" s="161"/>
      <c r="B8" s="162"/>
      <c r="C8" s="155"/>
      <c r="D8" s="155"/>
      <c r="E8" s="163" t="s">
        <v>80</v>
      </c>
      <c r="F8" s="164"/>
      <c r="G8" s="165"/>
      <c r="H8" s="166"/>
      <c r="I8" s="167"/>
      <c r="J8" s="108"/>
      <c r="K8" s="112">
        <v>4</v>
      </c>
      <c r="L8" s="148">
        <f>IF($C$9&gt;=4,$C15-$L$35,"")</f>
        <v>0.3500000000000002</v>
      </c>
      <c r="M8" s="148">
        <f>IF($C$9&gt;=4,$B15-$L$34,"")</f>
        <v>-0.7000000000000001</v>
      </c>
      <c r="N8" s="149">
        <f>IF($C$9&gt;=4,$L8^2,"")</f>
        <v>0.12250000000000014</v>
      </c>
      <c r="O8" s="149">
        <f>IF($C$9&gt;=4,$M8^2,"")</f>
        <v>0.4900000000000001</v>
      </c>
      <c r="P8" s="149">
        <f>IF($C$9&gt;=4,$L8*$M8,"")</f>
        <v>-0.24500000000000016</v>
      </c>
      <c r="Q8" s="150">
        <f>IF($C$9&gt;=4,$B15-$L$34,"")</f>
        <v>-0.7000000000000001</v>
      </c>
      <c r="R8" s="150">
        <f>IF($C$9&gt;=4,$C15-$L$35,"")</f>
        <v>0.3500000000000002</v>
      </c>
      <c r="S8" s="151">
        <f>IF($C$9&gt;=4,(-$P$43/$C$9+($P$47*$L$36--$P$46*$L$39)/($L$36*$L$37-$L$39^2)*$Q8+(-$P$46*$L$37-$P$47*$L$39)/($L$36*$L$37-$L$39^2)*$R8),"")</f>
        <v>164.12822313180482</v>
      </c>
      <c r="T8" s="151">
        <f>IF($C$9&gt;=4,((($P$44/$C$9+$P$48*-$R8/$L$38)^2+($P$45/$C$9+$P$48*$Q8/$L$38)^2)^(1/2)),"")</f>
        <v>0</v>
      </c>
      <c r="AE8" s="153" t="s">
        <v>81</v>
      </c>
      <c r="AF8" s="153"/>
      <c r="AG8" s="153"/>
      <c r="AH8" s="153"/>
    </row>
    <row r="9" spans="1:20" ht="12.75">
      <c r="A9" s="161"/>
      <c r="B9" s="168" t="s">
        <v>82</v>
      </c>
      <c r="C9" s="169">
        <f>C62</f>
        <v>6</v>
      </c>
      <c r="D9" s="170"/>
      <c r="E9" s="171"/>
      <c r="F9" s="164"/>
      <c r="G9" s="172"/>
      <c r="H9" s="172"/>
      <c r="I9" s="173" t="s">
        <v>83</v>
      </c>
      <c r="J9" s="108"/>
      <c r="K9" s="112">
        <v>5</v>
      </c>
      <c r="L9" s="148">
        <f>IF($C$9&gt;=5,$C16-$L$35,"")</f>
        <v>0.3500000000000002</v>
      </c>
      <c r="M9" s="148">
        <f>IF($C$9&gt;=5,$B16-$L$34,"")</f>
        <v>0</v>
      </c>
      <c r="N9" s="149">
        <f>IF($C$9&gt;=5,$L9^2,"")</f>
        <v>0.12250000000000014</v>
      </c>
      <c r="O9" s="149">
        <f>IF($C$9&gt;=5,$M9^2,"")</f>
        <v>0</v>
      </c>
      <c r="P9" s="149">
        <f>IF($C$9&gt;=5,$L9*$M9,"")</f>
        <v>0</v>
      </c>
      <c r="Q9" s="150">
        <f>IF($C$9&gt;=5,$B16-$L$34,"")</f>
        <v>0</v>
      </c>
      <c r="R9" s="150">
        <f>IF($C$9&gt;=5,$C16-$L$35,"")</f>
        <v>0.3500000000000002</v>
      </c>
      <c r="S9" s="151">
        <f>IF($C$9&gt;=5,(-$P$43/$C$9+($P$47*$L$36--$P$46*$L$39)/($L$36*$L$37-$L$39^2)*$Q9+(-$P$46*$L$37-$P$47*$L$39)/($L$36*$L$37-$L$39^2)*$R9),"")</f>
        <v>169.38179831292726</v>
      </c>
      <c r="T9" s="151">
        <f>IF($C$9&gt;=5,((($P$44/$C$9+$P$48*-$R9/$L$38)^2+($P$45/$C$9+$P$48*$Q9/$L$38)^2)^(1/2)),"")</f>
        <v>0</v>
      </c>
    </row>
    <row r="10" spans="1:37" ht="12.75">
      <c r="A10" s="161"/>
      <c r="B10" s="174" t="s">
        <v>84</v>
      </c>
      <c r="C10" s="175"/>
      <c r="D10" s="172"/>
      <c r="E10" s="176" t="s">
        <v>130</v>
      </c>
      <c r="F10" s="177"/>
      <c r="G10" s="172"/>
      <c r="H10" s="172"/>
      <c r="I10" s="173"/>
      <c r="K10" s="112">
        <v>6</v>
      </c>
      <c r="L10" s="148">
        <f>IF($C$9&gt;=6,$C17-$L$35,"")</f>
        <v>0.3500000000000002</v>
      </c>
      <c r="M10" s="148">
        <f>IF($C$9&gt;=6,$B17-$L$34,"")</f>
        <v>0.7</v>
      </c>
      <c r="N10" s="149">
        <f>IF($C$9&gt;=6,$L10^2,"")</f>
        <v>0.12250000000000014</v>
      </c>
      <c r="O10" s="149">
        <f>IF($C$9&gt;=6,$M10^2,"")</f>
        <v>0.48999999999999994</v>
      </c>
      <c r="P10" s="149">
        <f>IF($C$9&gt;=6,$L10*$M10,"")</f>
        <v>0.24500000000000013</v>
      </c>
      <c r="Q10" s="150">
        <f>IF($C$9&gt;=6,$B17-$L$34,"")</f>
        <v>0.7</v>
      </c>
      <c r="R10" s="150">
        <f>IF($C$9&gt;=6,$C17-$L$35,"")</f>
        <v>0.3500000000000002</v>
      </c>
      <c r="S10" s="151">
        <f>IF($C$9&gt;=6,(-$P$43/$C$9+($P$47*$L$36--$P$46*$L$39)/($L$36*$L$37-$L$39^2)*$Q10+(-$P$46*$L$37-$P$47*$L$39)/($L$36*$L$37-$L$39^2)*$R10),"")</f>
        <v>174.6353734940497</v>
      </c>
      <c r="T10" s="151">
        <f>IF($C$9&gt;=6,((($P$44/$C$9+$P$48*-$R10/$L$38)^2+($P$45/$C$9+$P$48*$Q10/$L$38)^2)^(1/2)),"")</f>
        <v>0</v>
      </c>
      <c r="AD10" s="178" t="s">
        <v>85</v>
      </c>
      <c r="AE10" s="127"/>
      <c r="AF10" s="127"/>
      <c r="AG10" s="127"/>
      <c r="AH10" s="179"/>
      <c r="AI10" s="179"/>
      <c r="AJ10" s="179"/>
      <c r="AK10" s="179"/>
    </row>
    <row r="11" spans="1:37" ht="12.75">
      <c r="A11" s="161"/>
      <c r="B11" s="180" t="s">
        <v>131</v>
      </c>
      <c r="C11" s="180" t="s">
        <v>132</v>
      </c>
      <c r="D11" s="172"/>
      <c r="E11" s="181" t="s">
        <v>72</v>
      </c>
      <c r="F11" s="182" t="s">
        <v>73</v>
      </c>
      <c r="G11" s="172"/>
      <c r="H11" s="172"/>
      <c r="I11" s="173"/>
      <c r="K11" s="112">
        <v>7</v>
      </c>
      <c r="L11" s="148">
        <f>IF($C$9&gt;=7,$C18-$L$35,"")</f>
      </c>
      <c r="M11" s="148">
        <f>IF($C$9&gt;=7,$B18-$L$34,"")</f>
      </c>
      <c r="N11" s="149">
        <f>IF($C$9&gt;=7,$L11^2,"")</f>
      </c>
      <c r="O11" s="149">
        <f>IF($C$9&gt;=7,$M11^2,"")</f>
      </c>
      <c r="P11" s="149">
        <f>IF($C$9&gt;=7,$L11*$M11,"")</f>
      </c>
      <c r="Q11" s="150">
        <f>IF($C$9&gt;=7,$B18-$L$34,"")</f>
      </c>
      <c r="R11" s="150">
        <f>IF($C$9&gt;=7,$C18-$L$35,"")</f>
      </c>
      <c r="S11" s="151">
        <f>IF($C$9&gt;=7,(-$P$43/$C$9+($P$47*$L$36--$P$46*$L$39)/($L$36*$L$37-$L$39^2)*$Q11+(-$P$46*$L$37-$P$47*$L$39)/($L$36*$L$37-$L$39^2)*$R11),"")</f>
      </c>
      <c r="T11" s="151">
        <f>IF($C$9&gt;=7,((($P$44/$C$9+$P$48*-$R11/$L$38)^2+($P$45/$C$9+$P$48*$Q11/$L$38)^2)^(1/2)),"")</f>
      </c>
      <c r="AD11" s="183"/>
      <c r="AE11" s="184" t="s">
        <v>133</v>
      </c>
      <c r="AF11" s="184" t="s">
        <v>134</v>
      </c>
      <c r="AG11" s="179"/>
      <c r="AH11" s="179"/>
      <c r="AI11" s="179"/>
      <c r="AJ11" s="179"/>
      <c r="AK11" s="179"/>
    </row>
    <row r="12" spans="1:37" ht="12.75">
      <c r="A12" s="185" t="str">
        <f>IF($C$9&gt;=1,"#1:","")</f>
        <v>#1:</v>
      </c>
      <c r="B12" s="186">
        <f aca="true" t="shared" si="0" ref="B12:C36">+B65</f>
        <v>0.35</v>
      </c>
      <c r="C12" s="187">
        <f t="shared" si="0"/>
        <v>0.35</v>
      </c>
      <c r="D12" s="188" t="str">
        <f>IF($C$9&gt;=1,"#1:","")</f>
        <v>#1:</v>
      </c>
      <c r="E12" s="189">
        <f aca="true" t="shared" si="1" ref="E12:E36">$S5</f>
        <v>173.4710891726169</v>
      </c>
      <c r="F12" s="190">
        <f aca="true" t="shared" si="2" ref="F12:F36">$T5</f>
        <v>0</v>
      </c>
      <c r="G12" s="172"/>
      <c r="H12" s="172"/>
      <c r="I12" s="173"/>
      <c r="K12" s="112">
        <v>8</v>
      </c>
      <c r="L12" s="148">
        <f>IF($C$9&gt;=8,$C19-$L$35,"")</f>
      </c>
      <c r="M12" s="148">
        <f>IF($C$9&gt;=8,$B19-$L$34,"")</f>
      </c>
      <c r="N12" s="149">
        <f>IF($C$9&gt;=8,$L12^2,"")</f>
      </c>
      <c r="O12" s="149">
        <f>IF($C$9&gt;=8,$M12^2,"")</f>
      </c>
      <c r="P12" s="149">
        <f>IF($C$9&gt;=8,$L12*$M12,"")</f>
      </c>
      <c r="Q12" s="150">
        <f>IF($C$9&gt;=8,$B19-$L$34,"")</f>
      </c>
      <c r="R12" s="150">
        <f>IF($C$9&gt;=8,$C19-$L$35,"")</f>
      </c>
      <c r="S12" s="151">
        <f>IF($C$9&gt;=8,(-$P$43/$C$9+($P$47*$L$36--$P$46*$L$39)/($L$36*$L$37-$L$39^2)*$Q12+(-$P$46*$L$37-$P$47*$L$39)/($L$36*$L$37-$L$39^2)*$R12),"")</f>
      </c>
      <c r="T12" s="151">
        <f>IF($C$9&gt;=8,((($P$44/$C$9+$P$48*-$R12/$L$38)^2+($P$45/$C$9+$P$48*$Q12/$L$38)^2)^(1/2)),"")</f>
      </c>
      <c r="AD12" s="191" t="str">
        <f>IF($C$9&gt;=1,"#1:","")</f>
        <v>#1:</v>
      </c>
      <c r="AE12" s="192">
        <f>IF($C$9&gt;=1,$B12*3.28084,"")</f>
        <v>1.148294</v>
      </c>
      <c r="AF12" s="193">
        <f>IF($C$9&gt;=1,$C12*3.28084,"")</f>
        <v>1.148294</v>
      </c>
      <c r="AG12" s="179"/>
      <c r="AH12" s="179"/>
      <c r="AI12" s="179"/>
      <c r="AJ12" s="179"/>
      <c r="AK12" s="179"/>
    </row>
    <row r="13" spans="1:37" ht="12.75">
      <c r="A13" s="185" t="str">
        <f>IF($C$9&gt;=2,"#2:","")</f>
        <v>#2:</v>
      </c>
      <c r="B13" s="194">
        <f t="shared" si="0"/>
        <v>1.05</v>
      </c>
      <c r="C13" s="195">
        <f t="shared" si="0"/>
        <v>0.35</v>
      </c>
      <c r="D13" s="188" t="str">
        <f>IF($C$9&gt;=2,"#2:","")</f>
        <v>#2:</v>
      </c>
      <c r="E13" s="196">
        <f t="shared" si="1"/>
        <v>178.72466435373934</v>
      </c>
      <c r="F13" s="197">
        <f t="shared" si="2"/>
        <v>0</v>
      </c>
      <c r="G13" s="172"/>
      <c r="H13" s="172"/>
      <c r="I13" s="173"/>
      <c r="K13" s="112">
        <v>9</v>
      </c>
      <c r="L13" s="148">
        <f>IF($C$9&gt;=9,$C20-$L$35,"")</f>
      </c>
      <c r="M13" s="148">
        <f>IF($C$9&gt;=9,$B20-$L$34,"")</f>
      </c>
      <c r="N13" s="149">
        <f>IF($C$9&gt;=9,$L13^2,"")</f>
      </c>
      <c r="O13" s="149">
        <f>IF($C$9&gt;=9,$M13^2,"")</f>
      </c>
      <c r="P13" s="149">
        <f>IF($C$9&gt;=9,$L13*$M13,"")</f>
      </c>
      <c r="Q13" s="150">
        <f>IF($C$9&gt;=9,$B20-$L$34,"")</f>
      </c>
      <c r="R13" s="150">
        <f>IF($C$9&gt;=9,$C20-$L$35,"")</f>
      </c>
      <c r="S13" s="151">
        <f>IF($C$9&gt;=9,(-$P$43/$C$9+($P$47*$L$36--$P$46*$L$39)/($L$36*$L$37-$L$39^2)*$Q13+(-$P$46*$L$37-$P$47*$L$39)/($L$36*$L$37-$L$39^2)*$R13),"")</f>
      </c>
      <c r="T13" s="151">
        <f>IF($C$9&gt;=9,((($P$44/$C$9+$P$48*-$R13/$L$38)^2+($P$45/$C$9+$P$48*$Q13/$L$38)^2)^(1/2)),"")</f>
      </c>
      <c r="AD13" s="191" t="str">
        <f>IF($C$9&gt;=2,"#2:","")</f>
        <v>#2:</v>
      </c>
      <c r="AE13" s="198">
        <f>IF($C$9&gt;=2,$B13*3.28084,"")</f>
        <v>3.444882</v>
      </c>
      <c r="AF13" s="199">
        <f>IF($C$9&gt;=2,$C13*3.28084,"")</f>
        <v>1.148294</v>
      </c>
      <c r="AG13" s="179"/>
      <c r="AH13" s="179"/>
      <c r="AI13" s="179"/>
      <c r="AJ13" s="179"/>
      <c r="AK13" s="179"/>
    </row>
    <row r="14" spans="1:37" ht="12.75">
      <c r="A14" s="185" t="str">
        <f>IF($C$9&gt;=3,"#3:","")</f>
        <v>#3:</v>
      </c>
      <c r="B14" s="194">
        <f t="shared" si="0"/>
        <v>1.75</v>
      </c>
      <c r="C14" s="195">
        <f t="shared" si="0"/>
        <v>0.35</v>
      </c>
      <c r="D14" s="188" t="str">
        <f>IF($C$9&gt;=3,"#3:","")</f>
        <v>#3:</v>
      </c>
      <c r="E14" s="196">
        <f t="shared" si="1"/>
        <v>183.97823953486179</v>
      </c>
      <c r="F14" s="197">
        <f t="shared" si="2"/>
        <v>0</v>
      </c>
      <c r="G14" s="172"/>
      <c r="H14" s="172"/>
      <c r="I14" s="173"/>
      <c r="K14" s="112">
        <v>10</v>
      </c>
      <c r="L14" s="148">
        <f>IF($C$9&gt;=10,$C21-$L$35,"")</f>
      </c>
      <c r="M14" s="148">
        <f>IF($C$9&gt;=10,$B21-$L$34,"")</f>
      </c>
      <c r="N14" s="149">
        <f>IF($C$9&gt;=10,$L14^2,"")</f>
      </c>
      <c r="O14" s="149">
        <f>IF($C$9&gt;=10,$M14^2,"")</f>
      </c>
      <c r="P14" s="149">
        <f>IF($C$9&gt;=10,$L14*$M14,"")</f>
      </c>
      <c r="Q14" s="150">
        <f>IF($C$9&gt;=10,$B21-$L$34,"")</f>
      </c>
      <c r="R14" s="150">
        <f>IF($C$9&gt;=10,$C21-$L$35,"")</f>
      </c>
      <c r="S14" s="151">
        <f>IF($C$9&gt;=10,(-$P$43/$C$9+($P$47*$L$36--$P$46*$L$39)/($L$36*$L$37-$L$39^2)*$Q14+(-$P$46*$L$37-$P$47*$L$39)/($L$36*$L$37-$L$39^2)*$R14),"")</f>
      </c>
      <c r="T14" s="151">
        <f>IF($C$9&gt;=10,((($P$44/$C$9+$P$48*-$R14/$L$38)^2+($P$45/$C$9+$P$48*$Q14/$L$38)^2)^(1/2)),"")</f>
      </c>
      <c r="AD14" s="191" t="str">
        <f>IF($C$9&gt;=3,"#3:","")</f>
        <v>#3:</v>
      </c>
      <c r="AE14" s="198">
        <f>IF($C$9&gt;=3,$B14*3.28084,"")</f>
        <v>5.74147</v>
      </c>
      <c r="AF14" s="199">
        <f>IF($C$9&gt;=3,$C14*3.28084,"")</f>
        <v>1.148294</v>
      </c>
      <c r="AG14" s="179"/>
      <c r="AH14" s="179"/>
      <c r="AI14" s="179"/>
      <c r="AJ14" s="179"/>
      <c r="AK14" s="179"/>
    </row>
    <row r="15" spans="1:37" ht="12.75">
      <c r="A15" s="185" t="str">
        <f>IF($C$9&gt;=4,"#4:","")</f>
        <v>#4:</v>
      </c>
      <c r="B15" s="194">
        <f t="shared" si="0"/>
        <v>0.35</v>
      </c>
      <c r="C15" s="195">
        <f t="shared" si="0"/>
        <v>1.05</v>
      </c>
      <c r="D15" s="188" t="str">
        <f>IF($C$9&gt;=4,"#4:","")</f>
        <v>#4:</v>
      </c>
      <c r="E15" s="196">
        <f t="shared" si="1"/>
        <v>164.12822313180482</v>
      </c>
      <c r="F15" s="197">
        <f t="shared" si="2"/>
        <v>0</v>
      </c>
      <c r="G15" s="172"/>
      <c r="H15" s="172"/>
      <c r="I15" s="173"/>
      <c r="K15" s="112">
        <v>11</v>
      </c>
      <c r="L15" s="148">
        <f>IF($C$9&gt;=11,$C22-$L$35,"")</f>
      </c>
      <c r="M15" s="148">
        <f>IF($C$9&gt;=11,$B22-$L$34,"")</f>
      </c>
      <c r="N15" s="149">
        <f>IF($C$9&gt;=11,$L15^2,"")</f>
      </c>
      <c r="O15" s="149">
        <f>IF($C$9&gt;=11,$M15^2,"")</f>
      </c>
      <c r="P15" s="149">
        <f>IF($C$9&gt;=11,$L15*$M15,"")</f>
      </c>
      <c r="Q15" s="150">
        <f>IF($C$9&gt;=11,$B22-$L$34,"")</f>
      </c>
      <c r="R15" s="150">
        <f>IF($C$9&gt;=11,$C22-$L$35,"")</f>
      </c>
      <c r="S15" s="151">
        <f>IF($C$9&gt;=11,(-$P$43/$C$9+($P$47*$L$36--$P$46*$L$39)/($L$36*$L$37-$L$39^2)*$Q15+(-$P$46*$L$37-$P$47*$L$39)/($L$36*$L$37-$L$39^2)*$R15),"")</f>
      </c>
      <c r="T15" s="151">
        <f>IF($C$9&gt;=11,((($P$44/$C$9+$P$48*-$R15/$L$38)^2+($P$45/$C$9+$P$48*$Q15/$L$38)^2)^(1/2)),"")</f>
      </c>
      <c r="AD15" s="191" t="str">
        <f>IF($C$9&gt;=4,"#4:","")</f>
        <v>#4:</v>
      </c>
      <c r="AE15" s="198">
        <f>IF($C$9&gt;=4,$B15*3.28084,"")</f>
        <v>1.148294</v>
      </c>
      <c r="AF15" s="199">
        <f>IF($C$9&gt;=4,$C15*3.28084,"")</f>
        <v>3.444882</v>
      </c>
      <c r="AG15" s="179"/>
      <c r="AH15" s="179"/>
      <c r="AI15" s="179"/>
      <c r="AJ15" s="179"/>
      <c r="AK15" s="179"/>
    </row>
    <row r="16" spans="1:37" ht="12.75">
      <c r="A16" s="185" t="str">
        <f>IF($C$9&gt;=5,"#5:","")</f>
        <v>#5:</v>
      </c>
      <c r="B16" s="194">
        <f t="shared" si="0"/>
        <v>1.05</v>
      </c>
      <c r="C16" s="195">
        <f t="shared" si="0"/>
        <v>1.05</v>
      </c>
      <c r="D16" s="188" t="str">
        <f>IF($C$9&gt;=5,"#5:","")</f>
        <v>#5:</v>
      </c>
      <c r="E16" s="196">
        <f t="shared" si="1"/>
        <v>169.38179831292726</v>
      </c>
      <c r="F16" s="197">
        <f t="shared" si="2"/>
        <v>0</v>
      </c>
      <c r="G16" s="172"/>
      <c r="H16" s="172"/>
      <c r="I16" s="173"/>
      <c r="K16" s="112">
        <v>12</v>
      </c>
      <c r="L16" s="148">
        <f>IF($C$9&gt;=12,$C23-$L$35,"")</f>
      </c>
      <c r="M16" s="148">
        <f>IF($C$9&gt;=12,$B23-$L$34,"")</f>
      </c>
      <c r="N16" s="149">
        <f>IF($C$9&gt;=12,$L16^2,"")</f>
      </c>
      <c r="O16" s="149">
        <f>IF($C$9&gt;=12,$M16^2,"")</f>
      </c>
      <c r="P16" s="149">
        <f>IF($C$9&gt;=12,$L16*$M16,"")</f>
      </c>
      <c r="Q16" s="150">
        <f>IF($C$9&gt;=12,$B23-$L$34,"")</f>
      </c>
      <c r="R16" s="150">
        <f>IF($C$9&gt;=12,$C23-$L$35,"")</f>
      </c>
      <c r="S16" s="151">
        <f>IF($C$9&gt;=12,(-$P$43/$C$9+($P$47*$L$36--$P$46*$L$39)/($L$36*$L$37-$L$39^2)*$Q16+(-$P$46*$L$37-$P$47*$L$39)/($L$36*$L$37-$L$39^2)*$R16),"")</f>
      </c>
      <c r="T16" s="151">
        <f>IF($C$9&gt;=12,((($P$44/$C$9+$P$48*-$R16/$L$38)^2+($P$45/$C$9+$P$48*$Q16/$L$38)^2)^(1/2)),"")</f>
      </c>
      <c r="AD16" s="191" t="str">
        <f>IF($C$9&gt;=5,"#5:","")</f>
        <v>#5:</v>
      </c>
      <c r="AE16" s="198">
        <f>IF($C$9&gt;=5,$B16*3.28084,"")</f>
        <v>3.444882</v>
      </c>
      <c r="AF16" s="199">
        <f>IF($C$9&gt;=5,$C16*3.28084,"")</f>
        <v>3.444882</v>
      </c>
      <c r="AG16" s="179"/>
      <c r="AH16" s="179"/>
      <c r="AI16" s="179"/>
      <c r="AJ16" s="179"/>
      <c r="AK16" s="179"/>
    </row>
    <row r="17" spans="1:37" ht="12.75">
      <c r="A17" s="185" t="str">
        <f>IF($C$9&gt;=6,"#6:","")</f>
        <v>#6:</v>
      </c>
      <c r="B17" s="194">
        <f t="shared" si="0"/>
        <v>1.75</v>
      </c>
      <c r="C17" s="195">
        <f t="shared" si="0"/>
        <v>1.05</v>
      </c>
      <c r="D17" s="188" t="str">
        <f>IF($C$9&gt;=6,"#6:","")</f>
        <v>#6:</v>
      </c>
      <c r="E17" s="196">
        <f t="shared" si="1"/>
        <v>174.6353734940497</v>
      </c>
      <c r="F17" s="197">
        <f t="shared" si="2"/>
        <v>0</v>
      </c>
      <c r="G17" s="172"/>
      <c r="H17" s="172"/>
      <c r="I17" s="173"/>
      <c r="K17" s="112">
        <v>13</v>
      </c>
      <c r="L17" s="148">
        <f>IF($C$9&gt;=13,$C24-$L$35,"")</f>
      </c>
      <c r="M17" s="148">
        <f>IF($C$9&gt;=13,$B24-$L$34,"")</f>
      </c>
      <c r="N17" s="149">
        <f>IF($C$9&gt;=13,$L17^2,"")</f>
      </c>
      <c r="O17" s="149">
        <f>IF($C$9&gt;=13,$M17^2,"")</f>
      </c>
      <c r="P17" s="149">
        <f>IF($C$9&gt;=13,$L17*$M17,"")</f>
      </c>
      <c r="Q17" s="150">
        <f>IF($C$9&gt;=13,$B24-$L$34,"")</f>
      </c>
      <c r="R17" s="150">
        <f>IF($C$9&gt;=13,$C24-$L$35,"")</f>
      </c>
      <c r="S17" s="151">
        <f>IF($C$9&gt;=13,(-$P$43/$C$9+($P$47*$L$36--$P$46*$L$39)/($L$36*$L$37-$L$39^2)*$Q17+(-$P$46*$L$37-$P$47*$L$39)/($L$36*$L$37-$L$39^2)*$R17),"")</f>
      </c>
      <c r="T17" s="151">
        <f>IF($C$9&gt;=13,((($P$44/$C$9+$P$48*-$R17/$L$38)^2+($P$45/$C$9+$P$48*$Q17/$L$38)^2)^(1/2)),"")</f>
      </c>
      <c r="AD17" s="191" t="str">
        <f>IF($C$9&gt;=6,"#6:","")</f>
        <v>#6:</v>
      </c>
      <c r="AE17" s="198">
        <f>IF($C$9&gt;=6,$B17*3.28084,"")</f>
        <v>5.74147</v>
      </c>
      <c r="AF17" s="199">
        <f>IF($C$9&gt;=6,$C17*3.28084,"")</f>
        <v>3.444882</v>
      </c>
      <c r="AG17" s="179"/>
      <c r="AH17" s="179"/>
      <c r="AI17" s="179"/>
      <c r="AJ17" s="179"/>
      <c r="AK17" s="179"/>
    </row>
    <row r="18" spans="1:37" ht="12.75">
      <c r="A18" s="185">
        <f>IF($C$9&gt;=7,"#7:","")</f>
      </c>
      <c r="B18" s="194">
        <f t="shared" si="0"/>
        <v>0</v>
      </c>
      <c r="C18" s="195">
        <f t="shared" si="0"/>
        <v>0</v>
      </c>
      <c r="D18" s="188">
        <f>IF($C$9&gt;=7,"#7:","")</f>
      </c>
      <c r="E18" s="196">
        <f t="shared" si="1"/>
      </c>
      <c r="F18" s="197">
        <f t="shared" si="2"/>
      </c>
      <c r="G18" s="172"/>
      <c r="H18" s="172"/>
      <c r="I18" s="173"/>
      <c r="K18" s="112">
        <v>14</v>
      </c>
      <c r="L18" s="148">
        <f>IF($C$9&gt;=14,$C25-$L$35,"")</f>
      </c>
      <c r="M18" s="148">
        <f>IF($C$9&gt;=14,$B25-$L$34,"")</f>
      </c>
      <c r="N18" s="149">
        <f>IF($C$9&gt;=14,$L18^2,"")</f>
      </c>
      <c r="O18" s="149">
        <f>IF($C$9&gt;=14,$M18^2,"")</f>
      </c>
      <c r="P18" s="149">
        <f>IF($C$9&gt;=14,$L18*$M18,"")</f>
      </c>
      <c r="Q18" s="150">
        <f>IF($C$9&gt;=14,$B25-$L$34,"")</f>
      </c>
      <c r="R18" s="150">
        <f>IF($C$9&gt;=14,$C25-$L$35,"")</f>
      </c>
      <c r="S18" s="151">
        <f>IF($C$9&gt;=14,(-$P$43/$C$9+($P$47*$L$36--$P$46*$L$39)/($L$36*$L$37-$L$39^2)*$Q18+(-$P$46*$L$37-$P$47*$L$39)/($L$36*$L$37-$L$39^2)*$R18),"")</f>
      </c>
      <c r="T18" s="151">
        <f>IF($C$9&gt;=14,((($P$44/$C$9+$P$48*-$R18/$L$38)^2+($P$45/$C$9+$P$48*$Q18/$L$38)^2)^(1/2)),"")</f>
      </c>
      <c r="AD18" s="191">
        <f>IF($C$9&gt;=7,"#7:","")</f>
      </c>
      <c r="AE18" s="198">
        <f>IF($C$9&gt;=7,$B18*3.28084,"")</f>
      </c>
      <c r="AF18" s="199">
        <f>IF($C$9&gt;=7,$C18*3.28084,"")</f>
      </c>
      <c r="AG18" s="179"/>
      <c r="AH18" s="179"/>
      <c r="AI18" s="179"/>
      <c r="AJ18" s="179"/>
      <c r="AK18" s="179"/>
    </row>
    <row r="19" spans="1:37" ht="12.75">
      <c r="A19" s="185">
        <f>IF($C$9&gt;=8,"#8:","")</f>
      </c>
      <c r="B19" s="194">
        <f t="shared" si="0"/>
        <v>0</v>
      </c>
      <c r="C19" s="195">
        <f t="shared" si="0"/>
        <v>0</v>
      </c>
      <c r="D19" s="188">
        <f>IF($C$9&gt;=8,"#8:","")</f>
      </c>
      <c r="E19" s="196">
        <f t="shared" si="1"/>
      </c>
      <c r="F19" s="197">
        <f t="shared" si="2"/>
      </c>
      <c r="G19" s="172"/>
      <c r="H19" s="172"/>
      <c r="I19" s="173"/>
      <c r="K19" s="112">
        <v>15</v>
      </c>
      <c r="L19" s="148">
        <f>IF($C$9&gt;=15,$C26-$L$35,"")</f>
      </c>
      <c r="M19" s="148">
        <f>IF($C$9&gt;=15,$B26-$L$34,"")</f>
      </c>
      <c r="N19" s="149">
        <f>IF($C$9&gt;=15,$L19^2,"")</f>
      </c>
      <c r="O19" s="149">
        <f>IF($C$9&gt;=15,$M19^2,"")</f>
      </c>
      <c r="P19" s="149">
        <f>IF($C$9&gt;=15,$L19*$M19,"")</f>
      </c>
      <c r="Q19" s="150">
        <f>IF($C$9&gt;=15,$B26-$L$34,"")</f>
      </c>
      <c r="R19" s="150">
        <f>IF($C$9&gt;=15,$C26-$L$35,"")</f>
      </c>
      <c r="S19" s="151">
        <f>IF($C$9&gt;=15,(-$P$43/$C$9+($P$47*$L$36--$P$46*$L$39)/($L$36*$L$37-$L$39^2)*$Q19+(-$P$46*$L$37-$P$47*$L$39)/($L$36*$L$37-$L$39^2)*$R19),"")</f>
      </c>
      <c r="T19" s="151">
        <f>IF($C$9&gt;=15,((($P$44/$C$9+$P$48*-$R19/$L$38)^2+($P$45/$C$9+$P$48*$Q19/$L$38)^2)^(1/2)),"")</f>
      </c>
      <c r="AD19" s="191">
        <f>IF($C$9&gt;=8,"#8:","")</f>
      </c>
      <c r="AE19" s="198">
        <f>IF($C$9&gt;=8,$B19*3.28084,"")</f>
      </c>
      <c r="AF19" s="199">
        <f>IF($C$9&gt;=8,$C19*3.28084,"")</f>
      </c>
      <c r="AG19" s="179"/>
      <c r="AH19" s="179"/>
      <c r="AI19" s="179"/>
      <c r="AJ19" s="179"/>
      <c r="AK19" s="179"/>
    </row>
    <row r="20" spans="1:37" ht="12.75">
      <c r="A20" s="185">
        <f>IF($C$9&gt;=9,"#9:","")</f>
      </c>
      <c r="B20" s="194">
        <f t="shared" si="0"/>
        <v>0</v>
      </c>
      <c r="C20" s="195">
        <f t="shared" si="0"/>
        <v>0</v>
      </c>
      <c r="D20" s="188">
        <f>IF($C$9&gt;=9,"#9:","")</f>
      </c>
      <c r="E20" s="196">
        <f t="shared" si="1"/>
      </c>
      <c r="F20" s="197">
        <f t="shared" si="2"/>
      </c>
      <c r="G20" s="172"/>
      <c r="H20" s="172"/>
      <c r="I20" s="173"/>
      <c r="K20" s="112">
        <v>16</v>
      </c>
      <c r="L20" s="148">
        <f>IF($C$9&gt;=16,$C27-$L$35,"")</f>
      </c>
      <c r="M20" s="148">
        <f>IF($C$9&gt;=16,$B27-$L$34,"")</f>
      </c>
      <c r="N20" s="149">
        <f>IF($C$9&gt;=16,$L20^2,"")</f>
      </c>
      <c r="O20" s="149">
        <f>IF($C$9&gt;=16,$M20^2,"")</f>
      </c>
      <c r="P20" s="149">
        <f>IF($C$9&gt;=16,$L20*$M20,"")</f>
      </c>
      <c r="Q20" s="150">
        <f>IF($C$9&gt;=16,$B27-$L$34,"")</f>
      </c>
      <c r="R20" s="150">
        <f>IF($C$9&gt;=16,$C27-$L$35,"")</f>
      </c>
      <c r="S20" s="151">
        <f>IF($C$9&gt;=16,(-$P$43/$C$9+($P$47*$L$36--$P$46*$L$39)/($L$36*$L$37-$L$39^2)*$Q20+(-$P$46*$L$37-$P$47*$L$39)/($L$36*$L$37-$L$39^2)*$R20),"")</f>
      </c>
      <c r="T20" s="151">
        <f>IF($C$9&gt;=16,((($P$44/$C$9+$P$48*-$R20/$L$38)^2+($P$45/$C$9+$P$48*$Q20/$L$38)^2)^(1/2)),"")</f>
      </c>
      <c r="AD20" s="191">
        <f>IF($C$9&gt;=9,"#9:","")</f>
      </c>
      <c r="AE20" s="198">
        <f>IF($C$9&gt;=9,$B20*3.28084,"")</f>
      </c>
      <c r="AF20" s="199">
        <f>IF($C$9&gt;=9,$C20*3.28084,"")</f>
      </c>
      <c r="AG20" s="179"/>
      <c r="AH20" s="179"/>
      <c r="AI20" s="179"/>
      <c r="AJ20" s="179"/>
      <c r="AK20" s="179"/>
    </row>
    <row r="21" spans="1:37" ht="12.75">
      <c r="A21" s="185">
        <f>IF($C$9&gt;=10,"#10:","")</f>
      </c>
      <c r="B21" s="194">
        <f t="shared" si="0"/>
        <v>0</v>
      </c>
      <c r="C21" s="195">
        <f t="shared" si="0"/>
        <v>0</v>
      </c>
      <c r="D21" s="188">
        <f>IF($C$9&gt;=10,"#10:","")</f>
      </c>
      <c r="E21" s="196">
        <f t="shared" si="1"/>
      </c>
      <c r="F21" s="197">
        <f t="shared" si="2"/>
      </c>
      <c r="G21" s="172"/>
      <c r="H21" s="172"/>
      <c r="I21" s="173"/>
      <c r="K21" s="112">
        <v>17</v>
      </c>
      <c r="L21" s="148">
        <f>IF($C$9&gt;=17,$C28-$L$35,"")</f>
      </c>
      <c r="M21" s="148">
        <f>IF($C$9&gt;=17,$B28-$L$34,"")</f>
      </c>
      <c r="N21" s="149">
        <f>IF($C$9&gt;=17,$L21^2,"")</f>
      </c>
      <c r="O21" s="149">
        <f>IF($C$9&gt;=17,$M21^2,"")</f>
      </c>
      <c r="P21" s="149">
        <f>IF($C$9&gt;=17,$L21*$M21,"")</f>
      </c>
      <c r="Q21" s="150">
        <f>IF($C$9&gt;=17,$B28-$L$34,"")</f>
      </c>
      <c r="R21" s="150">
        <f>IF($C$9&gt;=17,$C28-$L$35,"")</f>
      </c>
      <c r="S21" s="151">
        <f>IF($C$9&gt;=17,(-$P$43/$C$9+($P$47*$L$36--$P$46*$L$39)/($L$36*$L$37-$L$39^2)*$Q21+(-$P$46*$L$37-$P$47*$L$39)/($L$36*$L$37-$L$39^2)*$R21),"")</f>
      </c>
      <c r="T21" s="151">
        <f>IF($C$9&gt;=17,((($P$44/$C$9+$P$48*-$R21/$L$38)^2+($P$45/$C$9+$P$48*$Q21/$L$38)^2)^(1/2)),"")</f>
      </c>
      <c r="AD21" s="191">
        <f>IF($C$9&gt;=10,"#10:","")</f>
      </c>
      <c r="AE21" s="198">
        <f>IF($C$9&gt;=10,$B21*3.28084,"")</f>
      </c>
      <c r="AF21" s="199">
        <f>IF($C$9&gt;=10,$C21*3.28084,"")</f>
      </c>
      <c r="AG21" s="179"/>
      <c r="AH21" s="179"/>
      <c r="AI21" s="179"/>
      <c r="AJ21" s="179"/>
      <c r="AK21" s="179"/>
    </row>
    <row r="22" spans="1:37" ht="12.75">
      <c r="A22" s="185">
        <f>IF($C$9&gt;=11,"#11:","")</f>
      </c>
      <c r="B22" s="194">
        <f t="shared" si="0"/>
        <v>0</v>
      </c>
      <c r="C22" s="195">
        <f t="shared" si="0"/>
        <v>0</v>
      </c>
      <c r="D22" s="188">
        <f>IF($C$9&gt;=11,"#11:","")</f>
      </c>
      <c r="E22" s="196">
        <f t="shared" si="1"/>
      </c>
      <c r="F22" s="197">
        <f t="shared" si="2"/>
      </c>
      <c r="G22" s="172"/>
      <c r="H22" s="172"/>
      <c r="I22" s="173"/>
      <c r="K22" s="112">
        <v>18</v>
      </c>
      <c r="L22" s="148">
        <f>IF($C$9&gt;=18,$C29-$L$35,"")</f>
      </c>
      <c r="M22" s="148">
        <f>IF($C$9&gt;=18,$B29-$L$34,"")</f>
      </c>
      <c r="N22" s="149">
        <f>IF($C$9&gt;=18,$L22^2,"")</f>
      </c>
      <c r="O22" s="149">
        <f>IF($C$9&gt;=18,$M22^2,"")</f>
      </c>
      <c r="P22" s="149">
        <f>IF($C$9&gt;=18,$L22*$M22,"")</f>
      </c>
      <c r="Q22" s="150">
        <f>IF($C$9&gt;=18,$B29-$L$34,"")</f>
      </c>
      <c r="R22" s="150">
        <f>IF($C$9&gt;=18,$C29-$L$35,"")</f>
      </c>
      <c r="S22" s="151">
        <f>IF($C$9&gt;=18,(-$P$43/$C$9+($P$47*$L$36--$P$46*$L$39)/($L$36*$L$37-$L$39^2)*$Q22+(-$P$46*$L$37-$P$47*$L$39)/($L$36*$L$37-$L$39^2)*$R22),"")</f>
      </c>
      <c r="T22" s="151">
        <f>IF($C$9&gt;=18,((($P$44/$C$9+$P$48*-$R22/$L$38)^2+($P$45/$C$9+$P$48*$Q22/$L$38)^2)^(1/2)),"")</f>
      </c>
      <c r="AD22" s="191">
        <f>IF($C$9&gt;=11,"#11:","")</f>
      </c>
      <c r="AE22" s="198">
        <f>IF($C$9&gt;=11,$B22*3.28084,"")</f>
      </c>
      <c r="AF22" s="199">
        <f>IF($C$9&gt;=11,$C22*3.28084,"")</f>
      </c>
      <c r="AG22" s="179"/>
      <c r="AH22" s="179"/>
      <c r="AI22" s="179"/>
      <c r="AJ22" s="179"/>
      <c r="AK22" s="179"/>
    </row>
    <row r="23" spans="1:37" ht="12.75">
      <c r="A23" s="185">
        <f>IF($C$9&gt;=12,"#12:","")</f>
      </c>
      <c r="B23" s="194">
        <f t="shared" si="0"/>
        <v>0</v>
      </c>
      <c r="C23" s="195">
        <f t="shared" si="0"/>
        <v>0</v>
      </c>
      <c r="D23" s="188">
        <f>IF($C$9&gt;=12,"#12:","")</f>
      </c>
      <c r="E23" s="196">
        <f t="shared" si="1"/>
      </c>
      <c r="F23" s="197">
        <f t="shared" si="2"/>
      </c>
      <c r="G23" s="172"/>
      <c r="H23" s="172"/>
      <c r="I23" s="173"/>
      <c r="K23" s="112">
        <v>19</v>
      </c>
      <c r="L23" s="148">
        <f>IF($C$9&gt;=19,$C30-$L$35,"")</f>
      </c>
      <c r="M23" s="148">
        <f>IF($C$9&gt;=19,$B30-$L$34,"")</f>
      </c>
      <c r="N23" s="149">
        <f>IF($C$9&gt;=19,$L23^2,"")</f>
      </c>
      <c r="O23" s="149">
        <f>IF($C$9&gt;=19,$M23^2,"")</f>
      </c>
      <c r="P23" s="149">
        <f>IF($C$9&gt;=19,$L23*$M23,"")</f>
      </c>
      <c r="Q23" s="150">
        <f>IF($C$9&gt;=19,$B30-$L$34,"")</f>
      </c>
      <c r="R23" s="150">
        <f>IF($C$9&gt;=19,$C30-$L$35,"")</f>
      </c>
      <c r="S23" s="151">
        <f>IF($C$9&gt;=19,(-$P$43/$C$9+($P$47*$L$36--$P$46*$L$39)/($L$36*$L$37-$L$39^2)*$Q23+(-$P$46*$L$37-$P$47*$L$39)/($L$36*$L$37-$L$39^2)*$R23),"")</f>
      </c>
      <c r="T23" s="151">
        <f>IF($C$9&gt;=19,((($P$44/$C$9+$P$48*-$R23/$L$38)^2+($P$45/$C$9+$P$48*$Q23/$L$38)^2)^(1/2)),"")</f>
      </c>
      <c r="AD23" s="191">
        <f>IF($C$9&gt;=12,"#12:","")</f>
      </c>
      <c r="AE23" s="198">
        <f>IF($C$9&gt;=12,$B23*3.28084,"")</f>
      </c>
      <c r="AF23" s="199">
        <f>IF($C$9&gt;=12,$C23*3.28084,"")</f>
      </c>
      <c r="AG23" s="179"/>
      <c r="AH23" s="179"/>
      <c r="AI23" s="179"/>
      <c r="AJ23" s="179"/>
      <c r="AK23" s="179"/>
    </row>
    <row r="24" spans="1:37" ht="12.75">
      <c r="A24" s="185">
        <f>IF($C$9&gt;=13,"#13:","")</f>
      </c>
      <c r="B24" s="194">
        <f t="shared" si="0"/>
        <v>0</v>
      </c>
      <c r="C24" s="195">
        <f t="shared" si="0"/>
        <v>0</v>
      </c>
      <c r="D24" s="188">
        <f>IF($C$9&gt;=13,"#13:","")</f>
      </c>
      <c r="E24" s="196">
        <f t="shared" si="1"/>
      </c>
      <c r="F24" s="197">
        <f t="shared" si="2"/>
      </c>
      <c r="G24" s="172"/>
      <c r="H24" s="172"/>
      <c r="I24" s="173"/>
      <c r="K24" s="112">
        <v>20</v>
      </c>
      <c r="L24" s="148">
        <f>IF($C$9&gt;=20,$C31-$L$35,"")</f>
      </c>
      <c r="M24" s="148">
        <f>IF($C$9&gt;=20,$B31-$L$34,"")</f>
      </c>
      <c r="N24" s="149">
        <f>IF($C$9&gt;=20,$L24^2,"")</f>
      </c>
      <c r="O24" s="149">
        <f>IF($C$9&gt;=20,$M24^2,"")</f>
      </c>
      <c r="P24" s="149">
        <f>IF($C$9&gt;=20,$L24*$M24,"")</f>
      </c>
      <c r="Q24" s="150">
        <f>IF($C$9&gt;=20,$B31-$L$34,"")</f>
      </c>
      <c r="R24" s="150">
        <f>IF($C$9&gt;=20,$C31-$L$35,"")</f>
      </c>
      <c r="S24" s="151">
        <f>IF($C$9&gt;=20,(-$P$43/$C$9+($P$47*$L$36--$P$46*$L$39)/($L$36*$L$37-$L$39^2)*$Q24+(-$P$46*$L$37-$P$47*$L$39)/($L$36*$L$37-$L$39^2)*$R24),"")</f>
      </c>
      <c r="T24" s="151">
        <f>IF($C$9&gt;=20,((($P$44/$C$9+$P$48*-$R24/$L$38)^2+($P$45/$C$9+$P$48*$Q24/$L$38)^2)^(1/2)),"")</f>
      </c>
      <c r="AD24" s="191">
        <f>IF($C$9&gt;=13,"#13:","")</f>
      </c>
      <c r="AE24" s="198">
        <f>IF($C$9&gt;=13,$B24*3.28084,"")</f>
      </c>
      <c r="AF24" s="199">
        <f>IF($C$9&gt;=13,$C24*3.28084,"")</f>
      </c>
      <c r="AG24" s="179"/>
      <c r="AH24" s="179"/>
      <c r="AI24" s="179"/>
      <c r="AJ24" s="179"/>
      <c r="AK24" s="179"/>
    </row>
    <row r="25" spans="1:37" ht="12.75">
      <c r="A25" s="185">
        <f>IF($C$9&gt;=14,"#14:","")</f>
      </c>
      <c r="B25" s="194">
        <f t="shared" si="0"/>
        <v>0</v>
      </c>
      <c r="C25" s="195">
        <f t="shared" si="0"/>
        <v>0</v>
      </c>
      <c r="D25" s="188">
        <f>IF($C$9&gt;=14,"#14:","")</f>
      </c>
      <c r="E25" s="196">
        <f t="shared" si="1"/>
      </c>
      <c r="F25" s="197">
        <f t="shared" si="2"/>
      </c>
      <c r="G25" s="172"/>
      <c r="H25" s="172"/>
      <c r="I25" s="173"/>
      <c r="K25" s="112">
        <v>21</v>
      </c>
      <c r="L25" s="148">
        <f>IF($C$9&gt;=21,$C32-$L$35,"")</f>
      </c>
      <c r="M25" s="148">
        <f>IF($C$9&gt;=21,$B32-$L$34,"")</f>
      </c>
      <c r="N25" s="149">
        <f>IF($C$9&gt;=21,$L25^2,"")</f>
      </c>
      <c r="O25" s="149">
        <f>IF($C$9&gt;=21,$M25^2,"")</f>
      </c>
      <c r="P25" s="149">
        <f>IF($C$9&gt;=21,$L25*$M25,"")</f>
      </c>
      <c r="Q25" s="150">
        <f>IF($C$9&gt;=21,$B32-$L$34,"")</f>
      </c>
      <c r="R25" s="150">
        <f>IF($C$9&gt;=21,$C32-$L$35,"")</f>
      </c>
      <c r="S25" s="151">
        <f>IF($C$9&gt;=21,(-$P$43/$C$9+($P$47*$L$36--$P$46*$L$39)/($L$36*$L$37-$L$39^2)*$Q25+(-$P$46*$L$37-$P$47*$L$39)/($L$36*$L$37-$L$39^2)*$R25),"")</f>
      </c>
      <c r="T25" s="151">
        <f>IF($C$9&gt;=21,((($P$44/$C$9+$P$48*-$R25/$L$38)^2+($P$45/$C$9+$P$48*$Q25/$L$38)^2)^(1/2)),"")</f>
      </c>
      <c r="AD25" s="191">
        <f>IF($C$9&gt;=14,"#14:","")</f>
      </c>
      <c r="AE25" s="198">
        <f>IF($C$9&gt;=14,$B25*3.28084,"")</f>
      </c>
      <c r="AF25" s="199">
        <f>IF($C$9&gt;=14,$C25*3.28084,"")</f>
      </c>
      <c r="AG25" s="179"/>
      <c r="AH25" s="179"/>
      <c r="AI25" s="179"/>
      <c r="AJ25" s="179"/>
      <c r="AK25" s="179"/>
    </row>
    <row r="26" spans="1:37" ht="12.75">
      <c r="A26" s="185">
        <f>IF($C$9&gt;=15,"#15:","")</f>
      </c>
      <c r="B26" s="194">
        <f t="shared" si="0"/>
        <v>0</v>
      </c>
      <c r="C26" s="195">
        <f t="shared" si="0"/>
        <v>0</v>
      </c>
      <c r="D26" s="188">
        <f>IF($C$9&gt;=15,"#15:","")</f>
      </c>
      <c r="E26" s="196">
        <f t="shared" si="1"/>
      </c>
      <c r="F26" s="197">
        <f t="shared" si="2"/>
      </c>
      <c r="G26" s="172"/>
      <c r="H26" s="172"/>
      <c r="I26" s="173"/>
      <c r="K26" s="112">
        <v>22</v>
      </c>
      <c r="L26" s="148">
        <f>IF($C$9&gt;=22,$C33-$L$35,"")</f>
      </c>
      <c r="M26" s="148">
        <f>IF($C$9&gt;=22,$B33-$L$34,"")</f>
      </c>
      <c r="N26" s="149">
        <f>IF($C$9&gt;=22,$L26^2,"")</f>
      </c>
      <c r="O26" s="149">
        <f>IF($C$9&gt;=22,$M26^2,"")</f>
      </c>
      <c r="P26" s="149">
        <f>IF($C$9&gt;=22,$L26*$M26,"")</f>
      </c>
      <c r="Q26" s="150">
        <f>IF($C$9&gt;=22,$B33-$L$34,"")</f>
      </c>
      <c r="R26" s="150">
        <f>IF($C$9&gt;=22,$C33-$L$35,"")</f>
      </c>
      <c r="S26" s="151">
        <f>IF($C$9&gt;=22,(-$P$43/$C$9+($P$47*$L$36--$P$46*$L$39)/($L$36*$L$37-$L$39^2)*$Q26+(-$P$46*$L$37-$P$47*$L$39)/($L$36*$L$37-$L$39^2)*$R26),"")</f>
      </c>
      <c r="T26" s="151">
        <f>IF($C$9&gt;=22,((($P$44/$C$9+$P$48*-$R26/$L$38)^2+($P$45/$C$9+$P$48*$Q26/$L$38)^2)^(1/2)),"")</f>
      </c>
      <c r="AD26" s="191">
        <f>IF($C$9&gt;=15,"#15:","")</f>
      </c>
      <c r="AE26" s="198">
        <f>IF($C$9&gt;=15,$B26*3.28084,"")</f>
      </c>
      <c r="AF26" s="199">
        <f>IF($C$9&gt;=15,$C26*3.28084,"")</f>
      </c>
      <c r="AG26" s="179"/>
      <c r="AH26" s="179"/>
      <c r="AI26" s="179"/>
      <c r="AJ26" s="179"/>
      <c r="AK26" s="179"/>
    </row>
    <row r="27" spans="1:37" ht="12.75">
      <c r="A27" s="185">
        <f>IF($C$9&gt;=16,"#16:","")</f>
      </c>
      <c r="B27" s="194">
        <f t="shared" si="0"/>
        <v>0</v>
      </c>
      <c r="C27" s="195">
        <f t="shared" si="0"/>
        <v>0</v>
      </c>
      <c r="D27" s="188">
        <f>IF($C$9&gt;=16,"#16:","")</f>
      </c>
      <c r="E27" s="196">
        <f t="shared" si="1"/>
      </c>
      <c r="F27" s="197">
        <f t="shared" si="2"/>
      </c>
      <c r="G27" s="172"/>
      <c r="H27" s="172"/>
      <c r="I27" s="173"/>
      <c r="K27" s="112">
        <v>23</v>
      </c>
      <c r="L27" s="148">
        <f>IF($C$9&gt;=23,$C34-$L$35,"")</f>
      </c>
      <c r="M27" s="148">
        <f>IF($C$9&gt;=23,$B34-$L$34,"")</f>
      </c>
      <c r="N27" s="149">
        <f>IF($C$9&gt;=23,$L27^2,"")</f>
      </c>
      <c r="O27" s="149">
        <f>IF($C$9&gt;=23,$M27^2,"")</f>
      </c>
      <c r="P27" s="149">
        <f>IF($C$9&gt;=23,$L27*$M27,"")</f>
      </c>
      <c r="Q27" s="150">
        <f>IF($C$9&gt;=23,$B34-$L$34,"")</f>
      </c>
      <c r="R27" s="150">
        <f>IF($C$9&gt;=23,$C34-$L$35,"")</f>
      </c>
      <c r="S27" s="151">
        <f>IF($C$9&gt;=23,(-$P$43/$C$9+($P$47*$L$36--$P$46*$L$39)/($L$36*$L$37-$L$39^2)*$Q27+(-$P$46*$L$37-$P$47*$L$39)/($L$36*$L$37-$L$39^2)*$R27),"")</f>
      </c>
      <c r="T27" s="151">
        <f>IF($C$9&gt;=23,((($P$44/$C$9+$P$48*-$R27/$L$38)^2+($P$45/$C$9+$P$48*$Q27/$L$38)^2)^(1/2)),"")</f>
      </c>
      <c r="AD27" s="191">
        <f>IF($C$9&gt;=16,"#16:","")</f>
      </c>
      <c r="AE27" s="198">
        <f>IF($C$9&gt;=16,$B27*3.28084,"")</f>
      </c>
      <c r="AF27" s="199">
        <f>IF($C$9&gt;=16,$C27*3.28084,"")</f>
      </c>
      <c r="AG27" s="179"/>
      <c r="AH27" s="179"/>
      <c r="AI27" s="179"/>
      <c r="AJ27" s="179"/>
      <c r="AK27" s="179"/>
    </row>
    <row r="28" spans="1:37" ht="12.75">
      <c r="A28" s="185">
        <f>IF($C$9&gt;=17,"#17:","")</f>
      </c>
      <c r="B28" s="194">
        <f t="shared" si="0"/>
        <v>0</v>
      </c>
      <c r="C28" s="195">
        <f t="shared" si="0"/>
        <v>0</v>
      </c>
      <c r="D28" s="188">
        <f>IF($C$9&gt;=17,"#17:","")</f>
      </c>
      <c r="E28" s="196">
        <f t="shared" si="1"/>
      </c>
      <c r="F28" s="197">
        <f t="shared" si="2"/>
      </c>
      <c r="G28" s="172"/>
      <c r="H28" s="172"/>
      <c r="I28" s="173"/>
      <c r="K28" s="112">
        <v>24</v>
      </c>
      <c r="L28" s="148">
        <f>IF($C$9&gt;=24,$C35-$L$35,"")</f>
      </c>
      <c r="M28" s="148">
        <f>IF($C$9&gt;=24,$B35-$L$34,"")</f>
      </c>
      <c r="N28" s="149">
        <f>IF($C$9&gt;=24,$L28^2,"")</f>
      </c>
      <c r="O28" s="149">
        <f>IF($C$9&gt;=24,$M28^2,"")</f>
      </c>
      <c r="P28" s="149">
        <f>IF($C$9&gt;=24,$L28*$M28,"")</f>
      </c>
      <c r="Q28" s="150">
        <f>IF($C$9&gt;=24,$B35-$L$34,"")</f>
      </c>
      <c r="R28" s="150">
        <f>IF($C$9&gt;=24,$C35-$L$35,"")</f>
      </c>
      <c r="S28" s="151">
        <f>IF($C$9&gt;=24,(-$P$43/$C$9+($P$47*$L$36--$P$46*$L$39)/($L$36*$L$37-$L$39^2)*$Q28+(-$P$46*$L$37-$P$47*$L$39)/($L$36*$L$37-$L$39^2)*$R28),"")</f>
      </c>
      <c r="T28" s="151">
        <f>IF($C$9&gt;=24,((($P$44/$C$9+$P$48*-$R28/$L$38)^2+($P$45/$C$9+$P$48*$Q28/$L$38)^2)^(1/2)),"")</f>
      </c>
      <c r="AD28" s="191">
        <f>IF($C$9&gt;=17,"#17:","")</f>
      </c>
      <c r="AE28" s="198">
        <f>IF($C$9&gt;=17,$B28*3.28084,"")</f>
      </c>
      <c r="AF28" s="199">
        <f>IF($C$9&gt;=17,$C28*3.28084,"")</f>
      </c>
      <c r="AG28" s="179"/>
      <c r="AH28" s="179"/>
      <c r="AI28" s="179"/>
      <c r="AJ28" s="179"/>
      <c r="AK28" s="179"/>
    </row>
    <row r="29" spans="1:37" ht="12.75">
      <c r="A29" s="185">
        <f>IF($C$9&gt;=18,"#18:","")</f>
      </c>
      <c r="B29" s="194">
        <f t="shared" si="0"/>
        <v>0</v>
      </c>
      <c r="C29" s="195">
        <f t="shared" si="0"/>
        <v>0</v>
      </c>
      <c r="D29" s="188">
        <f>IF($C$9&gt;=18,"#18:","")</f>
      </c>
      <c r="E29" s="196">
        <f t="shared" si="1"/>
      </c>
      <c r="F29" s="197">
        <f t="shared" si="2"/>
      </c>
      <c r="G29" s="163" t="s">
        <v>86</v>
      </c>
      <c r="H29" s="164"/>
      <c r="I29" s="200"/>
      <c r="K29" s="112">
        <v>25</v>
      </c>
      <c r="L29" s="148">
        <f>IF($C$9=25,$C36-$L$35,"")</f>
      </c>
      <c r="M29" s="148">
        <f>IF($C$9=25,$B36-$L$34,"")</f>
      </c>
      <c r="N29" s="149">
        <f>IF($C$9=25,$L29^2,"")</f>
      </c>
      <c r="O29" s="149">
        <f>IF($C$9=25,$M29^2,"")</f>
      </c>
      <c r="P29" s="149">
        <f>IF($C$9=25,$L29*$M29,"")</f>
      </c>
      <c r="Q29" s="150">
        <f>IF($C$9=25,$B36-$L$34,"")</f>
      </c>
      <c r="R29" s="150">
        <f>IF($C$9=25,$C36-$L$35,"")</f>
      </c>
      <c r="S29" s="151">
        <f>IF($C$9=25,(-$P$43/$C$9+($P$47*$L$36--$P$46*$L$39)/($L$36*$L$37-$L$39^2)*$Q29+(-$P$46*$L$37-$P$47*$L$39)/($L$36*$L$37-$L$39^2)*$R29),"")</f>
      </c>
      <c r="T29" s="151">
        <f>IF($C$9=25,((($P$44/$C$9+$P$48*-$R29/$L$38)^2+($P$45/$C$9+$P$48*$Q29/$L$38)^2)^(1/2)),"")</f>
      </c>
      <c r="AD29" s="191">
        <f>IF($C$9&gt;=18,"#18:","")</f>
      </c>
      <c r="AE29" s="198">
        <f>IF($C$9&gt;=18,$B29*3.28084,"")</f>
      </c>
      <c r="AF29" s="199">
        <f>IF($C$9&gt;=18,$C29*3.28084,"")</f>
      </c>
      <c r="AG29" s="179"/>
      <c r="AH29" s="179"/>
      <c r="AI29" s="179"/>
      <c r="AJ29" s="179"/>
      <c r="AK29" s="179"/>
    </row>
    <row r="30" spans="1:37" ht="12.75">
      <c r="A30" s="185">
        <f>IF($C$9&gt;=19,"#19:","")</f>
      </c>
      <c r="B30" s="194">
        <f t="shared" si="0"/>
        <v>0</v>
      </c>
      <c r="C30" s="195">
        <f t="shared" si="0"/>
        <v>0</v>
      </c>
      <c r="D30" s="188">
        <f>IF($C$9&gt;=19,"#19:","")</f>
      </c>
      <c r="E30" s="196">
        <f t="shared" si="1"/>
      </c>
      <c r="F30" s="197">
        <f t="shared" si="2"/>
      </c>
      <c r="G30" s="201" t="s">
        <v>87</v>
      </c>
      <c r="H30" s="202">
        <f aca="true" t="shared" si="3" ref="H30:H36">$L34</f>
        <v>1.05</v>
      </c>
      <c r="I30" s="203" t="s">
        <v>29</v>
      </c>
      <c r="AD30" s="191">
        <f>IF($C$9&gt;=19,"#19:","")</f>
      </c>
      <c r="AE30" s="198">
        <f>IF($C$9&gt;=19,$B30*3.28084,"")</f>
      </c>
      <c r="AF30" s="199">
        <f>IF($C$9&gt;=19,$C30*3.28084,"")</f>
      </c>
      <c r="AG30" s="179"/>
      <c r="AH30" s="179"/>
      <c r="AI30" s="179"/>
      <c r="AJ30" s="179"/>
      <c r="AK30" s="179"/>
    </row>
    <row r="31" spans="1:37" ht="12.75">
      <c r="A31" s="185">
        <f>IF($C$9&gt;=20,"#20:","")</f>
      </c>
      <c r="B31" s="194">
        <f t="shared" si="0"/>
        <v>0</v>
      </c>
      <c r="C31" s="195">
        <f t="shared" si="0"/>
        <v>0</v>
      </c>
      <c r="D31" s="188">
        <f>IF($C$9&gt;=20,"#20:","")</f>
      </c>
      <c r="E31" s="196">
        <f t="shared" si="1"/>
      </c>
      <c r="F31" s="197">
        <f t="shared" si="2"/>
      </c>
      <c r="G31" s="201" t="s">
        <v>88</v>
      </c>
      <c r="H31" s="204">
        <f t="shared" si="3"/>
        <v>0.6999999999999998</v>
      </c>
      <c r="I31" s="203" t="s">
        <v>29</v>
      </c>
      <c r="J31" s="108"/>
      <c r="K31" s="205" t="s">
        <v>86</v>
      </c>
      <c r="L31" s="179"/>
      <c r="M31" s="179"/>
      <c r="N31" s="206"/>
      <c r="O31" s="207" t="s">
        <v>89</v>
      </c>
      <c r="R31" s="125"/>
      <c r="S31" s="125"/>
      <c r="T31" s="208"/>
      <c r="AD31" s="191">
        <f>IF($C$9&gt;=20,"#20:","")</f>
      </c>
      <c r="AE31" s="198">
        <f>IF($C$9&gt;=20,$B31*3.28084,"")</f>
      </c>
      <c r="AF31" s="199">
        <f>IF($C$9&gt;=20,$C31*3.28084,"")</f>
      </c>
      <c r="AG31" s="179"/>
      <c r="AH31" s="179"/>
      <c r="AI31" s="179"/>
      <c r="AJ31" s="179"/>
      <c r="AK31" s="179"/>
    </row>
    <row r="32" spans="1:37" ht="12.75">
      <c r="A32" s="185">
        <f>IF($C$9&gt;=21,"#21:","")</f>
      </c>
      <c r="B32" s="194">
        <f t="shared" si="0"/>
        <v>0</v>
      </c>
      <c r="C32" s="195">
        <f t="shared" si="0"/>
        <v>0</v>
      </c>
      <c r="D32" s="188">
        <f>IF($C$9&gt;=21,"#21:","")</f>
      </c>
      <c r="E32" s="196">
        <f t="shared" si="1"/>
      </c>
      <c r="F32" s="197">
        <f t="shared" si="2"/>
      </c>
      <c r="G32" s="209" t="s">
        <v>90</v>
      </c>
      <c r="H32" s="210">
        <f t="shared" si="3"/>
        <v>0.7349993000010002</v>
      </c>
      <c r="I32" s="211" t="s">
        <v>91</v>
      </c>
      <c r="K32" s="212" t="s">
        <v>135</v>
      </c>
      <c r="L32" s="213">
        <f>SUM($B$12:$B$36)</f>
        <v>6.3</v>
      </c>
      <c r="O32" s="179"/>
      <c r="P32" s="139" t="s">
        <v>92</v>
      </c>
      <c r="Q32" s="139" t="s">
        <v>93</v>
      </c>
      <c r="R32" s="139" t="s">
        <v>94</v>
      </c>
      <c r="S32" s="139" t="s">
        <v>95</v>
      </c>
      <c r="T32" s="208"/>
      <c r="AD32" s="191">
        <f>IF($C$9&gt;=21,"#21:","")</f>
      </c>
      <c r="AE32" s="198">
        <f>IF($C$9&gt;=21,$B32*3.28084,"")</f>
      </c>
      <c r="AF32" s="199">
        <f>IF($C$9&gt;=21,$C32*3.28084,"")</f>
      </c>
      <c r="AG32" s="179"/>
      <c r="AH32" s="179"/>
      <c r="AI32" s="179"/>
      <c r="AJ32" s="179"/>
      <c r="AK32" s="179"/>
    </row>
    <row r="33" spans="1:37" ht="12.75">
      <c r="A33" s="185">
        <f>IF($C$9&gt;=22,"#22:","")</f>
      </c>
      <c r="B33" s="194">
        <f t="shared" si="0"/>
        <v>0</v>
      </c>
      <c r="C33" s="195">
        <f t="shared" si="0"/>
        <v>0</v>
      </c>
      <c r="D33" s="188">
        <f>IF($C$9&gt;=22,"#22:","")</f>
      </c>
      <c r="E33" s="196">
        <f t="shared" si="1"/>
      </c>
      <c r="F33" s="197">
        <f t="shared" si="2"/>
      </c>
      <c r="G33" s="209" t="s">
        <v>96</v>
      </c>
      <c r="H33" s="210">
        <f t="shared" si="3"/>
        <v>1.959998600001</v>
      </c>
      <c r="I33" s="211" t="s">
        <v>91</v>
      </c>
      <c r="K33" s="212" t="s">
        <v>136</v>
      </c>
      <c r="L33" s="213">
        <f>SUM($C$12:$C$36)</f>
        <v>4.199999999999999</v>
      </c>
      <c r="O33" s="213" t="s">
        <v>68</v>
      </c>
      <c r="P33" s="213">
        <f>IF($C$38&gt;=1,$C$41-$L$34,"")</f>
        <v>0</v>
      </c>
      <c r="Q33" s="213">
        <f>IF($C$38&gt;=2,$D$41-$L$34,"")</f>
      </c>
      <c r="R33" s="213">
        <f>IF($C$38&gt;=3,$E$41-$L$34,"")</f>
      </c>
      <c r="S33" s="213">
        <f>IF($C$38=4,$F$41-$L$34,"")</f>
      </c>
      <c r="T33" s="208"/>
      <c r="AD33" s="191">
        <f>IF($C$9&gt;=22,"#22:","")</f>
      </c>
      <c r="AE33" s="198">
        <f>IF($C$9&gt;=22,$B33*3.28084,"")</f>
      </c>
      <c r="AF33" s="199">
        <f>IF($C$9&gt;=22,$C33*3.28084,"")</f>
      </c>
      <c r="AG33" s="179"/>
      <c r="AH33" s="179"/>
      <c r="AI33" s="179"/>
      <c r="AJ33" s="179"/>
      <c r="AK33" s="179"/>
    </row>
    <row r="34" spans="1:37" ht="12.75">
      <c r="A34" s="185">
        <f>IF($C$9&gt;=23,"#23:","")</f>
      </c>
      <c r="B34" s="194">
        <f t="shared" si="0"/>
        <v>0</v>
      </c>
      <c r="C34" s="195">
        <f t="shared" si="0"/>
        <v>0</v>
      </c>
      <c r="D34" s="188">
        <f>IF($C$9&gt;=23,"#23:","")</f>
      </c>
      <c r="E34" s="196">
        <f t="shared" si="1"/>
      </c>
      <c r="F34" s="197">
        <f t="shared" si="2"/>
      </c>
      <c r="G34" s="209" t="s">
        <v>97</v>
      </c>
      <c r="H34" s="210">
        <f t="shared" si="3"/>
        <v>2.694997900002</v>
      </c>
      <c r="I34" s="211" t="s">
        <v>91</v>
      </c>
      <c r="K34" s="214" t="s">
        <v>87</v>
      </c>
      <c r="L34" s="148">
        <f>$L$32/$C$9</f>
        <v>1.05</v>
      </c>
      <c r="O34" s="213" t="s">
        <v>67</v>
      </c>
      <c r="P34" s="213">
        <f>IF($C$38&gt;=1,$C$42-$L$35,"")</f>
        <v>1.1102230246251565E-16</v>
      </c>
      <c r="Q34" s="213">
        <f>IF($C$38&gt;=2,$D$42-$L$35,"")</f>
      </c>
      <c r="R34" s="213">
        <f>IF($C$38&gt;=3,$E$42-$L$35,"")</f>
      </c>
      <c r="S34" s="213">
        <f>IF($C$38=4,$F$42-$L$35,"")</f>
      </c>
      <c r="T34" s="208"/>
      <c r="AD34" s="191">
        <f>IF($C$9&gt;=23,"#23:","")</f>
      </c>
      <c r="AE34" s="198">
        <f>IF($C$9&gt;=23,$B34*3.28084,"")</f>
      </c>
      <c r="AF34" s="199">
        <f>IF($C$9&gt;=23,$C34*3.28084,"")</f>
      </c>
      <c r="AG34" s="179"/>
      <c r="AH34" s="179"/>
      <c r="AI34" s="179"/>
      <c r="AJ34" s="179"/>
      <c r="AK34" s="179"/>
    </row>
    <row r="35" spans="1:37" ht="12.75">
      <c r="A35" s="185">
        <f>IF($C$9&gt;=24,"#24:","")</f>
      </c>
      <c r="B35" s="194">
        <f t="shared" si="0"/>
        <v>0</v>
      </c>
      <c r="C35" s="195">
        <f t="shared" si="0"/>
        <v>0</v>
      </c>
      <c r="D35" s="188">
        <f>IF($C$9&gt;=24,"#24:","")</f>
      </c>
      <c r="E35" s="196">
        <f t="shared" si="1"/>
      </c>
      <c r="F35" s="197">
        <f t="shared" si="2"/>
      </c>
      <c r="G35" s="209" t="s">
        <v>98</v>
      </c>
      <c r="H35" s="210">
        <f t="shared" si="3"/>
        <v>0</v>
      </c>
      <c r="I35" s="211" t="s">
        <v>91</v>
      </c>
      <c r="K35" s="214" t="s">
        <v>88</v>
      </c>
      <c r="L35" s="148">
        <f>$L$33/$C$9</f>
        <v>0.6999999999999998</v>
      </c>
      <c r="O35" s="139" t="s">
        <v>99</v>
      </c>
      <c r="P35" s="206">
        <f>IF($C$38&gt;=1,$C$44*$P$34,"")</f>
        <v>-1.1594274296200523E-13</v>
      </c>
      <c r="Q35" s="206">
        <f>IF($C$38&gt;=2,$D$44*$Q$34,"")</f>
      </c>
      <c r="R35" s="206">
        <f>IF($C$38&gt;=3,$E$44*$R$34,"")</f>
      </c>
      <c r="S35" s="206">
        <f>IF($C$38=4,$F$44*$S$34,"")</f>
      </c>
      <c r="T35" s="208"/>
      <c r="AD35" s="191">
        <f>IF($C$9&gt;=24,"#24:","")</f>
      </c>
      <c r="AE35" s="198">
        <f>IF($C$9&gt;=24,$B35*3.28084,"")</f>
      </c>
      <c r="AF35" s="199">
        <f>IF($C$9&gt;=24,$C35*3.28084,"")</f>
      </c>
      <c r="AG35" s="179"/>
      <c r="AH35" s="179"/>
      <c r="AI35" s="179"/>
      <c r="AJ35" s="179"/>
      <c r="AK35" s="179"/>
    </row>
    <row r="36" spans="1:37" ht="12.75">
      <c r="A36" s="185">
        <f>IF($C$9=25,"#25:","")</f>
      </c>
      <c r="B36" s="215">
        <f t="shared" si="0"/>
        <v>0</v>
      </c>
      <c r="C36" s="216">
        <f t="shared" si="0"/>
        <v>0</v>
      </c>
      <c r="D36" s="188">
        <f>IF($C$9=25,"#25:","")</f>
      </c>
      <c r="E36" s="217">
        <f t="shared" si="1"/>
      </c>
      <c r="F36" s="218">
        <f t="shared" si="2"/>
      </c>
      <c r="G36" s="219" t="s">
        <v>137</v>
      </c>
      <c r="H36" s="220">
        <f t="shared" si="3"/>
        <v>0</v>
      </c>
      <c r="I36" s="211" t="s">
        <v>100</v>
      </c>
      <c r="K36" s="221" t="s">
        <v>90</v>
      </c>
      <c r="L36" s="222">
        <f>SUM($N$5:$N$29)</f>
        <v>0.7349993000010002</v>
      </c>
      <c r="O36" s="139" t="s">
        <v>101</v>
      </c>
      <c r="P36" s="206">
        <f>IF($C$38&gt;=1,$C$44*-$P$33,"")</f>
        <v>0</v>
      </c>
      <c r="Q36" s="206">
        <f>IF($C$38&gt;=2,$D$44*-$Q$33,"")</f>
      </c>
      <c r="R36" s="206">
        <f>IF($C$38&gt;=3,$E$44*-$R$33,"")</f>
      </c>
      <c r="S36" s="206">
        <f>IF($C$38=4,$F$44*-$S$33,"")</f>
      </c>
      <c r="T36" s="208"/>
      <c r="AD36" s="191">
        <f>IF($C$9=25,"#25:","")</f>
      </c>
      <c r="AE36" s="223">
        <f>IF($C$9=25,$B36*3.28084,"")</f>
      </c>
      <c r="AF36" s="224">
        <f>IF($C$9=25,$C36*3.28084,"")</f>
      </c>
      <c r="AG36" s="179"/>
      <c r="AH36" s="179"/>
      <c r="AI36" s="179"/>
      <c r="AJ36" s="179"/>
      <c r="AK36" s="179"/>
    </row>
    <row r="37" spans="1:37" ht="12.75">
      <c r="A37" s="161"/>
      <c r="B37" s="172"/>
      <c r="C37" s="172"/>
      <c r="D37" s="172"/>
      <c r="E37" s="172"/>
      <c r="F37" s="172"/>
      <c r="G37" s="172"/>
      <c r="H37" s="172"/>
      <c r="I37" s="173"/>
      <c r="K37" s="221" t="s">
        <v>96</v>
      </c>
      <c r="L37" s="222">
        <f>SUM($O$5:$O$29)</f>
        <v>1.959998600001</v>
      </c>
      <c r="O37" s="139" t="s">
        <v>102</v>
      </c>
      <c r="P37" s="206">
        <f>IF($C$38&gt;=1,$C$43*-$C$46,"")</f>
        <v>0</v>
      </c>
      <c r="Q37" s="206">
        <f>IF($C$38&gt;=2,$D$43*-$D$46,"")</f>
      </c>
      <c r="R37" s="206">
        <f>IF($C$38&gt;=3,$E$43*-$E$46,"")</f>
      </c>
      <c r="S37" s="206">
        <f>IF($C$38=4,$F$43*-$F$46,"")</f>
      </c>
      <c r="T37" s="208"/>
      <c r="AD37" s="179"/>
      <c r="AE37" s="179"/>
      <c r="AF37" s="179"/>
      <c r="AG37" s="179"/>
      <c r="AH37" s="179"/>
      <c r="AI37" s="179"/>
      <c r="AJ37" s="179"/>
      <c r="AK37" s="179"/>
    </row>
    <row r="38" spans="1:37" ht="12.75" customHeight="1">
      <c r="A38" s="161"/>
      <c r="B38" s="168" t="s">
        <v>103</v>
      </c>
      <c r="C38" s="169">
        <f>C91</f>
        <v>1</v>
      </c>
      <c r="D38" s="225"/>
      <c r="E38" s="172"/>
      <c r="F38" s="172"/>
      <c r="G38" s="226" t="s">
        <v>138</v>
      </c>
      <c r="H38" s="164"/>
      <c r="I38" s="200"/>
      <c r="K38" s="221" t="s">
        <v>97</v>
      </c>
      <c r="L38" s="222">
        <f>$L$36+$L$37</f>
        <v>2.694997900002</v>
      </c>
      <c r="O38" s="139" t="s">
        <v>104</v>
      </c>
      <c r="P38" s="206">
        <f>IF($C$38&gt;=1,$C$43*$C$45,"")</f>
        <v>0</v>
      </c>
      <c r="Q38" s="206">
        <f>IF($C$38&gt;=2,$D$43*$D$45,"")</f>
      </c>
      <c r="R38" s="206">
        <f>IF($C$38&gt;=3,$E$43*$E$45,"")</f>
      </c>
      <c r="S38" s="206">
        <f>IF($C$38=4,$F$43*$F$45,"")</f>
      </c>
      <c r="T38" s="208"/>
      <c r="AD38" s="179"/>
      <c r="AE38" s="179"/>
      <c r="AF38" s="179"/>
      <c r="AG38" s="179"/>
      <c r="AH38" s="179"/>
      <c r="AI38" s="179"/>
      <c r="AJ38" s="179"/>
      <c r="AK38" s="179"/>
    </row>
    <row r="39" spans="1:37" ht="12.75">
      <c r="A39" s="161"/>
      <c r="B39" s="172"/>
      <c r="C39" s="227"/>
      <c r="D39" s="227"/>
      <c r="E39" s="227"/>
      <c r="F39" s="227"/>
      <c r="G39" s="219" t="s">
        <v>139</v>
      </c>
      <c r="H39" s="189">
        <f aca="true" t="shared" si="4" ref="H39:H44">$P43</f>
        <v>-1044.319388</v>
      </c>
      <c r="I39" s="211" t="s">
        <v>105</v>
      </c>
      <c r="K39" s="221" t="s">
        <v>98</v>
      </c>
      <c r="L39" s="206">
        <f>IF(ABS(SUM($P$5:$P$29))&lt;0.0005,0,SUM($P$5:$P$29))</f>
        <v>0</v>
      </c>
      <c r="O39" s="112" t="s">
        <v>106</v>
      </c>
      <c r="P39" s="228">
        <f>IF($C$38&gt;=1,$C$45*-$P$34,"")</f>
        <v>0</v>
      </c>
      <c r="Q39" s="206">
        <f>IF($C$38&gt;=2,$D$45*-$Q$34,"")</f>
      </c>
      <c r="R39" s="228">
        <f>IF($C$38&gt;=3,$E$45*-$R$34,"")</f>
      </c>
      <c r="S39" s="228">
        <f>IF($C$38=4,$F$45*-$S$34,"")</f>
      </c>
      <c r="T39" s="208"/>
      <c r="AD39" s="179"/>
      <c r="AE39" s="179"/>
      <c r="AF39" s="179"/>
      <c r="AG39" s="179"/>
      <c r="AH39" s="179"/>
      <c r="AI39" s="179"/>
      <c r="AJ39" s="179"/>
      <c r="AK39" s="179"/>
    </row>
    <row r="40" spans="1:37" ht="12.75">
      <c r="A40" s="161"/>
      <c r="B40" s="168" t="s">
        <v>107</v>
      </c>
      <c r="C40" s="166" t="str">
        <f>IF($C$38&gt;=1,"Pier #1","")</f>
        <v>Pier #1</v>
      </c>
      <c r="D40" s="166">
        <f>IF($C$38&gt;=2,"Pier #2","")</f>
      </c>
      <c r="E40" s="166">
        <f>IF($C$38&gt;=3,"Pier #3","")</f>
      </c>
      <c r="F40" s="166">
        <f>IF($C$38=4,"Pier #4","")</f>
      </c>
      <c r="G40" s="219" t="s">
        <v>140</v>
      </c>
      <c r="H40" s="196">
        <f t="shared" si="4"/>
        <v>0</v>
      </c>
      <c r="I40" s="211" t="s">
        <v>105</v>
      </c>
      <c r="K40" s="212" t="s">
        <v>141</v>
      </c>
      <c r="L40" s="213">
        <f>IF(ABS($L$36-$L$37)&lt;0.0005,IF($L$39&gt;0,-45,IF($L$39&lt;0,45,0)),DEGREES(ATAN(-2*$L$39/($L$36-$L$37))/2))</f>
        <v>0</v>
      </c>
      <c r="O40" s="112" t="s">
        <v>108</v>
      </c>
      <c r="P40" s="228">
        <f>IF($C$38&gt;=1,$C$46*$P$33,"")</f>
        <v>0</v>
      </c>
      <c r="Q40" s="206">
        <f>IF($C$38&gt;=2,$D$46*$Q$33,"")</f>
      </c>
      <c r="R40" s="228">
        <f>IF($C$38&gt;=3,$E$46*$R$33,"")</f>
      </c>
      <c r="S40" s="228">
        <f>IF($C$38=4,$F$46*$S$33,"")</f>
      </c>
      <c r="T40" s="208"/>
      <c r="AD40" s="179"/>
      <c r="AE40" s="229" t="s">
        <v>109</v>
      </c>
      <c r="AF40" s="184" t="str">
        <f>IF($C$38&gt;=1,"Pier #1","")</f>
        <v>Pier #1</v>
      </c>
      <c r="AG40" s="184">
        <f>IF($C$38&gt;=2,"Pier #2","")</f>
      </c>
      <c r="AH40" s="184">
        <f>IF($C$38&gt;=3,"Pier #3","")</f>
      </c>
      <c r="AI40" s="184">
        <f>IF($C$38=4,"Pier #4","")</f>
      </c>
      <c r="AJ40" s="179"/>
      <c r="AK40" s="179"/>
    </row>
    <row r="41" spans="1:37" ht="12.75">
      <c r="A41" s="230"/>
      <c r="B41" s="231" t="s">
        <v>142</v>
      </c>
      <c r="C41" s="232">
        <f aca="true" t="shared" si="5" ref="C41:F43">+C94</f>
        <v>1.05</v>
      </c>
      <c r="D41" s="232">
        <f t="shared" si="5"/>
        <v>0</v>
      </c>
      <c r="E41" s="232">
        <f t="shared" si="5"/>
        <v>0</v>
      </c>
      <c r="F41" s="232">
        <f t="shared" si="5"/>
        <v>0</v>
      </c>
      <c r="G41" s="219" t="s">
        <v>143</v>
      </c>
      <c r="H41" s="196">
        <f t="shared" si="4"/>
        <v>0</v>
      </c>
      <c r="I41" s="211" t="s">
        <v>105</v>
      </c>
      <c r="O41" s="208"/>
      <c r="P41" s="208"/>
      <c r="Q41" s="208"/>
      <c r="R41" s="208"/>
      <c r="S41" s="208"/>
      <c r="T41" s="208"/>
      <c r="AD41" s="179"/>
      <c r="AE41" s="233" t="s">
        <v>144</v>
      </c>
      <c r="AF41" s="192">
        <f>IF($C$38&gt;=1,$C41*3.28084,"")</f>
        <v>3.444882</v>
      </c>
      <c r="AG41" s="234">
        <f>IF($C$38&gt;=2,$D41*3.28084,"")</f>
      </c>
      <c r="AH41" s="192">
        <f>IF($C$38&gt;=3,$E41*3.28084,"")</f>
      </c>
      <c r="AI41" s="193">
        <f>IF($C$38&gt;=4,$F41*3.28084,"")</f>
      </c>
      <c r="AJ41" s="179"/>
      <c r="AK41" s="179"/>
    </row>
    <row r="42" spans="1:37" ht="12.75">
      <c r="A42" s="161"/>
      <c r="B42" s="231" t="s">
        <v>145</v>
      </c>
      <c r="C42" s="235">
        <f t="shared" si="5"/>
        <v>0.7</v>
      </c>
      <c r="D42" s="235">
        <f t="shared" si="5"/>
        <v>0</v>
      </c>
      <c r="E42" s="235">
        <f t="shared" si="5"/>
        <v>0</v>
      </c>
      <c r="F42" s="235">
        <f t="shared" si="5"/>
        <v>0</v>
      </c>
      <c r="G42" s="219" t="s">
        <v>146</v>
      </c>
      <c r="H42" s="196">
        <f t="shared" si="4"/>
        <v>9.81</v>
      </c>
      <c r="I42" s="211" t="s">
        <v>110</v>
      </c>
      <c r="O42" s="236" t="s">
        <v>147</v>
      </c>
      <c r="Q42" s="208"/>
      <c r="R42" s="208"/>
      <c r="S42" s="208"/>
      <c r="T42" s="208"/>
      <c r="AD42" s="179"/>
      <c r="AE42" s="233" t="s">
        <v>148</v>
      </c>
      <c r="AF42" s="198">
        <f>IF($C$38&gt;=1,$C42*3.28084,"")</f>
        <v>2.296588</v>
      </c>
      <c r="AG42" s="237">
        <f>IF($C$38&gt;=2,$D42*3.28084,"")</f>
      </c>
      <c r="AH42" s="198">
        <f>IF($C$38&gt;=3,$E42*3.28084,"")</f>
      </c>
      <c r="AI42" s="199">
        <f>IF($C$38&gt;=4,$F42*3.28084,"")</f>
      </c>
      <c r="AJ42" s="179"/>
      <c r="AK42" s="179"/>
    </row>
    <row r="43" spans="1:37" ht="12.75">
      <c r="A43" s="154"/>
      <c r="B43" s="231" t="s">
        <v>149</v>
      </c>
      <c r="C43" s="235">
        <f t="shared" si="5"/>
        <v>0</v>
      </c>
      <c r="D43" s="235">
        <f t="shared" si="5"/>
        <v>0</v>
      </c>
      <c r="E43" s="235">
        <f t="shared" si="5"/>
        <v>0</v>
      </c>
      <c r="F43" s="235">
        <f t="shared" si="5"/>
        <v>0</v>
      </c>
      <c r="G43" s="219" t="s">
        <v>150</v>
      </c>
      <c r="H43" s="196">
        <f t="shared" si="4"/>
        <v>14.71</v>
      </c>
      <c r="I43" s="211" t="s">
        <v>110</v>
      </c>
      <c r="J43" s="238"/>
      <c r="O43" s="212" t="s">
        <v>151</v>
      </c>
      <c r="P43" s="206">
        <f>SUM($C$44:$F$44)</f>
        <v>-1044.319388</v>
      </c>
      <c r="Q43" s="208" t="s">
        <v>105</v>
      </c>
      <c r="R43" s="208"/>
      <c r="S43" s="208"/>
      <c r="T43" s="208"/>
      <c r="AD43" s="179"/>
      <c r="AE43" s="233" t="s">
        <v>152</v>
      </c>
      <c r="AF43" s="198">
        <f>IF($C$38&gt;=1,$C43*3.28084,"")</f>
        <v>0</v>
      </c>
      <c r="AG43" s="237">
        <f>IF($C$38&gt;=2,$D43*3.28084,"")</f>
      </c>
      <c r="AH43" s="198">
        <f>IF($C$38&gt;=3,$E43*3.28084,"")</f>
      </c>
      <c r="AI43" s="199">
        <f>IF($C$38&gt;=4,$F43*3.28084,"")</f>
      </c>
      <c r="AJ43" s="179"/>
      <c r="AK43" s="179"/>
    </row>
    <row r="44" spans="1:37" ht="12.75">
      <c r="A44" s="230"/>
      <c r="B44" s="231" t="s">
        <v>153</v>
      </c>
      <c r="C44" s="235">
        <f aca="true" t="shared" si="6" ref="C44:F49">(C97*9.806)/1000</f>
        <v>-1044.319388</v>
      </c>
      <c r="D44" s="235">
        <f t="shared" si="6"/>
        <v>0</v>
      </c>
      <c r="E44" s="235">
        <f t="shared" si="6"/>
        <v>0</v>
      </c>
      <c r="F44" s="235">
        <f t="shared" si="6"/>
        <v>0</v>
      </c>
      <c r="G44" s="219" t="s">
        <v>154</v>
      </c>
      <c r="H44" s="217">
        <f t="shared" si="4"/>
        <v>0</v>
      </c>
      <c r="I44" s="211" t="s">
        <v>110</v>
      </c>
      <c r="O44" s="212" t="s">
        <v>155</v>
      </c>
      <c r="P44" s="206">
        <f>SUM($C$45:$F$45)</f>
        <v>0</v>
      </c>
      <c r="Q44" s="208" t="s">
        <v>105</v>
      </c>
      <c r="R44" s="208"/>
      <c r="S44" s="208"/>
      <c r="T44" s="208"/>
      <c r="AD44" s="179"/>
      <c r="AE44" s="233" t="s">
        <v>156</v>
      </c>
      <c r="AF44" s="239">
        <f>IF($C$38&gt;=1,$C44*0.224809,"")</f>
        <v>-234.772397296892</v>
      </c>
      <c r="AG44" s="240">
        <f>IF($C$38&gt;=2,$D44*0.224809,"")</f>
      </c>
      <c r="AH44" s="239">
        <f>IF($C$38&gt;=3,$E44*0.224809,"")</f>
      </c>
      <c r="AI44" s="241">
        <f>IF($C$38&gt;=4,$F44*0.224809,"")</f>
      </c>
      <c r="AJ44" s="179"/>
      <c r="AK44" s="179"/>
    </row>
    <row r="45" spans="1:37" ht="12.75">
      <c r="A45" s="161"/>
      <c r="B45" s="231" t="s">
        <v>157</v>
      </c>
      <c r="C45" s="235">
        <f t="shared" si="6"/>
        <v>0</v>
      </c>
      <c r="D45" s="235">
        <f t="shared" si="6"/>
        <v>0</v>
      </c>
      <c r="E45" s="235">
        <f t="shared" si="6"/>
        <v>0</v>
      </c>
      <c r="F45" s="235">
        <f t="shared" si="6"/>
        <v>0</v>
      </c>
      <c r="G45" s="172"/>
      <c r="H45" s="172"/>
      <c r="I45" s="173"/>
      <c r="J45" s="108"/>
      <c r="O45" s="212" t="s">
        <v>158</v>
      </c>
      <c r="P45" s="206">
        <f>SUM($C$46:$F$46)</f>
        <v>0</v>
      </c>
      <c r="Q45" s="208" t="s">
        <v>105</v>
      </c>
      <c r="R45" s="208"/>
      <c r="S45" s="208"/>
      <c r="T45" s="208"/>
      <c r="AD45" s="179"/>
      <c r="AE45" s="233" t="s">
        <v>159</v>
      </c>
      <c r="AF45" s="239">
        <f>IF($C$38&gt;=1,$C45*0.224809,"")</f>
        <v>0</v>
      </c>
      <c r="AG45" s="240">
        <f>IF($C$38&gt;=2,$D45*0.224809,"")</f>
      </c>
      <c r="AH45" s="239">
        <f>IF($C$38&gt;=3,$E45*0.224809,"")</f>
      </c>
      <c r="AI45" s="241">
        <f>IF($C$38&gt;=4,$F45*0.224809,"")</f>
      </c>
      <c r="AJ45" s="179"/>
      <c r="AK45" s="179"/>
    </row>
    <row r="46" spans="1:37" ht="12.75">
      <c r="A46" s="158"/>
      <c r="B46" s="231" t="s">
        <v>160</v>
      </c>
      <c r="C46" s="235">
        <f t="shared" si="6"/>
        <v>0</v>
      </c>
      <c r="D46" s="235">
        <f t="shared" si="6"/>
        <v>0</v>
      </c>
      <c r="E46" s="235">
        <f t="shared" si="6"/>
        <v>0</v>
      </c>
      <c r="F46" s="235">
        <f t="shared" si="6"/>
        <v>0</v>
      </c>
      <c r="G46" s="171" t="s">
        <v>111</v>
      </c>
      <c r="H46" s="242"/>
      <c r="I46" s="243"/>
      <c r="J46" s="108"/>
      <c r="O46" s="212" t="s">
        <v>161</v>
      </c>
      <c r="P46" s="151">
        <f>ROUND(SUM($C$47:$F$47)+SUM($P$35:$S$35)+SUM($P$37:$S$37),2)</f>
        <v>9.81</v>
      </c>
      <c r="Q46" s="208" t="s">
        <v>112</v>
      </c>
      <c r="R46" s="208"/>
      <c r="S46" s="208"/>
      <c r="T46" s="208"/>
      <c r="AD46" s="179"/>
      <c r="AE46" s="233" t="s">
        <v>162</v>
      </c>
      <c r="AF46" s="239">
        <f>IF($C$38&gt;=1,$C46*0.224809,"")</f>
        <v>0</v>
      </c>
      <c r="AG46" s="240">
        <f>IF($C$38&gt;=2,$D46*0.224809,"")</f>
      </c>
      <c r="AH46" s="239">
        <f>IF($C$38&gt;=3,$E46*0.224809,"")</f>
      </c>
      <c r="AI46" s="241">
        <f>IF($C$38&gt;=4,$F46*0.224809,"")</f>
      </c>
      <c r="AJ46" s="179"/>
      <c r="AK46" s="179"/>
    </row>
    <row r="47" spans="1:37" ht="12.75">
      <c r="A47" s="161"/>
      <c r="B47" s="231" t="s">
        <v>163</v>
      </c>
      <c r="C47" s="235">
        <f t="shared" si="6"/>
        <v>9.806</v>
      </c>
      <c r="D47" s="235">
        <f t="shared" si="6"/>
        <v>0</v>
      </c>
      <c r="E47" s="235">
        <f t="shared" si="6"/>
        <v>0</v>
      </c>
      <c r="F47" s="235">
        <f t="shared" si="6"/>
        <v>0</v>
      </c>
      <c r="G47" s="231" t="s">
        <v>113</v>
      </c>
      <c r="H47" s="189">
        <f>MAX($S$5:$S$29)</f>
        <v>183.97823953486179</v>
      </c>
      <c r="I47" s="211" t="s">
        <v>105</v>
      </c>
      <c r="J47" s="108"/>
      <c r="O47" s="212" t="s">
        <v>164</v>
      </c>
      <c r="P47" s="151">
        <f>ROUND(SUM($C$48:$F$48)+SUM($P$36:$S$36)+SUM($P$38:$S$38),2)</f>
        <v>14.71</v>
      </c>
      <c r="Q47" s="208" t="s">
        <v>110</v>
      </c>
      <c r="R47" s="208"/>
      <c r="S47" s="208"/>
      <c r="T47" s="208"/>
      <c r="AD47" s="179"/>
      <c r="AE47" s="233" t="s">
        <v>165</v>
      </c>
      <c r="AF47" s="239">
        <f>IF($C$38&gt;=1,$C47*0.737562,"")</f>
        <v>7.232532972</v>
      </c>
      <c r="AG47" s="240">
        <f>IF($C$38&gt;=2,$D47*0.737562,"")</f>
      </c>
      <c r="AH47" s="239">
        <f>IF($C$38&gt;=3,$E47*0.737562,"")</f>
      </c>
      <c r="AI47" s="241">
        <f>IF($C$38&gt;=4,$F47*0.737562,"")</f>
      </c>
      <c r="AJ47" s="179"/>
      <c r="AK47" s="179"/>
    </row>
    <row r="48" spans="1:37" ht="12.75">
      <c r="A48" s="230"/>
      <c r="B48" s="231" t="s">
        <v>166</v>
      </c>
      <c r="C48" s="235">
        <f t="shared" si="6"/>
        <v>14.708999999999998</v>
      </c>
      <c r="D48" s="235">
        <f t="shared" si="6"/>
        <v>0</v>
      </c>
      <c r="E48" s="235">
        <f t="shared" si="6"/>
        <v>0</v>
      </c>
      <c r="F48" s="235">
        <f t="shared" si="6"/>
        <v>0</v>
      </c>
      <c r="G48" s="231" t="s">
        <v>114</v>
      </c>
      <c r="H48" s="196">
        <f>MIN($S$5:$S$29)</f>
        <v>164.12822313180482</v>
      </c>
      <c r="I48" s="211" t="s">
        <v>105</v>
      </c>
      <c r="J48" s="108"/>
      <c r="O48" s="212" t="s">
        <v>167</v>
      </c>
      <c r="P48" s="149">
        <f>ROUND(SUM($C$49:$F$49)+SUM($P$39:$S$39)+SUM($P$40:$S$40),2)</f>
        <v>0</v>
      </c>
      <c r="Q48" s="208" t="s">
        <v>110</v>
      </c>
      <c r="R48" s="208"/>
      <c r="S48" s="208"/>
      <c r="T48" s="208"/>
      <c r="AD48" s="179"/>
      <c r="AE48" s="233" t="s">
        <v>168</v>
      </c>
      <c r="AF48" s="239">
        <f>IF($C$38&gt;=1,$C48*0.737562,"")</f>
        <v>10.848799457999998</v>
      </c>
      <c r="AG48" s="240">
        <f>IF($C$38&gt;=2,$D48*0.737562,"")</f>
      </c>
      <c r="AH48" s="239">
        <f>IF($C$38&gt;=3,$E48*0.737562,"")</f>
      </c>
      <c r="AI48" s="241">
        <f>IF($C$38&gt;=4,$F48*0.737562,"")</f>
      </c>
      <c r="AJ48" s="179"/>
      <c r="AK48" s="179"/>
    </row>
    <row r="49" spans="1:37" ht="12.75">
      <c r="A49" s="161"/>
      <c r="B49" s="231" t="s">
        <v>169</v>
      </c>
      <c r="C49" s="244">
        <f t="shared" si="6"/>
        <v>0</v>
      </c>
      <c r="D49" s="244">
        <f t="shared" si="6"/>
        <v>0</v>
      </c>
      <c r="E49" s="244">
        <f t="shared" si="6"/>
        <v>0</v>
      </c>
      <c r="F49" s="244">
        <f t="shared" si="6"/>
        <v>0</v>
      </c>
      <c r="G49" s="245" t="s">
        <v>115</v>
      </c>
      <c r="H49" s="217">
        <f>MAX($T$5:$T$29)</f>
        <v>0</v>
      </c>
      <c r="I49" s="211" t="s">
        <v>105</v>
      </c>
      <c r="AD49" s="179"/>
      <c r="AE49" s="233" t="s">
        <v>170</v>
      </c>
      <c r="AF49" s="246">
        <f>IF($C$38&gt;=1,$C49*0.737562,"")</f>
        <v>0</v>
      </c>
      <c r="AG49" s="247">
        <f>IF($C$38&gt;=2,$D49*0.737562,"")</f>
      </c>
      <c r="AH49" s="246">
        <f>IF($C$38&gt;=3,$E49*0.737562,"")</f>
      </c>
      <c r="AI49" s="248">
        <f>IF($C$38&gt;=4,$F49*0.737562,"")</f>
      </c>
      <c r="AJ49" s="179"/>
      <c r="AK49" s="179"/>
    </row>
    <row r="50" spans="1:37" ht="12.75">
      <c r="A50" s="249"/>
      <c r="B50" s="250"/>
      <c r="C50" s="250"/>
      <c r="D50" s="250"/>
      <c r="E50" s="250"/>
      <c r="F50" s="250"/>
      <c r="G50" s="250"/>
      <c r="H50" s="250"/>
      <c r="I50" s="251"/>
      <c r="AD50" s="179"/>
      <c r="AE50" s="179"/>
      <c r="AF50" s="179"/>
      <c r="AG50" s="179"/>
      <c r="AH50" s="179"/>
      <c r="AI50" s="179"/>
      <c r="AJ50" s="179"/>
      <c r="AK50" s="179"/>
    </row>
    <row r="51" spans="1:37" ht="12.75">
      <c r="A51" s="252"/>
      <c r="B51" s="252"/>
      <c r="C51" s="252"/>
      <c r="D51" s="252"/>
      <c r="E51" s="252"/>
      <c r="F51" s="252"/>
      <c r="G51" s="252"/>
      <c r="H51" s="252"/>
      <c r="I51" s="252"/>
      <c r="AD51" s="179"/>
      <c r="AE51" s="179"/>
      <c r="AF51" s="179"/>
      <c r="AG51" s="179"/>
      <c r="AH51" s="179"/>
      <c r="AI51" s="179"/>
      <c r="AJ51" s="179"/>
      <c r="AK51" s="179"/>
    </row>
    <row r="52" spans="1:35" ht="12.75">
      <c r="A52" s="253"/>
      <c r="B52" s="254"/>
      <c r="C52" s="255"/>
      <c r="D52" s="255"/>
      <c r="E52" s="252"/>
      <c r="F52" s="252"/>
      <c r="G52" s="252"/>
      <c r="H52" s="256"/>
      <c r="I52" s="252"/>
      <c r="AD52" s="257" t="s">
        <v>116</v>
      </c>
      <c r="AE52" s="258"/>
      <c r="AF52" s="258"/>
      <c r="AG52" s="258"/>
      <c r="AH52" s="258"/>
      <c r="AI52" s="258"/>
    </row>
    <row r="53" spans="1:35" ht="12.75">
      <c r="A53" s="259"/>
      <c r="B53" s="252"/>
      <c r="C53" s="252"/>
      <c r="D53" s="252"/>
      <c r="E53" s="252"/>
      <c r="F53" s="252"/>
      <c r="G53" s="252"/>
      <c r="H53" s="252"/>
      <c r="I53" s="252"/>
      <c r="AD53" s="260"/>
      <c r="AE53" s="260"/>
      <c r="AF53" s="260"/>
      <c r="AG53" s="260"/>
      <c r="AH53" s="260"/>
      <c r="AI53" s="260"/>
    </row>
    <row r="54" spans="1:35" ht="25.5">
      <c r="A54" s="261" t="s">
        <v>52</v>
      </c>
      <c r="B54" s="262"/>
      <c r="C54" s="263"/>
      <c r="D54" s="263"/>
      <c r="E54" s="263"/>
      <c r="F54" s="263"/>
      <c r="G54" s="262"/>
      <c r="H54" s="262"/>
      <c r="I54" s="264"/>
      <c r="AB54" s="118" t="s">
        <v>56</v>
      </c>
      <c r="AC54" s="119"/>
      <c r="AD54" s="265" t="s">
        <v>171</v>
      </c>
      <c r="AE54" s="266"/>
      <c r="AF54" s="267"/>
      <c r="AG54" s="267"/>
      <c r="AH54" s="267"/>
      <c r="AI54" s="267"/>
    </row>
    <row r="55" spans="1:35" ht="12.75">
      <c r="A55" s="268" t="s">
        <v>55</v>
      </c>
      <c r="B55" s="269"/>
      <c r="C55" s="269"/>
      <c r="D55" s="269"/>
      <c r="E55" s="269"/>
      <c r="F55" s="269"/>
      <c r="G55" s="270"/>
      <c r="H55" s="270"/>
      <c r="I55" s="271"/>
      <c r="AB55" s="128" t="s">
        <v>62</v>
      </c>
      <c r="AC55" s="128" t="s">
        <v>63</v>
      </c>
      <c r="AD55" s="272" t="s">
        <v>117</v>
      </c>
      <c r="AE55" s="266"/>
      <c r="AF55" s="273"/>
      <c r="AG55" s="273"/>
      <c r="AH55" s="273"/>
      <c r="AI55" s="273"/>
    </row>
    <row r="56" spans="1:35" ht="12.75">
      <c r="A56" s="274" t="s">
        <v>57</v>
      </c>
      <c r="B56" s="275"/>
      <c r="C56" s="275"/>
      <c r="D56" s="275"/>
      <c r="E56" s="275"/>
      <c r="F56" s="275"/>
      <c r="G56" s="276"/>
      <c r="H56" s="276"/>
      <c r="I56" s="277"/>
      <c r="AB56" s="141">
        <v>0.4</v>
      </c>
      <c r="AC56" s="142">
        <v>0.4</v>
      </c>
      <c r="AD56" s="278"/>
      <c r="AE56" s="278"/>
      <c r="AF56" s="278"/>
      <c r="AG56" s="278"/>
      <c r="AH56" s="278"/>
      <c r="AI56" s="278"/>
    </row>
    <row r="57" spans="1:35" ht="12.75">
      <c r="A57" s="129" t="s">
        <v>64</v>
      </c>
      <c r="B57" s="130"/>
      <c r="C57" s="131"/>
      <c r="D57" s="131"/>
      <c r="E57" s="131"/>
      <c r="F57" s="132" t="s">
        <v>65</v>
      </c>
      <c r="G57" s="133"/>
      <c r="H57" s="134"/>
      <c r="I57" s="135"/>
      <c r="AD57" s="265" t="s">
        <v>118</v>
      </c>
      <c r="AE57" s="278"/>
      <c r="AF57" s="278"/>
      <c r="AG57" s="278"/>
      <c r="AH57" s="278"/>
      <c r="AI57" s="278"/>
    </row>
    <row r="58" spans="1:35" ht="12.75">
      <c r="A58" s="129" t="s">
        <v>74</v>
      </c>
      <c r="B58" s="143"/>
      <c r="C58" s="134"/>
      <c r="D58" s="134"/>
      <c r="E58" s="135"/>
      <c r="F58" s="144" t="s">
        <v>75</v>
      </c>
      <c r="G58" s="145"/>
      <c r="H58" s="146" t="s">
        <v>76</v>
      </c>
      <c r="I58" s="147"/>
      <c r="AD58" s="273"/>
      <c r="AE58" s="279"/>
      <c r="AF58" s="233" t="s">
        <v>119</v>
      </c>
      <c r="AG58" s="280">
        <v>8</v>
      </c>
      <c r="AH58" s="278"/>
      <c r="AI58" s="278"/>
    </row>
    <row r="59" spans="1:35" ht="12.75">
      <c r="A59" s="154"/>
      <c r="B59" s="155"/>
      <c r="C59" s="155"/>
      <c r="D59" s="155"/>
      <c r="E59" s="155"/>
      <c r="F59" s="155"/>
      <c r="G59" s="155"/>
      <c r="H59" s="156"/>
      <c r="I59" s="157"/>
      <c r="AD59" s="273"/>
      <c r="AE59" s="278"/>
      <c r="AF59" s="281" t="s">
        <v>120</v>
      </c>
      <c r="AG59" s="282">
        <v>8</v>
      </c>
      <c r="AH59" s="283" t="s">
        <v>29</v>
      </c>
      <c r="AI59" s="278"/>
    </row>
    <row r="60" spans="1:35" ht="12.75">
      <c r="A60" s="158" t="s">
        <v>78</v>
      </c>
      <c r="B60" s="155"/>
      <c r="C60" s="159"/>
      <c r="D60" s="155"/>
      <c r="E60" s="155"/>
      <c r="F60" s="155"/>
      <c r="G60" s="155"/>
      <c r="H60" s="156"/>
      <c r="I60" s="160"/>
      <c r="AD60" s="278"/>
      <c r="AE60" s="278"/>
      <c r="AF60" s="281" t="s">
        <v>121</v>
      </c>
      <c r="AG60" s="282">
        <v>4</v>
      </c>
      <c r="AH60" s="283" t="s">
        <v>29</v>
      </c>
      <c r="AI60" s="278">
        <f>IF($AG$60&lt;$AG$59/2,"Xo MUST BE &gt;= Dc/2","")</f>
      </c>
    </row>
    <row r="61" spans="1:35" ht="12.75">
      <c r="A61" s="161"/>
      <c r="B61" s="162"/>
      <c r="C61" s="155"/>
      <c r="D61" s="155"/>
      <c r="E61" s="163" t="s">
        <v>80</v>
      </c>
      <c r="F61" s="164"/>
      <c r="G61" s="165"/>
      <c r="H61" s="166"/>
      <c r="I61" s="167"/>
      <c r="AD61" s="278"/>
      <c r="AE61" s="278"/>
      <c r="AF61" s="281" t="s">
        <v>122</v>
      </c>
      <c r="AG61" s="282">
        <v>4</v>
      </c>
      <c r="AH61" s="283" t="s">
        <v>29</v>
      </c>
      <c r="AI61" s="278">
        <f>IF($AG$61&lt;$AG$59/2,"Yo MUST BE &gt;= Dc/2","")</f>
      </c>
    </row>
    <row r="62" spans="1:35" ht="12.75">
      <c r="A62" s="161"/>
      <c r="B62" s="168" t="s">
        <v>82</v>
      </c>
      <c r="C62" s="141">
        <v>6</v>
      </c>
      <c r="D62" s="170"/>
      <c r="E62" s="171"/>
      <c r="F62" s="164"/>
      <c r="G62" s="172"/>
      <c r="H62" s="172"/>
      <c r="I62" s="173" t="s">
        <v>83</v>
      </c>
      <c r="AD62" s="278"/>
      <c r="AE62" s="278"/>
      <c r="AF62" s="284" t="s">
        <v>172</v>
      </c>
      <c r="AG62" s="285">
        <v>0</v>
      </c>
      <c r="AH62" s="283" t="s">
        <v>100</v>
      </c>
      <c r="AI62" s="278"/>
    </row>
    <row r="63" spans="1:35" ht="12.75">
      <c r="A63" s="161"/>
      <c r="B63" s="174" t="s">
        <v>84</v>
      </c>
      <c r="C63" s="175"/>
      <c r="D63" s="172"/>
      <c r="E63" s="286" t="s">
        <v>173</v>
      </c>
      <c r="F63" s="287"/>
      <c r="G63" s="172"/>
      <c r="H63" s="172"/>
      <c r="I63" s="173"/>
      <c r="AD63" s="278"/>
      <c r="AE63" s="278"/>
      <c r="AF63" s="278"/>
      <c r="AG63" s="278"/>
      <c r="AH63" s="278"/>
      <c r="AI63" s="278"/>
    </row>
    <row r="64" spans="1:35" ht="12.75">
      <c r="A64" s="161"/>
      <c r="B64" s="180" t="s">
        <v>131</v>
      </c>
      <c r="C64" s="180" t="s">
        <v>132</v>
      </c>
      <c r="D64" s="172"/>
      <c r="E64" s="288" t="s">
        <v>72</v>
      </c>
      <c r="F64" s="289" t="s">
        <v>73</v>
      </c>
      <c r="G64" s="172"/>
      <c r="H64" s="172"/>
      <c r="I64" s="173"/>
      <c r="AD64" s="184"/>
      <c r="AE64" s="260"/>
      <c r="AF64" s="290" t="s">
        <v>84</v>
      </c>
      <c r="AG64" s="291"/>
      <c r="AH64" s="273"/>
      <c r="AI64" s="273"/>
    </row>
    <row r="65" spans="1:35" ht="12.75">
      <c r="A65" s="185" t="str">
        <f aca="true" t="shared" si="7" ref="A65:A89">+A12</f>
        <v>#1:</v>
      </c>
      <c r="B65" s="315">
        <f>+'Footing 6 pile'!H38</f>
        <v>0.35</v>
      </c>
      <c r="C65" s="315">
        <f>+'Footing 6 pile'!I38</f>
        <v>0.35</v>
      </c>
      <c r="D65" s="185" t="str">
        <f aca="true" t="shared" si="8" ref="D65:D89">+D12</f>
        <v>#1:</v>
      </c>
      <c r="E65" s="189">
        <f aca="true" t="shared" si="9" ref="E65:F89">IF(E12="","",(E12*1000)/9.806)</f>
        <v>17690.30075184753</v>
      </c>
      <c r="F65" s="189">
        <f t="shared" si="9"/>
        <v>0</v>
      </c>
      <c r="G65" s="172"/>
      <c r="H65" s="172"/>
      <c r="I65" s="173"/>
      <c r="AD65" s="184"/>
      <c r="AE65" s="260"/>
      <c r="AF65" s="294" t="s">
        <v>123</v>
      </c>
      <c r="AG65" s="294" t="s">
        <v>124</v>
      </c>
      <c r="AH65" s="273"/>
      <c r="AI65" s="273"/>
    </row>
    <row r="66" spans="1:35" ht="12.75">
      <c r="A66" s="185" t="str">
        <f t="shared" si="7"/>
        <v>#2:</v>
      </c>
      <c r="B66" s="316">
        <f>+'Footing 6 pile'!H39</f>
        <v>1.05</v>
      </c>
      <c r="C66" s="316">
        <f>+'Footing 6 pile'!I39</f>
        <v>0.35</v>
      </c>
      <c r="D66" s="185" t="str">
        <f t="shared" si="8"/>
        <v>#2:</v>
      </c>
      <c r="E66" s="196">
        <f t="shared" si="9"/>
        <v>18226.051841091103</v>
      </c>
      <c r="F66" s="197">
        <f t="shared" si="9"/>
        <v>0</v>
      </c>
      <c r="G66" s="172"/>
      <c r="H66" s="172"/>
      <c r="I66" s="173"/>
      <c r="AD66" s="281"/>
      <c r="AE66" s="297">
        <f>IF($AG$58&gt;=1,1,"")</f>
        <v>1</v>
      </c>
      <c r="AF66" s="192">
        <f aca="true" t="shared" si="10" ref="AF66:AF90">IF($AE66&lt;&gt;"",$AG$60+($AG$59)*COS(PI()/180*($AG$62+($AE66-1)*360/$AG$58))/2,"")</f>
        <v>8</v>
      </c>
      <c r="AG66" s="192">
        <f aca="true" t="shared" si="11" ref="AG66:AG90">IF($AE66&lt;&gt;"",$AG$61+($AG$59)*SIN(PI()/180*($AG$62+($AE66-1)*360/$AG$58))/2,"")</f>
        <v>4</v>
      </c>
      <c r="AH66" s="273"/>
      <c r="AI66" s="273"/>
    </row>
    <row r="67" spans="1:35" ht="12.75">
      <c r="A67" s="185" t="str">
        <f t="shared" si="7"/>
        <v>#3:</v>
      </c>
      <c r="B67" s="295">
        <f>+'Footing 6 pile'!H40</f>
        <v>1.75</v>
      </c>
      <c r="C67" s="296">
        <f>+'Footing 6 pile'!I40</f>
        <v>0.35</v>
      </c>
      <c r="D67" s="185" t="str">
        <f t="shared" si="8"/>
        <v>#3:</v>
      </c>
      <c r="E67" s="196">
        <f t="shared" si="9"/>
        <v>18761.802930334674</v>
      </c>
      <c r="F67" s="197">
        <f t="shared" si="9"/>
        <v>0</v>
      </c>
      <c r="G67" s="172"/>
      <c r="H67" s="172"/>
      <c r="I67" s="173"/>
      <c r="AD67" s="281"/>
      <c r="AE67" s="297">
        <f>IF($AG$58&gt;=2,2,"")</f>
        <v>2</v>
      </c>
      <c r="AF67" s="198">
        <f t="shared" si="10"/>
        <v>6.82842712474619</v>
      </c>
      <c r="AG67" s="198">
        <f t="shared" si="11"/>
        <v>6.82842712474619</v>
      </c>
      <c r="AH67" s="273"/>
      <c r="AI67" s="273"/>
    </row>
    <row r="68" spans="1:35" ht="12.75">
      <c r="A68" s="185" t="str">
        <f t="shared" si="7"/>
        <v>#4:</v>
      </c>
      <c r="B68" s="295">
        <f>+'Footing 6 pile'!H41</f>
        <v>0.35</v>
      </c>
      <c r="C68" s="296">
        <f>+'Footing 6 pile'!I41</f>
        <v>1.05</v>
      </c>
      <c r="D68" s="185" t="str">
        <f t="shared" si="8"/>
        <v>#4:</v>
      </c>
      <c r="E68" s="196">
        <f t="shared" si="9"/>
        <v>16737.53040299866</v>
      </c>
      <c r="F68" s="197">
        <f t="shared" si="9"/>
        <v>0</v>
      </c>
      <c r="G68" s="172"/>
      <c r="H68" s="172"/>
      <c r="I68" s="173"/>
      <c r="AD68" s="281"/>
      <c r="AE68" s="297">
        <f>IF($AG$58&gt;=3,3,"")</f>
        <v>3</v>
      </c>
      <c r="AF68" s="198">
        <f t="shared" si="10"/>
        <v>4</v>
      </c>
      <c r="AG68" s="198">
        <f t="shared" si="11"/>
        <v>8</v>
      </c>
      <c r="AH68" s="273"/>
      <c r="AI68" s="273"/>
    </row>
    <row r="69" spans="1:35" ht="12.75">
      <c r="A69" s="185" t="str">
        <f t="shared" si="7"/>
        <v>#5:</v>
      </c>
      <c r="B69" s="295">
        <f>+'Footing 6 pile'!H42</f>
        <v>1.05</v>
      </c>
      <c r="C69" s="296">
        <f>+'Footing 6 pile'!I42</f>
        <v>1.05</v>
      </c>
      <c r="D69" s="185" t="str">
        <f t="shared" si="8"/>
        <v>#5:</v>
      </c>
      <c r="E69" s="196">
        <f t="shared" si="9"/>
        <v>17273.281492242226</v>
      </c>
      <c r="F69" s="197">
        <f t="shared" si="9"/>
        <v>0</v>
      </c>
      <c r="G69" s="172"/>
      <c r="H69" s="172"/>
      <c r="I69" s="173"/>
      <c r="AD69" s="281"/>
      <c r="AE69" s="297">
        <f>IF($AG$58&gt;=4,4,"")</f>
        <v>4</v>
      </c>
      <c r="AF69" s="198">
        <f t="shared" si="10"/>
        <v>1.1715728752538102</v>
      </c>
      <c r="AG69" s="198">
        <f t="shared" si="11"/>
        <v>6.82842712474619</v>
      </c>
      <c r="AH69" s="273"/>
      <c r="AI69" s="273"/>
    </row>
    <row r="70" spans="1:35" ht="12.75">
      <c r="A70" s="185" t="str">
        <f t="shared" si="7"/>
        <v>#6:</v>
      </c>
      <c r="B70" s="295">
        <f>+'Footing 6 pile'!H43</f>
        <v>1.75</v>
      </c>
      <c r="C70" s="296">
        <f>+'Footing 6 pile'!I43</f>
        <v>1.05</v>
      </c>
      <c r="D70" s="185" t="str">
        <f t="shared" si="8"/>
        <v>#6:</v>
      </c>
      <c r="E70" s="196">
        <f t="shared" si="9"/>
        <v>17809.032581485797</v>
      </c>
      <c r="F70" s="197">
        <f t="shared" si="9"/>
        <v>0</v>
      </c>
      <c r="G70" s="172"/>
      <c r="H70" s="172"/>
      <c r="I70" s="173"/>
      <c r="AD70" s="281"/>
      <c r="AE70" s="297">
        <f>IF($AG$58&gt;=5,5,"")</f>
        <v>5</v>
      </c>
      <c r="AF70" s="198">
        <f t="shared" si="10"/>
        <v>0</v>
      </c>
      <c r="AG70" s="198">
        <f t="shared" si="11"/>
        <v>4.000000000000001</v>
      </c>
      <c r="AH70" s="273"/>
      <c r="AI70" s="273"/>
    </row>
    <row r="71" spans="1:35" ht="12.75">
      <c r="A71" s="185">
        <f t="shared" si="7"/>
      </c>
      <c r="B71" s="295"/>
      <c r="C71" s="296"/>
      <c r="D71" s="185">
        <f t="shared" si="8"/>
      </c>
      <c r="E71" s="196">
        <f t="shared" si="9"/>
      </c>
      <c r="F71" s="197">
        <f t="shared" si="9"/>
      </c>
      <c r="G71" s="172"/>
      <c r="H71" s="172"/>
      <c r="I71" s="173"/>
      <c r="AD71" s="281"/>
      <c r="AE71" s="297">
        <f>IF($AG$58&gt;=6,6,"")</f>
        <v>6</v>
      </c>
      <c r="AF71" s="198">
        <f t="shared" si="10"/>
        <v>1.1715728752538093</v>
      </c>
      <c r="AG71" s="198">
        <f t="shared" si="11"/>
        <v>1.1715728752538102</v>
      </c>
      <c r="AH71" s="273"/>
      <c r="AI71" s="273"/>
    </row>
    <row r="72" spans="1:35" ht="12.75">
      <c r="A72" s="185">
        <f t="shared" si="7"/>
      </c>
      <c r="B72" s="295"/>
      <c r="C72" s="296"/>
      <c r="D72" s="185">
        <f t="shared" si="8"/>
      </c>
      <c r="E72" s="196">
        <f t="shared" si="9"/>
      </c>
      <c r="F72" s="197">
        <f t="shared" si="9"/>
      </c>
      <c r="G72" s="172"/>
      <c r="H72" s="172"/>
      <c r="I72" s="173"/>
      <c r="AD72" s="281"/>
      <c r="AE72" s="297">
        <f>IF($AG$58&gt;=7,7,"")</f>
        <v>7</v>
      </c>
      <c r="AF72" s="198">
        <f t="shared" si="10"/>
        <v>3.999999999999999</v>
      </c>
      <c r="AG72" s="198">
        <f t="shared" si="11"/>
        <v>0</v>
      </c>
      <c r="AH72" s="273"/>
      <c r="AI72" s="273"/>
    </row>
    <row r="73" spans="1:35" ht="12.75">
      <c r="A73" s="185">
        <f t="shared" si="7"/>
      </c>
      <c r="B73" s="295"/>
      <c r="C73" s="296"/>
      <c r="D73" s="185">
        <f t="shared" si="8"/>
      </c>
      <c r="E73" s="196">
        <f t="shared" si="9"/>
      </c>
      <c r="F73" s="197">
        <f t="shared" si="9"/>
      </c>
      <c r="G73" s="172"/>
      <c r="H73" s="172"/>
      <c r="I73" s="173"/>
      <c r="AD73" s="281"/>
      <c r="AE73" s="297">
        <f>IF($AG$58&gt;=8,8,"")</f>
        <v>8</v>
      </c>
      <c r="AF73" s="198">
        <f t="shared" si="10"/>
        <v>6.82842712474619</v>
      </c>
      <c r="AG73" s="198">
        <f t="shared" si="11"/>
        <v>1.1715728752538093</v>
      </c>
      <c r="AH73" s="273"/>
      <c r="AI73" s="278"/>
    </row>
    <row r="74" spans="1:35" ht="12.75">
      <c r="A74" s="185">
        <f t="shared" si="7"/>
      </c>
      <c r="B74" s="295"/>
      <c r="C74" s="296"/>
      <c r="D74" s="185">
        <f t="shared" si="8"/>
      </c>
      <c r="E74" s="196">
        <f t="shared" si="9"/>
      </c>
      <c r="F74" s="197">
        <f t="shared" si="9"/>
      </c>
      <c r="G74" s="172"/>
      <c r="H74" s="172"/>
      <c r="I74" s="173"/>
      <c r="AD74" s="281"/>
      <c r="AE74" s="297">
        <f>IF($AG$58&gt;=9,9,"")</f>
      </c>
      <c r="AF74" s="198">
        <f t="shared" si="10"/>
      </c>
      <c r="AG74" s="198">
        <f t="shared" si="11"/>
      </c>
      <c r="AH74" s="273"/>
      <c r="AI74" s="278"/>
    </row>
    <row r="75" spans="1:35" ht="12.75">
      <c r="A75" s="185">
        <f t="shared" si="7"/>
      </c>
      <c r="B75" s="295"/>
      <c r="C75" s="296"/>
      <c r="D75" s="185">
        <f t="shared" si="8"/>
      </c>
      <c r="E75" s="196">
        <f t="shared" si="9"/>
      </c>
      <c r="F75" s="197">
        <f t="shared" si="9"/>
      </c>
      <c r="G75" s="172"/>
      <c r="H75" s="172"/>
      <c r="I75" s="173"/>
      <c r="AD75" s="281"/>
      <c r="AE75" s="297">
        <f>IF($AG$58&gt;=10,10,"")</f>
      </c>
      <c r="AF75" s="198">
        <f t="shared" si="10"/>
      </c>
      <c r="AG75" s="198">
        <f t="shared" si="11"/>
      </c>
      <c r="AH75" s="273"/>
      <c r="AI75" s="273"/>
    </row>
    <row r="76" spans="1:35" ht="12.75">
      <c r="A76" s="185">
        <f t="shared" si="7"/>
      </c>
      <c r="B76" s="295"/>
      <c r="C76" s="296"/>
      <c r="D76" s="185">
        <f t="shared" si="8"/>
      </c>
      <c r="E76" s="196">
        <f t="shared" si="9"/>
      </c>
      <c r="F76" s="197">
        <f t="shared" si="9"/>
      </c>
      <c r="G76" s="172"/>
      <c r="H76" s="172"/>
      <c r="I76" s="173"/>
      <c r="AD76" s="281"/>
      <c r="AE76" s="297">
        <f>IF($AG$58&gt;=11,11,"")</f>
      </c>
      <c r="AF76" s="198">
        <f t="shared" si="10"/>
      </c>
      <c r="AG76" s="198">
        <f t="shared" si="11"/>
      </c>
      <c r="AH76" s="273"/>
      <c r="AI76" s="273"/>
    </row>
    <row r="77" spans="1:35" ht="12.75">
      <c r="A77" s="185">
        <f t="shared" si="7"/>
      </c>
      <c r="B77" s="295"/>
      <c r="C77" s="296"/>
      <c r="D77" s="185">
        <f t="shared" si="8"/>
      </c>
      <c r="E77" s="196">
        <f t="shared" si="9"/>
      </c>
      <c r="F77" s="197">
        <f t="shared" si="9"/>
      </c>
      <c r="G77" s="172"/>
      <c r="H77" s="172"/>
      <c r="I77" s="173"/>
      <c r="AD77" s="281"/>
      <c r="AE77" s="297">
        <f>IF($AG$58&gt;=12,12,"")</f>
      </c>
      <c r="AF77" s="198">
        <f t="shared" si="10"/>
      </c>
      <c r="AG77" s="198">
        <f t="shared" si="11"/>
      </c>
      <c r="AH77" s="273"/>
      <c r="AI77" s="183" t="s">
        <v>125</v>
      </c>
    </row>
    <row r="78" spans="1:35" ht="12.75">
      <c r="A78" s="185">
        <f t="shared" si="7"/>
      </c>
      <c r="B78" s="295"/>
      <c r="C78" s="296"/>
      <c r="D78" s="185">
        <f t="shared" si="8"/>
      </c>
      <c r="E78" s="196">
        <f t="shared" si="9"/>
      </c>
      <c r="F78" s="197">
        <f t="shared" si="9"/>
      </c>
      <c r="G78" s="172"/>
      <c r="H78" s="172"/>
      <c r="I78" s="173"/>
      <c r="AD78" s="281"/>
      <c r="AE78" s="297">
        <f>IF($AG$58&gt;=13,13,"")</f>
      </c>
      <c r="AF78" s="198">
        <f t="shared" si="10"/>
      </c>
      <c r="AG78" s="198">
        <f t="shared" si="11"/>
      </c>
      <c r="AH78" s="273"/>
      <c r="AI78" s="183" t="s">
        <v>126</v>
      </c>
    </row>
    <row r="79" spans="1:35" ht="12.75">
      <c r="A79" s="185">
        <f t="shared" si="7"/>
      </c>
      <c r="B79" s="295"/>
      <c r="C79" s="296"/>
      <c r="D79" s="185">
        <f t="shared" si="8"/>
      </c>
      <c r="E79" s="196">
        <f t="shared" si="9"/>
      </c>
      <c r="F79" s="197">
        <f t="shared" si="9"/>
      </c>
      <c r="G79" s="172"/>
      <c r="H79" s="172"/>
      <c r="I79" s="173"/>
      <c r="AD79" s="281"/>
      <c r="AE79" s="297">
        <f>IF($AG$58&gt;=14,14,"")</f>
      </c>
      <c r="AF79" s="198">
        <f t="shared" si="10"/>
      </c>
      <c r="AG79" s="198">
        <f t="shared" si="11"/>
      </c>
      <c r="AH79" s="273"/>
      <c r="AI79" s="273"/>
    </row>
    <row r="80" spans="1:35" ht="12.75">
      <c r="A80" s="185">
        <f t="shared" si="7"/>
      </c>
      <c r="B80" s="295"/>
      <c r="C80" s="296"/>
      <c r="D80" s="185">
        <f t="shared" si="8"/>
      </c>
      <c r="E80" s="196">
        <f t="shared" si="9"/>
      </c>
      <c r="F80" s="197">
        <f t="shared" si="9"/>
      </c>
      <c r="G80" s="172"/>
      <c r="H80" s="172"/>
      <c r="I80" s="173"/>
      <c r="AD80" s="281"/>
      <c r="AE80" s="297">
        <f>IF($AG$58&gt;=15,15,"")</f>
      </c>
      <c r="AF80" s="198">
        <f t="shared" si="10"/>
      </c>
      <c r="AG80" s="198">
        <f t="shared" si="11"/>
      </c>
      <c r="AH80" s="273"/>
      <c r="AI80" s="273"/>
    </row>
    <row r="81" spans="1:35" ht="12.75">
      <c r="A81" s="185">
        <f t="shared" si="7"/>
      </c>
      <c r="B81" s="295"/>
      <c r="C81" s="296"/>
      <c r="D81" s="185">
        <f t="shared" si="8"/>
      </c>
      <c r="E81" s="196">
        <f t="shared" si="9"/>
      </c>
      <c r="F81" s="197">
        <f t="shared" si="9"/>
      </c>
      <c r="G81" s="172"/>
      <c r="H81" s="172"/>
      <c r="I81" s="173"/>
      <c r="AD81" s="281"/>
      <c r="AE81" s="297">
        <f>IF($AG$58&gt;=16,16,"")</f>
      </c>
      <c r="AF81" s="198">
        <f t="shared" si="10"/>
      </c>
      <c r="AG81" s="198">
        <f t="shared" si="11"/>
      </c>
      <c r="AH81" s="273"/>
      <c r="AI81" s="273"/>
    </row>
    <row r="82" spans="1:35" ht="12.75">
      <c r="A82" s="185">
        <f t="shared" si="7"/>
      </c>
      <c r="B82" s="295"/>
      <c r="C82" s="296"/>
      <c r="D82" s="185">
        <f t="shared" si="8"/>
      </c>
      <c r="E82" s="196">
        <f t="shared" si="9"/>
      </c>
      <c r="F82" s="197">
        <f t="shared" si="9"/>
      </c>
      <c r="G82" s="163" t="s">
        <v>86</v>
      </c>
      <c r="H82" s="164"/>
      <c r="I82" s="200"/>
      <c r="AD82" s="281"/>
      <c r="AE82" s="297">
        <f>IF($AG$58&gt;=17,17,"")</f>
      </c>
      <c r="AF82" s="198">
        <f t="shared" si="10"/>
      </c>
      <c r="AG82" s="198">
        <f t="shared" si="11"/>
      </c>
      <c r="AH82" s="273"/>
      <c r="AI82" s="273"/>
    </row>
    <row r="83" spans="1:35" ht="12.75">
      <c r="A83" s="185">
        <f t="shared" si="7"/>
      </c>
      <c r="B83" s="295"/>
      <c r="C83" s="296"/>
      <c r="D83" s="185">
        <f t="shared" si="8"/>
      </c>
      <c r="E83" s="196">
        <f t="shared" si="9"/>
      </c>
      <c r="F83" s="197">
        <f t="shared" si="9"/>
      </c>
      <c r="G83" s="201" t="s">
        <v>87</v>
      </c>
      <c r="H83" s="202">
        <f aca="true" t="shared" si="12" ref="H83:H89">+H30</f>
        <v>1.05</v>
      </c>
      <c r="I83" s="203" t="s">
        <v>29</v>
      </c>
      <c r="AD83" s="281"/>
      <c r="AE83" s="297">
        <f>IF($AG$58&gt;=18,18,"")</f>
      </c>
      <c r="AF83" s="198">
        <f t="shared" si="10"/>
      </c>
      <c r="AG83" s="198">
        <f t="shared" si="11"/>
      </c>
      <c r="AH83" s="278"/>
      <c r="AI83" s="278"/>
    </row>
    <row r="84" spans="1:35" ht="12.75">
      <c r="A84" s="185">
        <f t="shared" si="7"/>
      </c>
      <c r="B84" s="295"/>
      <c r="C84" s="296"/>
      <c r="D84" s="185">
        <f t="shared" si="8"/>
      </c>
      <c r="E84" s="196">
        <f t="shared" si="9"/>
      </c>
      <c r="F84" s="197">
        <f t="shared" si="9"/>
      </c>
      <c r="G84" s="201" t="s">
        <v>88</v>
      </c>
      <c r="H84" s="204">
        <f t="shared" si="12"/>
        <v>0.6999999999999998</v>
      </c>
      <c r="I84" s="203" t="s">
        <v>29</v>
      </c>
      <c r="AD84" s="281"/>
      <c r="AE84" s="297">
        <f>IF($AG$58&gt;=19,19,"")</f>
      </c>
      <c r="AF84" s="198">
        <f t="shared" si="10"/>
      </c>
      <c r="AG84" s="198">
        <f t="shared" si="11"/>
      </c>
      <c r="AH84" s="278"/>
      <c r="AI84" s="278"/>
    </row>
    <row r="85" spans="1:35" ht="12.75">
      <c r="A85" s="185">
        <f t="shared" si="7"/>
      </c>
      <c r="B85" s="295"/>
      <c r="C85" s="296"/>
      <c r="D85" s="185">
        <f t="shared" si="8"/>
      </c>
      <c r="E85" s="196">
        <f t="shared" si="9"/>
      </c>
      <c r="F85" s="197">
        <f t="shared" si="9"/>
      </c>
      <c r="G85" s="209" t="s">
        <v>90</v>
      </c>
      <c r="H85" s="210">
        <f t="shared" si="12"/>
        <v>0.7349993000010002</v>
      </c>
      <c r="I85" s="211" t="s">
        <v>91</v>
      </c>
      <c r="AD85" s="281"/>
      <c r="AE85" s="297">
        <f>IF($AG$58&gt;=20,20,"")</f>
      </c>
      <c r="AF85" s="198">
        <f t="shared" si="10"/>
      </c>
      <c r="AG85" s="198">
        <f t="shared" si="11"/>
      </c>
      <c r="AH85" s="278"/>
      <c r="AI85" s="278"/>
    </row>
    <row r="86" spans="1:35" ht="12.75">
      <c r="A86" s="185">
        <f t="shared" si="7"/>
      </c>
      <c r="B86" s="295"/>
      <c r="C86" s="296"/>
      <c r="D86" s="185">
        <f t="shared" si="8"/>
      </c>
      <c r="E86" s="196">
        <f t="shared" si="9"/>
      </c>
      <c r="F86" s="197">
        <f t="shared" si="9"/>
      </c>
      <c r="G86" s="209" t="s">
        <v>96</v>
      </c>
      <c r="H86" s="210">
        <f t="shared" si="12"/>
        <v>1.959998600001</v>
      </c>
      <c r="I86" s="211" t="s">
        <v>91</v>
      </c>
      <c r="AD86" s="281"/>
      <c r="AE86" s="297">
        <f>IF($AG$58&gt;=21,21,"")</f>
      </c>
      <c r="AF86" s="198">
        <f t="shared" si="10"/>
      </c>
      <c r="AG86" s="198">
        <f t="shared" si="11"/>
      </c>
      <c r="AH86" s="279"/>
      <c r="AI86" s="298"/>
    </row>
    <row r="87" spans="1:35" ht="12.75">
      <c r="A87" s="185">
        <f t="shared" si="7"/>
      </c>
      <c r="B87" s="295"/>
      <c r="C87" s="296"/>
      <c r="D87" s="185">
        <f t="shared" si="8"/>
      </c>
      <c r="E87" s="196">
        <f t="shared" si="9"/>
      </c>
      <c r="F87" s="197">
        <f t="shared" si="9"/>
      </c>
      <c r="G87" s="209" t="s">
        <v>97</v>
      </c>
      <c r="H87" s="210">
        <f t="shared" si="12"/>
        <v>2.694997900002</v>
      </c>
      <c r="I87" s="211" t="s">
        <v>91</v>
      </c>
      <c r="AD87" s="281"/>
      <c r="AE87" s="297">
        <f>IF($AG$58&gt;=22,22,"")</f>
      </c>
      <c r="AF87" s="198">
        <f t="shared" si="10"/>
      </c>
      <c r="AG87" s="198">
        <f t="shared" si="11"/>
      </c>
      <c r="AH87" s="299"/>
      <c r="AI87" s="300"/>
    </row>
    <row r="88" spans="1:35" ht="12.75">
      <c r="A88" s="185">
        <f t="shared" si="7"/>
      </c>
      <c r="B88" s="295"/>
      <c r="C88" s="296"/>
      <c r="D88" s="185">
        <f t="shared" si="8"/>
      </c>
      <c r="E88" s="196">
        <f t="shared" si="9"/>
      </c>
      <c r="F88" s="197">
        <f t="shared" si="9"/>
      </c>
      <c r="G88" s="209" t="s">
        <v>98</v>
      </c>
      <c r="H88" s="210">
        <f t="shared" si="12"/>
        <v>0</v>
      </c>
      <c r="I88" s="211" t="s">
        <v>91</v>
      </c>
      <c r="AD88" s="281"/>
      <c r="AE88" s="297">
        <f>IF($AG$58&gt;=23,23,"")</f>
      </c>
      <c r="AF88" s="198">
        <f t="shared" si="10"/>
      </c>
      <c r="AG88" s="198">
        <f t="shared" si="11"/>
      </c>
      <c r="AH88" s="299"/>
      <c r="AI88" s="300"/>
    </row>
    <row r="89" spans="1:35" ht="12.75">
      <c r="A89" s="185">
        <f t="shared" si="7"/>
      </c>
      <c r="B89" s="301"/>
      <c r="C89" s="302"/>
      <c r="D89" s="185">
        <f t="shared" si="8"/>
      </c>
      <c r="E89" s="217">
        <f t="shared" si="9"/>
      </c>
      <c r="F89" s="218">
        <f t="shared" si="9"/>
      </c>
      <c r="G89" s="219" t="s">
        <v>137</v>
      </c>
      <c r="H89" s="220">
        <f t="shared" si="12"/>
        <v>0</v>
      </c>
      <c r="I89" s="211" t="s">
        <v>100</v>
      </c>
      <c r="AD89" s="281"/>
      <c r="AE89" s="297">
        <f>IF($AG$58&gt;=24,24,"")</f>
      </c>
      <c r="AF89" s="303">
        <f t="shared" si="10"/>
      </c>
      <c r="AG89" s="303">
        <f t="shared" si="11"/>
      </c>
      <c r="AH89" s="278"/>
      <c r="AI89" s="278"/>
    </row>
    <row r="90" spans="1:35" ht="12.75">
      <c r="A90" s="161"/>
      <c r="B90" s="172"/>
      <c r="C90" s="172"/>
      <c r="D90" s="172"/>
      <c r="E90" s="172"/>
      <c r="F90" s="172"/>
      <c r="G90" s="172"/>
      <c r="H90" s="172"/>
      <c r="I90" s="173"/>
      <c r="AD90" s="281"/>
      <c r="AE90" s="297">
        <f>IF($AG$58=25,25,"")</f>
      </c>
      <c r="AF90" s="223">
        <f t="shared" si="10"/>
      </c>
      <c r="AG90" s="223">
        <f t="shared" si="11"/>
      </c>
      <c r="AH90" s="278"/>
      <c r="AI90" s="278"/>
    </row>
    <row r="91" spans="1:35" ht="12.75">
      <c r="A91" s="161"/>
      <c r="B91" s="168" t="s">
        <v>103</v>
      </c>
      <c r="C91" s="141">
        <v>1</v>
      </c>
      <c r="D91" s="225"/>
      <c r="E91" s="172"/>
      <c r="F91" s="172"/>
      <c r="G91" s="226" t="s">
        <v>138</v>
      </c>
      <c r="H91" s="164"/>
      <c r="I91" s="200"/>
      <c r="AD91" s="304"/>
      <c r="AE91" s="278"/>
      <c r="AF91" s="278"/>
      <c r="AG91" s="278"/>
      <c r="AH91" s="278"/>
      <c r="AI91" s="278"/>
    </row>
    <row r="92" spans="1:35" ht="12.75">
      <c r="A92" s="161"/>
      <c r="B92" s="172"/>
      <c r="C92" s="227"/>
      <c r="D92" s="227"/>
      <c r="E92" s="227"/>
      <c r="F92" s="227"/>
      <c r="G92" s="219" t="s">
        <v>139</v>
      </c>
      <c r="H92" s="189">
        <f aca="true" t="shared" si="13" ref="H92:H97">(H39*1000)/9.806</f>
        <v>-106498</v>
      </c>
      <c r="I92" s="211" t="s">
        <v>12</v>
      </c>
      <c r="AD92" s="265" t="s">
        <v>174</v>
      </c>
      <c r="AE92" s="273"/>
      <c r="AF92" s="273"/>
      <c r="AG92" s="273"/>
      <c r="AH92" s="273"/>
      <c r="AI92" s="273"/>
    </row>
    <row r="93" spans="1:35" ht="12.75">
      <c r="A93" s="161"/>
      <c r="B93" s="168" t="s">
        <v>107</v>
      </c>
      <c r="C93" s="166" t="str">
        <f>+C40</f>
        <v>Pier #1</v>
      </c>
      <c r="D93" s="166">
        <f>+D40</f>
      </c>
      <c r="E93" s="166">
        <f>+E40</f>
      </c>
      <c r="F93" s="166">
        <f>+F40</f>
      </c>
      <c r="G93" s="219" t="s">
        <v>140</v>
      </c>
      <c r="H93" s="196">
        <f t="shared" si="13"/>
        <v>0</v>
      </c>
      <c r="I93" s="211" t="s">
        <v>12</v>
      </c>
      <c r="AD93" s="305" t="s">
        <v>175</v>
      </c>
      <c r="AE93" s="273"/>
      <c r="AF93" s="273"/>
      <c r="AG93" s="273"/>
      <c r="AH93" s="273"/>
      <c r="AI93" s="273"/>
    </row>
    <row r="94" spans="1:35" ht="12.75">
      <c r="A94" s="230"/>
      <c r="B94" s="231" t="s">
        <v>142</v>
      </c>
      <c r="C94" s="292">
        <f>+'Footing 6 pile'!H44</f>
        <v>1.05</v>
      </c>
      <c r="D94" s="306"/>
      <c r="E94" s="292"/>
      <c r="F94" s="293"/>
      <c r="G94" s="219" t="s">
        <v>143</v>
      </c>
      <c r="H94" s="196">
        <f t="shared" si="13"/>
        <v>0</v>
      </c>
      <c r="I94" s="211" t="s">
        <v>12</v>
      </c>
      <c r="AD94" s="305" t="s">
        <v>176</v>
      </c>
      <c r="AE94" s="273"/>
      <c r="AF94" s="273"/>
      <c r="AG94" s="273"/>
      <c r="AH94" s="273"/>
      <c r="AI94" s="273"/>
    </row>
    <row r="95" spans="1:35" ht="12.75">
      <c r="A95" s="161"/>
      <c r="B95" s="231" t="s">
        <v>145</v>
      </c>
      <c r="C95" s="295">
        <f>+'Footing 6 pile'!I44</f>
        <v>0.7</v>
      </c>
      <c r="D95" s="307"/>
      <c r="E95" s="295"/>
      <c r="F95" s="296"/>
      <c r="G95" s="219" t="s">
        <v>146</v>
      </c>
      <c r="H95" s="196">
        <f t="shared" si="13"/>
        <v>1000.4079135223334</v>
      </c>
      <c r="I95" s="211" t="s">
        <v>30</v>
      </c>
      <c r="AD95" s="305" t="s">
        <v>127</v>
      </c>
      <c r="AE95" s="278"/>
      <c r="AF95" s="278"/>
      <c r="AG95" s="278"/>
      <c r="AH95" s="278"/>
      <c r="AI95" s="278"/>
    </row>
    <row r="96" spans="1:35" ht="12.75">
      <c r="A96" s="154"/>
      <c r="B96" s="231" t="s">
        <v>149</v>
      </c>
      <c r="C96" s="295"/>
      <c r="D96" s="307"/>
      <c r="E96" s="295"/>
      <c r="F96" s="296"/>
      <c r="G96" s="219" t="s">
        <v>150</v>
      </c>
      <c r="H96" s="196">
        <f t="shared" si="13"/>
        <v>1500.1019783805834</v>
      </c>
      <c r="I96" s="211" t="s">
        <v>30</v>
      </c>
      <c r="AD96" s="278" t="s">
        <v>128</v>
      </c>
      <c r="AE96" s="278"/>
      <c r="AF96" s="278"/>
      <c r="AG96" s="278"/>
      <c r="AH96" s="278"/>
      <c r="AI96" s="278"/>
    </row>
    <row r="97" spans="1:9" ht="12.75">
      <c r="A97" s="230"/>
      <c r="B97" s="231" t="s">
        <v>177</v>
      </c>
      <c r="C97" s="410">
        <f>+'Footing 6 pile'!H30*-1*1000</f>
        <v>-106498</v>
      </c>
      <c r="D97" s="309"/>
      <c r="E97" s="308"/>
      <c r="F97" s="310"/>
      <c r="G97" s="219" t="s">
        <v>154</v>
      </c>
      <c r="H97" s="217">
        <f t="shared" si="13"/>
        <v>0</v>
      </c>
      <c r="I97" s="211" t="s">
        <v>30</v>
      </c>
    </row>
    <row r="98" spans="1:9" ht="12.75">
      <c r="A98" s="161"/>
      <c r="B98" s="231" t="s">
        <v>178</v>
      </c>
      <c r="C98" s="308"/>
      <c r="D98" s="309"/>
      <c r="E98" s="308"/>
      <c r="F98" s="310"/>
      <c r="G98" s="172"/>
      <c r="H98" s="172"/>
      <c r="I98" s="173"/>
    </row>
    <row r="99" spans="1:9" ht="12.75">
      <c r="A99" s="158"/>
      <c r="B99" s="231" t="s">
        <v>179</v>
      </c>
      <c r="C99" s="308"/>
      <c r="D99" s="309"/>
      <c r="E99" s="308"/>
      <c r="F99" s="310"/>
      <c r="G99" s="171" t="s">
        <v>111</v>
      </c>
      <c r="H99" s="242"/>
      <c r="I99" s="243"/>
    </row>
    <row r="100" spans="1:9" ht="12.75">
      <c r="A100" s="161"/>
      <c r="B100" s="231" t="s">
        <v>180</v>
      </c>
      <c r="C100" s="308">
        <f>+'Footing 6 pile'!H27*1000</f>
        <v>1000</v>
      </c>
      <c r="D100" s="309"/>
      <c r="E100" s="308"/>
      <c r="F100" s="310"/>
      <c r="G100" s="231" t="s">
        <v>113</v>
      </c>
      <c r="H100" s="189">
        <f>(H47*1000)/9.806</f>
        <v>18761.802930334674</v>
      </c>
      <c r="I100" s="211" t="s">
        <v>12</v>
      </c>
    </row>
    <row r="101" spans="1:9" ht="12.75">
      <c r="A101" s="230"/>
      <c r="B101" s="231" t="s">
        <v>181</v>
      </c>
      <c r="C101" s="308">
        <f>+'Footing 6 pile'!H28*1000</f>
        <v>1500</v>
      </c>
      <c r="D101" s="309"/>
      <c r="E101" s="308"/>
      <c r="F101" s="310"/>
      <c r="G101" s="231" t="s">
        <v>114</v>
      </c>
      <c r="H101" s="196">
        <f>(H48*1000)/9.806</f>
        <v>16737.53040299866</v>
      </c>
      <c r="I101" s="211" t="s">
        <v>12</v>
      </c>
    </row>
    <row r="102" spans="1:9" ht="12.75">
      <c r="A102" s="161"/>
      <c r="B102" s="231" t="s">
        <v>182</v>
      </c>
      <c r="C102" s="311"/>
      <c r="D102" s="312"/>
      <c r="E102" s="311"/>
      <c r="F102" s="313"/>
      <c r="G102" s="245" t="s">
        <v>115</v>
      </c>
      <c r="H102" s="217">
        <f>(H49*1000)/9.806</f>
        <v>0</v>
      </c>
      <c r="I102" s="211" t="s">
        <v>12</v>
      </c>
    </row>
    <row r="103" spans="1:9" ht="12.75">
      <c r="A103" s="249"/>
      <c r="B103" s="250"/>
      <c r="C103" s="250"/>
      <c r="D103" s="250"/>
      <c r="E103" s="250"/>
      <c r="F103" s="250"/>
      <c r="G103" s="250"/>
      <c r="H103" s="250"/>
      <c r="I103" s="251"/>
    </row>
  </sheetData>
  <sheetProtection/>
  <conditionalFormatting sqref="E52">
    <cfRule type="cellIs" priority="1" dxfId="7" operator="notEqual" stopIfTrue="1">
      <formula>"OK"</formula>
    </cfRule>
  </conditionalFormatting>
  <dataValidations count="7">
    <dataValidation allowBlank="1" showInputMessage="1" showErrorMessage="1" prompt="'Dc' is the diameter of the pile circle." sqref="AG59"/>
    <dataValidation type="decimal" operator="greaterThanOrEqual" allowBlank="1" showInputMessage="1" showErrorMessage="1" prompt="The angle to Pile #1 is measured counterclockwise from the origin X-axis." sqref="AG62">
      <formula1>0</formula1>
    </dataValidation>
    <dataValidation type="decimal" operator="greaterThanOrEqual" allowBlank="1" showInputMessage="1" showErrorMessage="1" prompt="'Xo' is the x-coordinate location of the center of the pile circle from the origin Y-axis.  Xo &gt;=  Dc/2" sqref="AG60">
      <formula1>$AG$59/2</formula1>
    </dataValidation>
    <dataValidation type="decimal" operator="greaterThanOrEqual" allowBlank="1" showInputMessage="1" showErrorMessage="1" prompt="'Yo' is the y-coordinate location of the center of the pile circle from the origin X-axis.  Yo &gt;=  Dc/2" sqref="AG61">
      <formula1>$AG$59/2</formula1>
    </dataValidation>
    <dataValidation type="list" allowBlank="1" showInputMessage="1" showErrorMessage="1" errorTitle="Warning!" error="Invalid input for number of piles&#10;(must input a value between 2 and 25)" sqref="C9 C62">
      <formula1>$K$6:$K$29</formula1>
    </dataValidation>
    <dataValidation type="list" allowBlank="1" showInputMessage="1" showErrorMessage="1" errorTitle="Warning!" error="Invalid input for number of piers&#10;(must input a value between 1 and 4)" sqref="C38 C91">
      <formula1>$K$5:$K$8</formula1>
    </dataValidation>
    <dataValidation type="list" allowBlank="1" showInputMessage="1" showErrorMessage="1" errorTitle="Warning!" error="Invalid input for number of piles&#10;(must input a value between 2 and 25)" sqref="AG58">
      <formula1>$K$7:$K$29</formula1>
    </dataValidation>
  </dataValidations>
  <printOptions/>
  <pageMargins left="1" right="0.5" top="1" bottom="1" header="0.5" footer="0.5"/>
  <pageSetup horizontalDpi="600" verticalDpi="600" orientation="portrait" scale="98" r:id="rId4"/>
  <headerFooter alignWithMargins="0">
    <oddHeader>&amp;R"PILEGRP.xls" Program
Version 3.5</oddHeader>
    <oddFooter>&amp;C&amp;P of &amp;N&amp;R&amp;D  &amp;T</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2"/>
  <dimension ref="C31:J38"/>
  <sheetViews>
    <sheetView zoomScalePageLayoutView="0" workbookViewId="0" topLeftCell="A1">
      <selection activeCell="E16" sqref="E16"/>
    </sheetView>
  </sheetViews>
  <sheetFormatPr defaultColWidth="9.140625" defaultRowHeight="23.25"/>
  <sheetData>
    <row r="31" ht="23.25">
      <c r="I31" t="s">
        <v>21</v>
      </c>
    </row>
    <row r="32" ht="23.25">
      <c r="I32" t="s">
        <v>22</v>
      </c>
    </row>
    <row r="33" ht="23.25">
      <c r="I33" t="s">
        <v>24</v>
      </c>
    </row>
    <row r="34" spans="3:9" ht="23.25">
      <c r="C34" t="s">
        <v>19</v>
      </c>
      <c r="I34" t="s">
        <v>25</v>
      </c>
    </row>
    <row r="35" spans="3:10" ht="23.25">
      <c r="C35" t="s">
        <v>20</v>
      </c>
      <c r="I35" t="s">
        <v>23</v>
      </c>
      <c r="J35" t="s">
        <v>28</v>
      </c>
    </row>
    <row r="36" ht="23.25">
      <c r="I36" t="s">
        <v>26</v>
      </c>
    </row>
    <row r="38" ht="23.25">
      <c r="C38" s="23" t="s">
        <v>27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C31:J38"/>
  <sheetViews>
    <sheetView zoomScalePageLayoutView="0" workbookViewId="0" topLeftCell="A1">
      <selection activeCell="H13" sqref="H12:H13"/>
    </sheetView>
  </sheetViews>
  <sheetFormatPr defaultColWidth="9.140625" defaultRowHeight="23.25"/>
  <sheetData>
    <row r="31" ht="23.25">
      <c r="I31" t="s">
        <v>21</v>
      </c>
    </row>
    <row r="32" ht="23.25">
      <c r="I32" t="s">
        <v>22</v>
      </c>
    </row>
    <row r="33" ht="23.25">
      <c r="I33" t="s">
        <v>24</v>
      </c>
    </row>
    <row r="34" spans="3:9" ht="23.25">
      <c r="C34" t="s">
        <v>19</v>
      </c>
      <c r="I34" t="s">
        <v>25</v>
      </c>
    </row>
    <row r="35" spans="3:10" ht="23.25">
      <c r="C35" t="s">
        <v>20</v>
      </c>
      <c r="I35" t="s">
        <v>23</v>
      </c>
      <c r="J35" t="s">
        <v>28</v>
      </c>
    </row>
    <row r="36" ht="23.25">
      <c r="I36" t="s">
        <v>26</v>
      </c>
    </row>
    <row r="38" ht="23.25">
      <c r="C38" s="23" t="s">
        <v>27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iLLUSiON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Sutee</dc:creator>
  <cp:keywords/>
  <dc:description/>
  <cp:lastModifiedBy>TOSHIBA</cp:lastModifiedBy>
  <cp:lastPrinted>2012-11-11T14:41:56Z</cp:lastPrinted>
  <dcterms:created xsi:type="dcterms:W3CDTF">2008-06-04T11:41:54Z</dcterms:created>
  <dcterms:modified xsi:type="dcterms:W3CDTF">2013-10-26T13:11:05Z</dcterms:modified>
  <cp:category/>
  <cp:version/>
  <cp:contentType/>
  <cp:contentStatus/>
</cp:coreProperties>
</file>