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autoCompressPictures="0"/>
  <mc:AlternateContent xmlns:mc="http://schemas.openxmlformats.org/markup-compatibility/2006">
    <mc:Choice Requires="x15">
      <x15ac:absPath xmlns:x15ac="http://schemas.microsoft.com/office/spreadsheetml/2010/11/ac" url="C:\Users\Luke\Documents\OIL SYSTEM INFO\"/>
    </mc:Choice>
  </mc:AlternateContent>
  <bookViews>
    <workbookView xWindow="0" yWindow="0" windowWidth="18285" windowHeight="8655" tabRatio="874" activeTab="6" xr2:uid="{00000000-000D-0000-FFFF-FFFF00000000}"/>
  </bookViews>
  <sheets>
    <sheet name="Offering" sheetId="20" r:id="rId1"/>
    <sheet name="Key Assumptions" sheetId="21" r:id="rId2"/>
    <sheet name=" Crude Oil-Base Oil" sheetId="35" r:id="rId3"/>
    <sheet name="Investment Plan" sheetId="10" r:id="rId4"/>
    <sheet name="Blending equipment " sheetId="38" r:id="rId5"/>
    <sheet name="Disbursement Plan" sheetId="24" r:id="rId6"/>
    <sheet name="P&amp;L and Cash Flow" sheetId="1" r:id="rId7"/>
    <sheet name="Summary CF " sheetId="39" r:id="rId8"/>
    <sheet name="Graphs" sheetId="34" r:id="rId9"/>
    <sheet name="Sensitivity" sheetId="30" r:id="rId10"/>
    <sheet name="Sr Debt Service 2018" sheetId="29" r:id="rId11"/>
    <sheet name="Sr Debt Service 2020 " sheetId="36" r:id="rId12"/>
    <sheet name="HREFF Debt Servic" sheetId="37" r:id="rId13"/>
    <sheet name="Plant Ops Cost 100 GPH" sheetId="12" r:id="rId14"/>
    <sheet name="Plant Ops Cost 100 GPH ESPAÑOL" sheetId="41" r:id="rId15"/>
    <sheet name="Plant Ops Cost 200 GPH" sheetId="40" r:id="rId16"/>
    <sheet name="Plant Ops Cost 200 GPH ESPAÑOL" sheetId="42" r:id="rId17"/>
    <sheet name="Margins" sheetId="19" r:id="rId18"/>
    <sheet name="Org-Salary Structure" sheetId="13" r:id="rId19"/>
    <sheet name="Additives" sheetId="22" r:id="rId20"/>
    <sheet name="Used Oil Plan" sheetId="27" r:id="rId21"/>
    <sheet name="Site transport Cost " sheetId="32" r:id="rId22"/>
    <sheet name="Valuation" sheetId="16" r:id="rId23"/>
    <sheet name="Oscar Additives" sheetId="28" r:id="rId24"/>
    <sheet name="Base Oil Trends" sheetId="23" r:id="rId25"/>
    <sheet name="Summary Cash Flows" sheetId="15"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 localSheetId="12">#REF!</definedName>
    <definedName name="\" localSheetId="14">#REF!</definedName>
    <definedName name="\" localSheetId="15">#REF!</definedName>
    <definedName name="\" localSheetId="16">#REF!</definedName>
    <definedName name="\" localSheetId="11">#REF!</definedName>
    <definedName name="\" localSheetId="7">#REF!</definedName>
    <definedName name="\">#REF!</definedName>
    <definedName name="\a" localSheetId="12">#REF!</definedName>
    <definedName name="\a" localSheetId="14">#REF!</definedName>
    <definedName name="\a" localSheetId="15">#REF!</definedName>
    <definedName name="\a" localSheetId="16">#REF!</definedName>
    <definedName name="\a" localSheetId="11">#REF!</definedName>
    <definedName name="\a" localSheetId="7">#REF!</definedName>
    <definedName name="\a">#REF!</definedName>
    <definedName name="\d" localSheetId="12">#REF!</definedName>
    <definedName name="\d" localSheetId="14">#REF!</definedName>
    <definedName name="\d" localSheetId="15">#REF!</definedName>
    <definedName name="\d" localSheetId="16">#REF!</definedName>
    <definedName name="\d" localSheetId="11">#REF!</definedName>
    <definedName name="\d" localSheetId="7">#REF!</definedName>
    <definedName name="\d">#REF!</definedName>
    <definedName name="\e" localSheetId="12">#REF!</definedName>
    <definedName name="\e" localSheetId="14">#REF!</definedName>
    <definedName name="\e" localSheetId="15">#REF!</definedName>
    <definedName name="\e" localSheetId="16">#REF!</definedName>
    <definedName name="\e" localSheetId="11">#REF!</definedName>
    <definedName name="\e" localSheetId="7">#REF!</definedName>
    <definedName name="\e">#REF!</definedName>
    <definedName name="\P" localSheetId="12">#REF!</definedName>
    <definedName name="\P" localSheetId="14">#REF!</definedName>
    <definedName name="\P" localSheetId="15">#REF!</definedName>
    <definedName name="\P" localSheetId="16">#REF!</definedName>
    <definedName name="\P" localSheetId="11">#REF!</definedName>
    <definedName name="\P" localSheetId="7">#REF!</definedName>
    <definedName name="\P">#REF!</definedName>
    <definedName name="\r" localSheetId="12">#REF!</definedName>
    <definedName name="\r" localSheetId="14">#REF!</definedName>
    <definedName name="\r" localSheetId="15">#REF!</definedName>
    <definedName name="\r" localSheetId="16">#REF!</definedName>
    <definedName name="\r" localSheetId="11">#REF!</definedName>
    <definedName name="\r" localSheetId="7">#REF!</definedName>
    <definedName name="\r">#REF!</definedName>
    <definedName name="\s" localSheetId="12">#REF!</definedName>
    <definedName name="\s" localSheetId="14">#REF!</definedName>
    <definedName name="\s" localSheetId="15">#REF!</definedName>
    <definedName name="\s" localSheetId="16">#REF!</definedName>
    <definedName name="\s" localSheetId="11">#REF!</definedName>
    <definedName name="\s" localSheetId="7">#REF!</definedName>
    <definedName name="\s">#REF!</definedName>
    <definedName name="__IntlFixup" hidden="1">TRUE</definedName>
    <definedName name="_1__123Graph_ACHART_1" localSheetId="12" hidden="1">#REF!</definedName>
    <definedName name="_1__123Graph_ACHART_1" localSheetId="14" hidden="1">#REF!</definedName>
    <definedName name="_1__123Graph_ACHART_1" localSheetId="15" hidden="1">#REF!</definedName>
    <definedName name="_1__123Graph_ACHART_1" localSheetId="16" hidden="1">#REF!</definedName>
    <definedName name="_1__123Graph_ACHART_1" localSheetId="11" hidden="1">#REF!</definedName>
    <definedName name="_1__123Graph_ACHART_1" localSheetId="7" hidden="1">#REF!</definedName>
    <definedName name="_1__123Graph_ACHART_1" hidden="1">#REF!</definedName>
    <definedName name="_10__123Graph_ACHART_4" localSheetId="12" hidden="1">#REF!</definedName>
    <definedName name="_10__123Graph_ACHART_4" localSheetId="14" hidden="1">#REF!</definedName>
    <definedName name="_10__123Graph_ACHART_4" localSheetId="15" hidden="1">#REF!</definedName>
    <definedName name="_10__123Graph_ACHART_4" localSheetId="16" hidden="1">#REF!</definedName>
    <definedName name="_10__123Graph_ACHART_4" localSheetId="11" hidden="1">#REF!</definedName>
    <definedName name="_10__123Graph_ACHART_4" localSheetId="7" hidden="1">#REF!</definedName>
    <definedName name="_10__123Graph_ACHART_4" hidden="1">#REF!</definedName>
    <definedName name="_11__123Graph_ACHART_5" localSheetId="12" hidden="1">#REF!</definedName>
    <definedName name="_11__123Graph_ACHART_5" localSheetId="14" hidden="1">#REF!</definedName>
    <definedName name="_11__123Graph_ACHART_5" localSheetId="15" hidden="1">#REF!</definedName>
    <definedName name="_11__123Graph_ACHART_5" localSheetId="16" hidden="1">#REF!</definedName>
    <definedName name="_11__123Graph_ACHART_5" localSheetId="11" hidden="1">#REF!</definedName>
    <definedName name="_11__123Graph_ACHART_5" localSheetId="7" hidden="1">#REF!</definedName>
    <definedName name="_11__123Graph_ACHART_5" hidden="1">#REF!</definedName>
    <definedName name="_12__123Graph_ACHART_6" localSheetId="12" hidden="1">#REF!</definedName>
    <definedName name="_12__123Graph_ACHART_6" localSheetId="14" hidden="1">#REF!</definedName>
    <definedName name="_12__123Graph_ACHART_6" localSheetId="15" hidden="1">#REF!</definedName>
    <definedName name="_12__123Graph_ACHART_6" localSheetId="16" hidden="1">#REF!</definedName>
    <definedName name="_12__123Graph_ACHART_6" localSheetId="11" hidden="1">#REF!</definedName>
    <definedName name="_12__123Graph_ACHART_6" localSheetId="7" hidden="1">#REF!</definedName>
    <definedName name="_12__123Graph_ACHART_6" hidden="1">#REF!</definedName>
    <definedName name="_13__123Graph_ACHART_7" localSheetId="12" hidden="1">#REF!</definedName>
    <definedName name="_13__123Graph_ACHART_7" localSheetId="14" hidden="1">#REF!</definedName>
    <definedName name="_13__123Graph_ACHART_7" localSheetId="15" hidden="1">#REF!</definedName>
    <definedName name="_13__123Graph_ACHART_7" localSheetId="16" hidden="1">#REF!</definedName>
    <definedName name="_13__123Graph_ACHART_7" localSheetId="11" hidden="1">#REF!</definedName>
    <definedName name="_13__123Graph_ACHART_7" localSheetId="7" hidden="1">#REF!</definedName>
    <definedName name="_13__123Graph_ACHART_7" hidden="1">#REF!</definedName>
    <definedName name="_14__123Graph_ACHART_8" localSheetId="12" hidden="1">#REF!</definedName>
    <definedName name="_14__123Graph_ACHART_8" localSheetId="14" hidden="1">#REF!</definedName>
    <definedName name="_14__123Graph_ACHART_8" localSheetId="15" hidden="1">#REF!</definedName>
    <definedName name="_14__123Graph_ACHART_8" localSheetId="16" hidden="1">#REF!</definedName>
    <definedName name="_14__123Graph_ACHART_8" localSheetId="11" hidden="1">#REF!</definedName>
    <definedName name="_14__123Graph_ACHART_8" localSheetId="7" hidden="1">#REF!</definedName>
    <definedName name="_14__123Graph_ACHART_8" hidden="1">#REF!</definedName>
    <definedName name="_15__123Graph_ACHART_9" localSheetId="12" hidden="1">#REF!</definedName>
    <definedName name="_15__123Graph_ACHART_9" localSheetId="14" hidden="1">#REF!</definedName>
    <definedName name="_15__123Graph_ACHART_9" localSheetId="15" hidden="1">#REF!</definedName>
    <definedName name="_15__123Graph_ACHART_9" localSheetId="16" hidden="1">#REF!</definedName>
    <definedName name="_15__123Graph_ACHART_9" localSheetId="11" hidden="1">#REF!</definedName>
    <definedName name="_15__123Graph_ACHART_9" localSheetId="7" hidden="1">#REF!</definedName>
    <definedName name="_15__123Graph_ACHART_9" hidden="1">#REF!</definedName>
    <definedName name="_16__123Graph_BCHART_1" localSheetId="12" hidden="1">#REF!</definedName>
    <definedName name="_16__123Graph_BCHART_1" localSheetId="14" hidden="1">#REF!</definedName>
    <definedName name="_16__123Graph_BCHART_1" localSheetId="15" hidden="1">#REF!</definedName>
    <definedName name="_16__123Graph_BCHART_1" localSheetId="16" hidden="1">#REF!</definedName>
    <definedName name="_16__123Graph_BCHART_1" localSheetId="11" hidden="1">#REF!</definedName>
    <definedName name="_16__123Graph_BCHART_1" localSheetId="7" hidden="1">#REF!</definedName>
    <definedName name="_16__123Graph_BCHART_1" hidden="1">#REF!</definedName>
    <definedName name="_17__123Graph_BCHART_11" localSheetId="12" hidden="1">#REF!</definedName>
    <definedName name="_17__123Graph_BCHART_11" localSheetId="14" hidden="1">#REF!</definedName>
    <definedName name="_17__123Graph_BCHART_11" localSheetId="15" hidden="1">#REF!</definedName>
    <definedName name="_17__123Graph_BCHART_11" localSheetId="16" hidden="1">#REF!</definedName>
    <definedName name="_17__123Graph_BCHART_11" localSheetId="11" hidden="1">#REF!</definedName>
    <definedName name="_17__123Graph_BCHART_11" localSheetId="7" hidden="1">#REF!</definedName>
    <definedName name="_17__123Graph_BCHART_11" hidden="1">#REF!</definedName>
    <definedName name="_18__123Graph_BCHART_12" localSheetId="12" hidden="1">#REF!</definedName>
    <definedName name="_18__123Graph_BCHART_12" localSheetId="14" hidden="1">#REF!</definedName>
    <definedName name="_18__123Graph_BCHART_12" localSheetId="15" hidden="1">#REF!</definedName>
    <definedName name="_18__123Graph_BCHART_12" localSheetId="16" hidden="1">#REF!</definedName>
    <definedName name="_18__123Graph_BCHART_12" localSheetId="11" hidden="1">#REF!</definedName>
    <definedName name="_18__123Graph_BCHART_12" localSheetId="7" hidden="1">#REF!</definedName>
    <definedName name="_18__123Graph_BCHART_12" hidden="1">#REF!</definedName>
    <definedName name="_19__123Graph_BCHART_13" localSheetId="12" hidden="1">#REF!</definedName>
    <definedName name="_19__123Graph_BCHART_13" localSheetId="14" hidden="1">#REF!</definedName>
    <definedName name="_19__123Graph_BCHART_13" localSheetId="15" hidden="1">#REF!</definedName>
    <definedName name="_19__123Graph_BCHART_13" localSheetId="16" hidden="1">#REF!</definedName>
    <definedName name="_19__123Graph_BCHART_13" localSheetId="11" hidden="1">#REF!</definedName>
    <definedName name="_19__123Graph_BCHART_13" localSheetId="7" hidden="1">#REF!</definedName>
    <definedName name="_19__123Graph_BCHART_13" hidden="1">#REF!</definedName>
    <definedName name="_2__123Graph_ACHART_10" localSheetId="12" hidden="1">#REF!</definedName>
    <definedName name="_2__123Graph_ACHART_10" localSheetId="14" hidden="1">#REF!</definedName>
    <definedName name="_2__123Graph_ACHART_10" localSheetId="15" hidden="1">#REF!</definedName>
    <definedName name="_2__123Graph_ACHART_10" localSheetId="16" hidden="1">#REF!</definedName>
    <definedName name="_2__123Graph_ACHART_10" localSheetId="11" hidden="1">#REF!</definedName>
    <definedName name="_2__123Graph_ACHART_10" localSheetId="7" hidden="1">#REF!</definedName>
    <definedName name="_2__123Graph_ACHART_10" hidden="1">#REF!</definedName>
    <definedName name="_20__123Graph_BCHART_14" localSheetId="12" hidden="1">#REF!</definedName>
    <definedName name="_20__123Graph_BCHART_14" localSheetId="14" hidden="1">#REF!</definedName>
    <definedName name="_20__123Graph_BCHART_14" localSheetId="15" hidden="1">#REF!</definedName>
    <definedName name="_20__123Graph_BCHART_14" localSheetId="16" hidden="1">#REF!</definedName>
    <definedName name="_20__123Graph_BCHART_14" localSheetId="11" hidden="1">#REF!</definedName>
    <definedName name="_20__123Graph_BCHART_14" localSheetId="7" hidden="1">#REF!</definedName>
    <definedName name="_20__123Graph_BCHART_14" hidden="1">#REF!</definedName>
    <definedName name="_21__123Graph_BCHART_15" localSheetId="12" hidden="1">#REF!</definedName>
    <definedName name="_21__123Graph_BCHART_15" localSheetId="14" hidden="1">#REF!</definedName>
    <definedName name="_21__123Graph_BCHART_15" localSheetId="15" hidden="1">#REF!</definedName>
    <definedName name="_21__123Graph_BCHART_15" localSheetId="16" hidden="1">#REF!</definedName>
    <definedName name="_21__123Graph_BCHART_15" localSheetId="11" hidden="1">#REF!</definedName>
    <definedName name="_21__123Graph_BCHART_15" localSheetId="7" hidden="1">#REF!</definedName>
    <definedName name="_21__123Graph_BCHART_15" hidden="1">#REF!</definedName>
    <definedName name="_22__123Graph_BCHART_3" localSheetId="12" hidden="1">#REF!</definedName>
    <definedName name="_22__123Graph_BCHART_3" localSheetId="14" hidden="1">#REF!</definedName>
    <definedName name="_22__123Graph_BCHART_3" localSheetId="15" hidden="1">#REF!</definedName>
    <definedName name="_22__123Graph_BCHART_3" localSheetId="16" hidden="1">#REF!</definedName>
    <definedName name="_22__123Graph_BCHART_3" localSheetId="11" hidden="1">#REF!</definedName>
    <definedName name="_22__123Graph_BCHART_3" localSheetId="7" hidden="1">#REF!</definedName>
    <definedName name="_22__123Graph_BCHART_3" hidden="1">#REF!</definedName>
    <definedName name="_23__123Graph_BCHART_4" localSheetId="12" hidden="1">#REF!</definedName>
    <definedName name="_23__123Graph_BCHART_4" localSheetId="14" hidden="1">#REF!</definedName>
    <definedName name="_23__123Graph_BCHART_4" localSheetId="15" hidden="1">#REF!</definedName>
    <definedName name="_23__123Graph_BCHART_4" localSheetId="16" hidden="1">#REF!</definedName>
    <definedName name="_23__123Graph_BCHART_4" localSheetId="11" hidden="1">#REF!</definedName>
    <definedName name="_23__123Graph_BCHART_4" localSheetId="7" hidden="1">#REF!</definedName>
    <definedName name="_23__123Graph_BCHART_4" hidden="1">#REF!</definedName>
    <definedName name="_24__123Graph_BCHART_5" localSheetId="12" hidden="1">#REF!</definedName>
    <definedName name="_24__123Graph_BCHART_5" localSheetId="14" hidden="1">#REF!</definedName>
    <definedName name="_24__123Graph_BCHART_5" localSheetId="15" hidden="1">#REF!</definedName>
    <definedName name="_24__123Graph_BCHART_5" localSheetId="16" hidden="1">#REF!</definedName>
    <definedName name="_24__123Graph_BCHART_5" localSheetId="11" hidden="1">#REF!</definedName>
    <definedName name="_24__123Graph_BCHART_5" localSheetId="7" hidden="1">#REF!</definedName>
    <definedName name="_24__123Graph_BCHART_5" hidden="1">#REF!</definedName>
    <definedName name="_25__123Graph_BCHART_6" localSheetId="12" hidden="1">#REF!</definedName>
    <definedName name="_25__123Graph_BCHART_6" localSheetId="14" hidden="1">#REF!</definedName>
    <definedName name="_25__123Graph_BCHART_6" localSheetId="15" hidden="1">#REF!</definedName>
    <definedName name="_25__123Graph_BCHART_6" localSheetId="16" hidden="1">#REF!</definedName>
    <definedName name="_25__123Graph_BCHART_6" localSheetId="11" hidden="1">#REF!</definedName>
    <definedName name="_25__123Graph_BCHART_6" localSheetId="7" hidden="1">#REF!</definedName>
    <definedName name="_25__123Graph_BCHART_6" hidden="1">#REF!</definedName>
    <definedName name="_26__123Graph_BCHART_7" localSheetId="12" hidden="1">#REF!</definedName>
    <definedName name="_26__123Graph_BCHART_7" localSheetId="14" hidden="1">#REF!</definedName>
    <definedName name="_26__123Graph_BCHART_7" localSheetId="15" hidden="1">#REF!</definedName>
    <definedName name="_26__123Graph_BCHART_7" localSheetId="16" hidden="1">#REF!</definedName>
    <definedName name="_26__123Graph_BCHART_7" localSheetId="11" hidden="1">#REF!</definedName>
    <definedName name="_26__123Graph_BCHART_7" localSheetId="7" hidden="1">#REF!</definedName>
    <definedName name="_26__123Graph_BCHART_7" hidden="1">#REF!</definedName>
    <definedName name="_27__123Graph_BCHART_8" localSheetId="12" hidden="1">#REF!</definedName>
    <definedName name="_27__123Graph_BCHART_8" localSheetId="14" hidden="1">#REF!</definedName>
    <definedName name="_27__123Graph_BCHART_8" localSheetId="15" hidden="1">#REF!</definedName>
    <definedName name="_27__123Graph_BCHART_8" localSheetId="16" hidden="1">#REF!</definedName>
    <definedName name="_27__123Graph_BCHART_8" localSheetId="11" hidden="1">#REF!</definedName>
    <definedName name="_27__123Graph_BCHART_8" localSheetId="7" hidden="1">#REF!</definedName>
    <definedName name="_27__123Graph_BCHART_8" hidden="1">#REF!</definedName>
    <definedName name="_28__123Graph_CCHART_13" localSheetId="12" hidden="1">#REF!</definedName>
    <definedName name="_28__123Graph_CCHART_13" localSheetId="14" hidden="1">#REF!</definedName>
    <definedName name="_28__123Graph_CCHART_13" localSheetId="15" hidden="1">#REF!</definedName>
    <definedName name="_28__123Graph_CCHART_13" localSheetId="16" hidden="1">#REF!</definedName>
    <definedName name="_28__123Graph_CCHART_13" localSheetId="11" hidden="1">#REF!</definedName>
    <definedName name="_28__123Graph_CCHART_13" localSheetId="7" hidden="1">#REF!</definedName>
    <definedName name="_28__123Graph_CCHART_13" hidden="1">#REF!</definedName>
    <definedName name="_29__123Graph_CCHART_15" localSheetId="12" hidden="1">#REF!</definedName>
    <definedName name="_29__123Graph_CCHART_15" localSheetId="14" hidden="1">#REF!</definedName>
    <definedName name="_29__123Graph_CCHART_15" localSheetId="15" hidden="1">#REF!</definedName>
    <definedName name="_29__123Graph_CCHART_15" localSheetId="16" hidden="1">#REF!</definedName>
    <definedName name="_29__123Graph_CCHART_15" localSheetId="11" hidden="1">#REF!</definedName>
    <definedName name="_29__123Graph_CCHART_15" localSheetId="7" hidden="1">#REF!</definedName>
    <definedName name="_29__123Graph_CCHART_15" hidden="1">#REF!</definedName>
    <definedName name="_3__123Graph_ACHART_11" localSheetId="12" hidden="1">#REF!</definedName>
    <definedName name="_3__123Graph_ACHART_11" localSheetId="14" hidden="1">#REF!</definedName>
    <definedName name="_3__123Graph_ACHART_11" localSheetId="15" hidden="1">#REF!</definedName>
    <definedName name="_3__123Graph_ACHART_11" localSheetId="16" hidden="1">#REF!</definedName>
    <definedName name="_3__123Graph_ACHART_11" localSheetId="11" hidden="1">#REF!</definedName>
    <definedName name="_3__123Graph_ACHART_11" localSheetId="7" hidden="1">#REF!</definedName>
    <definedName name="_3__123Graph_ACHART_11" hidden="1">#REF!</definedName>
    <definedName name="_33__123Graph_DCHART_1" localSheetId="12" hidden="1">[1]synthgraph!#REF!</definedName>
    <definedName name="_33__123Graph_DCHART_1" localSheetId="14" hidden="1">[1]synthgraph!#REF!</definedName>
    <definedName name="_33__123Graph_DCHART_1" localSheetId="15" hidden="1">[1]synthgraph!#REF!</definedName>
    <definedName name="_33__123Graph_DCHART_1" localSheetId="16" hidden="1">[1]synthgraph!#REF!</definedName>
    <definedName name="_33__123Graph_DCHART_1" localSheetId="11" hidden="1">[1]synthgraph!#REF!</definedName>
    <definedName name="_33__123Graph_DCHART_1" localSheetId="7" hidden="1">[1]synthgraph!#REF!</definedName>
    <definedName name="_33__123Graph_DCHART_1" hidden="1">[1]synthgraph!#REF!</definedName>
    <definedName name="_34__123Graph_DCHART_10" localSheetId="12" hidden="1">#REF!</definedName>
    <definedName name="_34__123Graph_DCHART_10" localSheetId="14" hidden="1">#REF!</definedName>
    <definedName name="_34__123Graph_DCHART_10" localSheetId="15" hidden="1">#REF!</definedName>
    <definedName name="_34__123Graph_DCHART_10" localSheetId="16" hidden="1">#REF!</definedName>
    <definedName name="_34__123Graph_DCHART_10" localSheetId="11" hidden="1">#REF!</definedName>
    <definedName name="_34__123Graph_DCHART_10" localSheetId="7" hidden="1">#REF!</definedName>
    <definedName name="_34__123Graph_DCHART_10" hidden="1">#REF!</definedName>
    <definedName name="_35__123Graph_DCHART_15" localSheetId="12" hidden="1">#REF!</definedName>
    <definedName name="_35__123Graph_DCHART_15" localSheetId="14" hidden="1">#REF!</definedName>
    <definedName name="_35__123Graph_DCHART_15" localSheetId="15" hidden="1">#REF!</definedName>
    <definedName name="_35__123Graph_DCHART_15" localSheetId="16" hidden="1">#REF!</definedName>
    <definedName name="_35__123Graph_DCHART_15" localSheetId="11" hidden="1">#REF!</definedName>
    <definedName name="_35__123Graph_DCHART_15" localSheetId="7" hidden="1">#REF!</definedName>
    <definedName name="_35__123Graph_DCHART_15" hidden="1">#REF!</definedName>
    <definedName name="_36__123Graph_DCHART_2" localSheetId="12" hidden="1">#REF!</definedName>
    <definedName name="_36__123Graph_DCHART_2" localSheetId="14" hidden="1">#REF!</definedName>
    <definedName name="_36__123Graph_DCHART_2" localSheetId="15" hidden="1">#REF!</definedName>
    <definedName name="_36__123Graph_DCHART_2" localSheetId="16" hidden="1">#REF!</definedName>
    <definedName name="_36__123Graph_DCHART_2" localSheetId="11" hidden="1">#REF!</definedName>
    <definedName name="_36__123Graph_DCHART_2" localSheetId="7" hidden="1">#REF!</definedName>
    <definedName name="_36__123Graph_DCHART_2" hidden="1">#REF!</definedName>
    <definedName name="_37__123Graph_DCHART_9" localSheetId="12" hidden="1">#REF!</definedName>
    <definedName name="_37__123Graph_DCHART_9" localSheetId="14" hidden="1">#REF!</definedName>
    <definedName name="_37__123Graph_DCHART_9" localSheetId="15" hidden="1">#REF!</definedName>
    <definedName name="_37__123Graph_DCHART_9" localSheetId="16" hidden="1">#REF!</definedName>
    <definedName name="_37__123Graph_DCHART_9" localSheetId="11" hidden="1">#REF!</definedName>
    <definedName name="_37__123Graph_DCHART_9" localSheetId="7" hidden="1">#REF!</definedName>
    <definedName name="_37__123Graph_DCHART_9" hidden="1">#REF!</definedName>
    <definedName name="_38__123Graph_ECHART_15" localSheetId="12" hidden="1">#REF!</definedName>
    <definedName name="_38__123Graph_ECHART_15" localSheetId="14" hidden="1">#REF!</definedName>
    <definedName name="_38__123Graph_ECHART_15" localSheetId="15" hidden="1">#REF!</definedName>
    <definedName name="_38__123Graph_ECHART_15" localSheetId="16" hidden="1">#REF!</definedName>
    <definedName name="_38__123Graph_ECHART_15" localSheetId="11" hidden="1">#REF!</definedName>
    <definedName name="_38__123Graph_ECHART_15" localSheetId="7" hidden="1">#REF!</definedName>
    <definedName name="_38__123Graph_ECHART_15" hidden="1">#REF!</definedName>
    <definedName name="_39__123Graph_FCHART_15" localSheetId="12" hidden="1">#REF!</definedName>
    <definedName name="_39__123Graph_FCHART_15" localSheetId="14" hidden="1">#REF!</definedName>
    <definedName name="_39__123Graph_FCHART_15" localSheetId="15" hidden="1">#REF!</definedName>
    <definedName name="_39__123Graph_FCHART_15" localSheetId="16" hidden="1">#REF!</definedName>
    <definedName name="_39__123Graph_FCHART_15" localSheetId="11" hidden="1">#REF!</definedName>
    <definedName name="_39__123Graph_FCHART_15" localSheetId="7" hidden="1">#REF!</definedName>
    <definedName name="_39__123Graph_FCHART_15" hidden="1">#REF!</definedName>
    <definedName name="_4__123Graph_ACHART_12" localSheetId="12" hidden="1">#REF!</definedName>
    <definedName name="_4__123Graph_ACHART_12" localSheetId="14" hidden="1">#REF!</definedName>
    <definedName name="_4__123Graph_ACHART_12" localSheetId="15" hidden="1">#REF!</definedName>
    <definedName name="_4__123Graph_ACHART_12" localSheetId="16" hidden="1">#REF!</definedName>
    <definedName name="_4__123Graph_ACHART_12" localSheetId="11" hidden="1">#REF!</definedName>
    <definedName name="_4__123Graph_ACHART_12" localSheetId="7" hidden="1">#REF!</definedName>
    <definedName name="_4__123Graph_ACHART_12" hidden="1">#REF!</definedName>
    <definedName name="_43__123Graph_LBL_ACHART_1" localSheetId="12" hidden="1">[1]synthgraph!#REF!</definedName>
    <definedName name="_43__123Graph_LBL_ACHART_1" localSheetId="14" hidden="1">[1]synthgraph!#REF!</definedName>
    <definedName name="_43__123Graph_LBL_ACHART_1" localSheetId="15" hidden="1">[1]synthgraph!#REF!</definedName>
    <definedName name="_43__123Graph_LBL_ACHART_1" localSheetId="16" hidden="1">[1]synthgraph!#REF!</definedName>
    <definedName name="_43__123Graph_LBL_ACHART_1" localSheetId="11" hidden="1">[1]synthgraph!#REF!</definedName>
    <definedName name="_43__123Graph_LBL_ACHART_1" localSheetId="7" hidden="1">[1]synthgraph!#REF!</definedName>
    <definedName name="_43__123Graph_LBL_ACHART_1" hidden="1">[1]synthgraph!#REF!</definedName>
    <definedName name="_44__123Graph_LBL_ACHART_3" localSheetId="12" hidden="1">#REF!</definedName>
    <definedName name="_44__123Graph_LBL_ACHART_3" localSheetId="14" hidden="1">#REF!</definedName>
    <definedName name="_44__123Graph_LBL_ACHART_3" localSheetId="15" hidden="1">#REF!</definedName>
    <definedName name="_44__123Graph_LBL_ACHART_3" localSheetId="16" hidden="1">#REF!</definedName>
    <definedName name="_44__123Graph_LBL_ACHART_3" localSheetId="11" hidden="1">#REF!</definedName>
    <definedName name="_44__123Graph_LBL_ACHART_3" localSheetId="7" hidden="1">#REF!</definedName>
    <definedName name="_44__123Graph_LBL_ACHART_3" hidden="1">#REF!</definedName>
    <definedName name="_48__123Graph_LBL_DCHART_1" localSheetId="12" hidden="1">[1]synthgraph!#REF!</definedName>
    <definedName name="_48__123Graph_LBL_DCHART_1" localSheetId="14" hidden="1">[1]synthgraph!#REF!</definedName>
    <definedName name="_48__123Graph_LBL_DCHART_1" localSheetId="15" hidden="1">[1]synthgraph!#REF!</definedName>
    <definedName name="_48__123Graph_LBL_DCHART_1" localSheetId="16" hidden="1">[1]synthgraph!#REF!</definedName>
    <definedName name="_48__123Graph_LBL_DCHART_1" localSheetId="11" hidden="1">[1]synthgraph!#REF!</definedName>
    <definedName name="_48__123Graph_LBL_DCHART_1" localSheetId="7" hidden="1">[1]synthgraph!#REF!</definedName>
    <definedName name="_48__123Graph_LBL_DCHART_1" hidden="1">[1]synthgraph!#REF!</definedName>
    <definedName name="_49__123Graph_XCHART_10" localSheetId="12" hidden="1">#REF!</definedName>
    <definedName name="_49__123Graph_XCHART_10" localSheetId="14" hidden="1">#REF!</definedName>
    <definedName name="_49__123Graph_XCHART_10" localSheetId="15" hidden="1">#REF!</definedName>
    <definedName name="_49__123Graph_XCHART_10" localSheetId="16" hidden="1">#REF!</definedName>
    <definedName name="_49__123Graph_XCHART_10" localSheetId="11" hidden="1">#REF!</definedName>
    <definedName name="_49__123Graph_XCHART_10" localSheetId="7" hidden="1">#REF!</definedName>
    <definedName name="_49__123Graph_XCHART_10" hidden="1">#REF!</definedName>
    <definedName name="_5__123Graph_ACHART_13" localSheetId="12" hidden="1">#REF!</definedName>
    <definedName name="_5__123Graph_ACHART_13" localSheetId="14" hidden="1">#REF!</definedName>
    <definedName name="_5__123Graph_ACHART_13" localSheetId="15" hidden="1">#REF!</definedName>
    <definedName name="_5__123Graph_ACHART_13" localSheetId="16" hidden="1">#REF!</definedName>
    <definedName name="_5__123Graph_ACHART_13" localSheetId="11" hidden="1">#REF!</definedName>
    <definedName name="_5__123Graph_ACHART_13" localSheetId="7" hidden="1">#REF!</definedName>
    <definedName name="_5__123Graph_ACHART_13" hidden="1">#REF!</definedName>
    <definedName name="_50__123Graph_XCHART_11" localSheetId="12" hidden="1">#REF!</definedName>
    <definedName name="_50__123Graph_XCHART_11" localSheetId="14" hidden="1">#REF!</definedName>
    <definedName name="_50__123Graph_XCHART_11" localSheetId="15" hidden="1">#REF!</definedName>
    <definedName name="_50__123Graph_XCHART_11" localSheetId="16" hidden="1">#REF!</definedName>
    <definedName name="_50__123Graph_XCHART_11" localSheetId="11" hidden="1">#REF!</definedName>
    <definedName name="_50__123Graph_XCHART_11" localSheetId="7" hidden="1">#REF!</definedName>
    <definedName name="_50__123Graph_XCHART_11" hidden="1">#REF!</definedName>
    <definedName name="_51__123Graph_XCHART_12" localSheetId="12" hidden="1">#REF!</definedName>
    <definedName name="_51__123Graph_XCHART_12" localSheetId="14" hidden="1">#REF!</definedName>
    <definedName name="_51__123Graph_XCHART_12" localSheetId="15" hidden="1">#REF!</definedName>
    <definedName name="_51__123Graph_XCHART_12" localSheetId="16" hidden="1">#REF!</definedName>
    <definedName name="_51__123Graph_XCHART_12" localSheetId="11" hidden="1">#REF!</definedName>
    <definedName name="_51__123Graph_XCHART_12" localSheetId="7" hidden="1">#REF!</definedName>
    <definedName name="_51__123Graph_XCHART_12" hidden="1">#REF!</definedName>
    <definedName name="_52__123Graph_XCHART_13" localSheetId="12" hidden="1">#REF!</definedName>
    <definedName name="_52__123Graph_XCHART_13" localSheetId="14" hidden="1">#REF!</definedName>
    <definedName name="_52__123Graph_XCHART_13" localSheetId="15" hidden="1">#REF!</definedName>
    <definedName name="_52__123Graph_XCHART_13" localSheetId="16" hidden="1">#REF!</definedName>
    <definedName name="_52__123Graph_XCHART_13" localSheetId="11" hidden="1">#REF!</definedName>
    <definedName name="_52__123Graph_XCHART_13" localSheetId="7" hidden="1">#REF!</definedName>
    <definedName name="_52__123Graph_XCHART_13" hidden="1">#REF!</definedName>
    <definedName name="_53__123Graph_XCHART_14" localSheetId="12" hidden="1">#REF!</definedName>
    <definedName name="_53__123Graph_XCHART_14" localSheetId="14" hidden="1">#REF!</definedName>
    <definedName name="_53__123Graph_XCHART_14" localSheetId="15" hidden="1">#REF!</definedName>
    <definedName name="_53__123Graph_XCHART_14" localSheetId="16" hidden="1">#REF!</definedName>
    <definedName name="_53__123Graph_XCHART_14" localSheetId="11" hidden="1">#REF!</definedName>
    <definedName name="_53__123Graph_XCHART_14" localSheetId="7" hidden="1">#REF!</definedName>
    <definedName name="_53__123Graph_XCHART_14" hidden="1">#REF!</definedName>
    <definedName name="_54__123Graph_XCHART_15" localSheetId="12" hidden="1">#REF!</definedName>
    <definedName name="_54__123Graph_XCHART_15" localSheetId="14" hidden="1">#REF!</definedName>
    <definedName name="_54__123Graph_XCHART_15" localSheetId="15" hidden="1">#REF!</definedName>
    <definedName name="_54__123Graph_XCHART_15" localSheetId="16" hidden="1">#REF!</definedName>
    <definedName name="_54__123Graph_XCHART_15" localSheetId="11" hidden="1">#REF!</definedName>
    <definedName name="_54__123Graph_XCHART_15" localSheetId="7" hidden="1">#REF!</definedName>
    <definedName name="_54__123Graph_XCHART_15" hidden="1">#REF!</definedName>
    <definedName name="_55__123Graph_XCHART_2" localSheetId="12" hidden="1">#REF!</definedName>
    <definedName name="_55__123Graph_XCHART_2" localSheetId="14" hidden="1">#REF!</definedName>
    <definedName name="_55__123Graph_XCHART_2" localSheetId="15" hidden="1">#REF!</definedName>
    <definedName name="_55__123Graph_XCHART_2" localSheetId="16" hidden="1">#REF!</definedName>
    <definedName name="_55__123Graph_XCHART_2" localSheetId="11" hidden="1">#REF!</definedName>
    <definedName name="_55__123Graph_XCHART_2" localSheetId="7" hidden="1">#REF!</definedName>
    <definedName name="_55__123Graph_XCHART_2" hidden="1">#REF!</definedName>
    <definedName name="_56__123Graph_XCHART_3" localSheetId="12" hidden="1">#REF!</definedName>
    <definedName name="_56__123Graph_XCHART_3" localSheetId="14" hidden="1">#REF!</definedName>
    <definedName name="_56__123Graph_XCHART_3" localSheetId="15" hidden="1">#REF!</definedName>
    <definedName name="_56__123Graph_XCHART_3" localSheetId="16" hidden="1">#REF!</definedName>
    <definedName name="_56__123Graph_XCHART_3" localSheetId="11" hidden="1">#REF!</definedName>
    <definedName name="_56__123Graph_XCHART_3" localSheetId="7" hidden="1">#REF!</definedName>
    <definedName name="_56__123Graph_XCHART_3" hidden="1">#REF!</definedName>
    <definedName name="_57__123Graph_XCHART_4" localSheetId="12" hidden="1">#REF!</definedName>
    <definedName name="_57__123Graph_XCHART_4" localSheetId="14" hidden="1">#REF!</definedName>
    <definedName name="_57__123Graph_XCHART_4" localSheetId="15" hidden="1">#REF!</definedName>
    <definedName name="_57__123Graph_XCHART_4" localSheetId="16" hidden="1">#REF!</definedName>
    <definedName name="_57__123Graph_XCHART_4" localSheetId="11" hidden="1">#REF!</definedName>
    <definedName name="_57__123Graph_XCHART_4" localSheetId="7" hidden="1">#REF!</definedName>
    <definedName name="_57__123Graph_XCHART_4" hidden="1">#REF!</definedName>
    <definedName name="_58__123Graph_XCHART_5" localSheetId="12" hidden="1">#REF!</definedName>
    <definedName name="_58__123Graph_XCHART_5" localSheetId="14" hidden="1">#REF!</definedName>
    <definedName name="_58__123Graph_XCHART_5" localSheetId="15" hidden="1">#REF!</definedName>
    <definedName name="_58__123Graph_XCHART_5" localSheetId="16" hidden="1">#REF!</definedName>
    <definedName name="_58__123Graph_XCHART_5" localSheetId="11" hidden="1">#REF!</definedName>
    <definedName name="_58__123Graph_XCHART_5" localSheetId="7" hidden="1">#REF!</definedName>
    <definedName name="_58__123Graph_XCHART_5" hidden="1">#REF!</definedName>
    <definedName name="_59__123Graph_XCHART_6" localSheetId="12" hidden="1">#REF!</definedName>
    <definedName name="_59__123Graph_XCHART_6" localSheetId="14" hidden="1">#REF!</definedName>
    <definedName name="_59__123Graph_XCHART_6" localSheetId="15" hidden="1">#REF!</definedName>
    <definedName name="_59__123Graph_XCHART_6" localSheetId="16" hidden="1">#REF!</definedName>
    <definedName name="_59__123Graph_XCHART_6" localSheetId="11" hidden="1">#REF!</definedName>
    <definedName name="_59__123Graph_XCHART_6" localSheetId="7" hidden="1">#REF!</definedName>
    <definedName name="_59__123Graph_XCHART_6" hidden="1">#REF!</definedName>
    <definedName name="_6__123Graph_ACHART_14" localSheetId="12" hidden="1">#REF!</definedName>
    <definedName name="_6__123Graph_ACHART_14" localSheetId="14" hidden="1">#REF!</definedName>
    <definedName name="_6__123Graph_ACHART_14" localSheetId="15" hidden="1">#REF!</definedName>
    <definedName name="_6__123Graph_ACHART_14" localSheetId="16" hidden="1">#REF!</definedName>
    <definedName name="_6__123Graph_ACHART_14" localSheetId="11" hidden="1">#REF!</definedName>
    <definedName name="_6__123Graph_ACHART_14" localSheetId="7" hidden="1">#REF!</definedName>
    <definedName name="_6__123Graph_ACHART_14" hidden="1">#REF!</definedName>
    <definedName name="_60__123Graph_XCHART_7" localSheetId="12" hidden="1">#REF!</definedName>
    <definedName name="_60__123Graph_XCHART_7" localSheetId="14" hidden="1">#REF!</definedName>
    <definedName name="_60__123Graph_XCHART_7" localSheetId="15" hidden="1">#REF!</definedName>
    <definedName name="_60__123Graph_XCHART_7" localSheetId="16" hidden="1">#REF!</definedName>
    <definedName name="_60__123Graph_XCHART_7" localSheetId="11" hidden="1">#REF!</definedName>
    <definedName name="_60__123Graph_XCHART_7" localSheetId="7" hidden="1">#REF!</definedName>
    <definedName name="_60__123Graph_XCHART_7" hidden="1">#REF!</definedName>
    <definedName name="_61__123Graph_XCHART_8" localSheetId="12" hidden="1">#REF!</definedName>
    <definedName name="_61__123Graph_XCHART_8" localSheetId="14" hidden="1">#REF!</definedName>
    <definedName name="_61__123Graph_XCHART_8" localSheetId="15" hidden="1">#REF!</definedName>
    <definedName name="_61__123Graph_XCHART_8" localSheetId="16" hidden="1">#REF!</definedName>
    <definedName name="_61__123Graph_XCHART_8" localSheetId="11" hidden="1">#REF!</definedName>
    <definedName name="_61__123Graph_XCHART_8" localSheetId="7" hidden="1">#REF!</definedName>
    <definedName name="_61__123Graph_XCHART_8" hidden="1">#REF!</definedName>
    <definedName name="_62__123Graph_XCHART_9" localSheetId="12" hidden="1">#REF!</definedName>
    <definedName name="_62__123Graph_XCHART_9" localSheetId="14" hidden="1">#REF!</definedName>
    <definedName name="_62__123Graph_XCHART_9" localSheetId="15" hidden="1">#REF!</definedName>
    <definedName name="_62__123Graph_XCHART_9" localSheetId="16" hidden="1">#REF!</definedName>
    <definedName name="_62__123Graph_XCHART_9" localSheetId="11" hidden="1">#REF!</definedName>
    <definedName name="_62__123Graph_XCHART_9" localSheetId="7" hidden="1">#REF!</definedName>
    <definedName name="_62__123Graph_XCHART_9" hidden="1">#REF!</definedName>
    <definedName name="_7__123Graph_ACHART_15" localSheetId="12" hidden="1">#REF!</definedName>
    <definedName name="_7__123Graph_ACHART_15" localSheetId="14" hidden="1">#REF!</definedName>
    <definedName name="_7__123Graph_ACHART_15" localSheetId="15" hidden="1">#REF!</definedName>
    <definedName name="_7__123Graph_ACHART_15" localSheetId="16" hidden="1">#REF!</definedName>
    <definedName name="_7__123Graph_ACHART_15" localSheetId="11" hidden="1">#REF!</definedName>
    <definedName name="_7__123Graph_ACHART_15" localSheetId="7" hidden="1">#REF!</definedName>
    <definedName name="_7__123Graph_ACHART_15" hidden="1">#REF!</definedName>
    <definedName name="_8__123Graph_ACHART_2" localSheetId="12" hidden="1">#REF!</definedName>
    <definedName name="_8__123Graph_ACHART_2" localSheetId="14" hidden="1">#REF!</definedName>
    <definedName name="_8__123Graph_ACHART_2" localSheetId="15" hidden="1">#REF!</definedName>
    <definedName name="_8__123Graph_ACHART_2" localSheetId="16" hidden="1">#REF!</definedName>
    <definedName name="_8__123Graph_ACHART_2" localSheetId="11" hidden="1">#REF!</definedName>
    <definedName name="_8__123Graph_ACHART_2" localSheetId="7" hidden="1">#REF!</definedName>
    <definedName name="_8__123Graph_ACHART_2" hidden="1">#REF!</definedName>
    <definedName name="_9__123Graph_ACHART_3" localSheetId="12" hidden="1">#REF!</definedName>
    <definedName name="_9__123Graph_ACHART_3" localSheetId="14" hidden="1">#REF!</definedName>
    <definedName name="_9__123Graph_ACHART_3" localSheetId="15" hidden="1">#REF!</definedName>
    <definedName name="_9__123Graph_ACHART_3" localSheetId="16" hidden="1">#REF!</definedName>
    <definedName name="_9__123Graph_ACHART_3" localSheetId="11" hidden="1">#REF!</definedName>
    <definedName name="_9__123Graph_ACHART_3" localSheetId="7" hidden="1">#REF!</definedName>
    <definedName name="_9__123Graph_ACHART_3" hidden="1">#REF!</definedName>
    <definedName name="_Fill" localSheetId="12" hidden="1">#REF!</definedName>
    <definedName name="_Fill" localSheetId="14" hidden="1">#REF!</definedName>
    <definedName name="_Fill" localSheetId="15" hidden="1">#REF!</definedName>
    <definedName name="_Fill" localSheetId="16" hidden="1">#REF!</definedName>
    <definedName name="_Fill" localSheetId="11" hidden="1">#REF!</definedName>
    <definedName name="_Fill" localSheetId="7" hidden="1">#REF!</definedName>
    <definedName name="_Fill" hidden="1">#REF!</definedName>
    <definedName name="_nv2" hidden="1">{#N/A,#N/A,FALSE,"Summary";#N/A,#N/A,FALSE,"Signatures";#N/A,#N/A,FALSE,"FL Current";#N/A,#N/A,FALSE,"Assumptions";#N/A,#N/A,FALSE,"Assumptions";#N/A,#N/A,FALSE,"Assumptions";#N/A,#N/A,FALSE,"FL Last";#N/A,#N/A,FALSE,"FL Orig";#N/A,#N/A,FALSE,"C to G Explain"}</definedName>
    <definedName name="_Order1" hidden="1">255</definedName>
    <definedName name="_Order2" hidden="1">0</definedName>
    <definedName name="_Regression_Int" hidden="1">1</definedName>
    <definedName name="_Table2_In1" localSheetId="12" hidden="1">#REF!</definedName>
    <definedName name="_Table2_In1" localSheetId="14" hidden="1">#REF!</definedName>
    <definedName name="_Table2_In1" localSheetId="15" hidden="1">#REF!</definedName>
    <definedName name="_Table2_In1" localSheetId="16" hidden="1">#REF!</definedName>
    <definedName name="_Table2_In1" localSheetId="11" hidden="1">#REF!</definedName>
    <definedName name="_Table2_In1" localSheetId="7" hidden="1">#REF!</definedName>
    <definedName name="_Table2_In1" hidden="1">#REF!</definedName>
    <definedName name="_Table2_In2" localSheetId="12" hidden="1">#REF!</definedName>
    <definedName name="_Table2_In2" localSheetId="14" hidden="1">#REF!</definedName>
    <definedName name="_Table2_In2" localSheetId="15" hidden="1">#REF!</definedName>
    <definedName name="_Table2_In2" localSheetId="16" hidden="1">#REF!</definedName>
    <definedName name="_Table2_In2" localSheetId="11" hidden="1">#REF!</definedName>
    <definedName name="_Table2_In2" localSheetId="7" hidden="1">#REF!</definedName>
    <definedName name="_Table2_In2" hidden="1">#REF!</definedName>
    <definedName name="_Table2_Out" localSheetId="12" hidden="1">#REF!</definedName>
    <definedName name="_Table2_Out" localSheetId="14" hidden="1">#REF!</definedName>
    <definedName name="_Table2_Out" localSheetId="15" hidden="1">#REF!</definedName>
    <definedName name="_Table2_Out" localSheetId="16" hidden="1">#REF!</definedName>
    <definedName name="_Table2_Out" localSheetId="11" hidden="1">#REF!</definedName>
    <definedName name="_Table2_Out" localSheetId="7" hidden="1">#REF!</definedName>
    <definedName name="_Table2_Out" hidden="1">#REF!</definedName>
    <definedName name="a" hidden="1">{"Cover",#N/A,TRUE,"Sheet1";"Annual Income",#N/A,TRUE,"Sheet1";"Annual Balance",#N/A,TRUE,"Sheet1";"Annual Cash Flow",#N/A,TRUE,"Sheet1";"Revenue",#N/A,TRUE,"Sheet1";"Income",#N/A,TRUE,"Sheet1";"Balance",#N/A,TRUE,"Sheet1";"Cash Flow",#N/A,TRUE,"Sheet1";"Cash",#N/A,TRUE,"Sheet1";"Tax",#N/A,TRUE,"Sheet1";"Amort Financing Costs",#N/A,TRUE,"Sheet1";"Amort Capitalized Interest",#N/A,TRUE,"Sheet1";"Tax GAAP",#N/A,TRUE,"Sheet1"}</definedName>
    <definedName name="aa" hidden="1">{#N/A,#N/A,FALSE,"Assum";#N/A,#N/A,FALSE,"IS";#N/A,#N/A,FALSE,"Op-BS";#N/A,#N/A,FALSE,"BSCF";#N/A,#N/A,FALSE,"Brad_IS";#N/A,#N/A,FALSE,"Brad_BSCF";#N/A,#N/A,FALSE,"Nick_IS";#N/A,#N/A,FALSE,"Nick_BSCF";#N/A,#N/A,FALSE,"Mobile_IS";#N/A,#N/A,FALSE,"Mobile_BSCF";#N/A,#N/A,FALSE,"Syn+Elim";#N/A,#N/A,FALSE,"Ratings"}</definedName>
    <definedName name="aaa" hidden="1">{#N/A,#N/A,TRUE,"financial";#N/A,#N/A,TRUE,"plants"}</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 hidden="1">{#N/A,#N/A,TRUE,"Pro Forma";#N/A,#N/A,TRUE,"PF_Bal";#N/A,#N/A,TRUE,"PF_INC";#N/A,#N/A,TRUE,"CBE";#N/A,#N/A,TRUE,"SWK"}</definedName>
    <definedName name="ABRACADABRA" localSheetId="12" hidden="1">#REF!</definedName>
    <definedName name="ABRACADABRA" localSheetId="14" hidden="1">#REF!</definedName>
    <definedName name="ABRACADABRA" localSheetId="15" hidden="1">#REF!</definedName>
    <definedName name="ABRACADABRA" localSheetId="16" hidden="1">#REF!</definedName>
    <definedName name="ABRACADABRA" localSheetId="11" hidden="1">#REF!</definedName>
    <definedName name="ABRACADABRA" localSheetId="7" hidden="1">#REF!</definedName>
    <definedName name="ABRACADABRA" hidden="1">#REF!</definedName>
    <definedName name="ac" hidden="1">{#N/A,#N/A,TRUE,"Pro Forma";#N/A,#N/A,TRUE,"PF_Bal";#N/A,#N/A,TRUE,"PF_INC";#N/A,#N/A,TRUE,"CBE";#N/A,#N/A,TRUE,"SWK"}</definedName>
    <definedName name="AccessDatabase" hidden="1">"K:\EPI UK\Development\Bridgewater\BRIDGEWATER PAPER PROFORMA STEAM2.mdb"</definedName>
    <definedName name="addg" hidden="1">{#N/A,#N/A,FALSE,"CBE";#N/A,#N/A,FALSE,"SWK"}</definedName>
    <definedName name="AdjustValue">[2]!AdjustValue</definedName>
    <definedName name="ALTFV" localSheetId="12">#REF!</definedName>
    <definedName name="ALTFV" localSheetId="14">#REF!</definedName>
    <definedName name="ALTFV" localSheetId="15">#REF!</definedName>
    <definedName name="ALTFV" localSheetId="16">#REF!</definedName>
    <definedName name="ALTFV" localSheetId="11">#REF!</definedName>
    <definedName name="ALTFV" localSheetId="7">#REF!</definedName>
    <definedName name="ALTFV">#REF!</definedName>
    <definedName name="as" hidden="1">{"comp1",#N/A,FALSE,"COMPS";"footnotes",#N/A,FALSE,"COMPS"}</definedName>
    <definedName name="asd">'[3]Income Statement'!$K$5</definedName>
    <definedName name="asdf" hidden="1">{#N/A,#N/A,FALSE,"Calc";#N/A,#N/A,FALSE,"Sensitivity";#N/A,#N/A,FALSE,"LT Earn.Dil.";#N/A,#N/A,FALSE,"Dil. AVP"}</definedName>
    <definedName name="availdays" localSheetId="12">[4]Assumptions!#REF!</definedName>
    <definedName name="availdays" localSheetId="14">[4]Assumptions!#REF!</definedName>
    <definedName name="availdays" localSheetId="15">[4]Assumptions!#REF!</definedName>
    <definedName name="availdays" localSheetId="16">[4]Assumptions!#REF!</definedName>
    <definedName name="availdays" localSheetId="11">[4]Assumptions!#REF!</definedName>
    <definedName name="availdays" localSheetId="7">[4]Assumptions!#REF!</definedName>
    <definedName name="availdays">[4]Assumptions!#REF!</definedName>
    <definedName name="avaldays" localSheetId="12">[4]Assumptions!#REF!</definedName>
    <definedName name="avaldays" localSheetId="14">[4]Assumptions!#REF!</definedName>
    <definedName name="avaldays" localSheetId="15">[4]Assumptions!#REF!</definedName>
    <definedName name="avaldays" localSheetId="16">[4]Assumptions!#REF!</definedName>
    <definedName name="avaldays" localSheetId="11">[4]Assumptions!#REF!</definedName>
    <definedName name="avaldays" localSheetId="7">[4]Assumptions!#REF!</definedName>
    <definedName name="avaldays">[4]Assumptions!#REF!</definedName>
    <definedName name="avdd" hidden="1">{#N/A,#N/A,FALSE,"Calc";#N/A,#N/A,FALSE,"Sensitivity";#N/A,#N/A,FALSE,"LT Earn.Dil.";#N/A,#N/A,FALSE,"Dil. AVP"}</definedName>
    <definedName name="b" hidden="1">{#N/A,#N/A,FALSE,"Calc";#N/A,#N/A,FALSE,"Sensitivity";#N/A,#N/A,FALSE,"LT Earn.Dil.";#N/A,#N/A,FALSE,"Dil. AVP"}</definedName>
    <definedName name="BaseExitYear" localSheetId="12">#REF!</definedName>
    <definedName name="BaseExitYear" localSheetId="14">#REF!</definedName>
    <definedName name="BaseExitYear" localSheetId="15">#REF!</definedName>
    <definedName name="BaseExitYear" localSheetId="16">#REF!</definedName>
    <definedName name="BaseExitYear" localSheetId="11">#REF!</definedName>
    <definedName name="BaseExitYear" localSheetId="7">#REF!</definedName>
    <definedName name="BaseExitYear">#REF!</definedName>
    <definedName name="body" localSheetId="12">#REF!</definedName>
    <definedName name="body" localSheetId="14">#REF!</definedName>
    <definedName name="body" localSheetId="15">#REF!</definedName>
    <definedName name="body" localSheetId="16">#REF!</definedName>
    <definedName name="body" localSheetId="11">#REF!</definedName>
    <definedName name="body" localSheetId="7">#REF!</definedName>
    <definedName name="body">#REF!</definedName>
    <definedName name="Bonus_1">'[5]Bonus Plan'!$E$3</definedName>
    <definedName name="Bonus_2">'[5]Bonus Plan'!$E$4</definedName>
    <definedName name="Bonus_3">'[5]Bonus Plan'!$E$5</definedName>
    <definedName name="Bonus_4">'[5]Bonus Plan'!$E$6</definedName>
    <definedName name="BORDER" localSheetId="12">#REF!</definedName>
    <definedName name="BORDER" localSheetId="14">#REF!</definedName>
    <definedName name="BORDER" localSheetId="15">#REF!</definedName>
    <definedName name="BORDER" localSheetId="16">#REF!</definedName>
    <definedName name="BORDER" localSheetId="11">#REF!</definedName>
    <definedName name="BORDER" localSheetId="7">#REF!</definedName>
    <definedName name="BORDER">#REF!</definedName>
    <definedName name="boring" hidden="1">{"Page1",#N/A,FALSE,"CompCo";"Page2",#N/A,FALSE,"CompCo"}</definedName>
    <definedName name="Cable" hidden="1">{#N/A,#N/A,FALSE,"Operations";#N/A,#N/A,FALSE,"Financials"}</definedName>
    <definedName name="Cable2" hidden="1">{#N/A,#N/A,FALSE,"Operations";#N/A,#N/A,FALSE,"Financials"}</definedName>
    <definedName name="CAPITALFL" localSheetId="12">#REF!</definedName>
    <definedName name="CAPITALFL" localSheetId="14">#REF!</definedName>
    <definedName name="CAPITALFL" localSheetId="15">#REF!</definedName>
    <definedName name="CAPITALFL" localSheetId="16">#REF!</definedName>
    <definedName name="CAPITALFL" localSheetId="11">#REF!</definedName>
    <definedName name="CAPITALFL" localSheetId="7">#REF!</definedName>
    <definedName name="CAPITALFL">#REF!</definedName>
    <definedName name="CB_Eq_Ord_Cash_Limit_Div">[6]Fcast_TA!$E$91</definedName>
    <definedName name="CB_Eq_Ord_Inc_Open_RP_In_NPAT">[6]Fcast_TA!$E$90</definedName>
    <definedName name="cb_sChart41E9A35_opts" hidden="1">"1, 9, 1, False, 2, False, False, , 0, False, True, 1, 1"</definedName>
    <definedName name="CB_TS_Show_Hist_Fcast_Pers">[6]TS_BA!$J$31</definedName>
    <definedName name="cc" hidden="1">{#N/A,#N/A,FALSE,"CBE";#N/A,#N/A,FALSE,"SWK"}</definedName>
    <definedName name="CGEXPLAIN" localSheetId="12">#REF!</definedName>
    <definedName name="CGEXPLAIN" localSheetId="14">#REF!</definedName>
    <definedName name="CGEXPLAIN" localSheetId="15">#REF!</definedName>
    <definedName name="CGEXPLAIN" localSheetId="16">#REF!</definedName>
    <definedName name="CGEXPLAIN" localSheetId="11">#REF!</definedName>
    <definedName name="CGEXPLAIN" localSheetId="7">#REF!</definedName>
    <definedName name="CGEXPLAIN">#REF!</definedName>
    <definedName name="CIQWBGuid" hidden="1">"b29f7003-3a0b-4af2-968e-5f29ca6d4e23"</definedName>
    <definedName name="COMP1" localSheetId="12">#REF!</definedName>
    <definedName name="COMP1" localSheetId="14">#REF!</definedName>
    <definedName name="COMP1" localSheetId="15">#REF!</definedName>
    <definedName name="COMP1" localSheetId="16">#REF!</definedName>
    <definedName name="COMP1" localSheetId="11">#REF!</definedName>
    <definedName name="COMP1" localSheetId="7">#REF!</definedName>
    <definedName name="COMP1">#REF!</definedName>
    <definedName name="COMP2" localSheetId="12">#REF!</definedName>
    <definedName name="COMP2" localSheetId="14">#REF!</definedName>
    <definedName name="COMP2" localSheetId="15">#REF!</definedName>
    <definedName name="COMP2" localSheetId="16">#REF!</definedName>
    <definedName name="COMP2" localSheetId="11">#REF!</definedName>
    <definedName name="COMP2" localSheetId="7">#REF!</definedName>
    <definedName name="COMP2">#REF!</definedName>
    <definedName name="Company">[7]Controls!$C$6</definedName>
    <definedName name="compco" hidden="1">{"Page1",#N/A,FALSE,"CompCo";"Page2",#N/A,FALSE,"CompCo"}</definedName>
    <definedName name="Compco1" hidden="1">{"Page1",#N/A,FALSE,"CompCo";"Page2",#N/A,FALSE,"CompCo"}</definedName>
    <definedName name="Compco2" hidden="1">{"Page1",#N/A,FALSE,"CompCo";"Page2",#N/A,FALSE,"CompCo"}</definedName>
    <definedName name="cooper2" hidden="1">{#N/A,#N/A,TRUE,"Pro Forma";#N/A,#N/A,TRUE,"PF_Bal";#N/A,#N/A,TRUE,"PF_INC";#N/A,#N/A,TRUE,"CBE";#N/A,#N/A,TRUE,"SWK"}</definedName>
    <definedName name="COVER" localSheetId="12">#REF!</definedName>
    <definedName name="COVER" localSheetId="14">#REF!</definedName>
    <definedName name="COVER" localSheetId="15">#REF!</definedName>
    <definedName name="COVER" localSheetId="16">#REF!</definedName>
    <definedName name="COVER" localSheetId="11">#REF!</definedName>
    <definedName name="COVER" localSheetId="7">#REF!</definedName>
    <definedName name="COVER">#REF!</definedName>
    <definedName name="DD_Eq_Ord_Div_Meth">[6]Fcast_TA!$J$84</definedName>
    <definedName name="DD_TS_Denom">[6]TS_BA!$J$26</definedName>
    <definedName name="DD_TS_Fin_YE_Mth">[6]TS_BA!$K$13</definedName>
    <definedName name="desk">[2]!desk</definedName>
    <definedName name="DETCAP" localSheetId="12">#REF!</definedName>
    <definedName name="DETCAP" localSheetId="14">#REF!</definedName>
    <definedName name="DETCAP" localSheetId="15">#REF!</definedName>
    <definedName name="DETCAP" localSheetId="16">#REF!</definedName>
    <definedName name="DETCAP" localSheetId="11">#REF!</definedName>
    <definedName name="DETCAP" localSheetId="7">#REF!</definedName>
    <definedName name="DETCAP">#REF!</definedName>
    <definedName name="DETCOVER" localSheetId="12">#REF!</definedName>
    <definedName name="DETCOVER" localSheetId="14">#REF!</definedName>
    <definedName name="DETCOVER" localSheetId="15">#REF!</definedName>
    <definedName name="DETCOVER" localSheetId="16">#REF!</definedName>
    <definedName name="DETCOVER" localSheetId="11">#REF!</definedName>
    <definedName name="DETCOVER" localSheetId="7">#REF!</definedName>
    <definedName name="DETCOVER">#REF!</definedName>
    <definedName name="DETEXP1" localSheetId="12">#REF!</definedName>
    <definedName name="DETEXP1" localSheetId="14">#REF!</definedName>
    <definedName name="DETEXP1" localSheetId="15">#REF!</definedName>
    <definedName name="DETEXP1" localSheetId="16">#REF!</definedName>
    <definedName name="DETEXP1" localSheetId="11">#REF!</definedName>
    <definedName name="DETEXP1" localSheetId="7">#REF!</definedName>
    <definedName name="DETEXP1">#REF!</definedName>
    <definedName name="DETEXPSAV" localSheetId="12">#REF!</definedName>
    <definedName name="DETEXPSAV" localSheetId="14">#REF!</definedName>
    <definedName name="DETEXPSAV" localSheetId="15">#REF!</definedName>
    <definedName name="DETEXPSAV" localSheetId="16">#REF!</definedName>
    <definedName name="DETEXPSAV" localSheetId="11">#REF!</definedName>
    <definedName name="DETEXPSAV" localSheetId="7">#REF!</definedName>
    <definedName name="DETEXPSAV">#REF!</definedName>
    <definedName name="DETREV" localSheetId="12">#REF!</definedName>
    <definedName name="DETREV" localSheetId="14">#REF!</definedName>
    <definedName name="DETREV" localSheetId="15">#REF!</definedName>
    <definedName name="DETREV" localSheetId="16">#REF!</definedName>
    <definedName name="DETREV" localSheetId="11">#REF!</definedName>
    <definedName name="DETREV" localSheetId="7">#REF!</definedName>
    <definedName name="DETREV">#REF!</definedName>
    <definedName name="df" hidden="1">{#N/A,#N/A,FALSE,"Brad_DCFM";#N/A,#N/A,FALSE,"Nick_DCFM";#N/A,#N/A,FALSE,"Mobile_DCFM"}</definedName>
    <definedName name="dfd" hidden="1">{"comp1",#N/A,FALSE,"COMPS";"footnotes",#N/A,FALSE,"COMPS"}</definedName>
    <definedName name="DollarHeader">[7]Controls!$D$12</definedName>
    <definedName name="dsf" hidden="1">{"Cover",#N/A,TRUE,"Sheet1";"Annual Income",#N/A,TRUE,"Sheet1";"Annual Balance",#N/A,TRUE,"Sheet1";"Annual Cash Flow",#N/A,TRUE,"Sheet1";"Revenue",#N/A,TRUE,"Sheet1";"Income",#N/A,TRUE,"Sheet1";"Balance",#N/A,TRUE,"Sheet1";"Cash Flow",#N/A,TRUE,"Sheet1";"Cash",#N/A,TRUE,"Sheet1";"Tax",#N/A,TRUE,"Sheet1";"Amort Financing Costs",#N/A,TRUE,"Sheet1";"Amort Capitalized Interest",#N/A,TRUE,"Sheet1";"Tax GAAP",#N/A,TRUE,"Sheet1"}</definedName>
    <definedName name="dtu" hidden="1">{#N/A,#N/A,TRUE,"financial";#N/A,#N/A,TRUE,"plants"}</definedName>
    <definedName name="e" hidden="1">{"casespecific",#N/A,FALSE,"Assumptions"}</definedName>
    <definedName name="ed5dyx" hidden="1">{#N/A,#N/A,FALSE,"CBE";#N/A,#N/A,FALSE,"SWK"}</definedName>
    <definedName name="edp" hidden="1">{"assumption 50 50",#N/A,TRUE,"Merger";"has gets cash",#N/A,TRUE,"Merger";"accretion dilution",#N/A,TRUE,"Merger";"comparison credit stats",#N/A,TRUE,"Merger";"pf credit stats",#N/A,TRUE,"Merger";"pf sheets",#N/A,TRUE,"Merger"}</definedName>
    <definedName name="ExitYear" localSheetId="12">#REF!</definedName>
    <definedName name="ExitYear" localSheetId="14">#REF!</definedName>
    <definedName name="ExitYear" localSheetId="15">#REF!</definedName>
    <definedName name="ExitYear" localSheetId="16">#REF!</definedName>
    <definedName name="ExitYear" localSheetId="11">#REF!</definedName>
    <definedName name="ExitYear" localSheetId="7">#REF!</definedName>
    <definedName name="ExitYear">#REF!</definedName>
    <definedName name="fds" hidden="1">{"comps",#N/A,FALSE,"comps";"notes",#N/A,FALSE,"comps"}</definedName>
    <definedName name="fdsf" hidden="1">{"general",#N/A,FALSE,"Assumptions"}</definedName>
    <definedName name="ffff" hidden="1">{"comps",#N/A,FALSE,"comps";"notes",#N/A,FALSE,"comps"}</definedName>
    <definedName name="FiveYearExit" localSheetId="12">#REF!</definedName>
    <definedName name="FiveYearExit" localSheetId="14">#REF!</definedName>
    <definedName name="FiveYearExit" localSheetId="15">#REF!</definedName>
    <definedName name="FiveYearExit" localSheetId="16">#REF!</definedName>
    <definedName name="FiveYearExit" localSheetId="11">#REF!</definedName>
    <definedName name="FiveYearExit" localSheetId="7">#REF!</definedName>
    <definedName name="FiveYearExit">#REF!</definedName>
    <definedName name="FLASSUME" localSheetId="12">#REF!</definedName>
    <definedName name="FLASSUME" localSheetId="14">#REF!</definedName>
    <definedName name="FLASSUME" localSheetId="15">#REF!</definedName>
    <definedName name="FLASSUME" localSheetId="16">#REF!</definedName>
    <definedName name="FLASSUME" localSheetId="11">#REF!</definedName>
    <definedName name="FLASSUME" localSheetId="7">#REF!</definedName>
    <definedName name="FLASSUME">#REF!</definedName>
    <definedName name="FLASSUME2" localSheetId="12">#REF!</definedName>
    <definedName name="FLASSUME2" localSheetId="14">#REF!</definedName>
    <definedName name="FLASSUME2" localSheetId="15">#REF!</definedName>
    <definedName name="FLASSUME2" localSheetId="16">#REF!</definedName>
    <definedName name="FLASSUME2" localSheetId="11">#REF!</definedName>
    <definedName name="FLASSUME2" localSheetId="7">#REF!</definedName>
    <definedName name="FLASSUME2">#REF!</definedName>
    <definedName name="FLASSUME3" localSheetId="12">#REF!</definedName>
    <definedName name="FLASSUME3" localSheetId="14">#REF!</definedName>
    <definedName name="FLASSUME3" localSheetId="15">#REF!</definedName>
    <definedName name="FLASSUME3" localSheetId="16">#REF!</definedName>
    <definedName name="FLASSUME3" localSheetId="11">#REF!</definedName>
    <definedName name="FLASSUME3" localSheetId="7">#REF!</definedName>
    <definedName name="FLASSUME3">#REF!</definedName>
    <definedName name="FLASSUME4" localSheetId="12">#REF!</definedName>
    <definedName name="FLASSUME4" localSheetId="14">#REF!</definedName>
    <definedName name="FLASSUME4" localSheetId="15">#REF!</definedName>
    <definedName name="FLASSUME4" localSheetId="16">#REF!</definedName>
    <definedName name="FLASSUME4" localSheetId="11">#REF!</definedName>
    <definedName name="FLASSUME4" localSheetId="7">#REF!</definedName>
    <definedName name="FLASSUME4">#REF!</definedName>
    <definedName name="FLCURRENT" localSheetId="12">#REF!</definedName>
    <definedName name="FLCURRENT" localSheetId="14">#REF!</definedName>
    <definedName name="FLCURRENT" localSheetId="15">#REF!</definedName>
    <definedName name="FLCURRENT" localSheetId="16">#REF!</definedName>
    <definedName name="FLCURRENT" localSheetId="11">#REF!</definedName>
    <definedName name="FLCURRENT" localSheetId="7">#REF!</definedName>
    <definedName name="FLCURRENT">#REF!</definedName>
    <definedName name="FLLAST" localSheetId="12">#REF!</definedName>
    <definedName name="FLLAST" localSheetId="14">#REF!</definedName>
    <definedName name="FLLAST" localSheetId="15">#REF!</definedName>
    <definedName name="FLLAST" localSheetId="16">#REF!</definedName>
    <definedName name="FLLAST" localSheetId="11">#REF!</definedName>
    <definedName name="FLLAST" localSheetId="7">#REF!</definedName>
    <definedName name="FLLAST">#REF!</definedName>
    <definedName name="FLORIG" localSheetId="12">#REF!</definedName>
    <definedName name="FLORIG" localSheetId="14">#REF!</definedName>
    <definedName name="FLORIG" localSheetId="15">#REF!</definedName>
    <definedName name="FLORIG" localSheetId="16">#REF!</definedName>
    <definedName name="FLORIG" localSheetId="11">#REF!</definedName>
    <definedName name="FLORIG" localSheetId="7">#REF!</definedName>
    <definedName name="FLORIG">#REF!</definedName>
    <definedName name="FourYearExit" localSheetId="12">#REF!</definedName>
    <definedName name="FourYearExit" localSheetId="14">#REF!</definedName>
    <definedName name="FourYearExit" localSheetId="15">#REF!</definedName>
    <definedName name="FourYearExit" localSheetId="16">#REF!</definedName>
    <definedName name="FourYearExit" localSheetId="11">#REF!</definedName>
    <definedName name="FourYearExit" localSheetId="7">#REF!</definedName>
    <definedName name="FourYearExit">#REF!</definedName>
    <definedName name="g">#REF!</definedName>
    <definedName name="glad">[2]!glad</definedName>
    <definedName name="GoBack">[2]!GoBack</definedName>
    <definedName name="GoBalanceSheet">[2]!GoBalanceSheet</definedName>
    <definedName name="GoCashFlow">[2]!GoCashFlow</definedName>
    <definedName name="GoData">[2]!GoData</definedName>
    <definedName name="GoIncomeChart">[2]!GoIncomeChart</definedName>
    <definedName name="Half_Yr_Name">[6]TS_LU!$D$86</definedName>
    <definedName name="happy" hidden="1">{"Page1",#N/A,FALSE,"CompCo";"Page2",#N/A,FALSE,"CompCo"}</definedName>
    <definedName name="Heavy_Duty_Motor_Oils_15W_40" localSheetId="12">#REF!</definedName>
    <definedName name="Heavy_Duty_Motor_Oils_15W_40" localSheetId="14">#REF!</definedName>
    <definedName name="Heavy_Duty_Motor_Oils_15W_40" localSheetId="15">#REF!</definedName>
    <definedName name="Heavy_Duty_Motor_Oils_15W_40" localSheetId="16">#REF!</definedName>
    <definedName name="Heavy_Duty_Motor_Oils_15W_40" localSheetId="11">#REF!</definedName>
    <definedName name="Heavy_Duty_Motor_Oils_15W_40" localSheetId="7">#REF!</definedName>
    <definedName name="Heavy_Duty_Motor_Oils_15W_40">#REF!</definedName>
    <definedName name="hhhsdf" hidden="1">{"up stand alones",#N/A,FALSE,"Acquiror"}</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NDRATING_FITCH" hidden="1">"IQ_BONDRATING_FITCH"</definedName>
    <definedName name="IQ_BONDRATING_SP" hidden="1">"IQ_BONDRATING_SP"</definedName>
    <definedName name="IQ_BOOK_VALUE" hidden="1">"IQ_BOOK_VALUE"</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SH_DIVIDENDS_NET_INCOME_FDIC" hidden="1">"c6738"</definedName>
    <definedName name="IQ_CASH_IN_PROCESS_FDIC" hidden="1">"c6386"</definedName>
    <definedName name="IQ_CASH_OPER_ACT_OR_EST" hidden="1">"c4164"</definedName>
    <definedName name="IQ_CCE_FDIC" hidden="1">"c6296"</definedName>
    <definedName name="IQ_CH" hidden="1">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GROWTH_1" hidden="1">"IQ_EBIT_GROWTH_1"</definedName>
    <definedName name="IQ_EBIT_GROWTH_2" hidden="1">"IQ_EBIT_GROWTH_2"</definedName>
    <definedName name="IQ_EBITDA_10K" hidden="1">"IQ_EBITDA_10K"</definedName>
    <definedName name="IQ_EBITDA_10Q" hidden="1">"IQ_EBITDA_10Q"</definedName>
    <definedName name="IQ_EBITDA_10Q1" hidden="1">"IQ_EBITDA_10Q1"</definedName>
    <definedName name="IQ_EBITDA_GROWTH_1" hidden="1">"IQ_EBITDA_GROWTH_1"</definedName>
    <definedName name="IQ_EBITDA_GROWTH_2" hidden="1">"IQ_EBITDA_GROWTH_2"</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EST_1" hidden="1">"IQ_EPS_EST_1"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V_OVER_REVENUE_EST" hidden="1">"IQ_EV_OVER_REVENUE_EST"</definedName>
    <definedName name="IQ_EV_OVER_REVENUE_EST_1" hidden="1">"IQ_EV_OVER_REVENUE_EST_1"</definedName>
    <definedName name="IQ_EXPENSE_CODE_">"019802400"</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 hidden="1">1000</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_DATE" hidden="1">"IQ_LTM_DATE"</definedName>
    <definedName name="IQ_LTMMONTH" hidden="1">120000</definedName>
    <definedName name="IQ_MAINT_CAPEX_ACT_OR_EST" hidden="1">"c4458"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41596.7308333333</definedName>
    <definedName name="IQ_NET_CHARGE_OFFS_FDIC" hidden="1">"c6641"</definedName>
    <definedName name="IQ_NET_CHARGE_OFFS_LOANS_FDIC" hidden="1">"c6751"</definedName>
    <definedName name="IQ_NET_DEBT_ISSUED_BR" hidden="1">"c753"</definedName>
    <definedName name="IQ_NET_INC_10K" hidden="1">"IQ_NET_INC_10K"</definedName>
    <definedName name="IQ_NET_INC_10Q" hidden="1">"IQ_NET_INC_10Q"</definedName>
    <definedName name="IQ_NET_INC_10Q1" hidden="1">"IQ_NET_INC_10Q1"</definedName>
    <definedName name="IQ_NET_INC_GROWTH_1" hidden="1">"IQ_NET_INC_GROWTH_1"</definedName>
    <definedName name="IQ_NET_INC_GROWTH_2" hidden="1">"IQ_NET_INC_GROWTH_2"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ERCENT_INSURED_FDIC" hidden="1">"c6374"</definedName>
    <definedName name="IQ_PERIODDATE_FDIC" hidden="1">"c13646"</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EPS_EST" hidden="1">"IQ_PRICE_OVER_EPS_EST"</definedName>
    <definedName name="IQ_PRICE_OVER_EPS_EST_1" hidden="1">"IQ_PRICE_OVER_EPS_EST_1"</definedName>
    <definedName name="IQ_PRICEDATETIME" hidden="1">"IQ_PRICEDATETIME"</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EST_1" hidden="1">"IQ_REVENUE_EST_1"</definedName>
    <definedName name="IQ_REVENUE_GROWTH_1" hidden="1">"IQ_REVENUE_GROWTH_1"</definedName>
    <definedName name="IQ_REVENUE_GROWTH_2" hidden="1">"IQ_REVENUE_GROWTH_2"</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QB_BOOKMARK_COUNT" hidden="1">1</definedName>
    <definedName name="IQB_BOOKMARK_LOCATION_0" localSheetId="12" hidden="1">[4]Assumptions!#REF!</definedName>
    <definedName name="IQB_BOOKMARK_LOCATION_0" localSheetId="14" hidden="1">[4]Assumptions!#REF!</definedName>
    <definedName name="IQB_BOOKMARK_LOCATION_0" localSheetId="15" hidden="1">[4]Assumptions!#REF!</definedName>
    <definedName name="IQB_BOOKMARK_LOCATION_0" localSheetId="16" hidden="1">[4]Assumptions!#REF!</definedName>
    <definedName name="IQB_BOOKMARK_LOCATION_0" localSheetId="11" hidden="1">[4]Assumptions!#REF!</definedName>
    <definedName name="IQB_BOOKMARK_LOCATION_0" localSheetId="7" hidden="1">[4]Assumptions!#REF!</definedName>
    <definedName name="IQB_BOOKMARK_LOCATION_0" hidden="1">[4]Assumptions!#REF!</definedName>
    <definedName name="j" hidden="1">#REF!</definedName>
    <definedName name="jjjj" hidden="1">{"Page1",#N/A,FALSE,"CompCo";"Page2",#N/A,FALSE,"CompCo"}</definedName>
    <definedName name="kkk">[2]!kkk</definedName>
    <definedName name="lamp">[2]!lamp</definedName>
    <definedName name="lisahuang">[2]!lisahuang</definedName>
    <definedName name="LU_Denom">[6]TS_LU!$D$63:$D$66</definedName>
    <definedName name="LU_Eq_Ord_Div_Meth">[6]Capital_LU!$D$12:$D$13</definedName>
    <definedName name="LU_Mth_Names">[6]TS_LU!$D$47:$D$58</definedName>
    <definedName name="LU_Period_Type_Names">[6]TS_LU!$D$85:$D$88</definedName>
    <definedName name="LU_Periodicity">[6]TS_LU!$D$77:$D$80</definedName>
    <definedName name="LU_Pers_In_Yr">[6]TS_LU!$D$93:$D$96</definedName>
    <definedName name="mincash">[4]Assumptions!$Q$193</definedName>
    <definedName name="Model_Name">[6]Cover!$C$10</definedName>
    <definedName name="Mth_Name">[6]TS_LU!$D$88</definedName>
    <definedName name="Mths_In_Yr">[6]TS_LU!$D$96</definedName>
    <definedName name="mynameis">[2]!mynameis</definedName>
    <definedName name="Name1">[2]!Name1</definedName>
    <definedName name="NameNew">[2]!NameNew</definedName>
    <definedName name="NEWPAGE" localSheetId="12">#REF!</definedName>
    <definedName name="NEWPAGE" localSheetId="14">#REF!</definedName>
    <definedName name="NEWPAGE" localSheetId="15">#REF!</definedName>
    <definedName name="NEWPAGE" localSheetId="16">#REF!</definedName>
    <definedName name="NEWPAGE" localSheetId="11">#REF!</definedName>
    <definedName name="NEWPAGE" localSheetId="7">#REF!</definedName>
    <definedName name="NEWPAGE">#REF!</definedName>
    <definedName name="newstuff">[2]!newstuff</definedName>
    <definedName name="oldstuff">[2]!oldstuff</definedName>
    <definedName name="phoneNew">[2]!phoneNew</definedName>
    <definedName name="_xlnm.Print_Area" localSheetId="12">#REF!</definedName>
    <definedName name="_xlnm.Print_Area" localSheetId="6">'P&amp;L and Cash Flow'!$A$1:$L$83</definedName>
    <definedName name="_xlnm.Print_Area" localSheetId="14">#REF!</definedName>
    <definedName name="_xlnm.Print_Area" localSheetId="15">#REF!</definedName>
    <definedName name="_xlnm.Print_Area" localSheetId="16">#REF!</definedName>
    <definedName name="_xlnm.Print_Area" localSheetId="11">#REF!</definedName>
    <definedName name="_xlnm.Print_Area" localSheetId="7">#REF!</definedName>
    <definedName name="_xlnm.Print_Area">#REF!</definedName>
    <definedName name="Print_Cover_Tabs">[2]!Print_Cover_Tabs</definedName>
    <definedName name="Print_Document">[2]!Print_Document</definedName>
    <definedName name="_xlnm.Print_Titles" localSheetId="9">Sensitivity!$1:$2</definedName>
    <definedName name="Qtr_Name">[6]TS_LU!$D$87</definedName>
    <definedName name="sad">[2]!sad</definedName>
    <definedName name="SIGNATURE" localSheetId="12">#REF!</definedName>
    <definedName name="SIGNATURE" localSheetId="14">#REF!</definedName>
    <definedName name="SIGNATURE" localSheetId="15">#REF!</definedName>
    <definedName name="SIGNATURE" localSheetId="16">#REF!</definedName>
    <definedName name="SIGNATURE" localSheetId="11">#REF!</definedName>
    <definedName name="SIGNATURE" localSheetId="7">#REF!</definedName>
    <definedName name="SIGNATURE">#REF!</definedName>
    <definedName name="sName">[2]!sName</definedName>
    <definedName name="sName1">[2]!sName1</definedName>
    <definedName name="Spaces" localSheetId="12">#REF!</definedName>
    <definedName name="Spaces" localSheetId="14">#REF!</definedName>
    <definedName name="Spaces" localSheetId="15">#REF!</definedName>
    <definedName name="Spaces" localSheetId="16">#REF!</definedName>
    <definedName name="Spaces" localSheetId="11">#REF!</definedName>
    <definedName name="Spaces" localSheetId="7">#REF!</definedName>
    <definedName name="Spaces">#REF!</definedName>
    <definedName name="Spaces2" localSheetId="12">#REF!</definedName>
    <definedName name="Spaces2" localSheetId="14">#REF!</definedName>
    <definedName name="Spaces2" localSheetId="15">#REF!</definedName>
    <definedName name="Spaces2" localSheetId="16">#REF!</definedName>
    <definedName name="Spaces2" localSheetId="11">#REF!</definedName>
    <definedName name="Spaces2" localSheetId="7">#REF!</definedName>
    <definedName name="Spaces2">#REF!</definedName>
    <definedName name="Stuff">[7]Controls!$C$13</definedName>
    <definedName name="SUMMARY" localSheetId="12">#REF!</definedName>
    <definedName name="SUMMARY" localSheetId="14">#REF!</definedName>
    <definedName name="SUMMARY" localSheetId="15">#REF!</definedName>
    <definedName name="SUMMARY" localSheetId="16">#REF!</definedName>
    <definedName name="SUMMARY" localSheetId="11">#REF!</definedName>
    <definedName name="SUMMARY" localSheetId="7">#REF!</definedName>
    <definedName name="SUMMARY">#REF!</definedName>
    <definedName name="SUNKCRIT" localSheetId="12">#REF!</definedName>
    <definedName name="SUNKCRIT" localSheetId="14">#REF!</definedName>
    <definedName name="SUNKCRIT" localSheetId="15">#REF!</definedName>
    <definedName name="SUNKCRIT" localSheetId="16">#REF!</definedName>
    <definedName name="SUNKCRIT" localSheetId="11">#REF!</definedName>
    <definedName name="SUNKCRIT" localSheetId="7">#REF!</definedName>
    <definedName name="SUNKCRIT">#REF!</definedName>
    <definedName name="tax_fed">[8]Assumptions!$J$54</definedName>
    <definedName name="tax_rate" localSheetId="12">#REF!</definedName>
    <definedName name="tax_rate" localSheetId="14">#REF!</definedName>
    <definedName name="tax_rate" localSheetId="15">#REF!</definedName>
    <definedName name="tax_rate" localSheetId="16">#REF!</definedName>
    <definedName name="tax_rate" localSheetId="11">#REF!</definedName>
    <definedName name="tax_rate" localSheetId="7">#REF!</definedName>
    <definedName name="tax_rate">#REF!</definedName>
    <definedName name="ThreeYearExit" localSheetId="12">#REF!</definedName>
    <definedName name="ThreeYearExit" localSheetId="14">#REF!</definedName>
    <definedName name="ThreeYearExit" localSheetId="15">#REF!</definedName>
    <definedName name="ThreeYearExit" localSheetId="16">#REF!</definedName>
    <definedName name="ThreeYearExit" localSheetId="11">#REF!</definedName>
    <definedName name="ThreeYearExit" localSheetId="7">#REF!</definedName>
    <definedName name="ThreeYearExit">#REF!</definedName>
    <definedName name="Tier_1_Min">'[5]Bonus Plan'!$C$3</definedName>
    <definedName name="Tier_1_Range">'[5]Bonus Plan'!$F$3</definedName>
    <definedName name="Tier_2_Min">'[5]Bonus Plan'!$C$4</definedName>
    <definedName name="Tier_2_Range">'[5]Bonus Plan'!$F$4</definedName>
    <definedName name="Tier_3_Min">'[5]Bonus Plan'!$C$5</definedName>
    <definedName name="Tier_3_Range">'[5]Bonus Plan'!$F$5</definedName>
    <definedName name="Tier_4_Min">'[5]Bonus Plan'!$C$6</definedName>
    <definedName name="TS_Actual_Per_Title">[6]TS_BA!$J$34</definedName>
    <definedName name="TS_Actual_Pers">[6]TS_BA!$J$32</definedName>
    <definedName name="TS_Budget_Per_Title">[6]TS_BA!$J$35</definedName>
    <definedName name="TS_Budget_Pers">[6]TS_BA!$J$33</definedName>
    <definedName name="TS_Fcast_Per_Title">[6]TS_BA!$J$36</definedName>
    <definedName name="TS_Mth_End">[6]TS_BA!$J$18</definedName>
    <definedName name="TS_Mths_In_Per">[6]TS_BA!$J$22</definedName>
    <definedName name="TS_Per_1_End_Date">[6]TS_BA!$J$25</definedName>
    <definedName name="TS_Per_1_FY_End_Date">[6]TS_BA!$J$20</definedName>
    <definedName name="TS_Per_1_FY_Start_Date">[6]TS_BA!$J$19</definedName>
    <definedName name="TS_Per_1_Number">[6]TS_BA!$J$23</definedName>
    <definedName name="TS_Per_Type_Name">[6]TS_BA!$J$16</definedName>
    <definedName name="TS_Per_Type_Prefix">[6]TS_BA!$J$17</definedName>
    <definedName name="TS_Periodicity">[6]TS_BA!$J$12</definedName>
    <definedName name="TS_Pers_In_Yr">[6]TS_BA!$J$21</definedName>
    <definedName name="TS_Start_Date">[6]TS_BA!$J$14</definedName>
    <definedName name="UOPfee" localSheetId="12">[4]Assumptions!#REF!</definedName>
    <definedName name="UOPfee" localSheetId="14">[4]Assumptions!#REF!</definedName>
    <definedName name="UOPfee" localSheetId="15">[4]Assumptions!#REF!</definedName>
    <definedName name="UOPfee" localSheetId="16">[4]Assumptions!#REF!</definedName>
    <definedName name="UOPfee" localSheetId="11">[4]Assumptions!#REF!</definedName>
    <definedName name="UOPfee" localSheetId="7">[4]Assumptions!#REF!</definedName>
    <definedName name="UOPfee">[4]Assumptions!#REF!</definedName>
    <definedName name="valuevx">42.314159</definedName>
    <definedName name="Yr_Name">[6]TS_LU!$D$85</definedName>
    <definedName name="zero1" localSheetId="12">#REF!</definedName>
    <definedName name="zero1" localSheetId="14">#REF!</definedName>
    <definedName name="zero1" localSheetId="15">#REF!</definedName>
    <definedName name="zero1" localSheetId="16">#REF!</definedName>
    <definedName name="zero1" localSheetId="11">#REF!</definedName>
    <definedName name="zero1" localSheetId="7">#REF!</definedName>
    <definedName name="zero1">#REF!</definedName>
  </definedNames>
  <calcPr calcId="171027"/>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85" i="24" l="1"/>
  <c r="D7" i="20" l="1"/>
  <c r="D38" i="39" l="1"/>
  <c r="E38" i="39"/>
  <c r="F38" i="39"/>
  <c r="E39" i="39"/>
  <c r="D79" i="1"/>
  <c r="E78" i="1"/>
  <c r="E6" i="30" l="1"/>
  <c r="F6" i="30" s="1"/>
  <c r="G6" i="30" s="1"/>
  <c r="H6" i="30" s="1"/>
  <c r="I6" i="30" s="1"/>
  <c r="J6" i="30" s="1"/>
  <c r="K6" i="30" s="1"/>
  <c r="L6" i="30" s="1"/>
  <c r="M6" i="30" s="1"/>
  <c r="E5" i="30"/>
  <c r="F5" i="30" s="1"/>
  <c r="G5" i="30" s="1"/>
  <c r="H5" i="30" s="1"/>
  <c r="I5" i="30" s="1"/>
  <c r="J5" i="30" s="1"/>
  <c r="K5" i="30" s="1"/>
  <c r="L5" i="30" s="1"/>
  <c r="M5" i="30" s="1"/>
  <c r="E4" i="30"/>
  <c r="F4" i="30" s="1"/>
  <c r="G4" i="30" s="1"/>
  <c r="H4" i="30" s="1"/>
  <c r="I4" i="30" s="1"/>
  <c r="J4" i="30" s="1"/>
  <c r="K4" i="30" s="1"/>
  <c r="L4" i="30" s="1"/>
  <c r="M4" i="30" s="1"/>
  <c r="M82" i="30"/>
  <c r="N82" i="30"/>
  <c r="C7" i="20"/>
  <c r="C6" i="20"/>
  <c r="I8" i="20"/>
  <c r="I9" i="20"/>
  <c r="I10" i="20"/>
  <c r="I11" i="20"/>
  <c r="I12" i="20"/>
  <c r="I5" i="20"/>
  <c r="N6" i="30" l="1"/>
  <c r="M39" i="30"/>
  <c r="N5" i="30"/>
  <c r="N4" i="30"/>
  <c r="J35" i="42"/>
  <c r="H11" i="42"/>
  <c r="J11" i="42" s="1"/>
  <c r="G10" i="42"/>
  <c r="J7" i="42"/>
  <c r="G7" i="42"/>
  <c r="I4" i="42"/>
  <c r="I5" i="42" s="1"/>
  <c r="E3" i="42"/>
  <c r="I3" i="42" s="1"/>
  <c r="J35" i="41"/>
  <c r="J11" i="41"/>
  <c r="H11" i="41"/>
  <c r="G10" i="41"/>
  <c r="J7" i="41"/>
  <c r="G7" i="41"/>
  <c r="E3" i="41"/>
  <c r="I3" i="41" s="1"/>
  <c r="C17" i="37"/>
  <c r="C12" i="37"/>
  <c r="C13" i="36"/>
  <c r="N39" i="30" l="1"/>
  <c r="L32" i="42"/>
  <c r="L20" i="42"/>
  <c r="F17" i="42"/>
  <c r="L14" i="42"/>
  <c r="J3" i="42"/>
  <c r="J4" i="42"/>
  <c r="J5" i="42" s="1"/>
  <c r="J38" i="42"/>
  <c r="L32" i="41"/>
  <c r="L20" i="41"/>
  <c r="L14" i="41"/>
  <c r="J3" i="41"/>
  <c r="F17" i="41"/>
  <c r="L35" i="41"/>
  <c r="I4" i="41"/>
  <c r="J38" i="41"/>
  <c r="L38" i="41" s="1"/>
  <c r="F91" i="24"/>
  <c r="D91" i="24"/>
  <c r="F17" i="24"/>
  <c r="G17" i="24" s="1"/>
  <c r="H17" i="24" s="1"/>
  <c r="D17" i="24"/>
  <c r="F16" i="24"/>
  <c r="G16" i="24" s="1"/>
  <c r="H16" i="24" s="1"/>
  <c r="D16" i="24"/>
  <c r="L29" i="42" l="1"/>
  <c r="L17" i="42"/>
  <c r="L23" i="42"/>
  <c r="L35" i="42"/>
  <c r="L26" i="42"/>
  <c r="L7" i="42"/>
  <c r="L38" i="42"/>
  <c r="L11" i="42"/>
  <c r="I5" i="41"/>
  <c r="J4" i="41"/>
  <c r="J5" i="41" s="1"/>
  <c r="M51" i="41"/>
  <c r="I51" i="41"/>
  <c r="E51" i="41"/>
  <c r="L51" i="41"/>
  <c r="H51" i="41"/>
  <c r="D51" i="41"/>
  <c r="K51" i="41"/>
  <c r="G51" i="41"/>
  <c r="J51" i="41"/>
  <c r="F51" i="41"/>
  <c r="L43" i="41"/>
  <c r="L42" i="41"/>
  <c r="L44" i="41" s="1"/>
  <c r="L41" i="41"/>
  <c r="L11" i="41"/>
  <c r="L29" i="41"/>
  <c r="L17" i="41"/>
  <c r="L23" i="41"/>
  <c r="L26" i="41"/>
  <c r="L7" i="41"/>
  <c r="J17" i="10"/>
  <c r="K17" i="10"/>
  <c r="J16" i="10"/>
  <c r="K16" i="10"/>
  <c r="I16" i="10"/>
  <c r="I17" i="10"/>
  <c r="M51" i="42" l="1"/>
  <c r="I51" i="42"/>
  <c r="E51" i="42"/>
  <c r="H51" i="42"/>
  <c r="D51" i="42"/>
  <c r="L51" i="42"/>
  <c r="K51" i="42"/>
  <c r="J51" i="42"/>
  <c r="F51" i="42"/>
  <c r="G51" i="42"/>
  <c r="K50" i="42"/>
  <c r="G50" i="42"/>
  <c r="J50" i="42"/>
  <c r="F50" i="42"/>
  <c r="L50" i="42"/>
  <c r="H50" i="42"/>
  <c r="D50" i="42"/>
  <c r="M50" i="42"/>
  <c r="I50" i="42"/>
  <c r="E50" i="42"/>
  <c r="L43" i="42"/>
  <c r="L42" i="42"/>
  <c r="L44" i="42" s="1"/>
  <c r="L41" i="42"/>
  <c r="K50" i="41"/>
  <c r="G50" i="41"/>
  <c r="J50" i="41"/>
  <c r="F50" i="41"/>
  <c r="M50" i="41"/>
  <c r="I50" i="41"/>
  <c r="E50" i="41"/>
  <c r="L50" i="41"/>
  <c r="H50" i="41"/>
  <c r="D50" i="41"/>
  <c r="E70" i="34" l="1"/>
  <c r="F70" i="34" s="1"/>
  <c r="G70" i="34" s="1"/>
  <c r="H70" i="34" s="1"/>
  <c r="I70" i="34" s="1"/>
  <c r="J70" i="34" s="1"/>
  <c r="K70" i="34" s="1"/>
  <c r="L70" i="34" s="1"/>
  <c r="M70" i="34" s="1"/>
  <c r="N70" i="34" s="1"/>
  <c r="N69" i="34" l="1"/>
  <c r="N71" i="34"/>
  <c r="N72" i="34"/>
  <c r="N73" i="34"/>
  <c r="E69" i="34"/>
  <c r="F69" i="34"/>
  <c r="G69" i="34"/>
  <c r="H69" i="34"/>
  <c r="I69" i="34"/>
  <c r="J69" i="34"/>
  <c r="K69" i="34"/>
  <c r="L69" i="34"/>
  <c r="M69" i="34"/>
  <c r="E71" i="34"/>
  <c r="F71" i="34"/>
  <c r="G71" i="34"/>
  <c r="H71" i="34"/>
  <c r="I71" i="34"/>
  <c r="J71" i="34"/>
  <c r="K71" i="34"/>
  <c r="L71" i="34"/>
  <c r="M71" i="34"/>
  <c r="E72" i="34"/>
  <c r="F72" i="34"/>
  <c r="G72" i="34"/>
  <c r="H72" i="34"/>
  <c r="I72" i="34"/>
  <c r="J72" i="34"/>
  <c r="K72" i="34"/>
  <c r="L72" i="34"/>
  <c r="M72" i="34"/>
  <c r="E73" i="34"/>
  <c r="F73" i="34"/>
  <c r="G73" i="34"/>
  <c r="H73" i="34"/>
  <c r="I73" i="34"/>
  <c r="J73" i="34"/>
  <c r="K73" i="34"/>
  <c r="L73" i="34"/>
  <c r="M73" i="34"/>
  <c r="D71" i="34"/>
  <c r="D72" i="34"/>
  <c r="D73" i="34"/>
  <c r="D69" i="34"/>
  <c r="E16" i="23" l="1"/>
  <c r="D16" i="23"/>
  <c r="E62" i="34" l="1"/>
  <c r="F62" i="34"/>
  <c r="G62" i="34"/>
  <c r="H62" i="34"/>
  <c r="I62" i="34"/>
  <c r="J62" i="34"/>
  <c r="K62" i="34"/>
  <c r="L62" i="34"/>
  <c r="M62" i="34"/>
  <c r="N62" i="34"/>
  <c r="D62" i="34"/>
  <c r="E61" i="34"/>
  <c r="F61" i="34"/>
  <c r="G61" i="34"/>
  <c r="H61" i="34"/>
  <c r="I61" i="34"/>
  <c r="J61" i="34"/>
  <c r="K61" i="34"/>
  <c r="L61" i="34"/>
  <c r="M61" i="34"/>
  <c r="N61" i="34"/>
  <c r="D61" i="34"/>
  <c r="G60" i="34"/>
  <c r="H60" i="34"/>
  <c r="I60" i="34"/>
  <c r="J60" i="34"/>
  <c r="K60" i="34"/>
  <c r="L60" i="34"/>
  <c r="M60" i="34"/>
  <c r="N60" i="34"/>
  <c r="D60" i="34"/>
  <c r="N59" i="34"/>
  <c r="G59" i="34"/>
  <c r="H59" i="34"/>
  <c r="I59" i="34"/>
  <c r="J59" i="34"/>
  <c r="K59" i="34"/>
  <c r="L59" i="34"/>
  <c r="M59" i="34"/>
  <c r="D59" i="34"/>
  <c r="E58" i="34"/>
  <c r="F58" i="34"/>
  <c r="G58" i="34"/>
  <c r="H58" i="34"/>
  <c r="I58" i="34"/>
  <c r="J58" i="34"/>
  <c r="K58" i="34"/>
  <c r="L58" i="34"/>
  <c r="M58" i="34"/>
  <c r="N58" i="34"/>
  <c r="D58" i="34"/>
  <c r="G57" i="34"/>
  <c r="H57" i="34"/>
  <c r="I57" i="34"/>
  <c r="J57" i="34"/>
  <c r="K57" i="34"/>
  <c r="L57" i="34"/>
  <c r="M57" i="34"/>
  <c r="N57" i="34"/>
  <c r="D57" i="34"/>
  <c r="J5" i="20"/>
  <c r="J12" i="20"/>
  <c r="J10" i="20"/>
  <c r="J9" i="20"/>
  <c r="J8" i="20"/>
  <c r="I19" i="20"/>
  <c r="I17" i="20"/>
  <c r="D35" i="39"/>
  <c r="E36" i="39"/>
  <c r="F36" i="39"/>
  <c r="G36" i="39"/>
  <c r="H36" i="39"/>
  <c r="I36" i="39"/>
  <c r="J36" i="39"/>
  <c r="K36" i="39"/>
  <c r="L36" i="39"/>
  <c r="M36" i="39"/>
  <c r="N36" i="39"/>
  <c r="D37" i="39"/>
  <c r="G39" i="39"/>
  <c r="F40" i="15" s="1"/>
  <c r="H39" i="39"/>
  <c r="G40" i="15" s="1"/>
  <c r="I39" i="39"/>
  <c r="H40" i="15" s="1"/>
  <c r="J39" i="39"/>
  <c r="I40" i="15" s="1"/>
  <c r="K39" i="39"/>
  <c r="J40" i="15" s="1"/>
  <c r="L39" i="39"/>
  <c r="K40" i="15" s="1"/>
  <c r="M39" i="39"/>
  <c r="L40" i="15" s="1"/>
  <c r="N39" i="39"/>
  <c r="M40" i="15" s="1"/>
  <c r="D46" i="1"/>
  <c r="I20" i="20" l="1"/>
  <c r="D59" i="1"/>
  <c r="E3" i="40" l="1"/>
  <c r="J35" i="40"/>
  <c r="H11" i="40"/>
  <c r="J11" i="40" s="1"/>
  <c r="G10" i="40"/>
  <c r="J7" i="40"/>
  <c r="G7" i="40"/>
  <c r="I4" i="40"/>
  <c r="I5" i="40" s="1"/>
  <c r="I3" i="40"/>
  <c r="L32" i="40" l="1"/>
  <c r="L20" i="40"/>
  <c r="F17" i="40"/>
  <c r="L14" i="40"/>
  <c r="J3" i="40"/>
  <c r="L11" i="40"/>
  <c r="L7" i="40"/>
  <c r="L35" i="40"/>
  <c r="J38" i="40"/>
  <c r="L38" i="40" s="1"/>
  <c r="J4" i="40"/>
  <c r="J5" i="40" s="1"/>
  <c r="E24" i="39"/>
  <c r="D10" i="39"/>
  <c r="D9" i="39"/>
  <c r="F8" i="39"/>
  <c r="E8" i="39"/>
  <c r="D8" i="39"/>
  <c r="D7" i="39"/>
  <c r="E66" i="1"/>
  <c r="E59" i="1" s="1"/>
  <c r="M51" i="40" l="1"/>
  <c r="I51" i="40"/>
  <c r="E51" i="40"/>
  <c r="K51" i="40"/>
  <c r="F51" i="40"/>
  <c r="L51" i="40"/>
  <c r="H51" i="40"/>
  <c r="D51" i="40"/>
  <c r="G51" i="40"/>
  <c r="J51" i="40"/>
  <c r="L43" i="40"/>
  <c r="L42" i="40"/>
  <c r="L44" i="40" s="1"/>
  <c r="L41" i="40"/>
  <c r="L29" i="40"/>
  <c r="L17" i="40"/>
  <c r="L26" i="40"/>
  <c r="L23" i="40"/>
  <c r="M50" i="40" l="1"/>
  <c r="O61" i="21" s="1"/>
  <c r="J50" i="40"/>
  <c r="L61" i="21" s="1"/>
  <c r="H50" i="40"/>
  <c r="J61" i="21" s="1"/>
  <c r="D50" i="40"/>
  <c r="F61" i="21" s="1"/>
  <c r="G50" i="40"/>
  <c r="I61" i="21" s="1"/>
  <c r="L50" i="40"/>
  <c r="N61" i="21" s="1"/>
  <c r="K50" i="40"/>
  <c r="M61" i="21" s="1"/>
  <c r="I50" i="40"/>
  <c r="K61" i="21" s="1"/>
  <c r="E50" i="40"/>
  <c r="G61" i="21" s="1"/>
  <c r="F50" i="40"/>
  <c r="H61" i="21" s="1"/>
  <c r="N5" i="21"/>
  <c r="O5" i="21" s="1"/>
  <c r="N6" i="21"/>
  <c r="O6" i="21"/>
  <c r="O10" i="21" s="1"/>
  <c r="N10" i="21"/>
  <c r="N12" i="21" s="1"/>
  <c r="N13" i="21"/>
  <c r="N15" i="21"/>
  <c r="O15" i="21" s="1"/>
  <c r="N20" i="21"/>
  <c r="O20" i="21" s="1"/>
  <c r="N22" i="21"/>
  <c r="O22" i="21"/>
  <c r="O27" i="21" s="1"/>
  <c r="N27" i="21"/>
  <c r="N31" i="21"/>
  <c r="O31" i="21"/>
  <c r="N32" i="21"/>
  <c r="N33" i="21"/>
  <c r="O33" i="21"/>
  <c r="O32" i="21" s="1"/>
  <c r="N38" i="21"/>
  <c r="O38" i="21"/>
  <c r="N41" i="21"/>
  <c r="O41" i="21" s="1"/>
  <c r="N44" i="21"/>
  <c r="O44" i="21"/>
  <c r="N46" i="21"/>
  <c r="O46" i="21" s="1"/>
  <c r="N47" i="21"/>
  <c r="O47" i="21"/>
  <c r="N50" i="21"/>
  <c r="O50" i="21" s="1"/>
  <c r="N51" i="21"/>
  <c r="O51" i="21"/>
  <c r="N52" i="21"/>
  <c r="O52" i="21" s="1"/>
  <c r="N53" i="21"/>
  <c r="O53" i="21"/>
  <c r="N54" i="21"/>
  <c r="O54" i="21" s="1"/>
  <c r="N55" i="21"/>
  <c r="O55" i="21"/>
  <c r="N56" i="21"/>
  <c r="O56" i="21" s="1"/>
  <c r="N11" i="1" s="1"/>
  <c r="N22" i="30" s="1"/>
  <c r="N96" i="30" s="1"/>
  <c r="N60" i="21"/>
  <c r="N64" i="21"/>
  <c r="N65" i="21" s="1"/>
  <c r="O64" i="21"/>
  <c r="O65" i="21" s="1"/>
  <c r="N66" i="21"/>
  <c r="O66" i="21" s="1"/>
  <c r="N67" i="21"/>
  <c r="O67" i="21"/>
  <c r="N68" i="21"/>
  <c r="O68" i="21"/>
  <c r="M8" i="1"/>
  <c r="M19" i="30" s="1"/>
  <c r="M93" i="30" s="1"/>
  <c r="M15" i="1"/>
  <c r="M26" i="30" s="1"/>
  <c r="N15" i="1"/>
  <c r="N26" i="30" s="1"/>
  <c r="M16" i="1"/>
  <c r="M27" i="30" s="1"/>
  <c r="M27" i="1"/>
  <c r="M28" i="1"/>
  <c r="N28" i="1"/>
  <c r="M29" i="1"/>
  <c r="M38" i="30" s="1"/>
  <c r="M12" i="15" l="1"/>
  <c r="N12" i="39"/>
  <c r="L9" i="15"/>
  <c r="M9" i="39"/>
  <c r="N27" i="1"/>
  <c r="N5" i="1"/>
  <c r="M7" i="1"/>
  <c r="M24" i="1"/>
  <c r="O12" i="21"/>
  <c r="O16" i="21"/>
  <c r="O14" i="21" s="1"/>
  <c r="O17" i="21" s="1"/>
  <c r="N10" i="1"/>
  <c r="N21" i="30" s="1"/>
  <c r="N95" i="30" s="1"/>
  <c r="M11" i="1"/>
  <c r="M22" i="30" s="1"/>
  <c r="M96" i="30" s="1"/>
  <c r="M5" i="1"/>
  <c r="N16" i="21"/>
  <c r="N14" i="21"/>
  <c r="N17" i="21" s="1"/>
  <c r="N48" i="21"/>
  <c r="N49" i="21" s="1"/>
  <c r="M10" i="1" s="1"/>
  <c r="M21" i="30" s="1"/>
  <c r="M95" i="30" s="1"/>
  <c r="N29" i="1"/>
  <c r="N38" i="30" s="1"/>
  <c r="N16" i="1"/>
  <c r="N27" i="30" s="1"/>
  <c r="O48" i="21"/>
  <c r="O49" i="21" s="1"/>
  <c r="O13" i="21"/>
  <c r="N8" i="1" s="1"/>
  <c r="N19" i="30" s="1"/>
  <c r="N93" i="30" s="1"/>
  <c r="D73" i="38"/>
  <c r="F73" i="38"/>
  <c r="D45" i="38"/>
  <c r="D26" i="38"/>
  <c r="F26" i="38" s="1"/>
  <c r="F81" i="38"/>
  <c r="F45" i="38"/>
  <c r="D81" i="38"/>
  <c r="N6" i="39" l="1"/>
  <c r="N17" i="30"/>
  <c r="M6" i="39"/>
  <c r="M17" i="30"/>
  <c r="M9" i="15"/>
  <c r="N9" i="39"/>
  <c r="L11" i="15"/>
  <c r="M11" i="39"/>
  <c r="L12" i="15"/>
  <c r="M12" i="39"/>
  <c r="M11" i="15"/>
  <c r="N11" i="39"/>
  <c r="L8" i="15"/>
  <c r="M8" i="39"/>
  <c r="O37" i="21"/>
  <c r="O18" i="21"/>
  <c r="N9" i="1"/>
  <c r="N20" i="30" s="1"/>
  <c r="N94" i="30" s="1"/>
  <c r="N45" i="1"/>
  <c r="M25" i="1"/>
  <c r="M36" i="30" s="1"/>
  <c r="N18" i="21"/>
  <c r="M9" i="1"/>
  <c r="M20" i="30" s="1"/>
  <c r="M94" i="30" s="1"/>
  <c r="N37" i="21"/>
  <c r="M45" i="1"/>
  <c r="M19" i="1"/>
  <c r="M30" i="30" s="1"/>
  <c r="M23" i="1"/>
  <c r="M35" i="30" s="1"/>
  <c r="M6" i="15"/>
  <c r="N19" i="1"/>
  <c r="N30" i="30" s="1"/>
  <c r="L6" i="15"/>
  <c r="N7" i="1"/>
  <c r="F84" i="38"/>
  <c r="E50" i="12"/>
  <c r="I50" i="12"/>
  <c r="F51" i="12"/>
  <c r="H62" i="21" s="1"/>
  <c r="J51" i="12"/>
  <c r="L62" i="21" s="1"/>
  <c r="E4" i="35"/>
  <c r="E17" i="35" s="1"/>
  <c r="D26" i="35"/>
  <c r="F4" i="35"/>
  <c r="F17" i="35" s="1"/>
  <c r="D27" i="35"/>
  <c r="D28" i="35"/>
  <c r="F60" i="21"/>
  <c r="F59" i="21"/>
  <c r="G59" i="21"/>
  <c r="G16" i="1"/>
  <c r="G27" i="30" s="1"/>
  <c r="H16" i="1"/>
  <c r="H27" i="30" s="1"/>
  <c r="I16" i="1"/>
  <c r="J16" i="1"/>
  <c r="K16" i="1"/>
  <c r="L16" i="1"/>
  <c r="H31" i="21"/>
  <c r="I31" i="21"/>
  <c r="J31" i="21"/>
  <c r="K31" i="21"/>
  <c r="L31" i="21"/>
  <c r="M31" i="21"/>
  <c r="G31" i="21"/>
  <c r="G4" i="35"/>
  <c r="G17" i="35" s="1"/>
  <c r="G23" i="35" s="1"/>
  <c r="F10" i="1"/>
  <c r="F11" i="39" s="1"/>
  <c r="F11" i="1"/>
  <c r="F12" i="39" s="1"/>
  <c r="G45" i="1"/>
  <c r="G9" i="1"/>
  <c r="G10" i="39" s="1"/>
  <c r="G5" i="1"/>
  <c r="G6" i="39" s="1"/>
  <c r="H4" i="35"/>
  <c r="G7" i="1"/>
  <c r="G8" i="1"/>
  <c r="G9" i="39" s="1"/>
  <c r="G10" i="1"/>
  <c r="G11" i="39" s="1"/>
  <c r="G11" i="1"/>
  <c r="G12" i="39" s="1"/>
  <c r="H45" i="1"/>
  <c r="H9" i="1"/>
  <c r="H10" i="39" s="1"/>
  <c r="H5" i="1"/>
  <c r="G6" i="15" s="1"/>
  <c r="I4" i="35"/>
  <c r="I17" i="35" s="1"/>
  <c r="H7" i="1"/>
  <c r="H8" i="39" s="1"/>
  <c r="H8" i="1"/>
  <c r="H9" i="39" s="1"/>
  <c r="H10" i="1"/>
  <c r="H11" i="39" s="1"/>
  <c r="H11" i="1"/>
  <c r="H12" i="39" s="1"/>
  <c r="I45" i="1"/>
  <c r="I9" i="1"/>
  <c r="I5" i="1"/>
  <c r="J4" i="35"/>
  <c r="I7" i="1"/>
  <c r="I8" i="39" s="1"/>
  <c r="I8" i="1"/>
  <c r="I10" i="1"/>
  <c r="I11" i="39" s="1"/>
  <c r="I11" i="1"/>
  <c r="I12" i="39" s="1"/>
  <c r="J45" i="1"/>
  <c r="J9" i="1"/>
  <c r="J10" i="39" s="1"/>
  <c r="J5" i="1"/>
  <c r="J6" i="39" s="1"/>
  <c r="K4" i="35"/>
  <c r="K17" i="35" s="1"/>
  <c r="K23" i="35" s="1"/>
  <c r="J7" i="1"/>
  <c r="J8" i="1"/>
  <c r="J19" i="30" s="1"/>
  <c r="J93" i="30" s="1"/>
  <c r="J10" i="1"/>
  <c r="J11" i="39" s="1"/>
  <c r="J11" i="1"/>
  <c r="J12" i="39" s="1"/>
  <c r="K45" i="1"/>
  <c r="K9" i="1"/>
  <c r="K10" i="39" s="1"/>
  <c r="K5" i="1"/>
  <c r="K6" i="39" s="1"/>
  <c r="L4" i="35"/>
  <c r="L17" i="35" s="1"/>
  <c r="L42" i="21" s="1"/>
  <c r="K7" i="1"/>
  <c r="K8" i="1"/>
  <c r="K9" i="39" s="1"/>
  <c r="K10" i="1"/>
  <c r="K11" i="39" s="1"/>
  <c r="K11" i="1"/>
  <c r="K12" i="39" s="1"/>
  <c r="L45" i="1"/>
  <c r="L9" i="1"/>
  <c r="L10" i="39" s="1"/>
  <c r="L5" i="1"/>
  <c r="L7" i="1"/>
  <c r="L8" i="1"/>
  <c r="L9" i="39" s="1"/>
  <c r="L10" i="1"/>
  <c r="L11" i="39" s="1"/>
  <c r="L11" i="1"/>
  <c r="E10" i="1"/>
  <c r="E11" i="39" s="1"/>
  <c r="E11" i="1"/>
  <c r="E12" i="39" s="1"/>
  <c r="F64" i="21"/>
  <c r="E16" i="1"/>
  <c r="E27" i="30" s="1"/>
  <c r="E29" i="1"/>
  <c r="E38" i="30" s="1"/>
  <c r="G64" i="21"/>
  <c r="G65" i="21" s="1"/>
  <c r="F16" i="1"/>
  <c r="F27" i="30" s="1"/>
  <c r="F29" i="1"/>
  <c r="F38" i="30" s="1"/>
  <c r="H18" i="21"/>
  <c r="G18" i="1"/>
  <c r="G29" i="30" s="1"/>
  <c r="H64" i="21"/>
  <c r="G17" i="1"/>
  <c r="G28" i="30" s="1"/>
  <c r="H59" i="21"/>
  <c r="G29" i="1"/>
  <c r="I18" i="21"/>
  <c r="H18" i="1"/>
  <c r="H29" i="30" s="1"/>
  <c r="I64" i="21"/>
  <c r="H17" i="1"/>
  <c r="H28" i="30" s="1"/>
  <c r="I59" i="21"/>
  <c r="J59" i="21" s="1"/>
  <c r="K59" i="21" s="1"/>
  <c r="L59" i="21" s="1"/>
  <c r="M59" i="21" s="1"/>
  <c r="N59" i="21" s="1"/>
  <c r="O59" i="21" s="1"/>
  <c r="H29" i="1"/>
  <c r="H38" i="30" s="1"/>
  <c r="J18" i="21"/>
  <c r="I18" i="1"/>
  <c r="I29" i="30" s="1"/>
  <c r="J64" i="21"/>
  <c r="I17" i="1"/>
  <c r="I29" i="1"/>
  <c r="K18" i="21"/>
  <c r="J18" i="1"/>
  <c r="K64" i="21"/>
  <c r="J17" i="1"/>
  <c r="J29" i="1"/>
  <c r="L18" i="21"/>
  <c r="K18" i="1"/>
  <c r="L64" i="21"/>
  <c r="K17" i="1"/>
  <c r="K29" i="1"/>
  <c r="E18" i="21"/>
  <c r="D18" i="1"/>
  <c r="D29" i="30" s="1"/>
  <c r="D17" i="1"/>
  <c r="D28" i="30" s="1"/>
  <c r="D16" i="1"/>
  <c r="D27" i="30" s="1"/>
  <c r="D26" i="1"/>
  <c r="D37" i="30" s="1"/>
  <c r="D29" i="1"/>
  <c r="D38" i="30" s="1"/>
  <c r="J9" i="15"/>
  <c r="H60" i="21"/>
  <c r="G25" i="1" s="1"/>
  <c r="G36" i="30" s="1"/>
  <c r="I60" i="21"/>
  <c r="H25" i="1" s="1"/>
  <c r="H23" i="1"/>
  <c r="J60" i="21"/>
  <c r="I25" i="1" s="1"/>
  <c r="I36" i="30" s="1"/>
  <c r="K60" i="21"/>
  <c r="J24" i="1" s="1"/>
  <c r="L60" i="21"/>
  <c r="K25" i="1" s="1"/>
  <c r="K36" i="30" s="1"/>
  <c r="M60" i="21"/>
  <c r="L25" i="1" s="1"/>
  <c r="L36" i="30" s="1"/>
  <c r="M18" i="21"/>
  <c r="L18" i="1"/>
  <c r="C8" i="15"/>
  <c r="D8" i="15"/>
  <c r="E8" i="15"/>
  <c r="I20" i="21"/>
  <c r="E46" i="21"/>
  <c r="I12" i="21"/>
  <c r="H24" i="1"/>
  <c r="J20" i="21"/>
  <c r="J12" i="21"/>
  <c r="K20" i="21"/>
  <c r="K12" i="21"/>
  <c r="L20" i="21"/>
  <c r="L12" i="21"/>
  <c r="K24" i="1"/>
  <c r="M20" i="21"/>
  <c r="M12" i="21"/>
  <c r="H12" i="21"/>
  <c r="F46" i="21"/>
  <c r="G46" i="21"/>
  <c r="H46" i="21"/>
  <c r="I46" i="21"/>
  <c r="J46" i="21"/>
  <c r="K46" i="21"/>
  <c r="L46" i="21"/>
  <c r="M46" i="21"/>
  <c r="I16" i="21"/>
  <c r="J16" i="21"/>
  <c r="K16" i="21"/>
  <c r="L16" i="21"/>
  <c r="M16" i="21"/>
  <c r="H16" i="21"/>
  <c r="E46" i="1"/>
  <c r="F46" i="1" s="1"/>
  <c r="I14" i="21"/>
  <c r="I17" i="21"/>
  <c r="J14" i="21"/>
  <c r="J17" i="21"/>
  <c r="K14" i="21"/>
  <c r="K17" i="21"/>
  <c r="L14" i="21"/>
  <c r="L17" i="21"/>
  <c r="M14" i="21"/>
  <c r="M17" i="21"/>
  <c r="M64" i="21"/>
  <c r="F3" i="35"/>
  <c r="G3" i="35"/>
  <c r="H3" i="35"/>
  <c r="I3" i="35"/>
  <c r="J3" i="35"/>
  <c r="K3" i="35"/>
  <c r="L3" i="35"/>
  <c r="E3" i="35"/>
  <c r="J35" i="12"/>
  <c r="J38" i="12" s="1"/>
  <c r="L38" i="12" s="1"/>
  <c r="J7" i="12"/>
  <c r="H17" i="10"/>
  <c r="H16" i="10"/>
  <c r="C7" i="15"/>
  <c r="D5" i="1"/>
  <c r="D6" i="39" s="1"/>
  <c r="C9" i="15"/>
  <c r="C10" i="15"/>
  <c r="D10" i="1"/>
  <c r="D11" i="39" s="1"/>
  <c r="D11" i="1"/>
  <c r="D45" i="1"/>
  <c r="D15" i="1"/>
  <c r="D19" i="1"/>
  <c r="D23" i="1"/>
  <c r="D35" i="30" s="1"/>
  <c r="D27" i="1"/>
  <c r="D28" i="1"/>
  <c r="D40" i="10"/>
  <c r="F40" i="10" s="1"/>
  <c r="D45" i="10"/>
  <c r="F45" i="10" s="1"/>
  <c r="D46" i="10"/>
  <c r="F46" i="10" s="1"/>
  <c r="F16" i="10"/>
  <c r="F17" i="10"/>
  <c r="F18" i="10" s="1"/>
  <c r="D70" i="1"/>
  <c r="D75" i="1" s="1"/>
  <c r="C39" i="15"/>
  <c r="D121" i="30" s="1"/>
  <c r="I18" i="10"/>
  <c r="G17" i="37"/>
  <c r="J17" i="37"/>
  <c r="G18" i="37"/>
  <c r="J18" i="37"/>
  <c r="G19" i="37"/>
  <c r="J19" i="37"/>
  <c r="G20" i="37"/>
  <c r="J20" i="37"/>
  <c r="G21" i="37"/>
  <c r="J21" i="37"/>
  <c r="G22" i="37"/>
  <c r="J22" i="37"/>
  <c r="G23" i="37"/>
  <c r="J23" i="37"/>
  <c r="G24" i="37"/>
  <c r="J24" i="37"/>
  <c r="G25" i="37"/>
  <c r="J25" i="37"/>
  <c r="G26" i="37"/>
  <c r="J26" i="37"/>
  <c r="G27" i="37"/>
  <c r="J27" i="37"/>
  <c r="G28" i="37"/>
  <c r="J28" i="37"/>
  <c r="G29" i="37"/>
  <c r="H29" i="37"/>
  <c r="K18" i="10"/>
  <c r="L16" i="10"/>
  <c r="L17" i="10"/>
  <c r="M17" i="10" s="1"/>
  <c r="N17" i="10" s="1"/>
  <c r="O17" i="10" s="1"/>
  <c r="P17" i="10" s="1"/>
  <c r="Q17" i="10" s="1"/>
  <c r="R17" i="10" s="1"/>
  <c r="D62" i="30"/>
  <c r="D72" i="30" s="1"/>
  <c r="F51" i="21"/>
  <c r="F53" i="21"/>
  <c r="F54" i="21"/>
  <c r="F55" i="21"/>
  <c r="F48" i="21"/>
  <c r="F49" i="21"/>
  <c r="G51" i="21"/>
  <c r="G53" i="21"/>
  <c r="G54" i="21"/>
  <c r="G55" i="21"/>
  <c r="G48" i="21"/>
  <c r="G49" i="21"/>
  <c r="H51" i="21"/>
  <c r="H53" i="21"/>
  <c r="H54" i="21"/>
  <c r="H55" i="21"/>
  <c r="H48" i="21"/>
  <c r="H49" i="21"/>
  <c r="I51" i="21"/>
  <c r="I53" i="21"/>
  <c r="I54" i="21"/>
  <c r="I55" i="21"/>
  <c r="I48" i="21"/>
  <c r="I49" i="21"/>
  <c r="J51" i="21"/>
  <c r="J53" i="21"/>
  <c r="J54" i="21"/>
  <c r="J55" i="21"/>
  <c r="J48" i="21"/>
  <c r="J49" i="21"/>
  <c r="K51" i="21"/>
  <c r="K53" i="21"/>
  <c r="K54" i="21"/>
  <c r="K55" i="21"/>
  <c r="K48" i="21"/>
  <c r="K49" i="21"/>
  <c r="L51" i="21"/>
  <c r="L53" i="21"/>
  <c r="L54" i="21"/>
  <c r="L55" i="21"/>
  <c r="L48" i="21"/>
  <c r="L49" i="21"/>
  <c r="K20" i="30"/>
  <c r="K94" i="30" s="1"/>
  <c r="M51" i="21"/>
  <c r="M53" i="21"/>
  <c r="M54" i="21"/>
  <c r="M55" i="21"/>
  <c r="M48" i="21"/>
  <c r="M49" i="21"/>
  <c r="D18" i="30"/>
  <c r="D92" i="30" s="1"/>
  <c r="D19" i="30"/>
  <c r="D93" i="30" s="1"/>
  <c r="D20" i="30"/>
  <c r="D94" i="30" s="1"/>
  <c r="H17" i="37"/>
  <c r="H18" i="37"/>
  <c r="H19" i="37"/>
  <c r="H20" i="37"/>
  <c r="H21" i="37"/>
  <c r="H22" i="37"/>
  <c r="H23" i="37"/>
  <c r="H24" i="37"/>
  <c r="H25" i="37"/>
  <c r="H26" i="37"/>
  <c r="H27" i="37"/>
  <c r="H28" i="37"/>
  <c r="C5" i="37"/>
  <c r="C13" i="37" s="1"/>
  <c r="C6" i="37"/>
  <c r="C14" i="37" s="1"/>
  <c r="G5" i="37"/>
  <c r="J5" i="37"/>
  <c r="G6" i="37"/>
  <c r="J6" i="37"/>
  <c r="G7" i="37"/>
  <c r="J7" i="37"/>
  <c r="G8" i="37"/>
  <c r="J8" i="37"/>
  <c r="G9" i="37"/>
  <c r="J9" i="37"/>
  <c r="G10" i="37"/>
  <c r="J10" i="37"/>
  <c r="G11" i="37"/>
  <c r="J11" i="37"/>
  <c r="G12" i="37"/>
  <c r="J12" i="37"/>
  <c r="G13" i="37"/>
  <c r="J13" i="37"/>
  <c r="G14" i="37"/>
  <c r="J14" i="37"/>
  <c r="G15" i="37"/>
  <c r="J15" i="37"/>
  <c r="G16" i="37"/>
  <c r="J16" i="37"/>
  <c r="H16" i="37"/>
  <c r="H15" i="37"/>
  <c r="H14" i="37"/>
  <c r="H13" i="37"/>
  <c r="H12" i="37"/>
  <c r="H11" i="37"/>
  <c r="H10" i="37"/>
  <c r="H9" i="37"/>
  <c r="H8" i="37"/>
  <c r="H7" i="37"/>
  <c r="H6" i="37"/>
  <c r="H5" i="37"/>
  <c r="F27" i="1"/>
  <c r="K15" i="1"/>
  <c r="K19" i="1"/>
  <c r="K27" i="1"/>
  <c r="K28" i="1"/>
  <c r="G30" i="1"/>
  <c r="H30" i="1" s="1"/>
  <c r="E43" i="1"/>
  <c r="F43" i="1"/>
  <c r="G43" i="1" s="1"/>
  <c r="H43" i="1" s="1"/>
  <c r="I43" i="1" s="1"/>
  <c r="J43" i="1" s="1"/>
  <c r="K43" i="1" s="1"/>
  <c r="L43" i="1" s="1"/>
  <c r="M43" i="1" s="1"/>
  <c r="N43" i="1" s="1"/>
  <c r="E41" i="1"/>
  <c r="F41" i="1" s="1"/>
  <c r="G41" i="1" s="1"/>
  <c r="H41" i="1" s="1"/>
  <c r="I41" i="1" s="1"/>
  <c r="J41" i="1" s="1"/>
  <c r="K41" i="1" s="1"/>
  <c r="L41" i="1" s="1"/>
  <c r="M41" i="1" s="1"/>
  <c r="N41" i="1" s="1"/>
  <c r="F42" i="1"/>
  <c r="G42" i="1"/>
  <c r="H42" i="1" s="1"/>
  <c r="I42" i="1" s="1"/>
  <c r="J42" i="1" s="1"/>
  <c r="K42" i="1" s="1"/>
  <c r="L42" i="1" s="1"/>
  <c r="M42" i="1" s="1"/>
  <c r="N42" i="1" s="1"/>
  <c r="E44" i="1"/>
  <c r="F44" i="1" s="1"/>
  <c r="G44" i="1" s="1"/>
  <c r="H44" i="1" s="1"/>
  <c r="I44" i="1" s="1"/>
  <c r="J44" i="1" s="1"/>
  <c r="K44" i="1" s="1"/>
  <c r="L44" i="1" s="1"/>
  <c r="M44" i="1" s="1"/>
  <c r="N44" i="1" s="1"/>
  <c r="C9" i="36"/>
  <c r="C17" i="36" s="1"/>
  <c r="C6" i="36"/>
  <c r="E15" i="1"/>
  <c r="E16" i="19" s="1"/>
  <c r="E17" i="19" s="1"/>
  <c r="E28" i="1"/>
  <c r="D24" i="15"/>
  <c r="E108" i="30" s="1"/>
  <c r="F15" i="1"/>
  <c r="F26" i="30" s="1"/>
  <c r="F28" i="1"/>
  <c r="F76" i="1"/>
  <c r="G15" i="1"/>
  <c r="G26" i="30" s="1"/>
  <c r="G27" i="1"/>
  <c r="G28" i="1"/>
  <c r="G76" i="1"/>
  <c r="G24" i="39" s="1"/>
  <c r="H15" i="1"/>
  <c r="H19" i="1"/>
  <c r="H30" i="30" s="1"/>
  <c r="H27" i="1"/>
  <c r="H28" i="1"/>
  <c r="I15" i="1"/>
  <c r="I26" i="30" s="1"/>
  <c r="I19" i="1"/>
  <c r="I30" i="30" s="1"/>
  <c r="I27" i="1"/>
  <c r="I28" i="1"/>
  <c r="J15" i="1"/>
  <c r="J19" i="1"/>
  <c r="J27" i="1"/>
  <c r="J28" i="1"/>
  <c r="L15" i="1"/>
  <c r="L17" i="1"/>
  <c r="L19" i="1"/>
  <c r="L29" i="1"/>
  <c r="L38" i="30" s="1"/>
  <c r="L27" i="1"/>
  <c r="L28" i="1"/>
  <c r="E3" i="12"/>
  <c r="H10" i="21"/>
  <c r="F10" i="21"/>
  <c r="F16" i="21" s="1"/>
  <c r="J5" i="21"/>
  <c r="K5" i="21"/>
  <c r="L5" i="21"/>
  <c r="M5" i="21"/>
  <c r="I5" i="21"/>
  <c r="E5" i="1"/>
  <c r="E6" i="39" s="1"/>
  <c r="E69" i="24"/>
  <c r="F69" i="24"/>
  <c r="G69" i="24"/>
  <c r="F9" i="10"/>
  <c r="G9" i="24"/>
  <c r="H69" i="24"/>
  <c r="H9" i="24"/>
  <c r="I89" i="24"/>
  <c r="L94" i="24"/>
  <c r="D69" i="24"/>
  <c r="G90" i="24"/>
  <c r="G91" i="24" s="1"/>
  <c r="D5" i="24"/>
  <c r="D14" i="24"/>
  <c r="L14" i="24" s="1"/>
  <c r="D27" i="24"/>
  <c r="D28" i="24"/>
  <c r="E28" i="24" s="1"/>
  <c r="F28" i="24" s="1"/>
  <c r="G28" i="24" s="1"/>
  <c r="D29" i="24"/>
  <c r="E29" i="24" s="1"/>
  <c r="F29" i="24" s="1"/>
  <c r="G29" i="24" s="1"/>
  <c r="D30" i="24"/>
  <c r="E30" i="24" s="1"/>
  <c r="D31" i="24"/>
  <c r="D32" i="24"/>
  <c r="E32" i="24" s="1"/>
  <c r="F32" i="24" s="1"/>
  <c r="G32" i="24" s="1"/>
  <c r="H32" i="24" s="1"/>
  <c r="D33" i="24"/>
  <c r="E33" i="24" s="1"/>
  <c r="F33" i="24" s="1"/>
  <c r="G33" i="24" s="1"/>
  <c r="H33" i="24" s="1"/>
  <c r="L33" i="24" s="1"/>
  <c r="D51" i="24"/>
  <c r="E51" i="24" s="1"/>
  <c r="F51" i="24" s="1"/>
  <c r="G51" i="24" s="1"/>
  <c r="D52" i="24"/>
  <c r="D53" i="24"/>
  <c r="D54" i="24"/>
  <c r="D55" i="24"/>
  <c r="E55" i="24" s="1"/>
  <c r="F55" i="24" s="1"/>
  <c r="G55" i="24" s="1"/>
  <c r="H55" i="24" s="1"/>
  <c r="D56" i="24"/>
  <c r="E56" i="24" s="1"/>
  <c r="F56" i="24" s="1"/>
  <c r="G56" i="24" s="1"/>
  <c r="H56" i="24" s="1"/>
  <c r="D57" i="24"/>
  <c r="E57" i="24" s="1"/>
  <c r="F57" i="24" s="1"/>
  <c r="G57" i="24" s="1"/>
  <c r="H57" i="24" s="1"/>
  <c r="D58" i="24"/>
  <c r="E58" i="24" s="1"/>
  <c r="F58" i="24" s="1"/>
  <c r="G58" i="24" s="1"/>
  <c r="H58" i="24" s="1"/>
  <c r="D62" i="24"/>
  <c r="E62" i="24" s="1"/>
  <c r="D63" i="24"/>
  <c r="E63" i="24" s="1"/>
  <c r="F63" i="24" s="1"/>
  <c r="G63" i="24" s="1"/>
  <c r="H63" i="24" s="1"/>
  <c r="D64" i="24"/>
  <c r="E64" i="24" s="1"/>
  <c r="D65" i="24"/>
  <c r="E65" i="24" s="1"/>
  <c r="F65" i="24" s="1"/>
  <c r="G65" i="24" s="1"/>
  <c r="E27" i="24"/>
  <c r="F27" i="24" s="1"/>
  <c r="E52" i="24"/>
  <c r="E53" i="24"/>
  <c r="F53" i="24" s="1"/>
  <c r="G53" i="24" s="1"/>
  <c r="H53" i="24" s="1"/>
  <c r="F5" i="24"/>
  <c r="G5" i="24" s="1"/>
  <c r="H5" i="24" s="1"/>
  <c r="F6" i="24"/>
  <c r="F7" i="24"/>
  <c r="F8" i="24"/>
  <c r="L8" i="24" s="1"/>
  <c r="F13" i="24"/>
  <c r="F37" i="24"/>
  <c r="F38" i="24"/>
  <c r="F41" i="24"/>
  <c r="F42" i="24"/>
  <c r="F43" i="24"/>
  <c r="F44" i="24"/>
  <c r="F47" i="24"/>
  <c r="F52" i="24"/>
  <c r="G52" i="24" s="1"/>
  <c r="H52" i="24" s="1"/>
  <c r="G6" i="24"/>
  <c r="G7" i="24"/>
  <c r="L7" i="24" s="1"/>
  <c r="G8" i="24"/>
  <c r="G11" i="24"/>
  <c r="G12" i="24"/>
  <c r="G13" i="24"/>
  <c r="G15" i="24"/>
  <c r="G21" i="24"/>
  <c r="G22" i="24"/>
  <c r="G23" i="24"/>
  <c r="G37" i="24"/>
  <c r="G38" i="24"/>
  <c r="G39" i="24"/>
  <c r="G41" i="24"/>
  <c r="G42" i="24"/>
  <c r="G43" i="24"/>
  <c r="G44" i="24"/>
  <c r="G47" i="24"/>
  <c r="H10" i="24"/>
  <c r="L10" i="24" s="1"/>
  <c r="H11" i="24"/>
  <c r="H12" i="24"/>
  <c r="H15" i="24"/>
  <c r="H21" i="24"/>
  <c r="H22" i="24"/>
  <c r="H23" i="24"/>
  <c r="H37" i="24"/>
  <c r="H38" i="24"/>
  <c r="H39" i="24"/>
  <c r="H41" i="24"/>
  <c r="H42" i="24"/>
  <c r="H43" i="24"/>
  <c r="H44" i="24"/>
  <c r="H47" i="24"/>
  <c r="J89" i="24"/>
  <c r="K89" i="24"/>
  <c r="E18" i="24"/>
  <c r="E24" i="24"/>
  <c r="E48" i="24"/>
  <c r="D24" i="24"/>
  <c r="D48" i="24"/>
  <c r="F24" i="24"/>
  <c r="I18" i="24"/>
  <c r="I24" i="24"/>
  <c r="I34" i="24"/>
  <c r="I48" i="24"/>
  <c r="I59" i="24"/>
  <c r="I66" i="24"/>
  <c r="I68" i="24"/>
  <c r="I70" i="24" s="1"/>
  <c r="I76" i="24" s="1"/>
  <c r="I85" i="24" s="1"/>
  <c r="I69" i="24"/>
  <c r="F38" i="10"/>
  <c r="K39" i="10"/>
  <c r="L39" i="10"/>
  <c r="M39" i="10"/>
  <c r="N39" i="10"/>
  <c r="O39" i="10"/>
  <c r="P39" i="10"/>
  <c r="Q39" i="10"/>
  <c r="R39" i="10"/>
  <c r="J39" i="10"/>
  <c r="I39" i="10"/>
  <c r="H39" i="10"/>
  <c r="F39" i="10"/>
  <c r="F33" i="10"/>
  <c r="F34" i="10"/>
  <c r="C9" i="20"/>
  <c r="F5" i="10"/>
  <c r="F6" i="10"/>
  <c r="F7" i="10"/>
  <c r="F8" i="10"/>
  <c r="F10" i="10"/>
  <c r="F11" i="10"/>
  <c r="F12" i="10"/>
  <c r="F13" i="10"/>
  <c r="F14" i="10"/>
  <c r="C8" i="20"/>
  <c r="C10" i="20"/>
  <c r="C11" i="20"/>
  <c r="F63" i="10"/>
  <c r="F64" i="10"/>
  <c r="F65" i="10"/>
  <c r="F66" i="10"/>
  <c r="C12" i="20"/>
  <c r="J69" i="24"/>
  <c r="K69" i="24"/>
  <c r="C9" i="29"/>
  <c r="C17" i="29" s="1"/>
  <c r="C5" i="29"/>
  <c r="C13" i="29" s="1"/>
  <c r="C6" i="29"/>
  <c r="C14" i="29" s="1"/>
  <c r="L17" i="24"/>
  <c r="L16" i="24"/>
  <c r="F42" i="10"/>
  <c r="F41" i="10"/>
  <c r="F47" i="10"/>
  <c r="F37" i="10"/>
  <c r="F43" i="10"/>
  <c r="F44" i="10"/>
  <c r="G85" i="24"/>
  <c r="H85" i="24"/>
  <c r="J85" i="24"/>
  <c r="K85" i="24"/>
  <c r="L84" i="24"/>
  <c r="K15" i="21"/>
  <c r="L15" i="21"/>
  <c r="M15" i="21"/>
  <c r="J15" i="21"/>
  <c r="I10" i="21"/>
  <c r="J10" i="21"/>
  <c r="K10" i="21"/>
  <c r="L10" i="21"/>
  <c r="M10" i="21"/>
  <c r="H15" i="10"/>
  <c r="I15" i="10"/>
  <c r="J15" i="10"/>
  <c r="K15" i="10"/>
  <c r="L15" i="10"/>
  <c r="M15" i="10"/>
  <c r="N15" i="10"/>
  <c r="O15" i="10"/>
  <c r="P15" i="10"/>
  <c r="Q15" i="10"/>
  <c r="R15" i="10"/>
  <c r="J55" i="13"/>
  <c r="J39" i="13"/>
  <c r="J61" i="13"/>
  <c r="K61" i="13"/>
  <c r="J38" i="13"/>
  <c r="J54" i="13"/>
  <c r="E61" i="13"/>
  <c r="F61" i="13"/>
  <c r="G61" i="13"/>
  <c r="H61" i="13"/>
  <c r="I61" i="13"/>
  <c r="D61" i="13"/>
  <c r="D54" i="13"/>
  <c r="D38" i="13"/>
  <c r="F52" i="10"/>
  <c r="D20" i="13"/>
  <c r="E20" i="13"/>
  <c r="D19" i="13"/>
  <c r="E19" i="13"/>
  <c r="F19" i="13"/>
  <c r="D17" i="13"/>
  <c r="E17" i="13"/>
  <c r="F20" i="13"/>
  <c r="H20" i="13"/>
  <c r="H19" i="13"/>
  <c r="F17" i="13"/>
  <c r="H17" i="13"/>
  <c r="E56" i="21"/>
  <c r="F56" i="21"/>
  <c r="G56" i="21"/>
  <c r="H56" i="21"/>
  <c r="I56" i="21"/>
  <c r="J56" i="21"/>
  <c r="K56" i="21"/>
  <c r="L56" i="21"/>
  <c r="M56" i="21"/>
  <c r="C16" i="13"/>
  <c r="E33" i="35"/>
  <c r="E34" i="35" s="1"/>
  <c r="D17" i="35"/>
  <c r="T3" i="35"/>
  <c r="U3" i="35" s="1"/>
  <c r="S3" i="35"/>
  <c r="R3" i="35"/>
  <c r="Q3" i="35"/>
  <c r="P3" i="35"/>
  <c r="O3" i="35"/>
  <c r="N3" i="35"/>
  <c r="M3" i="35"/>
  <c r="F33" i="21"/>
  <c r="G33" i="21"/>
  <c r="D9" i="30"/>
  <c r="D53" i="30" s="1"/>
  <c r="H33" i="21"/>
  <c r="F22" i="21"/>
  <c r="G22" i="21"/>
  <c r="H22" i="21"/>
  <c r="I22" i="21"/>
  <c r="J22" i="21"/>
  <c r="K22" i="21"/>
  <c r="L22" i="21"/>
  <c r="M22" i="21"/>
  <c r="E22" i="21"/>
  <c r="E48" i="21"/>
  <c r="F41" i="21"/>
  <c r="G41" i="21"/>
  <c r="H41" i="21"/>
  <c r="I41" i="21"/>
  <c r="J41" i="21"/>
  <c r="K41" i="21"/>
  <c r="L41" i="21"/>
  <c r="M41" i="21"/>
  <c r="E6" i="21"/>
  <c r="I33" i="21"/>
  <c r="E32" i="21"/>
  <c r="J33" i="21"/>
  <c r="D41" i="27"/>
  <c r="E41" i="27"/>
  <c r="F41" i="27"/>
  <c r="G41" i="27"/>
  <c r="J18" i="27"/>
  <c r="K12" i="27"/>
  <c r="L12" i="27"/>
  <c r="M12" i="27"/>
  <c r="N12" i="27"/>
  <c r="J16" i="27"/>
  <c r="J6" i="21"/>
  <c r="K33" i="21"/>
  <c r="K6" i="21"/>
  <c r="L6" i="21"/>
  <c r="M6" i="21"/>
  <c r="M13" i="21"/>
  <c r="G6" i="27"/>
  <c r="G16" i="27"/>
  <c r="H6" i="27"/>
  <c r="H16" i="27"/>
  <c r="I6" i="27"/>
  <c r="I16" i="27"/>
  <c r="J6" i="27"/>
  <c r="K6" i="27"/>
  <c r="K16" i="27"/>
  <c r="L6" i="27"/>
  <c r="L16" i="27"/>
  <c r="M6" i="27"/>
  <c r="M16" i="27"/>
  <c r="N6" i="27"/>
  <c r="N16" i="27"/>
  <c r="G17" i="27"/>
  <c r="H17" i="27"/>
  <c r="I17" i="27"/>
  <c r="J17" i="27"/>
  <c r="K17" i="27"/>
  <c r="L17" i="27"/>
  <c r="M17" i="27"/>
  <c r="M19" i="27"/>
  <c r="N17" i="27"/>
  <c r="G18" i="27"/>
  <c r="H18" i="27"/>
  <c r="H19" i="27"/>
  <c r="H21" i="27"/>
  <c r="I18" i="27"/>
  <c r="I19" i="27"/>
  <c r="I21" i="27"/>
  <c r="K18" i="27"/>
  <c r="L18" i="27"/>
  <c r="M18" i="27"/>
  <c r="N18" i="27"/>
  <c r="N19" i="27"/>
  <c r="O5" i="27"/>
  <c r="D6" i="21"/>
  <c r="G14" i="27"/>
  <c r="H14" i="27"/>
  <c r="I14" i="27"/>
  <c r="J14" i="27"/>
  <c r="K14" i="27"/>
  <c r="L14" i="27"/>
  <c r="M14" i="27"/>
  <c r="N14" i="27"/>
  <c r="N21" i="27"/>
  <c r="H47" i="10"/>
  <c r="I47" i="10"/>
  <c r="J47" i="10"/>
  <c r="K47" i="10"/>
  <c r="L47" i="10"/>
  <c r="M47" i="10"/>
  <c r="N47" i="10"/>
  <c r="O47" i="10"/>
  <c r="P47" i="10"/>
  <c r="Q47" i="10"/>
  <c r="R47" i="10"/>
  <c r="O33" i="27"/>
  <c r="E21" i="27"/>
  <c r="E6" i="27"/>
  <c r="E16" i="27"/>
  <c r="F6" i="27"/>
  <c r="F16" i="27"/>
  <c r="E17" i="27"/>
  <c r="F17" i="27"/>
  <c r="E18" i="27"/>
  <c r="F18" i="27"/>
  <c r="G12" i="27"/>
  <c r="H12" i="27"/>
  <c r="I12" i="27"/>
  <c r="J12" i="27"/>
  <c r="C16" i="20"/>
  <c r="D76" i="1" s="1"/>
  <c r="E14" i="27"/>
  <c r="F14" i="27"/>
  <c r="E36" i="20"/>
  <c r="E37" i="20"/>
  <c r="E12" i="27"/>
  <c r="D10" i="32"/>
  <c r="D26" i="27"/>
  <c r="E26" i="27"/>
  <c r="F26" i="27"/>
  <c r="G26" i="27"/>
  <c r="H26" i="27"/>
  <c r="I26" i="27"/>
  <c r="J26" i="27"/>
  <c r="K26" i="27"/>
  <c r="L26" i="27"/>
  <c r="M26" i="27"/>
  <c r="N26" i="27"/>
  <c r="C26" i="27"/>
  <c r="D27" i="27"/>
  <c r="E27" i="27"/>
  <c r="F27" i="27"/>
  <c r="G27" i="27"/>
  <c r="H27" i="27"/>
  <c r="I27" i="27"/>
  <c r="J27" i="27"/>
  <c r="K27" i="27"/>
  <c r="L27" i="27"/>
  <c r="M27" i="27"/>
  <c r="N27" i="27"/>
  <c r="C27" i="27"/>
  <c r="C39" i="20"/>
  <c r="D38" i="20"/>
  <c r="C6" i="27"/>
  <c r="D34" i="27"/>
  <c r="D47" i="27"/>
  <c r="D48" i="27"/>
  <c r="D46" i="27"/>
  <c r="E48" i="27"/>
  <c r="E46" i="27"/>
  <c r="F48" i="27"/>
  <c r="F49" i="27"/>
  <c r="G47" i="27"/>
  <c r="G48" i="27"/>
  <c r="C41" i="27"/>
  <c r="C48" i="27"/>
  <c r="C34" i="27"/>
  <c r="C46" i="27"/>
  <c r="D6" i="27"/>
  <c r="D12" i="27"/>
  <c r="D18" i="27"/>
  <c r="C12" i="27"/>
  <c r="C18" i="27"/>
  <c r="H46" i="27"/>
  <c r="I46" i="27"/>
  <c r="C14" i="27"/>
  <c r="D14" i="27"/>
  <c r="H34" i="27"/>
  <c r="H35" i="27"/>
  <c r="H36" i="27"/>
  <c r="H37" i="27"/>
  <c r="E34" i="27"/>
  <c r="E47" i="27"/>
  <c r="E49" i="27"/>
  <c r="E51" i="27"/>
  <c r="F34" i="27"/>
  <c r="G34" i="27"/>
  <c r="G46" i="27"/>
  <c r="H47" i="27"/>
  <c r="I34" i="27"/>
  <c r="I47" i="27"/>
  <c r="I49" i="27"/>
  <c r="I51" i="27"/>
  <c r="H48" i="27"/>
  <c r="H49" i="27"/>
  <c r="H51" i="27"/>
  <c r="D44" i="27"/>
  <c r="E44" i="27"/>
  <c r="J44" i="27"/>
  <c r="F44" i="27"/>
  <c r="G44" i="27"/>
  <c r="H44" i="27"/>
  <c r="I44" i="27"/>
  <c r="C44" i="27"/>
  <c r="G35" i="27"/>
  <c r="D7" i="27"/>
  <c r="E7" i="27"/>
  <c r="H7" i="27"/>
  <c r="I7" i="27"/>
  <c r="K7" i="27"/>
  <c r="L7" i="27"/>
  <c r="C35" i="27"/>
  <c r="D35" i="27"/>
  <c r="E35" i="27"/>
  <c r="I37" i="27"/>
  <c r="C60" i="27"/>
  <c r="E5" i="10"/>
  <c r="H6" i="10"/>
  <c r="I6" i="10"/>
  <c r="J6" i="10"/>
  <c r="H7" i="10"/>
  <c r="I7" i="10"/>
  <c r="J7" i="10"/>
  <c r="K7" i="10"/>
  <c r="L7" i="10"/>
  <c r="M7" i="10"/>
  <c r="N7" i="10"/>
  <c r="O7" i="10"/>
  <c r="P7" i="10"/>
  <c r="Q7" i="10"/>
  <c r="R7" i="10"/>
  <c r="H9" i="10"/>
  <c r="I9" i="10"/>
  <c r="J9" i="10"/>
  <c r="K9" i="10"/>
  <c r="L9" i="10"/>
  <c r="M9" i="10"/>
  <c r="N9" i="10"/>
  <c r="O9" i="10"/>
  <c r="P9" i="10"/>
  <c r="Q9" i="10"/>
  <c r="R9" i="10"/>
  <c r="H14" i="10"/>
  <c r="I14" i="10"/>
  <c r="J14" i="10"/>
  <c r="K14" i="10"/>
  <c r="L14" i="10"/>
  <c r="M14" i="10"/>
  <c r="N14" i="10"/>
  <c r="O14" i="10"/>
  <c r="P14" i="10"/>
  <c r="Q14" i="10"/>
  <c r="R14" i="10"/>
  <c r="F15" i="10"/>
  <c r="F27" i="10"/>
  <c r="H27" i="10"/>
  <c r="I27" i="10"/>
  <c r="J27" i="10"/>
  <c r="K27" i="10"/>
  <c r="L27" i="10"/>
  <c r="M27" i="10"/>
  <c r="N27" i="10"/>
  <c r="F29" i="10"/>
  <c r="I29" i="10"/>
  <c r="H30" i="10"/>
  <c r="I30" i="10"/>
  <c r="J30" i="10"/>
  <c r="K30" i="10"/>
  <c r="L30" i="10"/>
  <c r="M30" i="10"/>
  <c r="N30" i="10"/>
  <c r="O30" i="10"/>
  <c r="P30" i="10"/>
  <c r="Q30" i="10"/>
  <c r="R30" i="10"/>
  <c r="H31" i="10"/>
  <c r="I31" i="10"/>
  <c r="J31" i="10"/>
  <c r="K31" i="10"/>
  <c r="L31" i="10"/>
  <c r="M31" i="10"/>
  <c r="N31" i="10"/>
  <c r="O31" i="10"/>
  <c r="P31" i="10"/>
  <c r="Q31" i="10"/>
  <c r="R31" i="10"/>
  <c r="F21" i="10"/>
  <c r="H21" i="10"/>
  <c r="I21" i="10"/>
  <c r="J21" i="10"/>
  <c r="K21" i="10"/>
  <c r="L21" i="10"/>
  <c r="M21" i="10"/>
  <c r="N21" i="10"/>
  <c r="O21" i="10"/>
  <c r="P21" i="10"/>
  <c r="Q21" i="10"/>
  <c r="R21" i="10"/>
  <c r="F22" i="10"/>
  <c r="H22" i="10"/>
  <c r="I22" i="10"/>
  <c r="F23" i="10"/>
  <c r="H23" i="10"/>
  <c r="I23" i="10"/>
  <c r="J23" i="10"/>
  <c r="K23" i="10"/>
  <c r="L23" i="10"/>
  <c r="M23" i="10"/>
  <c r="N23" i="10"/>
  <c r="O23" i="10"/>
  <c r="P23" i="10"/>
  <c r="Q23" i="10"/>
  <c r="R23" i="10"/>
  <c r="Q59" i="10"/>
  <c r="Q66" i="10"/>
  <c r="F28" i="10"/>
  <c r="F30" i="10"/>
  <c r="F31" i="10"/>
  <c r="F32" i="10"/>
  <c r="F62" i="10"/>
  <c r="I62" i="10"/>
  <c r="J62" i="10" s="1"/>
  <c r="H63" i="10"/>
  <c r="I63" i="10"/>
  <c r="J63" i="10"/>
  <c r="K63" i="10"/>
  <c r="L63" i="10"/>
  <c r="M63" i="10"/>
  <c r="R59" i="10"/>
  <c r="R66" i="10"/>
  <c r="K65" i="21"/>
  <c r="P59" i="10"/>
  <c r="P66" i="10"/>
  <c r="H28" i="10"/>
  <c r="I28" i="10"/>
  <c r="J28" i="10"/>
  <c r="K28" i="10"/>
  <c r="L28" i="10"/>
  <c r="M28" i="10"/>
  <c r="H32" i="10"/>
  <c r="I32" i="10"/>
  <c r="J32" i="10"/>
  <c r="K32" i="10"/>
  <c r="H33" i="10"/>
  <c r="I33" i="10"/>
  <c r="H51" i="10"/>
  <c r="I51" i="10"/>
  <c r="H52" i="10"/>
  <c r="I52" i="10"/>
  <c r="J52" i="10"/>
  <c r="K52" i="10"/>
  <c r="I53" i="10"/>
  <c r="J53" i="10" s="1"/>
  <c r="H54" i="10"/>
  <c r="I54" i="10"/>
  <c r="J54" i="10"/>
  <c r="K54" i="10"/>
  <c r="H55" i="10"/>
  <c r="I55" i="10"/>
  <c r="J55" i="10"/>
  <c r="K55" i="10"/>
  <c r="I56" i="10"/>
  <c r="J56" i="10"/>
  <c r="K56" i="10" s="1"/>
  <c r="I57" i="10"/>
  <c r="J57" i="10" s="1"/>
  <c r="K57" i="10" s="1"/>
  <c r="I58" i="10"/>
  <c r="J58" i="10" s="1"/>
  <c r="K58" i="10" s="1"/>
  <c r="H64" i="10"/>
  <c r="I64" i="10"/>
  <c r="J64" i="10"/>
  <c r="K64" i="10"/>
  <c r="L64" i="10"/>
  <c r="M64" i="10"/>
  <c r="I65" i="10"/>
  <c r="J65" i="10"/>
  <c r="K65" i="10"/>
  <c r="L65" i="10"/>
  <c r="M65" i="10"/>
  <c r="L59" i="10"/>
  <c r="M59" i="10"/>
  <c r="N59" i="10"/>
  <c r="N66" i="10"/>
  <c r="I27" i="30"/>
  <c r="O59" i="10"/>
  <c r="O66" i="10"/>
  <c r="E65" i="21"/>
  <c r="G13" i="21"/>
  <c r="F59" i="34" s="1"/>
  <c r="F44" i="21"/>
  <c r="G44" i="21"/>
  <c r="H44" i="21"/>
  <c r="E50" i="21"/>
  <c r="F50" i="21"/>
  <c r="G50" i="21"/>
  <c r="H50" i="21"/>
  <c r="I50" i="21"/>
  <c r="J50" i="21"/>
  <c r="K50" i="21"/>
  <c r="L50" i="21"/>
  <c r="M50" i="21"/>
  <c r="F52" i="21"/>
  <c r="F67" i="21"/>
  <c r="G67" i="21"/>
  <c r="H67" i="21"/>
  <c r="I67" i="21"/>
  <c r="J67" i="21"/>
  <c r="K67" i="21"/>
  <c r="L67" i="21"/>
  <c r="M67" i="21"/>
  <c r="L15" i="22"/>
  <c r="L16" i="22"/>
  <c r="L17" i="22"/>
  <c r="L18" i="22"/>
  <c r="H11" i="12"/>
  <c r="J11" i="12"/>
  <c r="D4" i="13"/>
  <c r="E4" i="13"/>
  <c r="D5" i="13"/>
  <c r="E5" i="13"/>
  <c r="H5" i="13"/>
  <c r="D6" i="13"/>
  <c r="E6" i="13"/>
  <c r="D7" i="13"/>
  <c r="E7" i="13"/>
  <c r="D8" i="13"/>
  <c r="E8" i="13"/>
  <c r="D9" i="13"/>
  <c r="E9" i="13"/>
  <c r="D10" i="13"/>
  <c r="E10" i="13"/>
  <c r="D11" i="13"/>
  <c r="E11" i="13"/>
  <c r="H11" i="13"/>
  <c r="I3" i="12"/>
  <c r="L20" i="12"/>
  <c r="J3" i="12"/>
  <c r="L11" i="12"/>
  <c r="D75" i="21"/>
  <c r="E39" i="30"/>
  <c r="D15" i="13"/>
  <c r="E15" i="13"/>
  <c r="D16" i="13"/>
  <c r="E16" i="13"/>
  <c r="D18" i="13"/>
  <c r="E18" i="13"/>
  <c r="H18" i="13"/>
  <c r="D21" i="13"/>
  <c r="E21" i="13"/>
  <c r="D22" i="13"/>
  <c r="E22" i="13"/>
  <c r="H22" i="13"/>
  <c r="D23" i="13"/>
  <c r="E23" i="13"/>
  <c r="H23" i="13"/>
  <c r="D24" i="13"/>
  <c r="E24" i="13"/>
  <c r="D25" i="13"/>
  <c r="E25" i="13"/>
  <c r="D26" i="13"/>
  <c r="E26" i="13"/>
  <c r="H26" i="13"/>
  <c r="F13" i="21"/>
  <c r="E59" i="34" s="1"/>
  <c r="F32" i="21"/>
  <c r="D49" i="21"/>
  <c r="D18" i="21"/>
  <c r="D16" i="21"/>
  <c r="H13" i="21"/>
  <c r="I13" i="21"/>
  <c r="J13" i="21"/>
  <c r="N16" i="22"/>
  <c r="N17" i="22"/>
  <c r="N18" i="22"/>
  <c r="N15" i="22"/>
  <c r="EL7" i="23"/>
  <c r="EM7" i="23"/>
  <c r="EN7" i="23"/>
  <c r="EO7" i="23"/>
  <c r="EP7" i="23"/>
  <c r="EQ7" i="23"/>
  <c r="G21" i="16"/>
  <c r="F16" i="16"/>
  <c r="C24" i="27"/>
  <c r="D29" i="32"/>
  <c r="D45" i="32"/>
  <c r="D37" i="32"/>
  <c r="D28" i="32"/>
  <c r="D44" i="32"/>
  <c r="D36" i="32"/>
  <c r="D41" i="32"/>
  <c r="D40" i="32"/>
  <c r="D39" i="32"/>
  <c r="D38" i="32"/>
  <c r="D33" i="32"/>
  <c r="D32" i="32"/>
  <c r="D48" i="32"/>
  <c r="D31" i="32"/>
  <c r="D47" i="32"/>
  <c r="D30" i="32"/>
  <c r="D46" i="32"/>
  <c r="E46" i="32"/>
  <c r="F46" i="32"/>
  <c r="G46" i="32"/>
  <c r="H46" i="32"/>
  <c r="I46" i="32"/>
  <c r="J46" i="32"/>
  <c r="K46" i="32"/>
  <c r="L46" i="32"/>
  <c r="M46" i="32"/>
  <c r="E47" i="32"/>
  <c r="D49" i="32"/>
  <c r="E49" i="32"/>
  <c r="F49" i="32"/>
  <c r="D26" i="16"/>
  <c r="D27" i="16"/>
  <c r="D28" i="16"/>
  <c r="D29" i="16"/>
  <c r="E5" i="28"/>
  <c r="F5" i="28"/>
  <c r="E6" i="28"/>
  <c r="F6" i="28"/>
  <c r="E7" i="28"/>
  <c r="F7" i="28"/>
  <c r="E9" i="28"/>
  <c r="E10" i="28"/>
  <c r="F10" i="28"/>
  <c r="E82" i="30"/>
  <c r="F82" i="30"/>
  <c r="G82" i="30"/>
  <c r="H82" i="30"/>
  <c r="I82" i="30"/>
  <c r="J82" i="30"/>
  <c r="K82" i="30"/>
  <c r="L82" i="30"/>
  <c r="F59" i="10"/>
  <c r="E38" i="21"/>
  <c r="F38" i="21"/>
  <c r="G38" i="21"/>
  <c r="H38" i="21"/>
  <c r="I38" i="21"/>
  <c r="J38" i="21"/>
  <c r="K38" i="21"/>
  <c r="L38" i="21"/>
  <c r="M38" i="21"/>
  <c r="D72" i="21"/>
  <c r="I4" i="12"/>
  <c r="J4" i="12"/>
  <c r="J5" i="12"/>
  <c r="J77" i="24"/>
  <c r="K77" i="24"/>
  <c r="J18" i="24"/>
  <c r="J68" i="24" s="1"/>
  <c r="J70" i="24" s="1"/>
  <c r="J24" i="24"/>
  <c r="J34" i="24"/>
  <c r="J48" i="24"/>
  <c r="J59" i="24"/>
  <c r="J66" i="24"/>
  <c r="K18" i="24"/>
  <c r="K24" i="24"/>
  <c r="K68" i="24" s="1"/>
  <c r="K70" i="24" s="1"/>
  <c r="K34" i="24"/>
  <c r="K48" i="24"/>
  <c r="K59" i="24"/>
  <c r="K66" i="24"/>
  <c r="B63" i="24"/>
  <c r="B64" i="24"/>
  <c r="B65" i="24"/>
  <c r="B62" i="24"/>
  <c r="B52" i="24"/>
  <c r="B53" i="24"/>
  <c r="B54" i="24"/>
  <c r="B55" i="24"/>
  <c r="B56" i="24"/>
  <c r="B57" i="24"/>
  <c r="B58" i="24"/>
  <c r="B51" i="24"/>
  <c r="B22" i="24"/>
  <c r="B23" i="24"/>
  <c r="B21" i="24"/>
  <c r="B15" i="24"/>
  <c r="B14" i="24"/>
  <c r="B13" i="24"/>
  <c r="B12" i="24"/>
  <c r="B10" i="24"/>
  <c r="B11" i="24"/>
  <c r="B9" i="24"/>
  <c r="B8" i="24"/>
  <c r="B7" i="24"/>
  <c r="B6" i="24"/>
  <c r="B5" i="24"/>
  <c r="B61" i="24"/>
  <c r="A61" i="24"/>
  <c r="B50" i="24"/>
  <c r="A50" i="24"/>
  <c r="B36" i="24"/>
  <c r="A36" i="24"/>
  <c r="B26" i="24"/>
  <c r="A26" i="24"/>
  <c r="A20" i="24"/>
  <c r="B20" i="24"/>
  <c r="A4" i="24"/>
  <c r="B4" i="24"/>
  <c r="H59" i="10"/>
  <c r="I37" i="10"/>
  <c r="J37" i="10"/>
  <c r="K37" i="10"/>
  <c r="L37" i="10"/>
  <c r="M37" i="10"/>
  <c r="N37" i="10"/>
  <c r="O37" i="10"/>
  <c r="P37" i="10"/>
  <c r="Q37" i="10"/>
  <c r="R37" i="10"/>
  <c r="E16" i="28"/>
  <c r="E27" i="28"/>
  <c r="E38" i="28"/>
  <c r="F16" i="28"/>
  <c r="E17" i="28"/>
  <c r="E28" i="28"/>
  <c r="E18" i="28"/>
  <c r="F18" i="28"/>
  <c r="E29" i="28"/>
  <c r="E40" i="28"/>
  <c r="F40" i="28"/>
  <c r="E21" i="28"/>
  <c r="F21" i="28"/>
  <c r="E39" i="28"/>
  <c r="E32" i="28"/>
  <c r="F32" i="28"/>
  <c r="E43" i="28"/>
  <c r="F43" i="28"/>
  <c r="F38" i="28"/>
  <c r="F27" i="28"/>
  <c r="G32" i="21"/>
  <c r="H32" i="21"/>
  <c r="I32" i="21"/>
  <c r="J32" i="21"/>
  <c r="K32" i="21"/>
  <c r="D37" i="21"/>
  <c r="F47" i="21"/>
  <c r="G47" i="21"/>
  <c r="H47" i="21"/>
  <c r="I47" i="21"/>
  <c r="J47" i="21"/>
  <c r="K47" i="21"/>
  <c r="L47" i="21"/>
  <c r="M47" i="21"/>
  <c r="D73" i="21"/>
  <c r="M68" i="21"/>
  <c r="H20" i="16"/>
  <c r="EG7" i="23"/>
  <c r="EH7" i="23"/>
  <c r="EI7" i="23"/>
  <c r="EJ7" i="23"/>
  <c r="EK7" i="23"/>
  <c r="B7" i="23"/>
  <c r="C7"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AM7" i="23"/>
  <c r="AN7" i="23"/>
  <c r="AO7" i="23"/>
  <c r="AP7" i="23"/>
  <c r="AQ7" i="23"/>
  <c r="AR7" i="23"/>
  <c r="AS7" i="23"/>
  <c r="AT7" i="23"/>
  <c r="AU7" i="23"/>
  <c r="AV7" i="23"/>
  <c r="AW7" i="23"/>
  <c r="AX7" i="23"/>
  <c r="AY7" i="23"/>
  <c r="AZ7" i="23"/>
  <c r="BA7" i="23"/>
  <c r="BB7" i="23"/>
  <c r="BC7" i="23"/>
  <c r="BD7" i="23"/>
  <c r="BE7" i="23"/>
  <c r="BF7" i="23"/>
  <c r="BG7" i="23"/>
  <c r="BH7" i="23"/>
  <c r="BI7" i="23"/>
  <c r="BJ7" i="23"/>
  <c r="BK7" i="23"/>
  <c r="BL7" i="23"/>
  <c r="BM7" i="23"/>
  <c r="BN7" i="23"/>
  <c r="BO7" i="23"/>
  <c r="BP7" i="23"/>
  <c r="BQ7" i="23"/>
  <c r="BR7" i="23"/>
  <c r="BS7" i="23"/>
  <c r="BT7" i="23"/>
  <c r="BU7" i="23"/>
  <c r="BV7" i="23"/>
  <c r="BW7" i="23"/>
  <c r="BX7" i="23"/>
  <c r="BY7" i="23"/>
  <c r="BZ7" i="23"/>
  <c r="CA7" i="23"/>
  <c r="CB7" i="23"/>
  <c r="CC7" i="23"/>
  <c r="CD7" i="23"/>
  <c r="CE7" i="23"/>
  <c r="CF7" i="23"/>
  <c r="CG7" i="23"/>
  <c r="CH7" i="23"/>
  <c r="CI7" i="23"/>
  <c r="CJ7" i="23"/>
  <c r="CK7" i="23"/>
  <c r="CL7" i="23"/>
  <c r="CM7" i="23"/>
  <c r="CN7" i="23"/>
  <c r="CO7" i="23"/>
  <c r="CP7" i="23"/>
  <c r="CQ7" i="23"/>
  <c r="CR7" i="23"/>
  <c r="CS7" i="23"/>
  <c r="CT7" i="23"/>
  <c r="CU7" i="23"/>
  <c r="CV7" i="23"/>
  <c r="CW7" i="23"/>
  <c r="CX7" i="23"/>
  <c r="CY7" i="23"/>
  <c r="CZ7" i="23"/>
  <c r="DA7" i="23"/>
  <c r="DB7" i="23"/>
  <c r="DC7" i="23"/>
  <c r="DD7" i="23"/>
  <c r="DE7" i="23"/>
  <c r="DF7" i="23"/>
  <c r="DG7" i="23"/>
  <c r="DH7" i="23"/>
  <c r="DI7" i="23"/>
  <c r="DJ7" i="23"/>
  <c r="DK7" i="23"/>
  <c r="DL7" i="23"/>
  <c r="DM7" i="23"/>
  <c r="DN7" i="23"/>
  <c r="DO7" i="23"/>
  <c r="DP7" i="23"/>
  <c r="DQ7" i="23"/>
  <c r="DR7" i="23"/>
  <c r="DS7" i="23"/>
  <c r="DT7" i="23"/>
  <c r="DU7" i="23"/>
  <c r="DV7" i="23"/>
  <c r="DW7" i="23"/>
  <c r="DX7" i="23"/>
  <c r="DY7" i="23"/>
  <c r="DZ7" i="23"/>
  <c r="EA7" i="23"/>
  <c r="EB7" i="23"/>
  <c r="EC7" i="23"/>
  <c r="ED7" i="23"/>
  <c r="EE7" i="23"/>
  <c r="EF7" i="23"/>
  <c r="A18" i="23"/>
  <c r="G9" i="16"/>
  <c r="I9" i="22"/>
  <c r="J15" i="22"/>
  <c r="D68" i="21"/>
  <c r="E68" i="21"/>
  <c r="F68" i="21"/>
  <c r="G68" i="21"/>
  <c r="H68" i="21"/>
  <c r="I68" i="21"/>
  <c r="J68" i="21"/>
  <c r="K68" i="21"/>
  <c r="L68" i="21"/>
  <c r="D76" i="21"/>
  <c r="I12" i="22"/>
  <c r="I11" i="22"/>
  <c r="J17" i="22"/>
  <c r="I10" i="22"/>
  <c r="J16" i="22"/>
  <c r="J18" i="22"/>
  <c r="H3" i="22"/>
  <c r="H4" i="22"/>
  <c r="G27" i="13"/>
  <c r="D66" i="21"/>
  <c r="E66" i="21"/>
  <c r="F66" i="21"/>
  <c r="G66" i="21"/>
  <c r="H66" i="21"/>
  <c r="I66" i="21"/>
  <c r="J66" i="21"/>
  <c r="K66" i="21"/>
  <c r="L66" i="21"/>
  <c r="M66" i="21"/>
  <c r="G7" i="12"/>
  <c r="G10" i="12"/>
  <c r="G12" i="13"/>
  <c r="J7" i="16"/>
  <c r="M21" i="16"/>
  <c r="I7" i="16"/>
  <c r="I9" i="16"/>
  <c r="I8" i="16"/>
  <c r="J10" i="16"/>
  <c r="D37" i="16"/>
  <c r="E28" i="16"/>
  <c r="D15" i="16"/>
  <c r="E15" i="16"/>
  <c r="C26" i="16"/>
  <c r="E26" i="16"/>
  <c r="I20" i="16"/>
  <c r="F17" i="12"/>
  <c r="L14" i="12"/>
  <c r="L32" i="12"/>
  <c r="F29" i="28"/>
  <c r="I3" i="22"/>
  <c r="I4" i="22"/>
  <c r="L7" i="12"/>
  <c r="H19" i="16"/>
  <c r="F18" i="16"/>
  <c r="F17" i="16"/>
  <c r="F19" i="16"/>
  <c r="F20" i="16"/>
  <c r="O6" i="27"/>
  <c r="F11" i="28"/>
  <c r="K15" i="22"/>
  <c r="F44" i="28"/>
  <c r="K18" i="22"/>
  <c r="N44" i="32"/>
  <c r="E44" i="32"/>
  <c r="F44" i="32"/>
  <c r="G44" i="32"/>
  <c r="H44" i="32"/>
  <c r="I44" i="32"/>
  <c r="J44" i="32"/>
  <c r="K44" i="32"/>
  <c r="L44" i="32"/>
  <c r="M44" i="32"/>
  <c r="F33" i="28"/>
  <c r="K17" i="22"/>
  <c r="E20" i="28"/>
  <c r="E31" i="28"/>
  <c r="E42" i="28"/>
  <c r="F9" i="28"/>
  <c r="F20" i="28"/>
  <c r="F31" i="28"/>
  <c r="F42" i="28"/>
  <c r="C28" i="16"/>
  <c r="I5" i="12"/>
  <c r="F47" i="32"/>
  <c r="G47" i="32"/>
  <c r="H47" i="32"/>
  <c r="I47" i="32"/>
  <c r="J47" i="32"/>
  <c r="K47" i="32"/>
  <c r="L47" i="32"/>
  <c r="M47" i="32"/>
  <c r="E45" i="32"/>
  <c r="F45" i="32"/>
  <c r="G45" i="32"/>
  <c r="H45" i="32"/>
  <c r="I45" i="32"/>
  <c r="J45" i="32"/>
  <c r="K45" i="32"/>
  <c r="L45" i="32"/>
  <c r="M45" i="32"/>
  <c r="F22" i="28"/>
  <c r="K16" i="22"/>
  <c r="G49" i="32"/>
  <c r="H49" i="32"/>
  <c r="I49" i="32"/>
  <c r="J49" i="32"/>
  <c r="K49" i="32"/>
  <c r="L49" i="32"/>
  <c r="M49" i="32"/>
  <c r="N46" i="32"/>
  <c r="D39" i="30"/>
  <c r="J51" i="10"/>
  <c r="E48" i="32"/>
  <c r="F48" i="32"/>
  <c r="G48" i="32"/>
  <c r="H48" i="32"/>
  <c r="I48" i="32"/>
  <c r="J48" i="32"/>
  <c r="K48" i="32"/>
  <c r="L48" i="32"/>
  <c r="M48" i="32"/>
  <c r="J29" i="10"/>
  <c r="K29" i="10"/>
  <c r="L29" i="10" s="1"/>
  <c r="L65" i="21"/>
  <c r="F65" i="21"/>
  <c r="H65" i="21"/>
  <c r="J65" i="21"/>
  <c r="I65" i="21"/>
  <c r="M65" i="21"/>
  <c r="C29" i="27"/>
  <c r="D24" i="27"/>
  <c r="C28" i="27"/>
  <c r="M7" i="27"/>
  <c r="E8" i="27"/>
  <c r="F8" i="27"/>
  <c r="G8" i="27"/>
  <c r="H8" i="27"/>
  <c r="I8" i="27"/>
  <c r="J8" i="27"/>
  <c r="K8" i="27"/>
  <c r="L8" i="27"/>
  <c r="M8" i="27"/>
  <c r="N8" i="27"/>
  <c r="C37" i="27"/>
  <c r="D37" i="27"/>
  <c r="E37" i="27"/>
  <c r="F37" i="27"/>
  <c r="G37" i="27"/>
  <c r="F7" i="27"/>
  <c r="C17" i="27"/>
  <c r="C7" i="27"/>
  <c r="C16" i="27"/>
  <c r="C8" i="27"/>
  <c r="E19" i="27"/>
  <c r="F35" i="27"/>
  <c r="F47" i="27"/>
  <c r="F46" i="27"/>
  <c r="I36" i="27"/>
  <c r="J7" i="27"/>
  <c r="G19" i="27"/>
  <c r="G7" i="27"/>
  <c r="I48" i="27"/>
  <c r="I35" i="27"/>
  <c r="N7" i="27"/>
  <c r="D16" i="27"/>
  <c r="D17" i="27"/>
  <c r="D19" i="27"/>
  <c r="D21" i="27"/>
  <c r="C47" i="27"/>
  <c r="D8" i="27"/>
  <c r="L19" i="27"/>
  <c r="C19" i="27"/>
  <c r="F19" i="27"/>
  <c r="N48" i="32"/>
  <c r="O48" i="32"/>
  <c r="N49" i="32"/>
  <c r="O49" i="32"/>
  <c r="N47" i="32"/>
  <c r="O47" i="32"/>
  <c r="O7" i="27"/>
  <c r="D28" i="27"/>
  <c r="D29" i="27"/>
  <c r="E24" i="27"/>
  <c r="O46" i="32"/>
  <c r="N45" i="32"/>
  <c r="O45" i="32"/>
  <c r="E28" i="27"/>
  <c r="E29" i="27"/>
  <c r="F24" i="27"/>
  <c r="F33" i="20"/>
  <c r="F34" i="20" s="1"/>
  <c r="F35" i="20" s="1"/>
  <c r="F28" i="27"/>
  <c r="F29" i="27"/>
  <c r="G24" i="27"/>
  <c r="G28" i="27"/>
  <c r="H24" i="27"/>
  <c r="G29" i="27"/>
  <c r="H28" i="27"/>
  <c r="I24" i="27"/>
  <c r="H29" i="27"/>
  <c r="I28" i="27"/>
  <c r="I29" i="27"/>
  <c r="J24" i="27"/>
  <c r="J28" i="27"/>
  <c r="J29" i="27"/>
  <c r="K24" i="27"/>
  <c r="K28" i="27"/>
  <c r="L24" i="27"/>
  <c r="K29" i="27"/>
  <c r="L28" i="27"/>
  <c r="L29" i="27"/>
  <c r="M24" i="27"/>
  <c r="M28" i="27"/>
  <c r="M29" i="27"/>
  <c r="N24" i="27"/>
  <c r="N28" i="27"/>
  <c r="N29" i="27"/>
  <c r="L26" i="12"/>
  <c r="L29" i="12"/>
  <c r="L17" i="12"/>
  <c r="L23" i="12"/>
  <c r="H7" i="13"/>
  <c r="F7" i="13"/>
  <c r="H15" i="13"/>
  <c r="F15" i="13"/>
  <c r="H5" i="10"/>
  <c r="I5" i="10"/>
  <c r="J5" i="10"/>
  <c r="K5" i="10"/>
  <c r="L5" i="10"/>
  <c r="M5" i="10"/>
  <c r="N5" i="10"/>
  <c r="O5" i="10"/>
  <c r="P5" i="10"/>
  <c r="Q5" i="10"/>
  <c r="R5" i="10"/>
  <c r="F24" i="10"/>
  <c r="K51" i="10"/>
  <c r="O27" i="10"/>
  <c r="I24" i="10"/>
  <c r="J22" i="10"/>
  <c r="H12" i="10"/>
  <c r="I12" i="10"/>
  <c r="J12" i="10"/>
  <c r="K12" i="10"/>
  <c r="L12" i="10"/>
  <c r="M12" i="10"/>
  <c r="N12" i="10"/>
  <c r="O12" i="10"/>
  <c r="P12" i="10"/>
  <c r="Q12" i="10"/>
  <c r="R12" i="10"/>
  <c r="H13" i="10"/>
  <c r="I13" i="10"/>
  <c r="J13" i="10"/>
  <c r="K13" i="10"/>
  <c r="L13" i="10"/>
  <c r="M13" i="10"/>
  <c r="N13" i="10"/>
  <c r="O13" i="10"/>
  <c r="P13" i="10"/>
  <c r="Q13" i="10"/>
  <c r="R13" i="10"/>
  <c r="H24" i="10"/>
  <c r="H11" i="10"/>
  <c r="I11" i="10"/>
  <c r="J11" i="10"/>
  <c r="K11" i="10"/>
  <c r="L11" i="10"/>
  <c r="M11" i="10"/>
  <c r="N11" i="10"/>
  <c r="O11" i="10"/>
  <c r="P11" i="10"/>
  <c r="Q11" i="10"/>
  <c r="R11" i="10"/>
  <c r="H8" i="10"/>
  <c r="I8" i="10"/>
  <c r="J8" i="10"/>
  <c r="K8" i="10"/>
  <c r="L8" i="10"/>
  <c r="M8" i="10"/>
  <c r="N8" i="10"/>
  <c r="O8" i="10"/>
  <c r="P8" i="10"/>
  <c r="Q8" i="10"/>
  <c r="R8" i="10"/>
  <c r="H41" i="10"/>
  <c r="I41" i="10"/>
  <c r="J41" i="10"/>
  <c r="K41" i="10"/>
  <c r="L41" i="10"/>
  <c r="M41" i="10"/>
  <c r="N41" i="10"/>
  <c r="O41" i="10"/>
  <c r="P41" i="10"/>
  <c r="Q41" i="10"/>
  <c r="R41" i="10"/>
  <c r="H10" i="13"/>
  <c r="F10" i="13"/>
  <c r="F23" i="13"/>
  <c r="H8" i="13"/>
  <c r="F8" i="13"/>
  <c r="F25" i="13"/>
  <c r="H25" i="13"/>
  <c r="H24" i="13"/>
  <c r="F24" i="13"/>
  <c r="F26" i="13"/>
  <c r="F5" i="13"/>
  <c r="F22" i="13"/>
  <c r="F9" i="13"/>
  <c r="H9" i="13"/>
  <c r="F6" i="13"/>
  <c r="H6" i="13"/>
  <c r="L13" i="21"/>
  <c r="L33" i="21"/>
  <c r="F11" i="13"/>
  <c r="H21" i="13"/>
  <c r="F21" i="13"/>
  <c r="H16" i="13"/>
  <c r="F16" i="13"/>
  <c r="F18" i="13"/>
  <c r="G52" i="21"/>
  <c r="H44" i="10"/>
  <c r="I44" i="10"/>
  <c r="J44" i="10"/>
  <c r="K44" i="10"/>
  <c r="L44" i="10"/>
  <c r="M44" i="10"/>
  <c r="N44" i="10"/>
  <c r="O44" i="10"/>
  <c r="P44" i="10"/>
  <c r="Q44" i="10"/>
  <c r="R44" i="10"/>
  <c r="H43" i="10"/>
  <c r="I43" i="10"/>
  <c r="J43" i="10"/>
  <c r="K43" i="10"/>
  <c r="L43" i="10"/>
  <c r="M43" i="10"/>
  <c r="N43" i="10"/>
  <c r="O43" i="10"/>
  <c r="P43" i="10"/>
  <c r="Q43" i="10"/>
  <c r="R43" i="10"/>
  <c r="H42" i="10"/>
  <c r="I42" i="10"/>
  <c r="J42" i="10"/>
  <c r="K42" i="10"/>
  <c r="L42" i="10"/>
  <c r="M42" i="10"/>
  <c r="N42" i="10"/>
  <c r="O42" i="10"/>
  <c r="P42" i="10"/>
  <c r="Q42" i="10"/>
  <c r="R42" i="10"/>
  <c r="H38" i="10"/>
  <c r="D83" i="30"/>
  <c r="F4" i="13"/>
  <c r="H4" i="13"/>
  <c r="K13" i="21"/>
  <c r="I44" i="21"/>
  <c r="J44" i="21"/>
  <c r="K44" i="21"/>
  <c r="L44" i="21"/>
  <c r="M44" i="21"/>
  <c r="E10" i="21"/>
  <c r="G49" i="27"/>
  <c r="G51" i="27"/>
  <c r="C49" i="27"/>
  <c r="C51" i="27"/>
  <c r="C21" i="27"/>
  <c r="C22" i="27"/>
  <c r="D22" i="27"/>
  <c r="E22" i="27"/>
  <c r="D49" i="27"/>
  <c r="D51" i="27"/>
  <c r="G21" i="27"/>
  <c r="F21" i="27"/>
  <c r="K19" i="27"/>
  <c r="K21" i="27"/>
  <c r="F22" i="27"/>
  <c r="G22" i="27"/>
  <c r="H22" i="27"/>
  <c r="I22" i="27"/>
  <c r="F51" i="27"/>
  <c r="O16" i="27"/>
  <c r="L21" i="27"/>
  <c r="M21" i="27"/>
  <c r="O14" i="27"/>
  <c r="O17" i="27"/>
  <c r="O18" i="27"/>
  <c r="J19" i="27"/>
  <c r="J21" i="27"/>
  <c r="I10" i="10"/>
  <c r="K6" i="10"/>
  <c r="H66" i="10"/>
  <c r="I66" i="10"/>
  <c r="J33" i="10"/>
  <c r="I34" i="10"/>
  <c r="H34" i="10"/>
  <c r="H18" i="10"/>
  <c r="F54" i="13"/>
  <c r="K54" i="13"/>
  <c r="G54" i="13"/>
  <c r="E54" i="13"/>
  <c r="H54" i="13"/>
  <c r="I54" i="13"/>
  <c r="J24" i="10"/>
  <c r="K22" i="10"/>
  <c r="P27" i="10"/>
  <c r="H12" i="13"/>
  <c r="H38" i="13"/>
  <c r="F38" i="13"/>
  <c r="K38" i="13"/>
  <c r="G38" i="13"/>
  <c r="I38" i="13"/>
  <c r="E38" i="13"/>
  <c r="M33" i="21"/>
  <c r="L32" i="21"/>
  <c r="H27" i="13"/>
  <c r="H52" i="21"/>
  <c r="I38" i="10"/>
  <c r="E16" i="21"/>
  <c r="E14" i="21"/>
  <c r="J22" i="27"/>
  <c r="K22" i="27"/>
  <c r="L22" i="27"/>
  <c r="M22" i="27"/>
  <c r="N22" i="27"/>
  <c r="C52" i="27"/>
  <c r="D52" i="27"/>
  <c r="E52" i="27"/>
  <c r="F52" i="27"/>
  <c r="G52" i="27"/>
  <c r="O19" i="27"/>
  <c r="F39" i="30"/>
  <c r="E37" i="21"/>
  <c r="J10" i="10"/>
  <c r="J18" i="10" s="1"/>
  <c r="L6" i="10"/>
  <c r="K33" i="10"/>
  <c r="J34" i="10"/>
  <c r="Q27" i="10"/>
  <c r="K24" i="10"/>
  <c r="L22" i="10"/>
  <c r="L35" i="12"/>
  <c r="H50" i="12" s="1"/>
  <c r="M32" i="21"/>
  <c r="D30" i="30"/>
  <c r="I52" i="21"/>
  <c r="J38" i="10"/>
  <c r="E49" i="21"/>
  <c r="E27" i="21"/>
  <c r="K10" i="10"/>
  <c r="M6" i="10"/>
  <c r="L33" i="10"/>
  <c r="M22" i="10"/>
  <c r="L24" i="10"/>
  <c r="R27" i="10"/>
  <c r="J52" i="21"/>
  <c r="K38" i="10"/>
  <c r="E27" i="16"/>
  <c r="C27" i="16" s="1"/>
  <c r="L10" i="10"/>
  <c r="N6" i="10"/>
  <c r="M33" i="10"/>
  <c r="N22" i="10"/>
  <c r="M24" i="10"/>
  <c r="K52" i="21"/>
  <c r="L38" i="10"/>
  <c r="F27" i="21"/>
  <c r="M10" i="10"/>
  <c r="O6" i="10"/>
  <c r="O22" i="10"/>
  <c r="N24" i="10"/>
  <c r="L52" i="21"/>
  <c r="M38" i="10"/>
  <c r="H27" i="21"/>
  <c r="J37" i="21"/>
  <c r="I37" i="21"/>
  <c r="N10" i="10"/>
  <c r="O10" i="10" s="1"/>
  <c r="P10" i="10" s="1"/>
  <c r="Q10" i="10" s="1"/>
  <c r="R10" i="10" s="1"/>
  <c r="P6" i="10"/>
  <c r="O24" i="10"/>
  <c r="P22" i="10"/>
  <c r="M52" i="21"/>
  <c r="N38" i="10"/>
  <c r="G27" i="21"/>
  <c r="K37" i="21"/>
  <c r="I27" i="21"/>
  <c r="Q6" i="10"/>
  <c r="Q22" i="10"/>
  <c r="P24" i="10"/>
  <c r="O38" i="10"/>
  <c r="J27" i="21"/>
  <c r="I28" i="30"/>
  <c r="R6" i="10"/>
  <c r="R22" i="10"/>
  <c r="R24" i="10"/>
  <c r="Q24" i="10"/>
  <c r="P38" i="10"/>
  <c r="K27" i="21"/>
  <c r="L37" i="21"/>
  <c r="I30" i="19"/>
  <c r="Q38" i="10"/>
  <c r="L27" i="21"/>
  <c r="M37" i="21"/>
  <c r="R38" i="10"/>
  <c r="M27" i="21"/>
  <c r="D120" i="30"/>
  <c r="H14" i="21"/>
  <c r="H17" i="21"/>
  <c r="G19" i="1"/>
  <c r="G30" i="30" s="1"/>
  <c r="H37" i="21"/>
  <c r="L23" i="24" l="1"/>
  <c r="L44" i="24"/>
  <c r="L38" i="24"/>
  <c r="L11" i="24"/>
  <c r="K93" i="24"/>
  <c r="L21" i="24"/>
  <c r="D18" i="24"/>
  <c r="J93" i="24"/>
  <c r="L15" i="24"/>
  <c r="L13" i="24"/>
  <c r="L47" i="24"/>
  <c r="L41" i="24"/>
  <c r="L39" i="24"/>
  <c r="L22" i="24"/>
  <c r="L12" i="24"/>
  <c r="H90" i="24"/>
  <c r="H91" i="24" s="1"/>
  <c r="L5" i="24"/>
  <c r="L32" i="24"/>
  <c r="D34" i="24"/>
  <c r="L43" i="24"/>
  <c r="L37" i="24"/>
  <c r="L9" i="24"/>
  <c r="G19" i="30"/>
  <c r="G93" i="30" s="1"/>
  <c r="L20" i="30"/>
  <c r="L94" i="30" s="1"/>
  <c r="G10" i="15"/>
  <c r="L19" i="19"/>
  <c r="J10" i="15"/>
  <c r="M40" i="30"/>
  <c r="M101" i="30" s="1"/>
  <c r="J29" i="30"/>
  <c r="L27" i="30"/>
  <c r="L30" i="30"/>
  <c r="K30" i="30"/>
  <c r="K28" i="30"/>
  <c r="K27" i="30"/>
  <c r="L28" i="30"/>
  <c r="J30" i="30"/>
  <c r="K26" i="30"/>
  <c r="L29" i="30"/>
  <c r="J28" i="30"/>
  <c r="J27" i="30"/>
  <c r="J26" i="30"/>
  <c r="K29" i="30"/>
  <c r="C7" i="36"/>
  <c r="C15" i="36" s="1"/>
  <c r="C14" i="36"/>
  <c r="L42" i="12"/>
  <c r="L44" i="12" s="1"/>
  <c r="E61" i="21" s="1"/>
  <c r="L41" i="12"/>
  <c r="L43" i="12"/>
  <c r="D50" i="12"/>
  <c r="I51" i="12"/>
  <c r="K62" i="21" s="1"/>
  <c r="E51" i="12"/>
  <c r="G62" i="21" s="1"/>
  <c r="L51" i="12"/>
  <c r="N62" i="21" s="1"/>
  <c r="N63" i="21" s="1"/>
  <c r="M51" i="12"/>
  <c r="O62" i="21" s="1"/>
  <c r="O63" i="21" s="1"/>
  <c r="L50" i="12"/>
  <c r="M50" i="12"/>
  <c r="O60" i="21" s="1"/>
  <c r="D51" i="12"/>
  <c r="F62" i="21" s="1"/>
  <c r="F63" i="21" s="1"/>
  <c r="H51" i="12"/>
  <c r="J62" i="21" s="1"/>
  <c r="J63" i="21" s="1"/>
  <c r="K50" i="12"/>
  <c r="G50" i="12"/>
  <c r="K51" i="12"/>
  <c r="M62" i="21" s="1"/>
  <c r="L26" i="1" s="1"/>
  <c r="L37" i="30" s="1"/>
  <c r="G51" i="12"/>
  <c r="I62" i="21" s="1"/>
  <c r="J50" i="12"/>
  <c r="F50" i="12"/>
  <c r="H28" i="24"/>
  <c r="L28" i="24" s="1"/>
  <c r="G27" i="24"/>
  <c r="H27" i="24" s="1"/>
  <c r="L24" i="24"/>
  <c r="E31" i="24"/>
  <c r="F31" i="24" s="1"/>
  <c r="G31" i="24" s="1"/>
  <c r="H31" i="24" s="1"/>
  <c r="H24" i="24"/>
  <c r="H18" i="24"/>
  <c r="G24" i="24"/>
  <c r="L42" i="24"/>
  <c r="D59" i="24"/>
  <c r="G18" i="24"/>
  <c r="L6" i="24"/>
  <c r="E54" i="24"/>
  <c r="E59" i="24" s="1"/>
  <c r="L52" i="24"/>
  <c r="H51" i="24"/>
  <c r="L51" i="24" s="1"/>
  <c r="E66" i="24"/>
  <c r="F62" i="24"/>
  <c r="H65" i="24"/>
  <c r="L65" i="24" s="1"/>
  <c r="F30" i="24"/>
  <c r="F18" i="24"/>
  <c r="D66" i="24"/>
  <c r="L63" i="24"/>
  <c r="L58" i="24"/>
  <c r="L53" i="24"/>
  <c r="I77" i="24"/>
  <c r="L57" i="24"/>
  <c r="I86" i="24"/>
  <c r="I93" i="24" s="1"/>
  <c r="H29" i="24"/>
  <c r="F64" i="24"/>
  <c r="G64" i="24" s="1"/>
  <c r="H64" i="24" s="1"/>
  <c r="L56" i="24"/>
  <c r="L55" i="24"/>
  <c r="J26" i="1"/>
  <c r="J37" i="30" s="1"/>
  <c r="K63" i="21"/>
  <c r="K26" i="1"/>
  <c r="K37" i="30" s="1"/>
  <c r="L63" i="21"/>
  <c r="G26" i="1"/>
  <c r="G37" i="30" s="1"/>
  <c r="H63" i="21"/>
  <c r="K23" i="1"/>
  <c r="K35" i="30" s="1"/>
  <c r="M63" i="21"/>
  <c r="J23" i="1"/>
  <c r="J35" i="30" s="1"/>
  <c r="L69" i="24"/>
  <c r="C13" i="20" s="1"/>
  <c r="I13" i="20" s="1"/>
  <c r="E85" i="24"/>
  <c r="J66" i="10"/>
  <c r="K62" i="10"/>
  <c r="I59" i="10"/>
  <c r="K53" i="10"/>
  <c r="K59" i="10" s="1"/>
  <c r="J59" i="10"/>
  <c r="M29" i="10"/>
  <c r="L34" i="10"/>
  <c r="K34" i="10"/>
  <c r="L18" i="10"/>
  <c r="M16" i="10"/>
  <c r="D36" i="39"/>
  <c r="D41" i="39" s="1"/>
  <c r="F68" i="10"/>
  <c r="G60" i="21"/>
  <c r="G63" i="21"/>
  <c r="F5" i="1"/>
  <c r="F6" i="39" s="1"/>
  <c r="F8" i="1"/>
  <c r="F9" i="39" s="1"/>
  <c r="E57" i="34"/>
  <c r="E23" i="1"/>
  <c r="E35" i="30" s="1"/>
  <c r="E19" i="1"/>
  <c r="E30" i="30" s="1"/>
  <c r="E27" i="1"/>
  <c r="F14" i="21"/>
  <c r="E8" i="1"/>
  <c r="E19" i="30" s="1"/>
  <c r="E93" i="30" s="1"/>
  <c r="G10" i="21"/>
  <c r="F36" i="20"/>
  <c r="F37" i="20" s="1"/>
  <c r="F38" i="20" s="1"/>
  <c r="F39" i="20" s="1"/>
  <c r="G37" i="20" s="1"/>
  <c r="C46" i="20" s="1"/>
  <c r="E39" i="20"/>
  <c r="D15" i="23"/>
  <c r="C7" i="29"/>
  <c r="C15" i="29" s="1"/>
  <c r="C7" i="37"/>
  <c r="E36" i="15"/>
  <c r="G8" i="15"/>
  <c r="H8" i="15"/>
  <c r="G12" i="15"/>
  <c r="E77" i="1"/>
  <c r="E37" i="39" s="1"/>
  <c r="E5" i="35"/>
  <c r="F21" i="30"/>
  <c r="F95" i="30" s="1"/>
  <c r="G11" i="15"/>
  <c r="G30" i="19"/>
  <c r="K30" i="19"/>
  <c r="G19" i="19"/>
  <c r="L21" i="30"/>
  <c r="L95" i="30" s="1"/>
  <c r="K19" i="30"/>
  <c r="K93" i="30" s="1"/>
  <c r="H19" i="30"/>
  <c r="H93" i="30" s="1"/>
  <c r="K11" i="15"/>
  <c r="D17" i="30"/>
  <c r="D16" i="19"/>
  <c r="D17" i="19" s="1"/>
  <c r="K10" i="15"/>
  <c r="F9" i="15"/>
  <c r="H76" i="1"/>
  <c r="F24" i="15"/>
  <c r="G108" i="30" s="1"/>
  <c r="I30" i="1"/>
  <c r="H39" i="30"/>
  <c r="H19" i="19"/>
  <c r="I76" i="1"/>
  <c r="F24" i="39"/>
  <c r="E24" i="15"/>
  <c r="F108" i="30" s="1"/>
  <c r="K19" i="19"/>
  <c r="G39" i="30"/>
  <c r="D47" i="1"/>
  <c r="D18" i="39" s="1"/>
  <c r="K4" i="19"/>
  <c r="K5" i="19" s="1"/>
  <c r="I11" i="15"/>
  <c r="L19" i="30"/>
  <c r="L93" i="30" s="1"/>
  <c r="H21" i="30"/>
  <c r="H95" i="30" s="1"/>
  <c r="G17" i="30"/>
  <c r="D12" i="15"/>
  <c r="K9" i="15"/>
  <c r="I6" i="15"/>
  <c r="F6" i="15"/>
  <c r="J16" i="19"/>
  <c r="J17" i="19" s="1"/>
  <c r="H16" i="19"/>
  <c r="H17" i="19" s="1"/>
  <c r="I20" i="1"/>
  <c r="H16" i="15" s="1"/>
  <c r="H20" i="1"/>
  <c r="H16" i="39" s="1"/>
  <c r="D21" i="30"/>
  <c r="D95" i="30" s="1"/>
  <c r="K21" i="30"/>
  <c r="K95" i="30" s="1"/>
  <c r="J17" i="30"/>
  <c r="E22" i="30"/>
  <c r="E96" i="30" s="1"/>
  <c r="C11" i="15"/>
  <c r="C6" i="15"/>
  <c r="K16" i="19"/>
  <c r="K17" i="19" s="1"/>
  <c r="K20" i="19" s="1"/>
  <c r="D12" i="1"/>
  <c r="D12" i="39"/>
  <c r="D13" i="39" s="1"/>
  <c r="K8" i="15"/>
  <c r="L8" i="39"/>
  <c r="M8" i="15"/>
  <c r="N8" i="39"/>
  <c r="J38" i="30"/>
  <c r="K20" i="1"/>
  <c r="K16" i="39" s="1"/>
  <c r="I22" i="30"/>
  <c r="I96" i="30" s="1"/>
  <c r="F22" i="30"/>
  <c r="F96" i="30" s="1"/>
  <c r="E21" i="30"/>
  <c r="E95" i="30" s="1"/>
  <c r="E9" i="39"/>
  <c r="K12" i="15"/>
  <c r="L12" i="39"/>
  <c r="L17" i="30"/>
  <c r="L6" i="39"/>
  <c r="H6" i="15"/>
  <c r="I6" i="39"/>
  <c r="H17" i="30"/>
  <c r="H6" i="39"/>
  <c r="J19" i="19"/>
  <c r="J20" i="19" s="1"/>
  <c r="F19" i="19"/>
  <c r="E19" i="19"/>
  <c r="E20" i="19" s="1"/>
  <c r="H26" i="30"/>
  <c r="H31" i="30" s="1"/>
  <c r="H100" i="30" s="1"/>
  <c r="F16" i="19"/>
  <c r="F17" i="19" s="1"/>
  <c r="E9" i="30"/>
  <c r="F9" i="30" s="1"/>
  <c r="D26" i="30"/>
  <c r="D31" i="30" s="1"/>
  <c r="D100" i="30" s="1"/>
  <c r="J21" i="30"/>
  <c r="J95" i="30" s="1"/>
  <c r="I17" i="30"/>
  <c r="H22" i="30"/>
  <c r="H96" i="30" s="1"/>
  <c r="G21" i="30"/>
  <c r="G95" i="30" s="1"/>
  <c r="D20" i="1"/>
  <c r="D11" i="15"/>
  <c r="J6" i="15"/>
  <c r="H12" i="15"/>
  <c r="F11" i="15"/>
  <c r="E12" i="15"/>
  <c r="I9" i="15"/>
  <c r="J9" i="39"/>
  <c r="I19" i="30"/>
  <c r="I93" i="30" s="1"/>
  <c r="I9" i="39"/>
  <c r="I20" i="30"/>
  <c r="I94" i="30" s="1"/>
  <c r="I10" i="39"/>
  <c r="L10" i="15"/>
  <c r="M10" i="39"/>
  <c r="G20" i="30"/>
  <c r="G94" i="30" s="1"/>
  <c r="L30" i="19"/>
  <c r="H30" i="19"/>
  <c r="K38" i="30"/>
  <c r="D19" i="19"/>
  <c r="L22" i="30"/>
  <c r="L96" i="30" s="1"/>
  <c r="K17" i="30"/>
  <c r="J22" i="30"/>
  <c r="J96" i="30" s="1"/>
  <c r="I21" i="30"/>
  <c r="I95" i="30" s="1"/>
  <c r="H20" i="30"/>
  <c r="H94" i="30" s="1"/>
  <c r="H4" i="19"/>
  <c r="H5" i="19" s="1"/>
  <c r="J11" i="15"/>
  <c r="I12" i="15"/>
  <c r="G9" i="15"/>
  <c r="F10" i="15"/>
  <c r="E11" i="15"/>
  <c r="J8" i="15"/>
  <c r="K8" i="39"/>
  <c r="I8" i="15"/>
  <c r="J8" i="39"/>
  <c r="F8" i="15"/>
  <c r="G8" i="39"/>
  <c r="E4" i="19"/>
  <c r="E5" i="19" s="1"/>
  <c r="M10" i="15"/>
  <c r="N10" i="39"/>
  <c r="H36" i="30"/>
  <c r="L24" i="1"/>
  <c r="I24" i="1"/>
  <c r="J25" i="1"/>
  <c r="H35" i="30"/>
  <c r="L23" i="1"/>
  <c r="I23" i="1"/>
  <c r="G24" i="1"/>
  <c r="G23" i="1"/>
  <c r="K22" i="30"/>
  <c r="K96" i="30" s="1"/>
  <c r="J12" i="15"/>
  <c r="H10" i="15"/>
  <c r="D52" i="30"/>
  <c r="D51" i="30"/>
  <c r="D50" i="30"/>
  <c r="D55" i="30"/>
  <c r="G46" i="1"/>
  <c r="H9" i="15"/>
  <c r="I38" i="30"/>
  <c r="I16" i="19"/>
  <c r="I17" i="19" s="1"/>
  <c r="G16" i="19"/>
  <c r="G17" i="19" s="1"/>
  <c r="G38" i="30"/>
  <c r="D6" i="15"/>
  <c r="E17" i="30"/>
  <c r="G22" i="30"/>
  <c r="G96" i="30" s="1"/>
  <c r="F12" i="15"/>
  <c r="L20" i="1"/>
  <c r="L16" i="39" s="1"/>
  <c r="L26" i="30"/>
  <c r="C12" i="15"/>
  <c r="D22" i="30"/>
  <c r="D96" i="30" s="1"/>
  <c r="G20" i="1"/>
  <c r="G16" i="39" s="1"/>
  <c r="L16" i="19"/>
  <c r="L17" i="19" s="1"/>
  <c r="L20" i="19" s="1"/>
  <c r="G31" i="30"/>
  <c r="G100" i="30" s="1"/>
  <c r="D54" i="30"/>
  <c r="J20" i="1"/>
  <c r="J16" i="39" s="1"/>
  <c r="E26" i="30"/>
  <c r="K6" i="15"/>
  <c r="J20" i="30"/>
  <c r="J94" i="30" s="1"/>
  <c r="J30" i="19"/>
  <c r="I10" i="15"/>
  <c r="H11" i="15"/>
  <c r="I19" i="19"/>
  <c r="I31" i="30"/>
  <c r="K5" i="35"/>
  <c r="G46" i="24"/>
  <c r="H46" i="10"/>
  <c r="I46" i="10" s="1"/>
  <c r="J46" i="10" s="1"/>
  <c r="K46" i="10" s="1"/>
  <c r="L46" i="10" s="1"/>
  <c r="M46" i="10" s="1"/>
  <c r="N46" i="10" s="1"/>
  <c r="O46" i="10" s="1"/>
  <c r="P46" i="10" s="1"/>
  <c r="Q46" i="10" s="1"/>
  <c r="R46" i="10" s="1"/>
  <c r="G42" i="21"/>
  <c r="N18" i="1"/>
  <c r="N29" i="30" s="1"/>
  <c r="N17" i="1"/>
  <c r="N28" i="30" s="1"/>
  <c r="N26" i="1"/>
  <c r="N37" i="30" s="1"/>
  <c r="M18" i="1"/>
  <c r="M29" i="30" s="1"/>
  <c r="M17" i="1"/>
  <c r="M28" i="30" s="1"/>
  <c r="M31" i="30" s="1"/>
  <c r="M26" i="1"/>
  <c r="M37" i="30" s="1"/>
  <c r="E30" i="16"/>
  <c r="D76" i="30"/>
  <c r="D81" i="30" s="1"/>
  <c r="F5" i="35"/>
  <c r="I5" i="35"/>
  <c r="F40" i="24"/>
  <c r="G40" i="24"/>
  <c r="H40" i="10"/>
  <c r="H40" i="24"/>
  <c r="F45" i="24"/>
  <c r="H45" i="24"/>
  <c r="H45" i="10"/>
  <c r="I45" i="10" s="1"/>
  <c r="J45" i="10" s="1"/>
  <c r="K45" i="10" s="1"/>
  <c r="L45" i="10" s="1"/>
  <c r="M45" i="10" s="1"/>
  <c r="N45" i="10" s="1"/>
  <c r="O45" i="10" s="1"/>
  <c r="P45" i="10" s="1"/>
  <c r="Q45" i="10" s="1"/>
  <c r="R45" i="10" s="1"/>
  <c r="G45" i="24"/>
  <c r="F46" i="24"/>
  <c r="D29" i="35"/>
  <c r="H46" i="24"/>
  <c r="E16" i="35"/>
  <c r="E28" i="35" s="1"/>
  <c r="E20" i="35"/>
  <c r="E21" i="35" s="1"/>
  <c r="E23" i="35"/>
  <c r="G5" i="35"/>
  <c r="M4" i="35"/>
  <c r="M17" i="35" s="1"/>
  <c r="I42" i="21"/>
  <c r="I23" i="35"/>
  <c r="K42" i="21"/>
  <c r="L5" i="35"/>
  <c r="M5" i="35" s="1"/>
  <c r="N5" i="35" s="1"/>
  <c r="O5" i="35" s="1"/>
  <c r="P5" i="35" s="1"/>
  <c r="Q5" i="35" s="1"/>
  <c r="R5" i="35" s="1"/>
  <c r="S5" i="35" s="1"/>
  <c r="T5" i="35" s="1"/>
  <c r="U5" i="35" s="1"/>
  <c r="L16" i="35"/>
  <c r="K20" i="35"/>
  <c r="K21" i="35" s="1"/>
  <c r="F23" i="35"/>
  <c r="F16" i="35"/>
  <c r="F33" i="35" s="1"/>
  <c r="F20" i="35"/>
  <c r="F21" i="35" s="1"/>
  <c r="H17" i="35"/>
  <c r="I16" i="35" s="1"/>
  <c r="H5" i="35"/>
  <c r="F42" i="21"/>
  <c r="J17" i="35"/>
  <c r="J5" i="35"/>
  <c r="I20" i="35"/>
  <c r="I21" i="35" s="1"/>
  <c r="L20" i="35"/>
  <c r="L21" i="35" s="1"/>
  <c r="L23" i="35"/>
  <c r="G16" i="35"/>
  <c r="G20" i="35"/>
  <c r="G21" i="35" s="1"/>
  <c r="E27" i="35"/>
  <c r="F69" i="10" l="1"/>
  <c r="F70" i="10" s="1"/>
  <c r="F72" i="10" s="1"/>
  <c r="D68" i="24"/>
  <c r="D70" i="24" s="1"/>
  <c r="D71" i="24" s="1"/>
  <c r="E34" i="24"/>
  <c r="L18" i="24"/>
  <c r="F54" i="24"/>
  <c r="M43" i="30"/>
  <c r="M100" i="30"/>
  <c r="N31" i="30"/>
  <c r="E6" i="15"/>
  <c r="E52" i="30"/>
  <c r="E55" i="30"/>
  <c r="J31" i="30"/>
  <c r="J100" i="30" s="1"/>
  <c r="K31" i="30"/>
  <c r="K100" i="30" s="1"/>
  <c r="L31" i="30"/>
  <c r="L100" i="30" s="1"/>
  <c r="C8" i="37"/>
  <c r="M77" i="1" s="1"/>
  <c r="M37" i="39" s="1"/>
  <c r="C15" i="37"/>
  <c r="H26" i="1"/>
  <c r="I63" i="21"/>
  <c r="J4" i="19"/>
  <c r="J5" i="19" s="1"/>
  <c r="I26" i="1"/>
  <c r="I37" i="30" s="1"/>
  <c r="N25" i="1"/>
  <c r="N36" i="30" s="1"/>
  <c r="N23" i="1"/>
  <c r="N35" i="30" s="1"/>
  <c r="N24" i="1"/>
  <c r="G27" i="19"/>
  <c r="G28" i="19" s="1"/>
  <c r="G37" i="19" s="1"/>
  <c r="E63" i="21"/>
  <c r="E60" i="21"/>
  <c r="D25" i="1"/>
  <c r="G20" i="19"/>
  <c r="F17" i="30"/>
  <c r="E68" i="24"/>
  <c r="E70" i="24" s="1"/>
  <c r="E76" i="24" s="1"/>
  <c r="E86" i="24" s="1"/>
  <c r="L27" i="24"/>
  <c r="L31" i="24"/>
  <c r="L64" i="24"/>
  <c r="G54" i="24"/>
  <c r="F59" i="24"/>
  <c r="G62" i="24"/>
  <c r="F66" i="24"/>
  <c r="F34" i="24"/>
  <c r="G30" i="24"/>
  <c r="L29" i="24"/>
  <c r="K66" i="10"/>
  <c r="L62" i="10"/>
  <c r="M34" i="10"/>
  <c r="N29" i="10"/>
  <c r="N16" i="10"/>
  <c r="M18" i="10"/>
  <c r="E9" i="15"/>
  <c r="F19" i="30"/>
  <c r="F93" i="30" s="1"/>
  <c r="G16" i="21"/>
  <c r="G14" i="21"/>
  <c r="D9" i="15"/>
  <c r="E60" i="34"/>
  <c r="F17" i="21"/>
  <c r="F42" i="20"/>
  <c r="G34" i="20"/>
  <c r="C44" i="20" s="1"/>
  <c r="G38" i="20"/>
  <c r="C47" i="20" s="1"/>
  <c r="G35" i="20"/>
  <c r="G36" i="20"/>
  <c r="C45" i="20" s="1"/>
  <c r="G33" i="20"/>
  <c r="C43" i="20" s="1"/>
  <c r="C4" i="36"/>
  <c r="C12" i="36" s="1"/>
  <c r="F77" i="1"/>
  <c r="F37" i="39" s="1"/>
  <c r="D39" i="15"/>
  <c r="E121" i="30" s="1"/>
  <c r="E83" i="30"/>
  <c r="C18" i="15"/>
  <c r="J16" i="15"/>
  <c r="D22" i="19"/>
  <c r="D23" i="19" s="1"/>
  <c r="F20" i="19"/>
  <c r="I16" i="39"/>
  <c r="C13" i="15"/>
  <c r="H20" i="19"/>
  <c r="H24" i="39"/>
  <c r="G24" i="15"/>
  <c r="H108" i="30" s="1"/>
  <c r="G16" i="15"/>
  <c r="I24" i="39"/>
  <c r="J76" i="1"/>
  <c r="H24" i="15"/>
  <c r="I108" i="30" s="1"/>
  <c r="F53" i="30"/>
  <c r="F51" i="30"/>
  <c r="D97" i="30"/>
  <c r="J30" i="1"/>
  <c r="J27" i="19" s="1"/>
  <c r="J28" i="19" s="1"/>
  <c r="I39" i="30"/>
  <c r="I20" i="19"/>
  <c r="E51" i="30"/>
  <c r="D21" i="1"/>
  <c r="F52" i="30"/>
  <c r="D20" i="19"/>
  <c r="E53" i="30"/>
  <c r="F55" i="30"/>
  <c r="D48" i="1"/>
  <c r="G9" i="30"/>
  <c r="G55" i="30" s="1"/>
  <c r="E50" i="30"/>
  <c r="F50" i="30"/>
  <c r="C16" i="15"/>
  <c r="D16" i="39"/>
  <c r="L45" i="24"/>
  <c r="I4" i="19"/>
  <c r="I5" i="19" s="1"/>
  <c r="I35" i="30"/>
  <c r="J36" i="30"/>
  <c r="L4" i="19"/>
  <c r="L5" i="19" s="1"/>
  <c r="L35" i="30"/>
  <c r="G4" i="19"/>
  <c r="G5" i="19" s="1"/>
  <c r="G31" i="1"/>
  <c r="G34" i="1" s="1"/>
  <c r="G35" i="30"/>
  <c r="G40" i="30" s="1"/>
  <c r="G101" i="30" s="1"/>
  <c r="K16" i="15"/>
  <c r="H46" i="1"/>
  <c r="G47" i="1"/>
  <c r="I100" i="30"/>
  <c r="I16" i="15"/>
  <c r="D23" i="30"/>
  <c r="D56" i="30"/>
  <c r="F16" i="15"/>
  <c r="N4" i="35"/>
  <c r="O4" i="35" s="1"/>
  <c r="M20" i="1"/>
  <c r="M16" i="39" s="1"/>
  <c r="N20" i="1"/>
  <c r="N16" i="39" s="1"/>
  <c r="E26" i="35"/>
  <c r="F26" i="35" s="1"/>
  <c r="G26" i="35" s="1"/>
  <c r="E32" i="35"/>
  <c r="F32" i="35" s="1"/>
  <c r="G32" i="35" s="1"/>
  <c r="H48" i="24"/>
  <c r="H48" i="10"/>
  <c r="H69" i="10" s="1"/>
  <c r="I40" i="10"/>
  <c r="G48" i="24"/>
  <c r="L46" i="24"/>
  <c r="F48" i="24"/>
  <c r="L40" i="24"/>
  <c r="F27" i="35"/>
  <c r="G27" i="35" s="1"/>
  <c r="F28" i="35"/>
  <c r="G28" i="35" s="1"/>
  <c r="H23" i="35"/>
  <c r="H16" i="35"/>
  <c r="H42" i="21"/>
  <c r="H20" i="35"/>
  <c r="H21" i="35" s="1"/>
  <c r="M16" i="35"/>
  <c r="M23" i="35"/>
  <c r="M42" i="21"/>
  <c r="M20" i="35"/>
  <c r="M21" i="35" s="1"/>
  <c r="J23" i="35"/>
  <c r="J16" i="35"/>
  <c r="J20" i="35"/>
  <c r="J21" i="35" s="1"/>
  <c r="J42" i="21"/>
  <c r="K16" i="35"/>
  <c r="F34" i="35"/>
  <c r="G33" i="35"/>
  <c r="E71" i="24" l="1"/>
  <c r="E77" i="24"/>
  <c r="F68" i="24"/>
  <c r="F70" i="24" s="1"/>
  <c r="N100" i="30"/>
  <c r="N43" i="30"/>
  <c r="N40" i="30"/>
  <c r="N101" i="30" s="1"/>
  <c r="H9" i="30"/>
  <c r="I9" i="30" s="1"/>
  <c r="N77" i="1"/>
  <c r="N37" i="39" s="1"/>
  <c r="I77" i="1"/>
  <c r="I37" i="39" s="1"/>
  <c r="L77" i="1"/>
  <c r="L37" i="39" s="1"/>
  <c r="I29" i="37"/>
  <c r="J29" i="37" s="1"/>
  <c r="G30" i="37" s="1"/>
  <c r="H30" i="37" s="1"/>
  <c r="K77" i="1"/>
  <c r="K37" i="39" s="1"/>
  <c r="J77" i="1"/>
  <c r="J37" i="39" s="1"/>
  <c r="G77" i="1"/>
  <c r="G37" i="39" s="1"/>
  <c r="H77" i="1"/>
  <c r="C16" i="37"/>
  <c r="D36" i="30"/>
  <c r="D40" i="30" s="1"/>
  <c r="D41" i="30" s="1"/>
  <c r="D31" i="1"/>
  <c r="I31" i="1"/>
  <c r="I17" i="39" s="1"/>
  <c r="G31" i="19"/>
  <c r="I27" i="19"/>
  <c r="I28" i="19" s="1"/>
  <c r="H37" i="30"/>
  <c r="H40" i="30" s="1"/>
  <c r="H101" i="30" s="1"/>
  <c r="H31" i="1"/>
  <c r="H27" i="19"/>
  <c r="H28" i="19" s="1"/>
  <c r="H30" i="24"/>
  <c r="G34" i="24"/>
  <c r="H54" i="24"/>
  <c r="H59" i="24" s="1"/>
  <c r="G59" i="24"/>
  <c r="H62" i="24"/>
  <c r="H66" i="24" s="1"/>
  <c r="G66" i="24"/>
  <c r="L62" i="24"/>
  <c r="L66" i="24" s="1"/>
  <c r="F85" i="24"/>
  <c r="D76" i="24"/>
  <c r="D86" i="24" s="1"/>
  <c r="M62" i="10"/>
  <c r="M66" i="10" s="1"/>
  <c r="L66" i="10"/>
  <c r="O29" i="10"/>
  <c r="N34" i="10"/>
  <c r="N18" i="10"/>
  <c r="O16" i="10"/>
  <c r="F37" i="21"/>
  <c r="E45" i="1"/>
  <c r="F18" i="21"/>
  <c r="E25" i="1"/>
  <c r="E9" i="1"/>
  <c r="F60" i="34"/>
  <c r="G17" i="21"/>
  <c r="F57" i="34"/>
  <c r="F19" i="1"/>
  <c r="F30" i="30" s="1"/>
  <c r="F23" i="1"/>
  <c r="L39" i="15"/>
  <c r="H39" i="15"/>
  <c r="L48" i="24"/>
  <c r="C48" i="20"/>
  <c r="I39" i="15"/>
  <c r="G17" i="36"/>
  <c r="G5" i="36"/>
  <c r="C8" i="36"/>
  <c r="C16" i="36" s="1"/>
  <c r="I30" i="37"/>
  <c r="J30" i="37" s="1"/>
  <c r="G31" i="37" s="1"/>
  <c r="E39" i="15"/>
  <c r="F121" i="30" s="1"/>
  <c r="F83" i="30"/>
  <c r="J37" i="19"/>
  <c r="J31" i="19"/>
  <c r="J24" i="39"/>
  <c r="I24" i="15"/>
  <c r="J108" i="30" s="1"/>
  <c r="K76" i="1"/>
  <c r="J39" i="30"/>
  <c r="J40" i="30" s="1"/>
  <c r="K30" i="1"/>
  <c r="J31" i="1"/>
  <c r="I40" i="30"/>
  <c r="I101" i="30" s="1"/>
  <c r="G51" i="30"/>
  <c r="G50" i="30"/>
  <c r="F18" i="15"/>
  <c r="G18" i="39"/>
  <c r="G54" i="30"/>
  <c r="G53" i="30"/>
  <c r="G52" i="30"/>
  <c r="N17" i="35"/>
  <c r="N42" i="21" s="1"/>
  <c r="H27" i="35"/>
  <c r="I27" i="35" s="1"/>
  <c r="J27" i="35" s="1"/>
  <c r="K27" i="35" s="1"/>
  <c r="L27" i="35" s="1"/>
  <c r="M27" i="35" s="1"/>
  <c r="F17" i="15"/>
  <c r="G17" i="39"/>
  <c r="G43" i="30"/>
  <c r="H50" i="30"/>
  <c r="I46" i="1"/>
  <c r="H47" i="1"/>
  <c r="D102" i="30"/>
  <c r="D57" i="30"/>
  <c r="D32" i="30"/>
  <c r="E29" i="35"/>
  <c r="E37" i="35" s="1"/>
  <c r="E38" i="35" s="1"/>
  <c r="E43" i="21" s="1"/>
  <c r="M16" i="15"/>
  <c r="L16" i="15"/>
  <c r="F29" i="35"/>
  <c r="F37" i="35" s="1"/>
  <c r="F38" i="35" s="1"/>
  <c r="F43" i="21" s="1"/>
  <c r="I48" i="10"/>
  <c r="I69" i="10" s="1"/>
  <c r="E53" i="1" s="1"/>
  <c r="E65" i="1" s="1"/>
  <c r="J40" i="10"/>
  <c r="H32" i="35"/>
  <c r="I32" i="35" s="1"/>
  <c r="H28" i="35"/>
  <c r="I28" i="35" s="1"/>
  <c r="J28" i="35" s="1"/>
  <c r="K28" i="35" s="1"/>
  <c r="L28" i="35" s="1"/>
  <c r="M28" i="35" s="1"/>
  <c r="H26" i="35"/>
  <c r="G29" i="35"/>
  <c r="G37" i="35" s="1"/>
  <c r="G38" i="35" s="1"/>
  <c r="G43" i="21" s="1"/>
  <c r="H33" i="35"/>
  <c r="G34" i="35"/>
  <c r="O17" i="35"/>
  <c r="O42" i="21" s="1"/>
  <c r="P4" i="35"/>
  <c r="J32" i="35"/>
  <c r="K32" i="35" s="1"/>
  <c r="L32" i="35" s="1"/>
  <c r="M32" i="35" s="1"/>
  <c r="L54" i="24" l="1"/>
  <c r="L59" i="24" s="1"/>
  <c r="F71" i="24"/>
  <c r="H52" i="30"/>
  <c r="H53" i="30"/>
  <c r="H17" i="15"/>
  <c r="H54" i="30"/>
  <c r="H43" i="30"/>
  <c r="H55" i="30"/>
  <c r="H51" i="30"/>
  <c r="K39" i="15"/>
  <c r="J39" i="15"/>
  <c r="H37" i="39"/>
  <c r="G39" i="15"/>
  <c r="H17" i="39"/>
  <c r="G17" i="15"/>
  <c r="H34" i="1"/>
  <c r="I34" i="1"/>
  <c r="I37" i="19"/>
  <c r="I31" i="19"/>
  <c r="D17" i="39"/>
  <c r="D19" i="39" s="1"/>
  <c r="D21" i="39" s="1"/>
  <c r="C17" i="15"/>
  <c r="C19" i="15" s="1"/>
  <c r="C21" i="15" s="1"/>
  <c r="D34" i="1"/>
  <c r="D36" i="1" s="1"/>
  <c r="D32" i="1"/>
  <c r="H37" i="19"/>
  <c r="H31" i="19"/>
  <c r="D101" i="30"/>
  <c r="D103" i="30" s="1"/>
  <c r="D105" i="30" s="1"/>
  <c r="D109" i="30" s="1"/>
  <c r="D119" i="30" s="1"/>
  <c r="D122" i="30" s="1"/>
  <c r="D43" i="30"/>
  <c r="D45" i="30" s="1"/>
  <c r="D46" i="30" s="1"/>
  <c r="G68" i="24"/>
  <c r="G70" i="24" s="1"/>
  <c r="G76" i="24" s="1"/>
  <c r="G86" i="24" s="1"/>
  <c r="G71" i="24"/>
  <c r="H34" i="24"/>
  <c r="H68" i="24" s="1"/>
  <c r="H70" i="24" s="1"/>
  <c r="H76" i="24" s="1"/>
  <c r="L30" i="24"/>
  <c r="L34" i="24" s="1"/>
  <c r="I43" i="30"/>
  <c r="F76" i="24"/>
  <c r="F86" i="24" s="1"/>
  <c r="E90" i="24"/>
  <c r="D88" i="24"/>
  <c r="D89" i="24" s="1"/>
  <c r="D93" i="24" s="1"/>
  <c r="E88" i="24"/>
  <c r="E89" i="24" s="1"/>
  <c r="E93" i="24" s="1"/>
  <c r="D77" i="24"/>
  <c r="D78" i="24" s="1"/>
  <c r="L85" i="24"/>
  <c r="L75" i="24"/>
  <c r="P29" i="10"/>
  <c r="O34" i="10"/>
  <c r="O18" i="10"/>
  <c r="P16" i="10"/>
  <c r="E36" i="30"/>
  <c r="G37" i="21"/>
  <c r="F45" i="1"/>
  <c r="F25" i="1"/>
  <c r="F36" i="30" s="1"/>
  <c r="F9" i="1"/>
  <c r="G18" i="21"/>
  <c r="E26" i="1"/>
  <c r="E37" i="30" s="1"/>
  <c r="E18" i="1"/>
  <c r="E17" i="1"/>
  <c r="F4" i="19"/>
  <c r="F5" i="19" s="1"/>
  <c r="F35" i="30"/>
  <c r="E47" i="1"/>
  <c r="E54" i="30"/>
  <c r="E56" i="30" s="1"/>
  <c r="E102" i="30" s="1"/>
  <c r="E10" i="39"/>
  <c r="E30" i="19"/>
  <c r="D10" i="15"/>
  <c r="E20" i="30"/>
  <c r="E94" i="30" s="1"/>
  <c r="N23" i="35"/>
  <c r="F6" i="1"/>
  <c r="F7" i="39" s="1"/>
  <c r="GB8" i="23"/>
  <c r="GC8" i="23" s="1"/>
  <c r="GD8" i="23" s="1"/>
  <c r="GE8" i="23" s="1"/>
  <c r="GF8" i="23" s="1"/>
  <c r="GG8" i="23" s="1"/>
  <c r="GH8" i="23" s="1"/>
  <c r="GI8" i="23" s="1"/>
  <c r="GJ8" i="23" s="1"/>
  <c r="GK8" i="23" s="1"/>
  <c r="GL8" i="23" s="1"/>
  <c r="GM8" i="23" s="1"/>
  <c r="FD8" i="23"/>
  <c r="E6" i="1"/>
  <c r="D7" i="15" s="1"/>
  <c r="FP8" i="23"/>
  <c r="FQ8" i="23" s="1"/>
  <c r="FR8" i="23" s="1"/>
  <c r="FS8" i="23" s="1"/>
  <c r="FT8" i="23" s="1"/>
  <c r="FU8" i="23" s="1"/>
  <c r="FV8" i="23" s="1"/>
  <c r="FW8" i="23" s="1"/>
  <c r="FX8" i="23" s="1"/>
  <c r="FY8" i="23" s="1"/>
  <c r="FZ8" i="23" s="1"/>
  <c r="GA8" i="23" s="1"/>
  <c r="J17" i="36"/>
  <c r="G18" i="36" s="1"/>
  <c r="H17" i="36"/>
  <c r="J5" i="36"/>
  <c r="G6" i="36" s="1"/>
  <c r="H5" i="36"/>
  <c r="H31" i="37"/>
  <c r="N16" i="35"/>
  <c r="N27" i="35" s="1"/>
  <c r="N20" i="35"/>
  <c r="N21" i="35" s="1"/>
  <c r="F19" i="15"/>
  <c r="L30" i="1"/>
  <c r="K39" i="30"/>
  <c r="K40" i="30" s="1"/>
  <c r="K31" i="1"/>
  <c r="K27" i="19"/>
  <c r="K28" i="19" s="1"/>
  <c r="K24" i="39"/>
  <c r="J24" i="15"/>
  <c r="K108" i="30" s="1"/>
  <c r="L76" i="1"/>
  <c r="J101" i="30"/>
  <c r="J43" i="30"/>
  <c r="J34" i="1"/>
  <c r="I17" i="15"/>
  <c r="J17" i="39"/>
  <c r="G56" i="30"/>
  <c r="G102" i="30" s="1"/>
  <c r="G103" i="30" s="1"/>
  <c r="G19" i="39"/>
  <c r="G18" i="15"/>
  <c r="G19" i="15" s="1"/>
  <c r="H18" i="39"/>
  <c r="H19" i="39" s="1"/>
  <c r="I52" i="30"/>
  <c r="I51" i="30"/>
  <c r="I54" i="30"/>
  <c r="J9" i="30"/>
  <c r="I50" i="30"/>
  <c r="I53" i="30"/>
  <c r="J46" i="1"/>
  <c r="I55" i="30"/>
  <c r="I47" i="1"/>
  <c r="J48" i="10"/>
  <c r="J69" i="10" s="1"/>
  <c r="F53" i="1" s="1"/>
  <c r="F65" i="1" s="1"/>
  <c r="K40" i="10"/>
  <c r="E62" i="30"/>
  <c r="E72" i="30" s="1"/>
  <c r="G77" i="24"/>
  <c r="O23" i="35"/>
  <c r="O20" i="35"/>
  <c r="O21" i="35" s="1"/>
  <c r="O16" i="35"/>
  <c r="H29" i="35"/>
  <c r="H37" i="35" s="1"/>
  <c r="H38" i="35" s="1"/>
  <c r="H43" i="21" s="1"/>
  <c r="I26" i="35"/>
  <c r="P17" i="35"/>
  <c r="Q4" i="35"/>
  <c r="H34" i="35"/>
  <c r="I33" i="35"/>
  <c r="H77" i="24" l="1"/>
  <c r="H86" i="24"/>
  <c r="L68" i="24"/>
  <c r="L70" i="24" s="1"/>
  <c r="H56" i="30"/>
  <c r="H102" i="30" s="1"/>
  <c r="H103" i="30" s="1"/>
  <c r="D59" i="30"/>
  <c r="D50" i="1"/>
  <c r="D37" i="1"/>
  <c r="F77" i="24"/>
  <c r="H71" i="24"/>
  <c r="I71" i="24" s="1"/>
  <c r="J71" i="24" s="1"/>
  <c r="K71" i="24" s="1"/>
  <c r="L76" i="24"/>
  <c r="L77" i="24" s="1"/>
  <c r="F88" i="24"/>
  <c r="F89" i="24" s="1"/>
  <c r="F93" i="24" s="1"/>
  <c r="E91" i="24"/>
  <c r="L91" i="24" s="1"/>
  <c r="D80" i="24"/>
  <c r="E78" i="24"/>
  <c r="E80" i="24" s="1"/>
  <c r="P34" i="10"/>
  <c r="Q29" i="10"/>
  <c r="P18" i="10"/>
  <c r="Q16" i="10"/>
  <c r="F18" i="30"/>
  <c r="F92" i="30" s="1"/>
  <c r="F12" i="1"/>
  <c r="F47" i="1"/>
  <c r="F54" i="30"/>
  <c r="F56" i="30" s="1"/>
  <c r="F102" i="30" s="1"/>
  <c r="F17" i="1"/>
  <c r="F26" i="1"/>
  <c r="F18" i="1"/>
  <c r="D18" i="15"/>
  <c r="E18" i="39"/>
  <c r="E28" i="30"/>
  <c r="E20" i="1"/>
  <c r="F10" i="39"/>
  <c r="F13" i="39" s="1"/>
  <c r="E10" i="15"/>
  <c r="F20" i="30"/>
  <c r="F94" i="30" s="1"/>
  <c r="F30" i="19"/>
  <c r="E31" i="1"/>
  <c r="D13" i="15"/>
  <c r="E10" i="19" s="1"/>
  <c r="E27" i="19"/>
  <c r="E28" i="19" s="1"/>
  <c r="E37" i="19" s="1"/>
  <c r="E29" i="30"/>
  <c r="E40" i="30"/>
  <c r="E101" i="30" s="1"/>
  <c r="E7" i="15"/>
  <c r="E13" i="15" s="1"/>
  <c r="F7" i="19"/>
  <c r="F8" i="19" s="1"/>
  <c r="E7" i="39"/>
  <c r="E13" i="39" s="1"/>
  <c r="E12" i="1"/>
  <c r="E33" i="19" s="1"/>
  <c r="E18" i="30"/>
  <c r="E23" i="30" s="1"/>
  <c r="E7" i="19"/>
  <c r="E8" i="19" s="1"/>
  <c r="FE8" i="23"/>
  <c r="FF8" i="23" s="1"/>
  <c r="FG8" i="23" s="1"/>
  <c r="FH8" i="23" s="1"/>
  <c r="FI8" i="23" s="1"/>
  <c r="FJ8" i="23" s="1"/>
  <c r="FK8" i="23" s="1"/>
  <c r="FL8" i="23" s="1"/>
  <c r="FM8" i="23" s="1"/>
  <c r="FN8" i="23" s="1"/>
  <c r="FO8" i="23" s="1"/>
  <c r="G6" i="1"/>
  <c r="G7" i="39" s="1"/>
  <c r="G13" i="39" s="1"/>
  <c r="G21" i="39" s="1"/>
  <c r="GN8" i="23"/>
  <c r="GO8" i="23" s="1"/>
  <c r="GP8" i="23" s="1"/>
  <c r="GQ8" i="23" s="1"/>
  <c r="GR8" i="23" s="1"/>
  <c r="GS8" i="23" s="1"/>
  <c r="GT8" i="23" s="1"/>
  <c r="GU8" i="23" s="1"/>
  <c r="GV8" i="23" s="1"/>
  <c r="GW8" i="23" s="1"/>
  <c r="GX8" i="23" s="1"/>
  <c r="GY8" i="23" s="1"/>
  <c r="J6" i="36"/>
  <c r="G7" i="36" s="1"/>
  <c r="H6" i="36"/>
  <c r="J18" i="36"/>
  <c r="G19" i="36" s="1"/>
  <c r="H18" i="36"/>
  <c r="I31" i="37"/>
  <c r="J31" i="37" s="1"/>
  <c r="G32" i="37" s="1"/>
  <c r="N28" i="35"/>
  <c r="O28" i="35" s="1"/>
  <c r="N32" i="35"/>
  <c r="O32" i="35" s="1"/>
  <c r="L24" i="39"/>
  <c r="M76" i="1"/>
  <c r="K24" i="15"/>
  <c r="L108" i="30" s="1"/>
  <c r="K17" i="39"/>
  <c r="K34" i="1"/>
  <c r="J17" i="15"/>
  <c r="K101" i="30"/>
  <c r="K43" i="30"/>
  <c r="M30" i="1"/>
  <c r="L39" i="30"/>
  <c r="L40" i="30" s="1"/>
  <c r="L27" i="19"/>
  <c r="L28" i="19" s="1"/>
  <c r="L31" i="1"/>
  <c r="K31" i="19"/>
  <c r="K37" i="19"/>
  <c r="H18" i="15"/>
  <c r="H19" i="15" s="1"/>
  <c r="I18" i="39"/>
  <c r="I19" i="39" s="1"/>
  <c r="J55" i="30"/>
  <c r="K46" i="1"/>
  <c r="J47" i="1"/>
  <c r="J51" i="30"/>
  <c r="J50" i="30"/>
  <c r="J54" i="30"/>
  <c r="K9" i="30"/>
  <c r="J52" i="30"/>
  <c r="J53" i="30"/>
  <c r="I56" i="30"/>
  <c r="I102" i="30" s="1"/>
  <c r="I103" i="30" s="1"/>
  <c r="L40" i="10"/>
  <c r="K48" i="10"/>
  <c r="K69" i="10" s="1"/>
  <c r="G53" i="1" s="1"/>
  <c r="G65" i="1" s="1"/>
  <c r="L86" i="24"/>
  <c r="F39" i="15" s="1"/>
  <c r="O27" i="35"/>
  <c r="I29" i="35"/>
  <c r="I37" i="35" s="1"/>
  <c r="I38" i="35" s="1"/>
  <c r="I43" i="21" s="1"/>
  <c r="J26" i="35"/>
  <c r="R4" i="35"/>
  <c r="Q17" i="35"/>
  <c r="P23" i="35"/>
  <c r="P20" i="35"/>
  <c r="P21" i="35" s="1"/>
  <c r="P16" i="35"/>
  <c r="J33" i="35"/>
  <c r="I34" i="35"/>
  <c r="G88" i="24" l="1"/>
  <c r="G89" i="24" s="1"/>
  <c r="G93" i="24" s="1"/>
  <c r="D63" i="30"/>
  <c r="D60" i="30"/>
  <c r="D7" i="30" s="1"/>
  <c r="D51" i="1"/>
  <c r="D54" i="1"/>
  <c r="E14" i="1"/>
  <c r="G18" i="30"/>
  <c r="G23" i="30" s="1"/>
  <c r="E31" i="30"/>
  <c r="E100" i="30" s="1"/>
  <c r="E103" i="30" s="1"/>
  <c r="F48" i="1"/>
  <c r="F10" i="19"/>
  <c r="F78" i="24"/>
  <c r="F80" i="24" s="1"/>
  <c r="H88" i="24"/>
  <c r="H89" i="24" s="1"/>
  <c r="H93" i="24" s="1"/>
  <c r="F33" i="19"/>
  <c r="Q34" i="10"/>
  <c r="R29" i="10"/>
  <c r="R34" i="10" s="1"/>
  <c r="R16" i="10"/>
  <c r="R18" i="10" s="1"/>
  <c r="Q18" i="10"/>
  <c r="F97" i="30"/>
  <c r="E17" i="39"/>
  <c r="D17" i="15"/>
  <c r="F14" i="1"/>
  <c r="E41" i="30"/>
  <c r="E38" i="19"/>
  <c r="E31" i="19"/>
  <c r="E16" i="39"/>
  <c r="D16" i="15"/>
  <c r="E34" i="1"/>
  <c r="E36" i="1" s="1"/>
  <c r="F29" i="30"/>
  <c r="F27" i="19"/>
  <c r="F28" i="19" s="1"/>
  <c r="F37" i="19" s="1"/>
  <c r="F11" i="19"/>
  <c r="E34" i="19"/>
  <c r="E43" i="30"/>
  <c r="E45" i="30" s="1"/>
  <c r="F37" i="30"/>
  <c r="F40" i="30" s="1"/>
  <c r="F101" i="30" s="1"/>
  <c r="F31" i="1"/>
  <c r="F18" i="39"/>
  <c r="E18" i="15"/>
  <c r="F22" i="19"/>
  <c r="F23" i="19" s="1"/>
  <c r="F23" i="30"/>
  <c r="F28" i="30"/>
  <c r="F20" i="1"/>
  <c r="E21" i="1"/>
  <c r="E22" i="19"/>
  <c r="E23" i="19" s="1"/>
  <c r="F7" i="15"/>
  <c r="F13" i="15" s="1"/>
  <c r="F21" i="15" s="1"/>
  <c r="E11" i="19"/>
  <c r="E32" i="1"/>
  <c r="E48" i="1"/>
  <c r="E32" i="30"/>
  <c r="G12" i="1"/>
  <c r="G36" i="1" s="1"/>
  <c r="E57" i="30"/>
  <c r="E92" i="30"/>
  <c r="E97" i="30" s="1"/>
  <c r="G7" i="19"/>
  <c r="G8" i="19" s="1"/>
  <c r="H6" i="1"/>
  <c r="H7" i="39" s="1"/>
  <c r="H13" i="39" s="1"/>
  <c r="H21" i="39" s="1"/>
  <c r="GZ8" i="23"/>
  <c r="HA8" i="23" s="1"/>
  <c r="HB8" i="23" s="1"/>
  <c r="HC8" i="23" s="1"/>
  <c r="HD8" i="23" s="1"/>
  <c r="HE8" i="23" s="1"/>
  <c r="HF8" i="23" s="1"/>
  <c r="HG8" i="23" s="1"/>
  <c r="HH8" i="23" s="1"/>
  <c r="HI8" i="23" s="1"/>
  <c r="HJ8" i="23" s="1"/>
  <c r="HK8" i="23" s="1"/>
  <c r="H19" i="36"/>
  <c r="J19" i="36"/>
  <c r="G20" i="36" s="1"/>
  <c r="H7" i="36"/>
  <c r="J7" i="36"/>
  <c r="G8" i="36" s="1"/>
  <c r="H32" i="37"/>
  <c r="L37" i="19"/>
  <c r="L31" i="19"/>
  <c r="L101" i="30"/>
  <c r="L43" i="30"/>
  <c r="N30" i="1"/>
  <c r="N31" i="1" s="1"/>
  <c r="M31" i="1"/>
  <c r="M24" i="39"/>
  <c r="N76" i="1"/>
  <c r="L24" i="15"/>
  <c r="M108" i="30" s="1"/>
  <c r="L17" i="39"/>
  <c r="L34" i="1"/>
  <c r="K17" i="15"/>
  <c r="I18" i="15"/>
  <c r="I19" i="15" s="1"/>
  <c r="J18" i="39"/>
  <c r="J19" i="39" s="1"/>
  <c r="K50" i="30"/>
  <c r="K51" i="30"/>
  <c r="K52" i="30"/>
  <c r="K53" i="30"/>
  <c r="L9" i="30"/>
  <c r="M9" i="30" s="1"/>
  <c r="K54" i="30"/>
  <c r="J56" i="30"/>
  <c r="J102" i="30" s="1"/>
  <c r="J103" i="30" s="1"/>
  <c r="K55" i="30"/>
  <c r="L46" i="1"/>
  <c r="K47" i="1"/>
  <c r="P27" i="35"/>
  <c r="D64" i="30"/>
  <c r="D56" i="1"/>
  <c r="L48" i="10"/>
  <c r="L69" i="10" s="1"/>
  <c r="H53" i="1" s="1"/>
  <c r="H65" i="1" s="1"/>
  <c r="M40" i="10"/>
  <c r="Q23" i="35"/>
  <c r="Q16" i="35"/>
  <c r="Q20" i="35"/>
  <c r="Q21" i="35" s="1"/>
  <c r="R17" i="35"/>
  <c r="S4" i="35"/>
  <c r="K26" i="35"/>
  <c r="J29" i="35"/>
  <c r="J37" i="35" s="1"/>
  <c r="J38" i="35" s="1"/>
  <c r="J43" i="21" s="1"/>
  <c r="P28" i="35"/>
  <c r="P32" i="35"/>
  <c r="J34" i="35"/>
  <c r="K33" i="35"/>
  <c r="E37" i="1" l="1"/>
  <c r="E50" i="1"/>
  <c r="E54" i="1" s="1"/>
  <c r="M52" i="30"/>
  <c r="M54" i="30"/>
  <c r="N9" i="30"/>
  <c r="M50" i="30"/>
  <c r="M53" i="30"/>
  <c r="M51" i="30"/>
  <c r="D8" i="30"/>
  <c r="G92" i="30"/>
  <c r="G97" i="30" s="1"/>
  <c r="G105" i="30" s="1"/>
  <c r="F31" i="30"/>
  <c r="F43" i="30" s="1"/>
  <c r="F45" i="30" s="1"/>
  <c r="F46" i="30" s="1"/>
  <c r="D19" i="15"/>
  <c r="D21" i="15" s="1"/>
  <c r="H18" i="30"/>
  <c r="H92" i="30" s="1"/>
  <c r="H97" i="30" s="1"/>
  <c r="H105" i="30" s="1"/>
  <c r="G22" i="19"/>
  <c r="G23" i="19" s="1"/>
  <c r="G10" i="19"/>
  <c r="G11" i="19" s="1"/>
  <c r="F38" i="19"/>
  <c r="G78" i="24"/>
  <c r="G80" i="24" s="1"/>
  <c r="L89" i="24"/>
  <c r="L93" i="24" s="1"/>
  <c r="H7" i="19"/>
  <c r="H8" i="19" s="1"/>
  <c r="G14" i="1"/>
  <c r="G33" i="19"/>
  <c r="G38" i="19" s="1"/>
  <c r="G48" i="1"/>
  <c r="E105" i="30"/>
  <c r="F57" i="30"/>
  <c r="F31" i="19"/>
  <c r="F34" i="19"/>
  <c r="E46" i="30"/>
  <c r="E59" i="30"/>
  <c r="E63" i="30" s="1"/>
  <c r="F41" i="30"/>
  <c r="F16" i="39"/>
  <c r="E16" i="15"/>
  <c r="F34" i="1"/>
  <c r="F36" i="1" s="1"/>
  <c r="F21" i="1"/>
  <c r="E17" i="15"/>
  <c r="F17" i="39"/>
  <c r="F32" i="1"/>
  <c r="E19" i="39"/>
  <c r="E21" i="39" s="1"/>
  <c r="F100" i="30"/>
  <c r="F103" i="30" s="1"/>
  <c r="F105" i="30" s="1"/>
  <c r="G7" i="15"/>
  <c r="G13" i="15" s="1"/>
  <c r="G21" i="15" s="1"/>
  <c r="G21" i="1"/>
  <c r="G32" i="1"/>
  <c r="H12" i="1"/>
  <c r="H22" i="19" s="1"/>
  <c r="H23" i="19" s="1"/>
  <c r="I6" i="1"/>
  <c r="I7" i="39" s="1"/>
  <c r="I13" i="39" s="1"/>
  <c r="I21" i="39" s="1"/>
  <c r="HL8" i="23"/>
  <c r="H8" i="36"/>
  <c r="J8" i="36"/>
  <c r="G9" i="36" s="1"/>
  <c r="J20" i="36"/>
  <c r="G21" i="36" s="1"/>
  <c r="H20" i="36"/>
  <c r="I32" i="37"/>
  <c r="J32" i="37" s="1"/>
  <c r="G33" i="37" s="1"/>
  <c r="N24" i="39"/>
  <c r="M24" i="15"/>
  <c r="N108" i="30" s="1"/>
  <c r="M17" i="39"/>
  <c r="L17" i="15"/>
  <c r="M34" i="1"/>
  <c r="N17" i="39"/>
  <c r="M17" i="15"/>
  <c r="N34" i="1"/>
  <c r="E51" i="1"/>
  <c r="J18" i="15"/>
  <c r="J19" i="15" s="1"/>
  <c r="K18" i="39"/>
  <c r="K19" i="39" s="1"/>
  <c r="M46" i="1"/>
  <c r="M55" i="30" s="1"/>
  <c r="L55" i="30"/>
  <c r="L47" i="1"/>
  <c r="L50" i="30"/>
  <c r="L54" i="30"/>
  <c r="L51" i="30"/>
  <c r="L52" i="30"/>
  <c r="L53" i="30"/>
  <c r="K56" i="30"/>
  <c r="K102" i="30" s="1"/>
  <c r="K103" i="30" s="1"/>
  <c r="Q27" i="35"/>
  <c r="N40" i="10"/>
  <c r="M48" i="10"/>
  <c r="M69" i="10" s="1"/>
  <c r="I53" i="1" s="1"/>
  <c r="I65" i="1" s="1"/>
  <c r="D57" i="1"/>
  <c r="D65" i="30"/>
  <c r="D67" i="30" s="1"/>
  <c r="D73" i="30"/>
  <c r="G45" i="30"/>
  <c r="G41" i="30"/>
  <c r="G57" i="30"/>
  <c r="G32" i="30"/>
  <c r="L26" i="35"/>
  <c r="K29" i="35"/>
  <c r="K37" i="35" s="1"/>
  <c r="K38" i="35" s="1"/>
  <c r="K43" i="21" s="1"/>
  <c r="G37" i="1"/>
  <c r="G50" i="1"/>
  <c r="G54" i="1" s="1"/>
  <c r="L33" i="35"/>
  <c r="K34" i="35"/>
  <c r="Q28" i="35"/>
  <c r="S17" i="35"/>
  <c r="T4" i="35"/>
  <c r="Q32" i="35"/>
  <c r="R23" i="35"/>
  <c r="R16" i="35"/>
  <c r="R20" i="35"/>
  <c r="R21" i="35" s="1"/>
  <c r="H23" i="30" l="1"/>
  <c r="H57" i="30" s="1"/>
  <c r="F32" i="30"/>
  <c r="M56" i="30"/>
  <c r="M102" i="30" s="1"/>
  <c r="M103" i="30" s="1"/>
  <c r="N51" i="30"/>
  <c r="N52" i="30"/>
  <c r="N54" i="30"/>
  <c r="N50" i="30"/>
  <c r="N53" i="30"/>
  <c r="H48" i="1"/>
  <c r="H33" i="19"/>
  <c r="H34" i="19" s="1"/>
  <c r="I7" i="19"/>
  <c r="I8" i="19" s="1"/>
  <c r="H78" i="24"/>
  <c r="I78" i="24" s="1"/>
  <c r="G34" i="19"/>
  <c r="H32" i="1"/>
  <c r="H36" i="1"/>
  <c r="H50" i="1" s="1"/>
  <c r="H54" i="1" s="1"/>
  <c r="H14" i="1"/>
  <c r="F59" i="30"/>
  <c r="F60" i="30" s="1"/>
  <c r="F7" i="30" s="1"/>
  <c r="E60" i="30"/>
  <c r="E7" i="30" s="1"/>
  <c r="E8" i="30" s="1"/>
  <c r="F50" i="1"/>
  <c r="F37" i="1"/>
  <c r="F19" i="39"/>
  <c r="F21" i="39" s="1"/>
  <c r="E19" i="15"/>
  <c r="E21" i="15" s="1"/>
  <c r="I12" i="1"/>
  <c r="I36" i="1" s="1"/>
  <c r="H21" i="1"/>
  <c r="I18" i="30"/>
  <c r="I23" i="30" s="1"/>
  <c r="H7" i="15"/>
  <c r="H13" i="15" s="1"/>
  <c r="H21" i="15" s="1"/>
  <c r="H10" i="19"/>
  <c r="H11" i="19" s="1"/>
  <c r="J6" i="1"/>
  <c r="J7" i="39" s="1"/>
  <c r="J13" i="39" s="1"/>
  <c r="J21" i="39" s="1"/>
  <c r="HX8" i="23"/>
  <c r="HY8" i="23" s="1"/>
  <c r="HZ8" i="23" s="1"/>
  <c r="IA8" i="23" s="1"/>
  <c r="IB8" i="23" s="1"/>
  <c r="IC8" i="23" s="1"/>
  <c r="ID8" i="23" s="1"/>
  <c r="IE8" i="23" s="1"/>
  <c r="IF8" i="23" s="1"/>
  <c r="IG8" i="23" s="1"/>
  <c r="IH8" i="23" s="1"/>
  <c r="II8" i="23" s="1"/>
  <c r="HM8" i="23"/>
  <c r="HN8" i="23" s="1"/>
  <c r="HO8" i="23" s="1"/>
  <c r="HP8" i="23" s="1"/>
  <c r="HQ8" i="23" s="1"/>
  <c r="HR8" i="23" s="1"/>
  <c r="HS8" i="23" s="1"/>
  <c r="HT8" i="23" s="1"/>
  <c r="HU8" i="23" s="1"/>
  <c r="HV8" i="23" s="1"/>
  <c r="HW8" i="23" s="1"/>
  <c r="J21" i="36"/>
  <c r="G22" i="36" s="1"/>
  <c r="H21" i="36"/>
  <c r="J9" i="36"/>
  <c r="G10" i="36" s="1"/>
  <c r="H9" i="36"/>
  <c r="H33" i="37"/>
  <c r="I33" i="37" s="1"/>
  <c r="J33" i="37" s="1"/>
  <c r="G34" i="37" s="1"/>
  <c r="C23" i="15"/>
  <c r="D23" i="39"/>
  <c r="K18" i="15"/>
  <c r="K19" i="15" s="1"/>
  <c r="L18" i="39"/>
  <c r="L19" i="39" s="1"/>
  <c r="R27" i="35"/>
  <c r="N46" i="1"/>
  <c r="N47" i="1" s="1"/>
  <c r="M47" i="1"/>
  <c r="L56" i="30"/>
  <c r="L102" i="30" s="1"/>
  <c r="L103" i="30" s="1"/>
  <c r="N48" i="10"/>
  <c r="N69" i="10" s="1"/>
  <c r="J53" i="1" s="1"/>
  <c r="J65" i="1" s="1"/>
  <c r="O40" i="10"/>
  <c r="D71" i="30"/>
  <c r="D74" i="30" s="1"/>
  <c r="D68" i="30"/>
  <c r="D10" i="30" s="1"/>
  <c r="D58" i="1"/>
  <c r="D60" i="1" s="1"/>
  <c r="D64" i="1" s="1"/>
  <c r="R28" i="35"/>
  <c r="H38" i="19"/>
  <c r="U4" i="35"/>
  <c r="U17" i="35" s="1"/>
  <c r="T17" i="35"/>
  <c r="S23" i="35"/>
  <c r="S16" i="35"/>
  <c r="S20" i="35"/>
  <c r="S21" i="35" s="1"/>
  <c r="M33" i="35"/>
  <c r="L34" i="35"/>
  <c r="L29" i="35"/>
  <c r="L37" i="35" s="1"/>
  <c r="L38" i="35" s="1"/>
  <c r="L43" i="21" s="1"/>
  <c r="M26" i="35"/>
  <c r="G46" i="30"/>
  <c r="G59" i="30"/>
  <c r="G51" i="1"/>
  <c r="H41" i="30"/>
  <c r="H45" i="30"/>
  <c r="H32" i="30"/>
  <c r="R32" i="35"/>
  <c r="N55" i="30" l="1"/>
  <c r="N56" i="30"/>
  <c r="N102" i="30" s="1"/>
  <c r="N103" i="30" s="1"/>
  <c r="I92" i="30"/>
  <c r="I97" i="30" s="1"/>
  <c r="I105" i="30" s="1"/>
  <c r="H80" i="24"/>
  <c r="J78" i="24"/>
  <c r="I80" i="24"/>
  <c r="I32" i="1"/>
  <c r="H37" i="1"/>
  <c r="I14" i="1"/>
  <c r="I48" i="1"/>
  <c r="I33" i="19"/>
  <c r="I38" i="19" s="1"/>
  <c r="I21" i="1"/>
  <c r="I22" i="19"/>
  <c r="I23" i="19" s="1"/>
  <c r="J12" i="1"/>
  <c r="J21" i="1" s="1"/>
  <c r="F54" i="1"/>
  <c r="F51" i="1"/>
  <c r="F8" i="30" s="1"/>
  <c r="I10" i="19"/>
  <c r="I11" i="19" s="1"/>
  <c r="J18" i="30"/>
  <c r="J23" i="30" s="1"/>
  <c r="I7" i="15"/>
  <c r="I13" i="15" s="1"/>
  <c r="I21" i="15" s="1"/>
  <c r="J7" i="19"/>
  <c r="J8" i="19" s="1"/>
  <c r="K6" i="1"/>
  <c r="K7" i="39" s="1"/>
  <c r="K13" i="39" s="1"/>
  <c r="K21" i="39" s="1"/>
  <c r="IJ8" i="23"/>
  <c r="IK8" i="23" s="1"/>
  <c r="IL8" i="23" s="1"/>
  <c r="IM8" i="23" s="1"/>
  <c r="IN8" i="23" s="1"/>
  <c r="IO8" i="23" s="1"/>
  <c r="IP8" i="23" s="1"/>
  <c r="IQ8" i="23" s="1"/>
  <c r="IR8" i="23" s="1"/>
  <c r="IS8" i="23" s="1"/>
  <c r="IT8" i="23" s="1"/>
  <c r="IU8" i="23" s="1"/>
  <c r="S27" i="35"/>
  <c r="J22" i="36"/>
  <c r="G23" i="36" s="1"/>
  <c r="H22" i="36"/>
  <c r="J10" i="36"/>
  <c r="G11" i="36" s="1"/>
  <c r="H10" i="36"/>
  <c r="S28" i="35"/>
  <c r="H34" i="37"/>
  <c r="L18" i="15"/>
  <c r="L19" i="15" s="1"/>
  <c r="M18" i="39"/>
  <c r="M19" i="39" s="1"/>
  <c r="M18" i="15"/>
  <c r="M19" i="15" s="1"/>
  <c r="N18" i="39"/>
  <c r="N19" i="39" s="1"/>
  <c r="D78" i="30"/>
  <c r="D12" i="30" s="1"/>
  <c r="D80" i="30"/>
  <c r="D84" i="30" s="1"/>
  <c r="D86" i="30" s="1"/>
  <c r="P40" i="10"/>
  <c r="O48" i="10"/>
  <c r="O69" i="10" s="1"/>
  <c r="K53" i="1" s="1"/>
  <c r="K65" i="1" s="1"/>
  <c r="D61" i="1"/>
  <c r="D11" i="30" s="1"/>
  <c r="D68" i="1"/>
  <c r="S32" i="35"/>
  <c r="M34" i="35"/>
  <c r="N33" i="35"/>
  <c r="H51" i="1"/>
  <c r="H46" i="30"/>
  <c r="H59" i="30"/>
  <c r="T23" i="35"/>
  <c r="T20" i="35"/>
  <c r="T21" i="35" s="1"/>
  <c r="T16" i="35"/>
  <c r="I37" i="1"/>
  <c r="I50" i="1"/>
  <c r="I54" i="1" s="1"/>
  <c r="I41" i="30"/>
  <c r="I57" i="30"/>
  <c r="I45" i="30"/>
  <c r="I32" i="30"/>
  <c r="U23" i="35"/>
  <c r="U16" i="35"/>
  <c r="U20" i="35"/>
  <c r="U21" i="35" s="1"/>
  <c r="M29" i="35"/>
  <c r="M37" i="35" s="1"/>
  <c r="M38" i="35" s="1"/>
  <c r="N26" i="35"/>
  <c r="G60" i="30"/>
  <c r="G7" i="30" s="1"/>
  <c r="G8" i="30" s="1"/>
  <c r="M43" i="21" l="1"/>
  <c r="L6" i="1" s="1"/>
  <c r="I34" i="19"/>
  <c r="J33" i="19"/>
  <c r="J38" i="19" s="1"/>
  <c r="J14" i="1"/>
  <c r="K78" i="24"/>
  <c r="K80" i="24" s="1"/>
  <c r="J80" i="24"/>
  <c r="J32" i="1"/>
  <c r="J36" i="1"/>
  <c r="J50" i="1" s="1"/>
  <c r="J54" i="1" s="1"/>
  <c r="K12" i="1"/>
  <c r="K22" i="19" s="1"/>
  <c r="K23" i="19" s="1"/>
  <c r="J48" i="1"/>
  <c r="J22" i="19"/>
  <c r="J23" i="19" s="1"/>
  <c r="J10" i="19"/>
  <c r="J11" i="19" s="1"/>
  <c r="J92" i="30"/>
  <c r="J97" i="30" s="1"/>
  <c r="J105" i="30" s="1"/>
  <c r="K7" i="19"/>
  <c r="K8" i="19" s="1"/>
  <c r="J7" i="15"/>
  <c r="J13" i="15" s="1"/>
  <c r="J21" i="15" s="1"/>
  <c r="K18" i="30"/>
  <c r="K23" i="30" s="1"/>
  <c r="T28" i="35"/>
  <c r="D17" i="23"/>
  <c r="H11" i="36"/>
  <c r="J11" i="36"/>
  <c r="G12" i="36" s="1"/>
  <c r="H23" i="36"/>
  <c r="J23" i="36"/>
  <c r="G24" i="36" s="1"/>
  <c r="I34" i="37"/>
  <c r="J34" i="37" s="1"/>
  <c r="G35" i="37" s="1"/>
  <c r="L23" i="37"/>
  <c r="P48" i="10"/>
  <c r="P69" i="10" s="1"/>
  <c r="L53" i="1" s="1"/>
  <c r="L65" i="1" s="1"/>
  <c r="Q40" i="10"/>
  <c r="D74" i="1"/>
  <c r="D34" i="39" s="1"/>
  <c r="U28" i="35"/>
  <c r="H60" i="30"/>
  <c r="H7" i="30" s="1"/>
  <c r="H8" i="30" s="1"/>
  <c r="T27" i="35"/>
  <c r="U27" i="35" s="1"/>
  <c r="T32" i="35"/>
  <c r="U32" i="35" s="1"/>
  <c r="I46" i="30"/>
  <c r="I59" i="30"/>
  <c r="N34" i="35"/>
  <c r="O33" i="35"/>
  <c r="N29" i="35"/>
  <c r="N37" i="35" s="1"/>
  <c r="N38" i="35" s="1"/>
  <c r="O26" i="35"/>
  <c r="I51" i="1"/>
  <c r="J34" i="19"/>
  <c r="J32" i="30"/>
  <c r="J45" i="30"/>
  <c r="J41" i="30"/>
  <c r="J57" i="30"/>
  <c r="L7" i="39" l="1"/>
  <c r="L13" i="39" s="1"/>
  <c r="L21" i="39" s="1"/>
  <c r="K7" i="15"/>
  <c r="K13" i="15" s="1"/>
  <c r="K21" i="15" s="1"/>
  <c r="L7" i="19"/>
  <c r="L8" i="19" s="1"/>
  <c r="L18" i="30"/>
  <c r="L23" i="30" s="1"/>
  <c r="L12" i="1"/>
  <c r="L14" i="1" s="1"/>
  <c r="N43" i="21"/>
  <c r="M6" i="1" s="1"/>
  <c r="K21" i="1"/>
  <c r="K33" i="19"/>
  <c r="K38" i="19" s="1"/>
  <c r="J37" i="1"/>
  <c r="K36" i="1"/>
  <c r="K50" i="1" s="1"/>
  <c r="K54" i="1" s="1"/>
  <c r="K32" i="1"/>
  <c r="K14" i="1"/>
  <c r="K92" i="30"/>
  <c r="K97" i="30" s="1"/>
  <c r="K105" i="30" s="1"/>
  <c r="K48" i="1"/>
  <c r="K10" i="19"/>
  <c r="K11" i="19" s="1"/>
  <c r="H12" i="36"/>
  <c r="J12" i="36"/>
  <c r="G13" i="36" s="1"/>
  <c r="J24" i="36"/>
  <c r="G25" i="36" s="1"/>
  <c r="H24" i="36"/>
  <c r="H35" i="37"/>
  <c r="R40" i="10"/>
  <c r="R48" i="10" s="1"/>
  <c r="R69" i="10" s="1"/>
  <c r="Q48" i="10"/>
  <c r="Q69" i="10" s="1"/>
  <c r="M53" i="1" s="1"/>
  <c r="M65" i="1" s="1"/>
  <c r="O34" i="35"/>
  <c r="P33" i="35"/>
  <c r="I60" i="30"/>
  <c r="I7" i="30" s="1"/>
  <c r="I8" i="30" s="1"/>
  <c r="K57" i="30"/>
  <c r="K45" i="30"/>
  <c r="K32" i="30"/>
  <c r="K41" i="30"/>
  <c r="J59" i="30"/>
  <c r="J46" i="30"/>
  <c r="L32" i="1"/>
  <c r="L36" i="1"/>
  <c r="K34" i="19"/>
  <c r="L92" i="30"/>
  <c r="L97" i="30" s="1"/>
  <c r="L105" i="30" s="1"/>
  <c r="P26" i="35"/>
  <c r="O29" i="35"/>
  <c r="O37" i="35" s="1"/>
  <c r="O38" i="35" s="1"/>
  <c r="J51" i="1"/>
  <c r="L33" i="19" l="1"/>
  <c r="L34" i="19" s="1"/>
  <c r="L48" i="1"/>
  <c r="L22" i="19"/>
  <c r="L23" i="19" s="1"/>
  <c r="M18" i="30"/>
  <c r="M92" i="30" s="1"/>
  <c r="M97" i="30" s="1"/>
  <c r="M105" i="30" s="1"/>
  <c r="L7" i="15"/>
  <c r="L13" i="15" s="1"/>
  <c r="L21" i="15" s="1"/>
  <c r="L21" i="1"/>
  <c r="M12" i="1"/>
  <c r="M32" i="1" s="1"/>
  <c r="L10" i="19"/>
  <c r="L11" i="19" s="1"/>
  <c r="O43" i="21"/>
  <c r="N6" i="1" s="1"/>
  <c r="M7" i="39"/>
  <c r="M13" i="39" s="1"/>
  <c r="M21" i="39" s="1"/>
  <c r="M23" i="30"/>
  <c r="D81" i="1"/>
  <c r="D83" i="1" s="1"/>
  <c r="D46" i="39" s="1"/>
  <c r="C47" i="15" s="1"/>
  <c r="D39" i="39"/>
  <c r="C40" i="15" s="1"/>
  <c r="K37" i="1"/>
  <c r="J13" i="36"/>
  <c r="G14" i="36" s="1"/>
  <c r="H13" i="36"/>
  <c r="H25" i="36"/>
  <c r="J25" i="36"/>
  <c r="G26" i="36" s="1"/>
  <c r="I35" i="37"/>
  <c r="J35" i="37" s="1"/>
  <c r="G36" i="37" s="1"/>
  <c r="N53" i="1"/>
  <c r="N65" i="1" s="1"/>
  <c r="L50" i="1"/>
  <c r="L54" i="1" s="1"/>
  <c r="L37" i="1"/>
  <c r="J60" i="30"/>
  <c r="J7" i="30" s="1"/>
  <c r="J8" i="30" s="1"/>
  <c r="P29" i="35"/>
  <c r="P37" i="35" s="1"/>
  <c r="P38" i="35" s="1"/>
  <c r="Q26" i="35"/>
  <c r="L32" i="30"/>
  <c r="L45" i="30"/>
  <c r="L41" i="30"/>
  <c r="L57" i="30"/>
  <c r="L38" i="19"/>
  <c r="K51" i="1"/>
  <c r="K46" i="30"/>
  <c r="K59" i="30"/>
  <c r="P34" i="35"/>
  <c r="Q33" i="35"/>
  <c r="M48" i="1" l="1"/>
  <c r="M36" i="1"/>
  <c r="M37" i="1" s="1"/>
  <c r="M14" i="1"/>
  <c r="M21" i="1"/>
  <c r="N18" i="30"/>
  <c r="N92" i="30" s="1"/>
  <c r="N97" i="30" s="1"/>
  <c r="N105" i="30" s="1"/>
  <c r="M7" i="15"/>
  <c r="M13" i="15" s="1"/>
  <c r="M21" i="15" s="1"/>
  <c r="N12" i="1"/>
  <c r="N48" i="1" s="1"/>
  <c r="N7" i="39"/>
  <c r="N13" i="39" s="1"/>
  <c r="N21" i="39" s="1"/>
  <c r="M57" i="30"/>
  <c r="M41" i="30"/>
  <c r="M32" i="30"/>
  <c r="M45" i="30"/>
  <c r="N23" i="30"/>
  <c r="H14" i="36"/>
  <c r="J14" i="36"/>
  <c r="G15" i="36" s="1"/>
  <c r="J26" i="36"/>
  <c r="G27" i="36" s="1"/>
  <c r="H26" i="36"/>
  <c r="H36" i="37"/>
  <c r="M50" i="1"/>
  <c r="M54" i="1" s="1"/>
  <c r="L59" i="30"/>
  <c r="L46" i="30"/>
  <c r="L51" i="1"/>
  <c r="K60" i="30"/>
  <c r="K7" i="30" s="1"/>
  <c r="K8" i="30" s="1"/>
  <c r="R33" i="35"/>
  <c r="Q34" i="35"/>
  <c r="R26" i="35"/>
  <c r="Q29" i="35"/>
  <c r="Q37" i="35" s="1"/>
  <c r="Q38" i="35" s="1"/>
  <c r="N21" i="1" l="1"/>
  <c r="N32" i="1"/>
  <c r="N36" i="1"/>
  <c r="N50" i="1" s="1"/>
  <c r="N54" i="1" s="1"/>
  <c r="N14" i="1"/>
  <c r="M46" i="30"/>
  <c r="M59" i="30"/>
  <c r="N32" i="30"/>
  <c r="N57" i="30"/>
  <c r="N41" i="30"/>
  <c r="N45" i="30"/>
  <c r="J15" i="36"/>
  <c r="G16" i="36" s="1"/>
  <c r="H15" i="36"/>
  <c r="H27" i="36"/>
  <c r="J27" i="36"/>
  <c r="G28" i="36" s="1"/>
  <c r="I36" i="37"/>
  <c r="J36" i="37" s="1"/>
  <c r="G37" i="37" s="1"/>
  <c r="M51" i="1"/>
  <c r="R34" i="35"/>
  <c r="S33" i="35"/>
  <c r="L60" i="30"/>
  <c r="L7" i="30" s="1"/>
  <c r="L8" i="30" s="1"/>
  <c r="R29" i="35"/>
  <c r="R37" i="35" s="1"/>
  <c r="R38" i="35" s="1"/>
  <c r="S26" i="35"/>
  <c r="N37" i="1" l="1"/>
  <c r="N59" i="30"/>
  <c r="N46" i="30"/>
  <c r="M60" i="30"/>
  <c r="M7" i="30" s="1"/>
  <c r="M8" i="30" s="1"/>
  <c r="H16" i="36"/>
  <c r="J16" i="36"/>
  <c r="J28" i="36"/>
  <c r="G29" i="36" s="1"/>
  <c r="H28" i="36"/>
  <c r="H37" i="37"/>
  <c r="N51" i="1"/>
  <c r="T26" i="35"/>
  <c r="S29" i="35"/>
  <c r="S37" i="35" s="1"/>
  <c r="S38" i="35" s="1"/>
  <c r="S34" i="35"/>
  <c r="T33" i="35"/>
  <c r="N60" i="30" l="1"/>
  <c r="N7" i="30" s="1"/>
  <c r="N8" i="30" s="1"/>
  <c r="H29" i="36"/>
  <c r="I29" i="36" s="1"/>
  <c r="J29" i="36" s="1"/>
  <c r="G30" i="36" s="1"/>
  <c r="I37" i="37"/>
  <c r="J37" i="37" s="1"/>
  <c r="G38" i="37" s="1"/>
  <c r="T34" i="35"/>
  <c r="U33" i="35"/>
  <c r="U34" i="35" s="1"/>
  <c r="T29" i="35"/>
  <c r="T37" i="35" s="1"/>
  <c r="T38" i="35" s="1"/>
  <c r="U26" i="35"/>
  <c r="U29" i="35" s="1"/>
  <c r="U37" i="35" s="1"/>
  <c r="U38" i="35" s="1"/>
  <c r="H30" i="36" l="1"/>
  <c r="I30" i="36" s="1"/>
  <c r="J30" i="36" s="1"/>
  <c r="G31" i="36" s="1"/>
  <c r="H38" i="37"/>
  <c r="H31" i="36" l="1"/>
  <c r="I31" i="36" s="1"/>
  <c r="J31" i="36" s="1"/>
  <c r="G32" i="36" s="1"/>
  <c r="I38" i="37"/>
  <c r="J38" i="37" s="1"/>
  <c r="G39" i="37" s="1"/>
  <c r="H32" i="36" l="1"/>
  <c r="I32" i="36" s="1"/>
  <c r="J32" i="36" s="1"/>
  <c r="G33" i="36" s="1"/>
  <c r="H39" i="37"/>
  <c r="H33" i="36" l="1"/>
  <c r="I33" i="36" s="1"/>
  <c r="J33" i="36" s="1"/>
  <c r="G34" i="36" s="1"/>
  <c r="D40" i="15"/>
  <c r="I39" i="37"/>
  <c r="J39" i="37" s="1"/>
  <c r="G40" i="37" s="1"/>
  <c r="H34" i="36" l="1"/>
  <c r="H40" i="37"/>
  <c r="I40" i="37" s="1"/>
  <c r="J40" i="37" s="1"/>
  <c r="G41" i="37" s="1"/>
  <c r="I34" i="36" l="1"/>
  <c r="J34" i="36" s="1"/>
  <c r="G35" i="36" s="1"/>
  <c r="L23" i="36"/>
  <c r="H41" i="37"/>
  <c r="I41" i="37" s="1"/>
  <c r="J41" i="37" s="1"/>
  <c r="G42" i="37" s="1"/>
  <c r="H35" i="36" l="1"/>
  <c r="H42" i="37"/>
  <c r="I42" i="37" s="1"/>
  <c r="J42" i="37" s="1"/>
  <c r="G43" i="37" s="1"/>
  <c r="I35" i="36" l="1"/>
  <c r="J35" i="36" s="1"/>
  <c r="G36" i="36" s="1"/>
  <c r="H43" i="37"/>
  <c r="I43" i="37" s="1"/>
  <c r="J43" i="37" s="1"/>
  <c r="G44" i="37" s="1"/>
  <c r="H36" i="36" l="1"/>
  <c r="H44" i="37"/>
  <c r="I44" i="37" s="1"/>
  <c r="J44" i="37" s="1"/>
  <c r="G45" i="37" s="1"/>
  <c r="I36" i="36" l="1"/>
  <c r="J36" i="36" s="1"/>
  <c r="G37" i="36" s="1"/>
  <c r="H45" i="37"/>
  <c r="I45" i="37" s="1"/>
  <c r="J45" i="37" s="1"/>
  <c r="G46" i="37" s="1"/>
  <c r="H37" i="36" l="1"/>
  <c r="H46" i="37"/>
  <c r="I37" i="36" l="1"/>
  <c r="J37" i="36" s="1"/>
  <c r="G38" i="36" s="1"/>
  <c r="I46" i="37"/>
  <c r="J46" i="37" s="1"/>
  <c r="G47" i="37" s="1"/>
  <c r="H38" i="36" l="1"/>
  <c r="L35" i="37"/>
  <c r="H47" i="37"/>
  <c r="I47" i="37" s="1"/>
  <c r="J47" i="37" s="1"/>
  <c r="G48" i="37" s="1"/>
  <c r="I38" i="36" l="1"/>
  <c r="J38" i="36" s="1"/>
  <c r="G39" i="36" s="1"/>
  <c r="H48" i="37"/>
  <c r="I48" i="37" s="1"/>
  <c r="J48" i="37" s="1"/>
  <c r="G49" i="37" s="1"/>
  <c r="H39" i="36" l="1"/>
  <c r="H49" i="37"/>
  <c r="I49" i="37" s="1"/>
  <c r="J49" i="37" s="1"/>
  <c r="G50" i="37" s="1"/>
  <c r="I39" i="36" l="1"/>
  <c r="J39" i="36" s="1"/>
  <c r="G40" i="36" s="1"/>
  <c r="H50" i="37"/>
  <c r="I50" i="37" s="1"/>
  <c r="J50" i="37" s="1"/>
  <c r="G51" i="37" s="1"/>
  <c r="H40" i="36" l="1"/>
  <c r="I40" i="36" s="1"/>
  <c r="J40" i="36" s="1"/>
  <c r="G41" i="36" s="1"/>
  <c r="H51" i="37"/>
  <c r="I51" i="37" s="1"/>
  <c r="J51" i="37" s="1"/>
  <c r="G52" i="37" s="1"/>
  <c r="H41" i="36" l="1"/>
  <c r="I41" i="36" s="1"/>
  <c r="J41" i="36" s="1"/>
  <c r="G42" i="36" s="1"/>
  <c r="H52" i="37"/>
  <c r="I52" i="37" s="1"/>
  <c r="J52" i="37" s="1"/>
  <c r="G53" i="37" s="1"/>
  <c r="H42" i="36" l="1"/>
  <c r="I42" i="36" s="1"/>
  <c r="J42" i="36" s="1"/>
  <c r="G43" i="36" s="1"/>
  <c r="H53" i="37"/>
  <c r="I53" i="37" s="1"/>
  <c r="J53" i="37" s="1"/>
  <c r="G54" i="37" s="1"/>
  <c r="H43" i="36" l="1"/>
  <c r="I43" i="36" s="1"/>
  <c r="J43" i="36" s="1"/>
  <c r="G44" i="36" s="1"/>
  <c r="H54" i="37"/>
  <c r="I54" i="37" s="1"/>
  <c r="J54" i="37" s="1"/>
  <c r="G55" i="37" s="1"/>
  <c r="H44" i="36" l="1"/>
  <c r="I44" i="36" s="1"/>
  <c r="J44" i="36" s="1"/>
  <c r="G45" i="36" s="1"/>
  <c r="H55" i="37"/>
  <c r="I55" i="37" s="1"/>
  <c r="J55" i="37" s="1"/>
  <c r="G56" i="37" s="1"/>
  <c r="H45" i="36" l="1"/>
  <c r="I45" i="36" s="1"/>
  <c r="J45" i="36" s="1"/>
  <c r="G46" i="36" s="1"/>
  <c r="H56" i="37"/>
  <c r="I56" i="37" s="1"/>
  <c r="J56" i="37" s="1"/>
  <c r="G57" i="37" s="1"/>
  <c r="H46" i="36" l="1"/>
  <c r="H57" i="37"/>
  <c r="I57" i="37" s="1"/>
  <c r="J57" i="37" s="1"/>
  <c r="G58" i="37" s="1"/>
  <c r="I46" i="36" l="1"/>
  <c r="J46" i="36" s="1"/>
  <c r="G47" i="36" s="1"/>
  <c r="H58" i="37"/>
  <c r="I58" i="37" s="1"/>
  <c r="J58" i="37" s="1"/>
  <c r="G59" i="37" s="1"/>
  <c r="L35" i="36" l="1"/>
  <c r="H47" i="36"/>
  <c r="I47" i="36" s="1"/>
  <c r="J47" i="36" s="1"/>
  <c r="G48" i="36" s="1"/>
  <c r="H59" i="37"/>
  <c r="I59" i="37" s="1"/>
  <c r="J59" i="37" s="1"/>
  <c r="G60" i="37" s="1"/>
  <c r="H48" i="36" l="1"/>
  <c r="I48" i="36" s="1"/>
  <c r="J48" i="36" s="1"/>
  <c r="G49" i="36" s="1"/>
  <c r="H60" i="37"/>
  <c r="I60" i="37" s="1"/>
  <c r="J60" i="37" s="1"/>
  <c r="G61" i="37" s="1"/>
  <c r="H49" i="36" l="1"/>
  <c r="I49" i="36" s="1"/>
  <c r="J49" i="36" s="1"/>
  <c r="G50" i="36" s="1"/>
  <c r="H61" i="37"/>
  <c r="I61" i="37" s="1"/>
  <c r="J61" i="37" s="1"/>
  <c r="G62" i="37" s="1"/>
  <c r="H50" i="36" l="1"/>
  <c r="I50" i="36" s="1"/>
  <c r="J50" i="36" s="1"/>
  <c r="G51" i="36" s="1"/>
  <c r="H62" i="37"/>
  <c r="I62" i="37" s="1"/>
  <c r="J62" i="37" s="1"/>
  <c r="G63" i="37" s="1"/>
  <c r="H51" i="36" l="1"/>
  <c r="I51" i="36" s="1"/>
  <c r="J51" i="36" s="1"/>
  <c r="G52" i="36" s="1"/>
  <c r="H63" i="37"/>
  <c r="I63" i="37" s="1"/>
  <c r="J63" i="37" s="1"/>
  <c r="G64" i="37" s="1"/>
  <c r="H52" i="36" l="1"/>
  <c r="I52" i="36" s="1"/>
  <c r="J52" i="36" s="1"/>
  <c r="G53" i="36" s="1"/>
  <c r="H64" i="37"/>
  <c r="I64" i="37" s="1"/>
  <c r="J64" i="37" s="1"/>
  <c r="G65" i="37" s="1"/>
  <c r="H53" i="36" l="1"/>
  <c r="I53" i="36" s="1"/>
  <c r="J53" i="36" s="1"/>
  <c r="G54" i="36" s="1"/>
  <c r="H65" i="37"/>
  <c r="I65" i="37" s="1"/>
  <c r="J65" i="37" s="1"/>
  <c r="G66" i="37" s="1"/>
  <c r="H54" i="36" l="1"/>
  <c r="I54" i="36" s="1"/>
  <c r="J54" i="36" s="1"/>
  <c r="G55" i="36" s="1"/>
  <c r="H66" i="37"/>
  <c r="I66" i="37" s="1"/>
  <c r="J66" i="37" s="1"/>
  <c r="G67" i="37" s="1"/>
  <c r="F39" i="39" l="1"/>
  <c r="E40" i="15" s="1"/>
  <c r="H55" i="36"/>
  <c r="I55" i="36" s="1"/>
  <c r="J55" i="36" s="1"/>
  <c r="G56" i="36" s="1"/>
  <c r="H67" i="37"/>
  <c r="I67" i="37" s="1"/>
  <c r="J67" i="37" s="1"/>
  <c r="G68" i="37" s="1"/>
  <c r="H56" i="36" l="1"/>
  <c r="I56" i="36" s="1"/>
  <c r="J56" i="36" s="1"/>
  <c r="G57" i="36" s="1"/>
  <c r="H68" i="37"/>
  <c r="I68" i="37" s="1"/>
  <c r="J68" i="37" s="1"/>
  <c r="G69" i="37" s="1"/>
  <c r="H57" i="36" l="1"/>
  <c r="I57" i="36" s="1"/>
  <c r="J57" i="36" s="1"/>
  <c r="G58" i="36" s="1"/>
  <c r="H69" i="37"/>
  <c r="I69" i="37" s="1"/>
  <c r="J69" i="37" s="1"/>
  <c r="G70" i="37" s="1"/>
  <c r="H58" i="36" l="1"/>
  <c r="I58" i="36" s="1"/>
  <c r="J58" i="36" s="1"/>
  <c r="G59" i="36" s="1"/>
  <c r="H70" i="37"/>
  <c r="I70" i="37" s="1"/>
  <c r="J70" i="37" s="1"/>
  <c r="G71" i="37" s="1"/>
  <c r="H59" i="36" l="1"/>
  <c r="I59" i="36" s="1"/>
  <c r="J59" i="36" s="1"/>
  <c r="G60" i="36" s="1"/>
  <c r="H71" i="37"/>
  <c r="I71" i="37" s="1"/>
  <c r="J71" i="37" s="1"/>
  <c r="G72" i="37" s="1"/>
  <c r="H60" i="36" l="1"/>
  <c r="I60" i="36" s="1"/>
  <c r="J60" i="36" s="1"/>
  <c r="G61" i="36" s="1"/>
  <c r="H72" i="37"/>
  <c r="I72" i="37" s="1"/>
  <c r="J72" i="37" s="1"/>
  <c r="G73" i="37" s="1"/>
  <c r="H61" i="36" l="1"/>
  <c r="I61" i="36" s="1"/>
  <c r="J61" i="36" s="1"/>
  <c r="G62" i="36" s="1"/>
  <c r="H73" i="37"/>
  <c r="I73" i="37" s="1"/>
  <c r="J73" i="37" s="1"/>
  <c r="G74" i="37" s="1"/>
  <c r="H62" i="36" l="1"/>
  <c r="I62" i="36" s="1"/>
  <c r="J62" i="36" s="1"/>
  <c r="G63" i="36" s="1"/>
  <c r="H74" i="37"/>
  <c r="I74" i="37" s="1"/>
  <c r="J74" i="37" s="1"/>
  <c r="G75" i="37" s="1"/>
  <c r="H63" i="36" l="1"/>
  <c r="I63" i="36" s="1"/>
  <c r="J63" i="36" s="1"/>
  <c r="G64" i="36" s="1"/>
  <c r="H75" i="37"/>
  <c r="I75" i="37" s="1"/>
  <c r="J75" i="37" s="1"/>
  <c r="G76" i="37" s="1"/>
  <c r="H64" i="36" l="1"/>
  <c r="I64" i="36" s="1"/>
  <c r="J64" i="36" s="1"/>
  <c r="G65" i="36" s="1"/>
  <c r="H76" i="37"/>
  <c r="I76" i="37" s="1"/>
  <c r="J76" i="37" s="1"/>
  <c r="G77" i="37" s="1"/>
  <c r="H65" i="36" l="1"/>
  <c r="I65" i="36" s="1"/>
  <c r="J65" i="36" s="1"/>
  <c r="G66" i="36" s="1"/>
  <c r="H77" i="37"/>
  <c r="I77" i="37" s="1"/>
  <c r="J77" i="37" s="1"/>
  <c r="G78" i="37" s="1"/>
  <c r="H66" i="36" l="1"/>
  <c r="I66" i="36" s="1"/>
  <c r="J66" i="36" s="1"/>
  <c r="G67" i="36" s="1"/>
  <c r="H78" i="37"/>
  <c r="I78" i="37" s="1"/>
  <c r="J78" i="37" s="1"/>
  <c r="G79" i="37" s="1"/>
  <c r="H67" i="36" l="1"/>
  <c r="I67" i="36" s="1"/>
  <c r="J67" i="36" s="1"/>
  <c r="G68" i="36" s="1"/>
  <c r="H79" i="37"/>
  <c r="I79" i="37" s="1"/>
  <c r="J79" i="37" s="1"/>
  <c r="G80" i="37" s="1"/>
  <c r="H68" i="36" l="1"/>
  <c r="I68" i="36" s="1"/>
  <c r="J68" i="36" s="1"/>
  <c r="G69" i="36" s="1"/>
  <c r="H80" i="37"/>
  <c r="I80" i="37" s="1"/>
  <c r="J80" i="37" s="1"/>
  <c r="G81" i="37" s="1"/>
  <c r="H69" i="36" l="1"/>
  <c r="I69" i="36" s="1"/>
  <c r="J69" i="36" s="1"/>
  <c r="G70" i="36" s="1"/>
  <c r="H81" i="37"/>
  <c r="I81" i="37" s="1"/>
  <c r="J81" i="37" s="1"/>
  <c r="G82" i="37" s="1"/>
  <c r="H70" i="36" l="1"/>
  <c r="I70" i="36" s="1"/>
  <c r="J70" i="36" s="1"/>
  <c r="G71" i="36" s="1"/>
  <c r="H82" i="37"/>
  <c r="I82" i="37" s="1"/>
  <c r="J82" i="37" s="1"/>
  <c r="G83" i="37" s="1"/>
  <c r="H71" i="36" l="1"/>
  <c r="I71" i="36" s="1"/>
  <c r="J71" i="36" s="1"/>
  <c r="G72" i="36" s="1"/>
  <c r="H83" i="37"/>
  <c r="I83" i="37" s="1"/>
  <c r="J83" i="37" s="1"/>
  <c r="G84" i="37" s="1"/>
  <c r="H72" i="36" l="1"/>
  <c r="I72" i="36" s="1"/>
  <c r="J72" i="36" s="1"/>
  <c r="G73" i="36" s="1"/>
  <c r="H84" i="37"/>
  <c r="I84" i="37" s="1"/>
  <c r="J84" i="37" s="1"/>
  <c r="G85" i="37" s="1"/>
  <c r="H73" i="36" l="1"/>
  <c r="I73" i="36" s="1"/>
  <c r="J73" i="36" s="1"/>
  <c r="G74" i="36" s="1"/>
  <c r="H85" i="37"/>
  <c r="I85" i="37" s="1"/>
  <c r="J85" i="37" s="1"/>
  <c r="G86" i="37" s="1"/>
  <c r="H74" i="36" l="1"/>
  <c r="I74" i="36" s="1"/>
  <c r="J74" i="36" s="1"/>
  <c r="G75" i="36" s="1"/>
  <c r="H86" i="37"/>
  <c r="I86" i="37" s="1"/>
  <c r="J86" i="37" s="1"/>
  <c r="G87" i="37" s="1"/>
  <c r="H75" i="36" l="1"/>
  <c r="I75" i="36" s="1"/>
  <c r="J75" i="36" s="1"/>
  <c r="G76" i="36" s="1"/>
  <c r="H87" i="37"/>
  <c r="I87" i="37" s="1"/>
  <c r="J87" i="37" s="1"/>
  <c r="G88" i="37" s="1"/>
  <c r="H76" i="36" l="1"/>
  <c r="I76" i="36" s="1"/>
  <c r="J76" i="36" s="1"/>
  <c r="G77" i="36" s="1"/>
  <c r="H88" i="37"/>
  <c r="I88" i="37" s="1"/>
  <c r="J88" i="37" s="1"/>
  <c r="G89" i="37" s="1"/>
  <c r="H77" i="36" l="1"/>
  <c r="I77" i="36" s="1"/>
  <c r="J77" i="36" s="1"/>
  <c r="G78" i="36" s="1"/>
  <c r="H89" i="37"/>
  <c r="I89" i="37" s="1"/>
  <c r="J89" i="37" s="1"/>
  <c r="G90" i="37" s="1"/>
  <c r="H78" i="36" l="1"/>
  <c r="I78" i="36" s="1"/>
  <c r="J78" i="36" s="1"/>
  <c r="G79" i="36" s="1"/>
  <c r="H90" i="37"/>
  <c r="I90" i="37" s="1"/>
  <c r="J90" i="37" s="1"/>
  <c r="G91" i="37" s="1"/>
  <c r="H79" i="36" l="1"/>
  <c r="I79" i="36" s="1"/>
  <c r="J79" i="36" s="1"/>
  <c r="G80" i="36" s="1"/>
  <c r="H91" i="37"/>
  <c r="I91" i="37" s="1"/>
  <c r="J91" i="37" s="1"/>
  <c r="G92" i="37" s="1"/>
  <c r="H80" i="36" l="1"/>
  <c r="I80" i="36" s="1"/>
  <c r="J80" i="36" s="1"/>
  <c r="G81" i="36" s="1"/>
  <c r="H92" i="37"/>
  <c r="I92" i="37" s="1"/>
  <c r="J92" i="37" s="1"/>
  <c r="G93" i="37" s="1"/>
  <c r="H81" i="36" l="1"/>
  <c r="I81" i="36" s="1"/>
  <c r="J81" i="36" s="1"/>
  <c r="G82" i="36" s="1"/>
  <c r="H93" i="37"/>
  <c r="I93" i="37" s="1"/>
  <c r="J93" i="37" s="1"/>
  <c r="G94" i="37" s="1"/>
  <c r="H82" i="36" l="1"/>
  <c r="I82" i="36" s="1"/>
  <c r="J82" i="36" s="1"/>
  <c r="G83" i="36" s="1"/>
  <c r="H94" i="37"/>
  <c r="I94" i="37" s="1"/>
  <c r="J94" i="37" s="1"/>
  <c r="G95" i="37" s="1"/>
  <c r="H83" i="36" l="1"/>
  <c r="I83" i="36" s="1"/>
  <c r="J83" i="36" s="1"/>
  <c r="G84" i="36" s="1"/>
  <c r="H95" i="37"/>
  <c r="I95" i="37" s="1"/>
  <c r="J95" i="37" s="1"/>
  <c r="G96" i="37" s="1"/>
  <c r="H84" i="36" l="1"/>
  <c r="I84" i="36" s="1"/>
  <c r="J84" i="36" s="1"/>
  <c r="G85" i="36" s="1"/>
  <c r="H96" i="37"/>
  <c r="I96" i="37" s="1"/>
  <c r="J96" i="37" s="1"/>
  <c r="G97" i="37" s="1"/>
  <c r="H85" i="36" l="1"/>
  <c r="I85" i="36" s="1"/>
  <c r="J85" i="36" s="1"/>
  <c r="G86" i="36" s="1"/>
  <c r="H97" i="37"/>
  <c r="I97" i="37" s="1"/>
  <c r="J97" i="37" s="1"/>
  <c r="G98" i="37" s="1"/>
  <c r="H86" i="36" l="1"/>
  <c r="I86" i="36" s="1"/>
  <c r="J86" i="36" s="1"/>
  <c r="G87" i="36" s="1"/>
  <c r="H98" i="37"/>
  <c r="I98" i="37" s="1"/>
  <c r="J98" i="37" s="1"/>
  <c r="G99" i="37" s="1"/>
  <c r="H87" i="36" l="1"/>
  <c r="I87" i="36" s="1"/>
  <c r="J87" i="36" s="1"/>
  <c r="G88" i="36" s="1"/>
  <c r="H99" i="37"/>
  <c r="I99" i="37" s="1"/>
  <c r="J99" i="37" s="1"/>
  <c r="G100" i="37" s="1"/>
  <c r="H88" i="36" l="1"/>
  <c r="I88" i="36" s="1"/>
  <c r="J88" i="36" s="1"/>
  <c r="G89" i="36" s="1"/>
  <c r="H100" i="37"/>
  <c r="I100" i="37" s="1"/>
  <c r="J100" i="37" s="1"/>
  <c r="G101" i="37" s="1"/>
  <c r="H89" i="36" l="1"/>
  <c r="I89" i="36" s="1"/>
  <c r="J89" i="36" s="1"/>
  <c r="G90" i="36" s="1"/>
  <c r="H101" i="37"/>
  <c r="I101" i="37" s="1"/>
  <c r="J101" i="37" s="1"/>
  <c r="G102" i="37" s="1"/>
  <c r="H90" i="36" l="1"/>
  <c r="I90" i="36" s="1"/>
  <c r="J90" i="36" s="1"/>
  <c r="G91" i="36" s="1"/>
  <c r="H102" i="37"/>
  <c r="I102" i="37" s="1"/>
  <c r="J102" i="37" s="1"/>
  <c r="G103" i="37" s="1"/>
  <c r="H91" i="36" l="1"/>
  <c r="I91" i="36" s="1"/>
  <c r="J91" i="36" s="1"/>
  <c r="G92" i="36" s="1"/>
  <c r="H103" i="37"/>
  <c r="I103" i="37" s="1"/>
  <c r="J103" i="37" s="1"/>
  <c r="G104" i="37" s="1"/>
  <c r="H92" i="36" l="1"/>
  <c r="I92" i="36" s="1"/>
  <c r="J92" i="36" s="1"/>
  <c r="G93" i="36" s="1"/>
  <c r="H104" i="37"/>
  <c r="I104" i="37" s="1"/>
  <c r="J104" i="37" s="1"/>
  <c r="G105" i="37" s="1"/>
  <c r="H93" i="36" l="1"/>
  <c r="I93" i="36" s="1"/>
  <c r="J93" i="36" s="1"/>
  <c r="G94" i="36" s="1"/>
  <c r="H105" i="37"/>
  <c r="I105" i="37" s="1"/>
  <c r="J105" i="37" s="1"/>
  <c r="G106" i="37" s="1"/>
  <c r="H94" i="36" l="1"/>
  <c r="I94" i="36" s="1"/>
  <c r="J94" i="36" s="1"/>
  <c r="G95" i="36" s="1"/>
  <c r="H106" i="37"/>
  <c r="I106" i="37" s="1"/>
  <c r="J106" i="37" s="1"/>
  <c r="G107" i="37" s="1"/>
  <c r="H95" i="36" l="1"/>
  <c r="I95" i="36" s="1"/>
  <c r="J95" i="36" s="1"/>
  <c r="G96" i="36" s="1"/>
  <c r="H107" i="37"/>
  <c r="I107" i="37" s="1"/>
  <c r="J107" i="37" s="1"/>
  <c r="G108" i="37" s="1"/>
  <c r="H96" i="36" l="1"/>
  <c r="I96" i="36" s="1"/>
  <c r="J96" i="36" s="1"/>
  <c r="G97" i="36" s="1"/>
  <c r="H108" i="37"/>
  <c r="I108" i="37" s="1"/>
  <c r="J108" i="37" s="1"/>
  <c r="G109" i="37" s="1"/>
  <c r="H97" i="36" l="1"/>
  <c r="I97" i="36" s="1"/>
  <c r="J97" i="36" s="1"/>
  <c r="G98" i="36" s="1"/>
  <c r="H109" i="37"/>
  <c r="I109" i="37" s="1"/>
  <c r="J109" i="37" s="1"/>
  <c r="G110" i="37" s="1"/>
  <c r="H98" i="36" l="1"/>
  <c r="I98" i="36" s="1"/>
  <c r="J98" i="36" s="1"/>
  <c r="G99" i="36" s="1"/>
  <c r="H110" i="37"/>
  <c r="I110" i="37" s="1"/>
  <c r="J110" i="37" s="1"/>
  <c r="G111" i="37" s="1"/>
  <c r="H99" i="36" l="1"/>
  <c r="I99" i="36" s="1"/>
  <c r="J99" i="36" s="1"/>
  <c r="G100" i="36" s="1"/>
  <c r="H111" i="37"/>
  <c r="I111" i="37" s="1"/>
  <c r="J111" i="37" s="1"/>
  <c r="G112" i="37" s="1"/>
  <c r="H100" i="36" l="1"/>
  <c r="I100" i="36" s="1"/>
  <c r="J100" i="36" s="1"/>
  <c r="G101" i="36" s="1"/>
  <c r="H112" i="37"/>
  <c r="I112" i="37" s="1"/>
  <c r="H101" i="36" l="1"/>
  <c r="J112" i="37"/>
  <c r="G113" i="37" s="1"/>
  <c r="I101" i="36" l="1"/>
  <c r="H113" i="37"/>
  <c r="I113" i="37" s="1"/>
  <c r="J113" i="37" s="1"/>
  <c r="G114" i="37" s="1"/>
  <c r="J101" i="36" l="1"/>
  <c r="G102" i="36" s="1"/>
  <c r="H114" i="37"/>
  <c r="I114" i="37" s="1"/>
  <c r="J114" i="37" s="1"/>
  <c r="G115" i="37" s="1"/>
  <c r="H102" i="36" l="1"/>
  <c r="H115" i="37"/>
  <c r="I115" i="37" s="1"/>
  <c r="J115" i="37" s="1"/>
  <c r="G116" i="37" s="1"/>
  <c r="I102" i="36" l="1"/>
  <c r="H116" i="37"/>
  <c r="I116" i="37" s="1"/>
  <c r="J116" i="37" s="1"/>
  <c r="G117" i="37" s="1"/>
  <c r="J102" i="36" l="1"/>
  <c r="G103" i="36" s="1"/>
  <c r="H117" i="37"/>
  <c r="I117" i="37" s="1"/>
  <c r="J117" i="37" s="1"/>
  <c r="G118" i="37" s="1"/>
  <c r="H103" i="36" l="1"/>
  <c r="H118" i="37"/>
  <c r="I118" i="37" s="1"/>
  <c r="J118" i="37" s="1"/>
  <c r="G119" i="37" s="1"/>
  <c r="I103" i="36" l="1"/>
  <c r="H119" i="37"/>
  <c r="I119" i="37" s="1"/>
  <c r="J119" i="37" s="1"/>
  <c r="G120" i="37" s="1"/>
  <c r="J103" i="36" l="1"/>
  <c r="G104" i="36" s="1"/>
  <c r="H120" i="37"/>
  <c r="I120" i="37" s="1"/>
  <c r="J120" i="37" s="1"/>
  <c r="G121" i="37" s="1"/>
  <c r="H104" i="36" l="1"/>
  <c r="H121" i="37"/>
  <c r="I121" i="37" s="1"/>
  <c r="J121" i="37" s="1"/>
  <c r="G122" i="37" s="1"/>
  <c r="I104" i="36" l="1"/>
  <c r="H122" i="37"/>
  <c r="I122" i="37" s="1"/>
  <c r="J122" i="37" s="1"/>
  <c r="G123" i="37" s="1"/>
  <c r="J104" i="36" l="1"/>
  <c r="G105" i="36" s="1"/>
  <c r="H123" i="37"/>
  <c r="I123" i="37" s="1"/>
  <c r="J123" i="37" s="1"/>
  <c r="G124" i="37" s="1"/>
  <c r="H105" i="36" l="1"/>
  <c r="H124" i="37"/>
  <c r="I124" i="37" s="1"/>
  <c r="J124" i="37" s="1"/>
  <c r="G125" i="37" s="1"/>
  <c r="I105" i="36" l="1"/>
  <c r="H125" i="37"/>
  <c r="I125" i="37" s="1"/>
  <c r="J125" i="37" s="1"/>
  <c r="G126" i="37" s="1"/>
  <c r="J105" i="36" l="1"/>
  <c r="G106" i="36" s="1"/>
  <c r="H126" i="37"/>
  <c r="I126" i="37" s="1"/>
  <c r="J126" i="37" s="1"/>
  <c r="G127" i="37" s="1"/>
  <c r="H106" i="36" l="1"/>
  <c r="I106" i="36" s="1"/>
  <c r="J106" i="36" s="1"/>
  <c r="G107" i="36" s="1"/>
  <c r="H127" i="37"/>
  <c r="I127" i="37" s="1"/>
  <c r="J127" i="37" s="1"/>
  <c r="G128" i="37" s="1"/>
  <c r="H107" i="36" l="1"/>
  <c r="I107" i="36" s="1"/>
  <c r="J107" i="36" s="1"/>
  <c r="G108" i="36" s="1"/>
  <c r="H128" i="37"/>
  <c r="I128" i="37" s="1"/>
  <c r="J128" i="37" s="1"/>
  <c r="G129" i="37" s="1"/>
  <c r="H108" i="36" l="1"/>
  <c r="I108" i="36" s="1"/>
  <c r="J108" i="36" s="1"/>
  <c r="G109" i="36" s="1"/>
  <c r="H129" i="37"/>
  <c r="I129" i="37" s="1"/>
  <c r="J129" i="37" s="1"/>
  <c r="G130" i="37" s="1"/>
  <c r="H109" i="36" l="1"/>
  <c r="I109" i="36" s="1"/>
  <c r="J109" i="36" s="1"/>
  <c r="G110" i="36" s="1"/>
  <c r="H130" i="37"/>
  <c r="I130" i="37" s="1"/>
  <c r="J130" i="37" s="1"/>
  <c r="G131" i="37" s="1"/>
  <c r="H110" i="36" l="1"/>
  <c r="I110" i="36" s="1"/>
  <c r="J110" i="36" s="1"/>
  <c r="G111" i="36" s="1"/>
  <c r="H131" i="37"/>
  <c r="I131" i="37" s="1"/>
  <c r="J131" i="37" s="1"/>
  <c r="G132" i="37" s="1"/>
  <c r="H111" i="36" l="1"/>
  <c r="I111" i="36" s="1"/>
  <c r="J111" i="36" s="1"/>
  <c r="G112" i="36" s="1"/>
  <c r="H132" i="37"/>
  <c r="I132" i="37" s="1"/>
  <c r="J132" i="37" s="1"/>
  <c r="G133" i="37" s="1"/>
  <c r="H112" i="36" l="1"/>
  <c r="H133" i="37"/>
  <c r="I133" i="37" s="1"/>
  <c r="J133" i="37" s="1"/>
  <c r="G134" i="37" s="1"/>
  <c r="I112" i="36" l="1"/>
  <c r="N55" i="1"/>
  <c r="N64" i="30" s="1"/>
  <c r="N73" i="30" s="1"/>
  <c r="H134" i="37"/>
  <c r="I134" i="37" s="1"/>
  <c r="J134" i="37" s="1"/>
  <c r="G135" i="37" s="1"/>
  <c r="N67" i="1" l="1"/>
  <c r="N56" i="1"/>
  <c r="N66" i="1"/>
  <c r="J112" i="36"/>
  <c r="G113" i="36" s="1"/>
  <c r="H135" i="37"/>
  <c r="I135" i="37" s="1"/>
  <c r="J135" i="37" s="1"/>
  <c r="G136" i="37" s="1"/>
  <c r="N59" i="1" l="1"/>
  <c r="N62" i="30"/>
  <c r="N70" i="1"/>
  <c r="H113" i="36"/>
  <c r="I113" i="36" s="1"/>
  <c r="J113" i="36" s="1"/>
  <c r="G114" i="36" s="1"/>
  <c r="N57" i="1"/>
  <c r="N58" i="1" s="1"/>
  <c r="H136" i="37"/>
  <c r="I136" i="37" s="1"/>
  <c r="J136" i="37" s="1"/>
  <c r="G137" i="37" s="1"/>
  <c r="N75" i="1" l="1"/>
  <c r="M37" i="15" s="1"/>
  <c r="N120" i="30" s="1"/>
  <c r="N76" i="30"/>
  <c r="N81" i="30" s="1"/>
  <c r="N72" i="30"/>
  <c r="N63" i="30"/>
  <c r="N65" i="30" s="1"/>
  <c r="N67" i="30" s="1"/>
  <c r="N35" i="39"/>
  <c r="N60" i="1"/>
  <c r="N64" i="1" s="1"/>
  <c r="N68" i="1" s="1"/>
  <c r="N61" i="1"/>
  <c r="H114" i="36"/>
  <c r="I114" i="36" s="1"/>
  <c r="J114" i="36" s="1"/>
  <c r="G115" i="36" s="1"/>
  <c r="M23" i="15"/>
  <c r="N23" i="39"/>
  <c r="N25" i="39" s="1"/>
  <c r="N28" i="39" s="1"/>
  <c r="H137" i="37"/>
  <c r="I137" i="37" s="1"/>
  <c r="J137" i="37" s="1"/>
  <c r="G138" i="37" s="1"/>
  <c r="N71" i="30" l="1"/>
  <c r="N74" i="30" s="1"/>
  <c r="N68" i="30"/>
  <c r="N10" i="30" s="1"/>
  <c r="M25" i="15"/>
  <c r="M35" i="15" s="1"/>
  <c r="N107" i="30"/>
  <c r="N109" i="30" s="1"/>
  <c r="H115" i="36"/>
  <c r="I115" i="36" s="1"/>
  <c r="J115" i="36" s="1"/>
  <c r="G116" i="36" s="1"/>
  <c r="N74" i="1"/>
  <c r="N34" i="39" s="1"/>
  <c r="N72" i="1"/>
  <c r="H138" i="37"/>
  <c r="I138" i="37" s="1"/>
  <c r="J138" i="37" s="1"/>
  <c r="G139" i="37" s="1"/>
  <c r="N11" i="30" l="1"/>
  <c r="N78" i="30"/>
  <c r="N12" i="30" s="1"/>
  <c r="N80" i="30"/>
  <c r="N84" i="30" s="1"/>
  <c r="N86" i="30" s="1"/>
  <c r="M28" i="15"/>
  <c r="N112" i="30"/>
  <c r="N119" i="30"/>
  <c r="M42" i="15"/>
  <c r="M47" i="15" s="1"/>
  <c r="N43" i="39"/>
  <c r="M44" i="15"/>
  <c r="H116" i="36"/>
  <c r="I116" i="36" s="1"/>
  <c r="J116" i="36" s="1"/>
  <c r="G117" i="36" s="1"/>
  <c r="H139" i="37"/>
  <c r="I139" i="37" s="1"/>
  <c r="J139" i="37" s="1"/>
  <c r="G140" i="37" s="1"/>
  <c r="N124" i="30" l="1"/>
  <c r="N122" i="30"/>
  <c r="N127" i="30" s="1"/>
  <c r="H117" i="36"/>
  <c r="I117" i="36" s="1"/>
  <c r="J117" i="36" s="1"/>
  <c r="G118" i="36" s="1"/>
  <c r="H140" i="37"/>
  <c r="I140" i="37" s="1"/>
  <c r="J140" i="37" s="1"/>
  <c r="G141" i="37" s="1"/>
  <c r="H118" i="36" l="1"/>
  <c r="I118" i="36" s="1"/>
  <c r="J118" i="36" s="1"/>
  <c r="G119" i="36" s="1"/>
  <c r="H141" i="37"/>
  <c r="I141" i="37" s="1"/>
  <c r="J141" i="37" s="1"/>
  <c r="G142" i="37" s="1"/>
  <c r="H119" i="36" l="1"/>
  <c r="I119" i="36" s="1"/>
  <c r="J119" i="36" s="1"/>
  <c r="G120" i="36" s="1"/>
  <c r="H142" i="37"/>
  <c r="I142" i="37" s="1"/>
  <c r="J142" i="37" s="1"/>
  <c r="G143" i="37" s="1"/>
  <c r="H120" i="36" l="1"/>
  <c r="I120" i="36" s="1"/>
  <c r="J120" i="36" s="1"/>
  <c r="G121" i="36" s="1"/>
  <c r="H143" i="37"/>
  <c r="I143" i="37" s="1"/>
  <c r="J143" i="37" s="1"/>
  <c r="G144" i="37" s="1"/>
  <c r="H121" i="36" l="1"/>
  <c r="I121" i="36" s="1"/>
  <c r="J121" i="36" s="1"/>
  <c r="G122" i="36" s="1"/>
  <c r="H144" i="37"/>
  <c r="I144" i="37" s="1"/>
  <c r="J144" i="37" s="1"/>
  <c r="G145" i="37" s="1"/>
  <c r="H122" i="36" l="1"/>
  <c r="I122" i="36" s="1"/>
  <c r="J122" i="36" s="1"/>
  <c r="G123" i="36" s="1"/>
  <c r="H145" i="37"/>
  <c r="I145" i="37" s="1"/>
  <c r="J145" i="37" s="1"/>
  <c r="G146" i="37" s="1"/>
  <c r="H123" i="36" l="1"/>
  <c r="I123" i="36" s="1"/>
  <c r="J123" i="36" s="1"/>
  <c r="G124" i="36" s="1"/>
  <c r="H146" i="37"/>
  <c r="I146" i="37" s="1"/>
  <c r="J146" i="37" s="1"/>
  <c r="G147" i="37" s="1"/>
  <c r="H124" i="36" l="1"/>
  <c r="I124" i="36" s="1"/>
  <c r="J124" i="36" s="1"/>
  <c r="G125" i="36" s="1"/>
  <c r="H147" i="37"/>
  <c r="I147" i="37" s="1"/>
  <c r="J147" i="37" s="1"/>
  <c r="G148" i="37" s="1"/>
  <c r="H125" i="36" l="1"/>
  <c r="I125" i="36" s="1"/>
  <c r="J125" i="36" s="1"/>
  <c r="G126" i="36" s="1"/>
  <c r="H148" i="37"/>
  <c r="I148" i="37" s="1"/>
  <c r="J148" i="37" s="1"/>
  <c r="N81" i="1"/>
  <c r="N83" i="1" s="1"/>
  <c r="N46" i="39" s="1"/>
  <c r="N41" i="39" s="1"/>
  <c r="H126" i="36" l="1"/>
  <c r="I126" i="36" s="1"/>
  <c r="J126" i="36" s="1"/>
  <c r="G127" i="36" s="1"/>
  <c r="H127" i="36" l="1"/>
  <c r="I127" i="36" s="1"/>
  <c r="J127" i="36" s="1"/>
  <c r="G128" i="36" s="1"/>
  <c r="H128" i="36" l="1"/>
  <c r="I128" i="36" s="1"/>
  <c r="J128" i="36" s="1"/>
  <c r="G129" i="36" s="1"/>
  <c r="H129" i="36" l="1"/>
  <c r="I129" i="36" s="1"/>
  <c r="J129" i="36" s="1"/>
  <c r="G130" i="36" s="1"/>
  <c r="H130" i="36" l="1"/>
  <c r="I130" i="36" s="1"/>
  <c r="J130" i="36" s="1"/>
  <c r="G131" i="36" s="1"/>
  <c r="H131" i="36" l="1"/>
  <c r="I131" i="36" s="1"/>
  <c r="J131" i="36" s="1"/>
  <c r="G132" i="36" s="1"/>
  <c r="H132" i="36" l="1"/>
  <c r="I132" i="36" s="1"/>
  <c r="J132" i="36" s="1"/>
  <c r="G133" i="36" s="1"/>
  <c r="H133" i="36" l="1"/>
  <c r="I133" i="36" s="1"/>
  <c r="J133" i="36" s="1"/>
  <c r="G134" i="36" s="1"/>
  <c r="H134" i="36" l="1"/>
  <c r="I134" i="36" s="1"/>
  <c r="J134" i="36" s="1"/>
  <c r="G135" i="36" s="1"/>
  <c r="H135" i="36" l="1"/>
  <c r="I135" i="36" s="1"/>
  <c r="J135" i="36" s="1"/>
  <c r="G136" i="36" s="1"/>
  <c r="H136" i="36" l="1"/>
  <c r="I136" i="36" s="1"/>
  <c r="J136" i="36" s="1"/>
  <c r="G137" i="36" s="1"/>
  <c r="H137" i="36" l="1"/>
  <c r="I137" i="36" s="1"/>
  <c r="J137" i="36" s="1"/>
  <c r="G138" i="36" s="1"/>
  <c r="H138" i="36" l="1"/>
  <c r="I138" i="36" s="1"/>
  <c r="J138" i="36" s="1"/>
  <c r="G139" i="36" s="1"/>
  <c r="H139" i="36" l="1"/>
  <c r="I139" i="36" s="1"/>
  <c r="J139" i="36" s="1"/>
  <c r="G140" i="36" s="1"/>
  <c r="H140" i="36" l="1"/>
  <c r="I140" i="36" s="1"/>
  <c r="J140" i="36" s="1"/>
  <c r="G141" i="36" s="1"/>
  <c r="H141" i="36" l="1"/>
  <c r="I141" i="36" s="1"/>
  <c r="J141" i="36" s="1"/>
  <c r="G142" i="36" s="1"/>
  <c r="H142" i="36" l="1"/>
  <c r="I142" i="36" s="1"/>
  <c r="J142" i="36" s="1"/>
  <c r="G143" i="36" s="1"/>
  <c r="H143" i="36" l="1"/>
  <c r="I143" i="36" s="1"/>
  <c r="J143" i="36" s="1"/>
  <c r="G144" i="36" s="1"/>
  <c r="H144" i="36" l="1"/>
  <c r="I144" i="36" s="1"/>
  <c r="J144" i="36" s="1"/>
  <c r="G145" i="36" s="1"/>
  <c r="H145" i="36" l="1"/>
  <c r="I145" i="36" s="1"/>
  <c r="J145" i="36" s="1"/>
  <c r="G146" i="36" s="1"/>
  <c r="H146" i="36" l="1"/>
  <c r="I146" i="36" s="1"/>
  <c r="J146" i="36" s="1"/>
  <c r="G147" i="36" s="1"/>
  <c r="H147" i="36" l="1"/>
  <c r="I147" i="36" s="1"/>
  <c r="J147" i="36" s="1"/>
  <c r="G148" i="36" s="1"/>
  <c r="H148" i="36" l="1"/>
  <c r="I148" i="36" s="1"/>
  <c r="J148" i="36" s="1"/>
  <c r="I6" i="20"/>
  <c r="J6" i="20" l="1"/>
  <c r="I7" i="20"/>
  <c r="I14" i="20" s="1"/>
  <c r="C14" i="20"/>
  <c r="D112" i="30" s="1"/>
  <c r="J7" i="20" l="1"/>
  <c r="J14" i="20" s="1"/>
  <c r="C18" i="20"/>
  <c r="C21" i="20" s="1"/>
  <c r="C4" i="29" l="1"/>
  <c r="C8" i="29" s="1"/>
  <c r="I22" i="20"/>
  <c r="J22" i="20" s="1"/>
  <c r="C19" i="20"/>
  <c r="C24" i="15" s="1"/>
  <c r="C25" i="15" s="1"/>
  <c r="C36" i="15"/>
  <c r="I24" i="20" l="1"/>
  <c r="C12" i="29"/>
  <c r="G17" i="29"/>
  <c r="J17" i="29" s="1"/>
  <c r="G18" i="29" s="1"/>
  <c r="G5" i="29"/>
  <c r="H5" i="29" s="1"/>
  <c r="D24" i="39"/>
  <c r="D25" i="39" s="1"/>
  <c r="D28" i="39" s="1"/>
  <c r="C16" i="29"/>
  <c r="H17" i="29"/>
  <c r="C28" i="15"/>
  <c r="C35" i="15"/>
  <c r="J5" i="29" l="1"/>
  <c r="G6" i="29" s="1"/>
  <c r="H6" i="29"/>
  <c r="J6" i="29"/>
  <c r="G7" i="29" s="1"/>
  <c r="D127" i="30"/>
  <c r="H18" i="29"/>
  <c r="J18" i="29"/>
  <c r="G19" i="29" s="1"/>
  <c r="H19" i="29" l="1"/>
  <c r="J19" i="29"/>
  <c r="G20" i="29" s="1"/>
  <c r="H7" i="29"/>
  <c r="J7" i="29"/>
  <c r="G8" i="29" s="1"/>
  <c r="H8" i="29" l="1"/>
  <c r="J8" i="29"/>
  <c r="G9" i="29" s="1"/>
  <c r="H20" i="29"/>
  <c r="J20" i="29"/>
  <c r="G21" i="29" s="1"/>
  <c r="H21" i="29" l="1"/>
  <c r="J21" i="29"/>
  <c r="G22" i="29" s="1"/>
  <c r="H9" i="29"/>
  <c r="J9" i="29"/>
  <c r="G10" i="29" s="1"/>
  <c r="H10" i="29" l="1"/>
  <c r="J10" i="29"/>
  <c r="G11" i="29" s="1"/>
  <c r="J22" i="29"/>
  <c r="G23" i="29" s="1"/>
  <c r="H22" i="29"/>
  <c r="H23" i="29" l="1"/>
  <c r="J23" i="29"/>
  <c r="G24" i="29" s="1"/>
  <c r="J11" i="29"/>
  <c r="G12" i="29" s="1"/>
  <c r="H11" i="29"/>
  <c r="H24" i="29" l="1"/>
  <c r="J24" i="29"/>
  <c r="G25" i="29" s="1"/>
  <c r="H12" i="29"/>
  <c r="J12" i="29"/>
  <c r="G13" i="29" s="1"/>
  <c r="H25" i="29" l="1"/>
  <c r="J25" i="29"/>
  <c r="G26" i="29" s="1"/>
  <c r="H13" i="29"/>
  <c r="J13" i="29"/>
  <c r="G14" i="29" s="1"/>
  <c r="H26" i="29" l="1"/>
  <c r="J26" i="29"/>
  <c r="G27" i="29" s="1"/>
  <c r="J14" i="29"/>
  <c r="G15" i="29" s="1"/>
  <c r="H14" i="29"/>
  <c r="H15" i="29" l="1"/>
  <c r="J15" i="29"/>
  <c r="G16" i="29" s="1"/>
  <c r="H27" i="29"/>
  <c r="J27" i="29"/>
  <c r="G28" i="29" s="1"/>
  <c r="H28" i="29" l="1"/>
  <c r="E55" i="1" s="1"/>
  <c r="J28" i="29"/>
  <c r="G29" i="29" s="1"/>
  <c r="H16" i="29"/>
  <c r="J16" i="29"/>
  <c r="H29" i="29" l="1"/>
  <c r="E67" i="1"/>
  <c r="E56" i="1"/>
  <c r="E70" i="1"/>
  <c r="E64" i="30"/>
  <c r="E73" i="30" l="1"/>
  <c r="E65" i="30"/>
  <c r="E67" i="30" s="1"/>
  <c r="E57" i="1"/>
  <c r="E76" i="30"/>
  <c r="E81" i="30" s="1"/>
  <c r="E75" i="1"/>
  <c r="I29" i="29"/>
  <c r="E23" i="39" l="1"/>
  <c r="E25" i="39" s="1"/>
  <c r="E28" i="39" s="1"/>
  <c r="D23" i="15"/>
  <c r="E58" i="1"/>
  <c r="J29" i="29"/>
  <c r="G30" i="29" s="1"/>
  <c r="E68" i="30"/>
  <c r="E10" i="30" s="1"/>
  <c r="E71" i="30"/>
  <c r="E74" i="30" s="1"/>
  <c r="E35" i="39"/>
  <c r="D37" i="15"/>
  <c r="E120" i="30" s="1"/>
  <c r="E78" i="30" l="1"/>
  <c r="E12" i="30" s="1"/>
  <c r="E80" i="30"/>
  <c r="E84" i="30" s="1"/>
  <c r="E86" i="30" s="1"/>
  <c r="E61" i="1"/>
  <c r="E11" i="30" s="1"/>
  <c r="E60" i="1"/>
  <c r="E64" i="1" s="1"/>
  <c r="E68" i="1" s="1"/>
  <c r="E107" i="30"/>
  <c r="E109" i="30" s="1"/>
  <c r="D25" i="15"/>
  <c r="H30" i="29"/>
  <c r="D28" i="15" l="1"/>
  <c r="D35" i="15"/>
  <c r="E72" i="1"/>
  <c r="E74" i="1"/>
  <c r="E81" i="1" s="1"/>
  <c r="I30" i="29"/>
  <c r="E112" i="30"/>
  <c r="E119" i="30"/>
  <c r="D42" i="15" l="1"/>
  <c r="D47" i="15" s="1"/>
  <c r="D44" i="15"/>
  <c r="E43" i="39"/>
  <c r="E122" i="30"/>
  <c r="E127" i="30" s="1"/>
  <c r="E124" i="30"/>
  <c r="E34" i="39"/>
  <c r="E83" i="1"/>
  <c r="J30" i="29"/>
  <c r="G31" i="29" s="1"/>
  <c r="E46" i="39" l="1"/>
  <c r="H31" i="29"/>
  <c r="E41" i="39" l="1"/>
  <c r="I31" i="29"/>
  <c r="J31" i="29" l="1"/>
  <c r="G32" i="29" s="1"/>
  <c r="H32" i="29" l="1"/>
  <c r="I32" i="29" l="1"/>
  <c r="J32" i="29" l="1"/>
  <c r="G33" i="29" s="1"/>
  <c r="H33" i="29" l="1"/>
  <c r="I33" i="29" l="1"/>
  <c r="J33" i="29" l="1"/>
  <c r="G34" i="29" s="1"/>
  <c r="H34" i="29" l="1"/>
  <c r="I34" i="29" l="1"/>
  <c r="J34" i="29" s="1"/>
  <c r="G35" i="29" s="1"/>
  <c r="L23" i="29"/>
  <c r="H35" i="29" l="1"/>
  <c r="I35" i="29" l="1"/>
  <c r="J35" i="29" s="1"/>
  <c r="G36" i="29" s="1"/>
  <c r="H36" i="29" l="1"/>
  <c r="I36" i="29" l="1"/>
  <c r="J36" i="29" s="1"/>
  <c r="G37" i="29" s="1"/>
  <c r="H37" i="29" l="1"/>
  <c r="I37" i="29" l="1"/>
  <c r="J37" i="29" s="1"/>
  <c r="G38" i="29" s="1"/>
  <c r="H38" i="29" l="1"/>
  <c r="I38" i="29" l="1"/>
  <c r="J38" i="29" s="1"/>
  <c r="G39" i="29" s="1"/>
  <c r="H39" i="29" l="1"/>
  <c r="I39" i="29" l="1"/>
  <c r="J39" i="29" s="1"/>
  <c r="G40" i="29" s="1"/>
  <c r="H40" i="29" l="1"/>
  <c r="I40" i="29" l="1"/>
  <c r="F55" i="1"/>
  <c r="F67" i="1" l="1"/>
  <c r="F64" i="30"/>
  <c r="F73" i="30" s="1"/>
  <c r="F56" i="1"/>
  <c r="F66" i="1"/>
  <c r="F70" i="1" s="1"/>
  <c r="J40" i="29"/>
  <c r="G41" i="29" s="1"/>
  <c r="F75" i="1" l="1"/>
  <c r="F76" i="30"/>
  <c r="F81" i="30" s="1"/>
  <c r="F57" i="1"/>
  <c r="H41" i="29"/>
  <c r="F59" i="1"/>
  <c r="F62" i="30"/>
  <c r="E23" i="15" l="1"/>
  <c r="F23" i="39"/>
  <c r="F25" i="39" s="1"/>
  <c r="F28" i="39" s="1"/>
  <c r="F72" i="30"/>
  <c r="F63" i="30"/>
  <c r="F65" i="30" s="1"/>
  <c r="F67" i="30" s="1"/>
  <c r="F58" i="1"/>
  <c r="I41" i="29"/>
  <c r="F35" i="39"/>
  <c r="E37" i="15"/>
  <c r="F120" i="30" s="1"/>
  <c r="F68" i="30" l="1"/>
  <c r="F10" i="30" s="1"/>
  <c r="F71" i="30"/>
  <c r="F74" i="30" s="1"/>
  <c r="J41" i="29"/>
  <c r="G42" i="29" s="1"/>
  <c r="F61" i="1"/>
  <c r="F60" i="1"/>
  <c r="F64" i="1" s="1"/>
  <c r="F68" i="1" s="1"/>
  <c r="F107" i="30"/>
  <c r="F109" i="30" s="1"/>
  <c r="E25" i="15"/>
  <c r="F11" i="30" l="1"/>
  <c r="F72" i="1"/>
  <c r="F74" i="1"/>
  <c r="F81" i="1" s="1"/>
  <c r="H42" i="29"/>
  <c r="E28" i="15"/>
  <c r="E35" i="15"/>
  <c r="F80" i="30"/>
  <c r="F84" i="30" s="1"/>
  <c r="F86" i="30" s="1"/>
  <c r="F78" i="30"/>
  <c r="F12" i="30" s="1"/>
  <c r="F112" i="30"/>
  <c r="F119" i="30"/>
  <c r="E42" i="15" l="1"/>
  <c r="E47" i="15" s="1"/>
  <c r="F124" i="30"/>
  <c r="F122" i="30"/>
  <c r="F127" i="30" s="1"/>
  <c r="F34" i="39"/>
  <c r="F83" i="1"/>
  <c r="E44" i="15"/>
  <c r="F43" i="39"/>
  <c r="I42" i="29"/>
  <c r="F46" i="39" l="1"/>
  <c r="J42" i="29"/>
  <c r="G43" i="29" s="1"/>
  <c r="H43" i="29" l="1"/>
  <c r="F41" i="39"/>
  <c r="I43" i="29" l="1"/>
  <c r="J43" i="29" l="1"/>
  <c r="G44" i="29" s="1"/>
  <c r="H44" i="29" l="1"/>
  <c r="I44" i="29" l="1"/>
  <c r="J44" i="29" l="1"/>
  <c r="G45" i="29" s="1"/>
  <c r="H45" i="29" l="1"/>
  <c r="I45" i="29" l="1"/>
  <c r="J45" i="29" l="1"/>
  <c r="G46" i="29" s="1"/>
  <c r="H46" i="29" l="1"/>
  <c r="I46" i="29" l="1"/>
  <c r="J46" i="29" s="1"/>
  <c r="G47" i="29" s="1"/>
  <c r="L35" i="29" l="1"/>
  <c r="H47" i="29"/>
  <c r="I47" i="29" s="1"/>
  <c r="J47" i="29" s="1"/>
  <c r="G48" i="29" s="1"/>
  <c r="H48" i="29" l="1"/>
  <c r="I48" i="29" s="1"/>
  <c r="J48" i="29" s="1"/>
  <c r="G49" i="29" s="1"/>
  <c r="H49" i="29" l="1"/>
  <c r="I49" i="29" s="1"/>
  <c r="J49" i="29" s="1"/>
  <c r="G50" i="29" s="1"/>
  <c r="H50" i="29" l="1"/>
  <c r="I50" i="29" s="1"/>
  <c r="J50" i="29" s="1"/>
  <c r="G51" i="29" s="1"/>
  <c r="H51" i="29" l="1"/>
  <c r="I51" i="29" s="1"/>
  <c r="J51" i="29" s="1"/>
  <c r="G52" i="29" s="1"/>
  <c r="H52" i="29" l="1"/>
  <c r="I52" i="29" l="1"/>
  <c r="G55" i="1"/>
  <c r="G67" i="1" l="1"/>
  <c r="G64" i="30"/>
  <c r="G73" i="30" s="1"/>
  <c r="G56" i="1"/>
  <c r="G66" i="1"/>
  <c r="G70" i="1" s="1"/>
  <c r="J52" i="29"/>
  <c r="G53" i="29" s="1"/>
  <c r="G57" i="1" l="1"/>
  <c r="G58" i="1" s="1"/>
  <c r="H53" i="29"/>
  <c r="G75" i="1"/>
  <c r="G76" i="30"/>
  <c r="G81" i="30" s="1"/>
  <c r="G59" i="1"/>
  <c r="G62" i="30"/>
  <c r="G72" i="30" l="1"/>
  <c r="G63" i="30"/>
  <c r="G65" i="30" s="1"/>
  <c r="G67" i="30" s="1"/>
  <c r="I53" i="29"/>
  <c r="G61" i="1"/>
  <c r="G60" i="1"/>
  <c r="G64" i="1" s="1"/>
  <c r="G68" i="1" s="1"/>
  <c r="G35" i="39"/>
  <c r="F37" i="15"/>
  <c r="G120" i="30" s="1"/>
  <c r="F23" i="15"/>
  <c r="G23" i="39"/>
  <c r="G25" i="39" s="1"/>
  <c r="G28" i="39" s="1"/>
  <c r="J53" i="29" l="1"/>
  <c r="G54" i="29" s="1"/>
  <c r="G72" i="1"/>
  <c r="G74" i="1"/>
  <c r="G68" i="30"/>
  <c r="G10" i="30" s="1"/>
  <c r="G71" i="30"/>
  <c r="G74" i="30" s="1"/>
  <c r="F25" i="15"/>
  <c r="G107" i="30"/>
  <c r="G109" i="30" s="1"/>
  <c r="G11" i="30"/>
  <c r="G78" i="30" l="1"/>
  <c r="G12" i="30" s="1"/>
  <c r="G80" i="30"/>
  <c r="G84" i="30" s="1"/>
  <c r="G86" i="30" s="1"/>
  <c r="H54" i="29"/>
  <c r="G112" i="30"/>
  <c r="G119" i="30"/>
  <c r="G34" i="39"/>
  <c r="G81" i="1"/>
  <c r="G83" i="1" s="1"/>
  <c r="F28" i="15"/>
  <c r="F35" i="15"/>
  <c r="G43" i="39"/>
  <c r="F44" i="15"/>
  <c r="F42" i="15" l="1"/>
  <c r="F47" i="15" s="1"/>
  <c r="I54" i="29"/>
  <c r="G46" i="39"/>
  <c r="G122" i="30"/>
  <c r="G127" i="30" s="1"/>
  <c r="G124" i="30"/>
  <c r="G41" i="39" l="1"/>
  <c r="J54" i="29"/>
  <c r="G55" i="29" s="1"/>
  <c r="H55" i="29" l="1"/>
  <c r="I55" i="29" l="1"/>
  <c r="J55" i="29" l="1"/>
  <c r="G56" i="29" s="1"/>
  <c r="H56" i="29" l="1"/>
  <c r="I56" i="29" l="1"/>
  <c r="J56" i="29" l="1"/>
  <c r="G57" i="29" s="1"/>
  <c r="H57" i="29" l="1"/>
  <c r="I57" i="29" l="1"/>
  <c r="J57" i="29" l="1"/>
  <c r="G58" i="29" s="1"/>
  <c r="H58" i="29" l="1"/>
  <c r="I58" i="29" s="1"/>
  <c r="J58" i="29" s="1"/>
  <c r="G59" i="29" s="1"/>
  <c r="H59" i="29" l="1"/>
  <c r="I59" i="29" s="1"/>
  <c r="J59" i="29" s="1"/>
  <c r="G60" i="29" s="1"/>
  <c r="H60" i="29" l="1"/>
  <c r="I60" i="29" s="1"/>
  <c r="J60" i="29" s="1"/>
  <c r="G61" i="29" s="1"/>
  <c r="H61" i="29" l="1"/>
  <c r="I61" i="29" s="1"/>
  <c r="J61" i="29" s="1"/>
  <c r="G62" i="29" s="1"/>
  <c r="H62" i="29" l="1"/>
  <c r="I62" i="29" s="1"/>
  <c r="J62" i="29" s="1"/>
  <c r="G63" i="29" s="1"/>
  <c r="H63" i="29" l="1"/>
  <c r="I63" i="29" s="1"/>
  <c r="J63" i="29" s="1"/>
  <c r="G64" i="29" s="1"/>
  <c r="H64" i="29" l="1"/>
  <c r="I64" i="29" l="1"/>
  <c r="H55" i="1"/>
  <c r="H67" i="1" l="1"/>
  <c r="H56" i="1"/>
  <c r="H64" i="30"/>
  <c r="H73" i="30" s="1"/>
  <c r="H66" i="1"/>
  <c r="J64" i="29"/>
  <c r="G65" i="29" s="1"/>
  <c r="H65" i="29" l="1"/>
  <c r="H57" i="1"/>
  <c r="H59" i="1"/>
  <c r="H62" i="30"/>
  <c r="H70" i="1"/>
  <c r="H72" i="30" l="1"/>
  <c r="H63" i="30"/>
  <c r="H65" i="30" s="1"/>
  <c r="H67" i="30" s="1"/>
  <c r="I65" i="29"/>
  <c r="H23" i="39"/>
  <c r="H25" i="39" s="1"/>
  <c r="H28" i="39" s="1"/>
  <c r="G23" i="15"/>
  <c r="H75" i="1"/>
  <c r="H76" i="30"/>
  <c r="H81" i="30" s="1"/>
  <c r="H58" i="1"/>
  <c r="J65" i="29" l="1"/>
  <c r="G66" i="29" s="1"/>
  <c r="H35" i="39"/>
  <c r="G37" i="15"/>
  <c r="H120" i="30" s="1"/>
  <c r="H107" i="30"/>
  <c r="H109" i="30" s="1"/>
  <c r="G25" i="15"/>
  <c r="H68" i="30"/>
  <c r="H10" i="30" s="1"/>
  <c r="H71" i="30"/>
  <c r="H74" i="30" s="1"/>
  <c r="H60" i="1"/>
  <c r="H64" i="1" s="1"/>
  <c r="H68" i="1" s="1"/>
  <c r="H61" i="1"/>
  <c r="H11" i="30" l="1"/>
  <c r="G35" i="15"/>
  <c r="G28" i="15"/>
  <c r="H66" i="29"/>
  <c r="H78" i="30"/>
  <c r="H12" i="30" s="1"/>
  <c r="H80" i="30"/>
  <c r="H84" i="30" s="1"/>
  <c r="H86" i="30" s="1"/>
  <c r="H72" i="1"/>
  <c r="H74" i="1"/>
  <c r="H112" i="30"/>
  <c r="H119" i="30"/>
  <c r="G42" i="15" l="1"/>
  <c r="G47" i="15" s="1"/>
  <c r="H122" i="30"/>
  <c r="H127" i="30" s="1"/>
  <c r="H124" i="30"/>
  <c r="H34" i="39"/>
  <c r="H81" i="1"/>
  <c r="H83" i="1" s="1"/>
  <c r="H43" i="39"/>
  <c r="G44" i="15"/>
  <c r="I66" i="29"/>
  <c r="C29" i="16"/>
  <c r="E29" i="16" s="1"/>
  <c r="H46" i="39" l="1"/>
  <c r="J66" i="29"/>
  <c r="G67" i="29" s="1"/>
  <c r="H67" i="29" l="1"/>
  <c r="H41" i="39"/>
  <c r="I67" i="29" l="1"/>
  <c r="J67" i="29" l="1"/>
  <c r="G68" i="29" s="1"/>
  <c r="H68" i="29" l="1"/>
  <c r="I68" i="29" l="1"/>
  <c r="J68" i="29" l="1"/>
  <c r="G69" i="29" s="1"/>
  <c r="H69" i="29" l="1"/>
  <c r="I69" i="29" l="1"/>
  <c r="J69" i="29" l="1"/>
  <c r="G70" i="29" s="1"/>
  <c r="H70" i="29" l="1"/>
  <c r="I70" i="29" s="1"/>
  <c r="J70" i="29" s="1"/>
  <c r="G71" i="29" s="1"/>
  <c r="H71" i="29" l="1"/>
  <c r="I71" i="29" s="1"/>
  <c r="J71" i="29" s="1"/>
  <c r="G72" i="29" s="1"/>
  <c r="H72" i="29" l="1"/>
  <c r="I72" i="29" s="1"/>
  <c r="J72" i="29" s="1"/>
  <c r="G73" i="29" s="1"/>
  <c r="H73" i="29" l="1"/>
  <c r="I73" i="29" s="1"/>
  <c r="J73" i="29" s="1"/>
  <c r="G74" i="29" s="1"/>
  <c r="H74" i="29" l="1"/>
  <c r="I74" i="29" s="1"/>
  <c r="J74" i="29" s="1"/>
  <c r="G75" i="29" s="1"/>
  <c r="H75" i="29" l="1"/>
  <c r="I75" i="29" s="1"/>
  <c r="J75" i="29" s="1"/>
  <c r="G76" i="29" s="1"/>
  <c r="H76" i="29" l="1"/>
  <c r="I76" i="29" l="1"/>
  <c r="I55" i="1"/>
  <c r="I66" i="1" l="1"/>
  <c r="I70" i="1" s="1"/>
  <c r="J76" i="29"/>
  <c r="G77" i="29" s="1"/>
  <c r="I67" i="1"/>
  <c r="I64" i="30"/>
  <c r="I73" i="30" s="1"/>
  <c r="I56" i="1"/>
  <c r="I75" i="1" l="1"/>
  <c r="I76" i="30"/>
  <c r="I81" i="30" s="1"/>
  <c r="I57" i="1"/>
  <c r="H77" i="29"/>
  <c r="I59" i="1"/>
  <c r="I62" i="30"/>
  <c r="I77" i="29" l="1"/>
  <c r="I35" i="39"/>
  <c r="H37" i="15"/>
  <c r="I120" i="30" s="1"/>
  <c r="I63" i="30"/>
  <c r="I65" i="30" s="1"/>
  <c r="I67" i="30" s="1"/>
  <c r="I72" i="30"/>
  <c r="I23" i="39"/>
  <c r="I25" i="39" s="1"/>
  <c r="I28" i="39" s="1"/>
  <c r="H23" i="15"/>
  <c r="I58" i="1"/>
  <c r="I61" i="1" l="1"/>
  <c r="I60" i="1"/>
  <c r="I64" i="1" s="1"/>
  <c r="I68" i="1" s="1"/>
  <c r="I107" i="30"/>
  <c r="I109" i="30" s="1"/>
  <c r="H25" i="15"/>
  <c r="J77" i="29"/>
  <c r="G78" i="29" s="1"/>
  <c r="I68" i="30"/>
  <c r="I10" i="30" s="1"/>
  <c r="I71" i="30"/>
  <c r="I74" i="30" s="1"/>
  <c r="I11" i="30" l="1"/>
  <c r="H78" i="29"/>
  <c r="I72" i="1"/>
  <c r="I74" i="1"/>
  <c r="I78" i="30"/>
  <c r="I12" i="30" s="1"/>
  <c r="I80" i="30"/>
  <c r="I84" i="30" s="1"/>
  <c r="I86" i="30" s="1"/>
  <c r="H28" i="15"/>
  <c r="H35" i="15"/>
  <c r="I112" i="30"/>
  <c r="I119" i="30"/>
  <c r="H42" i="15" l="1"/>
  <c r="H47" i="15" s="1"/>
  <c r="I124" i="30"/>
  <c r="I122" i="30"/>
  <c r="I127" i="30" s="1"/>
  <c r="I34" i="39"/>
  <c r="I81" i="1"/>
  <c r="I83" i="1" s="1"/>
  <c r="H44" i="15"/>
  <c r="I43" i="39"/>
  <c r="I78" i="29"/>
  <c r="I46" i="39" l="1"/>
  <c r="J78" i="29"/>
  <c r="G79" i="29" s="1"/>
  <c r="I41" i="39" l="1"/>
  <c r="H79" i="29"/>
  <c r="I79" i="29" l="1"/>
  <c r="J79" i="29" l="1"/>
  <c r="G80" i="29" s="1"/>
  <c r="H80" i="29" l="1"/>
  <c r="I80" i="29" l="1"/>
  <c r="J80" i="29" l="1"/>
  <c r="G81" i="29" s="1"/>
  <c r="H81" i="29" l="1"/>
  <c r="I81" i="29" l="1"/>
  <c r="J81" i="29" l="1"/>
  <c r="G82" i="29" s="1"/>
  <c r="H82" i="29" l="1"/>
  <c r="I82" i="29" s="1"/>
  <c r="J82" i="29" s="1"/>
  <c r="G83" i="29" s="1"/>
  <c r="H83" i="29" l="1"/>
  <c r="I83" i="29" s="1"/>
  <c r="J83" i="29" s="1"/>
  <c r="G84" i="29" s="1"/>
  <c r="H84" i="29" l="1"/>
  <c r="I84" i="29" s="1"/>
  <c r="J84" i="29" s="1"/>
  <c r="G85" i="29" s="1"/>
  <c r="H85" i="29" l="1"/>
  <c r="I85" i="29" s="1"/>
  <c r="J85" i="29" s="1"/>
  <c r="G86" i="29" s="1"/>
  <c r="H86" i="29" l="1"/>
  <c r="I86" i="29" s="1"/>
  <c r="J86" i="29" s="1"/>
  <c r="G87" i="29" s="1"/>
  <c r="H87" i="29" l="1"/>
  <c r="I87" i="29" s="1"/>
  <c r="J87" i="29" s="1"/>
  <c r="G88" i="29" s="1"/>
  <c r="H88" i="29" l="1"/>
  <c r="I88" i="29" l="1"/>
  <c r="J55" i="1"/>
  <c r="J67" i="1" l="1"/>
  <c r="J64" i="30"/>
  <c r="J73" i="30" s="1"/>
  <c r="J56" i="1"/>
  <c r="J66" i="1"/>
  <c r="J88" i="29"/>
  <c r="G89" i="29" s="1"/>
  <c r="H89" i="29" l="1"/>
  <c r="J59" i="1"/>
  <c r="J62" i="30"/>
  <c r="J57" i="1"/>
  <c r="J70" i="1"/>
  <c r="J23" i="39" l="1"/>
  <c r="J25" i="39" s="1"/>
  <c r="J28" i="39" s="1"/>
  <c r="I23" i="15"/>
  <c r="J58" i="1"/>
  <c r="I89" i="29"/>
  <c r="J63" i="30"/>
  <c r="J65" i="30" s="1"/>
  <c r="J67" i="30" s="1"/>
  <c r="J72" i="30"/>
  <c r="J76" i="30"/>
  <c r="J81" i="30" s="1"/>
  <c r="J75" i="1"/>
  <c r="J61" i="1" l="1"/>
  <c r="J60" i="1"/>
  <c r="J64" i="1" s="1"/>
  <c r="J68" i="1" s="1"/>
  <c r="J71" i="30"/>
  <c r="J74" i="30" s="1"/>
  <c r="J68" i="30"/>
  <c r="J10" i="30" s="1"/>
  <c r="I25" i="15"/>
  <c r="J107" i="30"/>
  <c r="J109" i="30" s="1"/>
  <c r="J35" i="39"/>
  <c r="I37" i="15"/>
  <c r="J120" i="30" s="1"/>
  <c r="J89" i="29"/>
  <c r="G90" i="29" s="1"/>
  <c r="H90" i="29" l="1"/>
  <c r="J74" i="1"/>
  <c r="J72" i="1"/>
  <c r="J78" i="30"/>
  <c r="J12" i="30" s="1"/>
  <c r="J80" i="30"/>
  <c r="J84" i="30" s="1"/>
  <c r="J86" i="30" s="1"/>
  <c r="J112" i="30"/>
  <c r="J119" i="30"/>
  <c r="I28" i="15"/>
  <c r="I35" i="15"/>
  <c r="J11" i="30"/>
  <c r="I42" i="15" l="1"/>
  <c r="I47" i="15" s="1"/>
  <c r="I44" i="15"/>
  <c r="J43" i="39"/>
  <c r="J124" i="30"/>
  <c r="J122" i="30"/>
  <c r="J127" i="30" s="1"/>
  <c r="J34" i="39"/>
  <c r="J81" i="1"/>
  <c r="J83" i="1" s="1"/>
  <c r="J46" i="39" s="1"/>
  <c r="J41" i="39" s="1"/>
  <c r="I90" i="29"/>
  <c r="J90" i="29" l="1"/>
  <c r="G91" i="29" s="1"/>
  <c r="H91" i="29" l="1"/>
  <c r="I91" i="29" l="1"/>
  <c r="J91" i="29" l="1"/>
  <c r="G92" i="29" s="1"/>
  <c r="H92" i="29" l="1"/>
  <c r="I92" i="29" l="1"/>
  <c r="J92" i="29" l="1"/>
  <c r="G93" i="29" s="1"/>
  <c r="H93" i="29" l="1"/>
  <c r="I93" i="29" l="1"/>
  <c r="J93" i="29" l="1"/>
  <c r="G94" i="29" s="1"/>
  <c r="H94" i="29" l="1"/>
  <c r="I94" i="29" s="1"/>
  <c r="J94" i="29" s="1"/>
  <c r="G95" i="29" s="1"/>
  <c r="H95" i="29" l="1"/>
  <c r="I95" i="29" s="1"/>
  <c r="J95" i="29" s="1"/>
  <c r="G96" i="29" s="1"/>
  <c r="H96" i="29" l="1"/>
  <c r="I96" i="29" s="1"/>
  <c r="J96" i="29" s="1"/>
  <c r="G97" i="29" s="1"/>
  <c r="H97" i="29" l="1"/>
  <c r="I97" i="29" s="1"/>
  <c r="J97" i="29" s="1"/>
  <c r="G98" i="29" s="1"/>
  <c r="H98" i="29" l="1"/>
  <c r="I98" i="29" s="1"/>
  <c r="J98" i="29" s="1"/>
  <c r="G99" i="29" s="1"/>
  <c r="H99" i="29" l="1"/>
  <c r="I99" i="29" s="1"/>
  <c r="J99" i="29" s="1"/>
  <c r="G100" i="29" s="1"/>
  <c r="H100" i="29" l="1"/>
  <c r="I100" i="29" l="1"/>
  <c r="K55" i="1"/>
  <c r="K67" i="1" l="1"/>
  <c r="K64" i="30"/>
  <c r="K73" i="30" s="1"/>
  <c r="K56" i="1"/>
  <c r="K66" i="1"/>
  <c r="J100" i="29"/>
  <c r="G101" i="29" s="1"/>
  <c r="H101" i="29" l="1"/>
  <c r="K62" i="30"/>
  <c r="K59" i="1"/>
  <c r="K57" i="1"/>
  <c r="K58" i="1" s="1"/>
  <c r="K70" i="1"/>
  <c r="K61" i="1" l="1"/>
  <c r="K60" i="1"/>
  <c r="K64" i="1" s="1"/>
  <c r="K68" i="1" s="1"/>
  <c r="K23" i="39"/>
  <c r="K25" i="39" s="1"/>
  <c r="K28" i="39" s="1"/>
  <c r="J23" i="15"/>
  <c r="I101" i="29"/>
  <c r="K76" i="30"/>
  <c r="K81" i="30" s="1"/>
  <c r="K75" i="1"/>
  <c r="K72" i="30"/>
  <c r="K63" i="30"/>
  <c r="K65" i="30" s="1"/>
  <c r="K67" i="30" s="1"/>
  <c r="K68" i="30" l="1"/>
  <c r="K10" i="30" s="1"/>
  <c r="K71" i="30"/>
  <c r="K74" i="30" s="1"/>
  <c r="J101" i="29"/>
  <c r="G102" i="29" s="1"/>
  <c r="K72" i="1"/>
  <c r="K74" i="1"/>
  <c r="J37" i="15"/>
  <c r="K120" i="30" s="1"/>
  <c r="K35" i="39"/>
  <c r="K107" i="30"/>
  <c r="K109" i="30" s="1"/>
  <c r="J25" i="15"/>
  <c r="K112" i="30" l="1"/>
  <c r="K119" i="30"/>
  <c r="K34" i="39"/>
  <c r="K81" i="1"/>
  <c r="K83" i="1" s="1"/>
  <c r="K46" i="39" s="1"/>
  <c r="K41" i="39" s="1"/>
  <c r="K78" i="30"/>
  <c r="K12" i="30" s="1"/>
  <c r="K80" i="30"/>
  <c r="K84" i="30" s="1"/>
  <c r="K86" i="30" s="1"/>
  <c r="K43" i="39"/>
  <c r="J44" i="15"/>
  <c r="H102" i="29"/>
  <c r="J35" i="15"/>
  <c r="J28" i="15"/>
  <c r="K11" i="30"/>
  <c r="J42" i="15" l="1"/>
  <c r="J47" i="15" s="1"/>
  <c r="K124" i="30"/>
  <c r="K122" i="30"/>
  <c r="K127" i="30" s="1"/>
  <c r="I102" i="29"/>
  <c r="J102" i="29" l="1"/>
  <c r="G103" i="29" s="1"/>
  <c r="H103" i="29" l="1"/>
  <c r="I103" i="29" l="1"/>
  <c r="J103" i="29" l="1"/>
  <c r="G104" i="29" s="1"/>
  <c r="H104" i="29" l="1"/>
  <c r="I104" i="29" l="1"/>
  <c r="J104" i="29" l="1"/>
  <c r="G105" i="29" s="1"/>
  <c r="H105" i="29" l="1"/>
  <c r="I105" i="29" l="1"/>
  <c r="J105" i="29" l="1"/>
  <c r="G106" i="29" s="1"/>
  <c r="H106" i="29" l="1"/>
  <c r="I106" i="29" s="1"/>
  <c r="J106" i="29" s="1"/>
  <c r="G107" i="29" s="1"/>
  <c r="H107" i="29" l="1"/>
  <c r="I107" i="29" s="1"/>
  <c r="J107" i="29" s="1"/>
  <c r="G108" i="29" s="1"/>
  <c r="H108" i="29" l="1"/>
  <c r="I108" i="29" s="1"/>
  <c r="J108" i="29" s="1"/>
  <c r="G109" i="29" s="1"/>
  <c r="H109" i="29" l="1"/>
  <c r="I109" i="29" s="1"/>
  <c r="J109" i="29" s="1"/>
  <c r="G110" i="29" s="1"/>
  <c r="H110" i="29" l="1"/>
  <c r="I110" i="29" s="1"/>
  <c r="J110" i="29" s="1"/>
  <c r="G111" i="29" s="1"/>
  <c r="H111" i="29" l="1"/>
  <c r="I111" i="29" s="1"/>
  <c r="J111" i="29" s="1"/>
  <c r="G112" i="29" s="1"/>
  <c r="H112" i="29" l="1"/>
  <c r="I112" i="29" l="1"/>
  <c r="L55" i="1"/>
  <c r="L67" i="1" l="1"/>
  <c r="L64" i="30"/>
  <c r="L73" i="30" s="1"/>
  <c r="L56" i="1"/>
  <c r="L66" i="1"/>
  <c r="L70" i="1" s="1"/>
  <c r="J112" i="29"/>
  <c r="G113" i="29" s="1"/>
  <c r="L76" i="30" l="1"/>
  <c r="L81" i="30" s="1"/>
  <c r="L75" i="1"/>
  <c r="L57" i="1"/>
  <c r="L58" i="1" s="1"/>
  <c r="H113" i="29"/>
  <c r="L59" i="1"/>
  <c r="L62" i="30"/>
  <c r="L61" i="1" l="1"/>
  <c r="L60" i="1"/>
  <c r="L64" i="1" s="1"/>
  <c r="L68" i="1" s="1"/>
  <c r="L72" i="30"/>
  <c r="L63" i="30"/>
  <c r="L65" i="30" s="1"/>
  <c r="L67" i="30" s="1"/>
  <c r="K37" i="15"/>
  <c r="L120" i="30" s="1"/>
  <c r="L35" i="39"/>
  <c r="L23" i="39"/>
  <c r="L25" i="39" s="1"/>
  <c r="L28" i="39" s="1"/>
  <c r="K23" i="15"/>
  <c r="I113" i="29"/>
  <c r="K25" i="15" l="1"/>
  <c r="L107" i="30"/>
  <c r="L109" i="30" s="1"/>
  <c r="J113" i="29"/>
  <c r="G114" i="29" s="1"/>
  <c r="L74" i="1"/>
  <c r="L72" i="1"/>
  <c r="L68" i="30"/>
  <c r="L10" i="30" s="1"/>
  <c r="L71" i="30"/>
  <c r="L74" i="30" s="1"/>
  <c r="H114" i="29" l="1"/>
  <c r="K44" i="15"/>
  <c r="L43" i="39"/>
  <c r="L112" i="30"/>
  <c r="L119" i="30"/>
  <c r="L78" i="30"/>
  <c r="L12" i="30" s="1"/>
  <c r="L80" i="30"/>
  <c r="L84" i="30" s="1"/>
  <c r="L86" i="30" s="1"/>
  <c r="L11" i="30"/>
  <c r="L34" i="39"/>
  <c r="L81" i="1"/>
  <c r="L83" i="1" s="1"/>
  <c r="L46" i="39" s="1"/>
  <c r="L41" i="39" s="1"/>
  <c r="K28" i="15"/>
  <c r="K35" i="15"/>
  <c r="K42" i="15" l="1"/>
  <c r="K47" i="15" s="1"/>
  <c r="L122" i="30"/>
  <c r="L127" i="30" s="1"/>
  <c r="L124" i="30"/>
  <c r="I114" i="29"/>
  <c r="J114" i="29" l="1"/>
  <c r="G115" i="29" s="1"/>
  <c r="H115" i="29" l="1"/>
  <c r="I115" i="29" l="1"/>
  <c r="J115" i="29" l="1"/>
  <c r="G116" i="29" s="1"/>
  <c r="H116" i="29" l="1"/>
  <c r="I116" i="29" l="1"/>
  <c r="J116" i="29" l="1"/>
  <c r="G117" i="29" s="1"/>
  <c r="H117" i="29" l="1"/>
  <c r="I117" i="29" l="1"/>
  <c r="J117" i="29" l="1"/>
  <c r="G118" i="29" s="1"/>
  <c r="H118" i="29" l="1"/>
  <c r="I118" i="29" s="1"/>
  <c r="J118" i="29" s="1"/>
  <c r="G119" i="29" s="1"/>
  <c r="H119" i="29" l="1"/>
  <c r="I119" i="29" s="1"/>
  <c r="J119" i="29" s="1"/>
  <c r="G120" i="29" s="1"/>
  <c r="H120" i="29" l="1"/>
  <c r="I120" i="29" s="1"/>
  <c r="J120" i="29" s="1"/>
  <c r="G121" i="29" s="1"/>
  <c r="H121" i="29" l="1"/>
  <c r="I121" i="29" s="1"/>
  <c r="J121" i="29" s="1"/>
  <c r="G122" i="29" s="1"/>
  <c r="H122" i="29" l="1"/>
  <c r="I122" i="29" s="1"/>
  <c r="J122" i="29" s="1"/>
  <c r="G123" i="29" s="1"/>
  <c r="H123" i="29" l="1"/>
  <c r="I123" i="29" s="1"/>
  <c r="J123" i="29" s="1"/>
  <c r="G124" i="29" s="1"/>
  <c r="H124" i="29" l="1"/>
  <c r="I124" i="29" l="1"/>
  <c r="M55" i="1"/>
  <c r="M64" i="30" s="1"/>
  <c r="M73" i="30" s="1"/>
  <c r="M67" i="1" l="1"/>
  <c r="M56" i="1"/>
  <c r="M66" i="1"/>
  <c r="J124" i="29"/>
  <c r="G125" i="29" s="1"/>
  <c r="M59" i="1" l="1"/>
  <c r="M62" i="30"/>
  <c r="M70" i="1"/>
  <c r="M57" i="1"/>
  <c r="M58" i="1" s="1"/>
  <c r="H125" i="29"/>
  <c r="I125" i="29" s="1"/>
  <c r="J125" i="29" s="1"/>
  <c r="G126" i="29" s="1"/>
  <c r="M75" i="1" l="1"/>
  <c r="L37" i="15" s="1"/>
  <c r="M120" i="30" s="1"/>
  <c r="M76" i="30"/>
  <c r="M81" i="30" s="1"/>
  <c r="M72" i="30"/>
  <c r="M63" i="30"/>
  <c r="M65" i="30" s="1"/>
  <c r="M67" i="30" s="1"/>
  <c r="H126" i="29"/>
  <c r="I126" i="29" s="1"/>
  <c r="J126" i="29" s="1"/>
  <c r="G127" i="29" s="1"/>
  <c r="L23" i="15"/>
  <c r="M23" i="39"/>
  <c r="M25" i="39" s="1"/>
  <c r="M28" i="39" s="1"/>
  <c r="M61" i="1"/>
  <c r="M60" i="1"/>
  <c r="M64" i="1" s="1"/>
  <c r="M68" i="1" s="1"/>
  <c r="M35" i="39" l="1"/>
  <c r="M68" i="30"/>
  <c r="M10" i="30" s="1"/>
  <c r="M71" i="30"/>
  <c r="M74" i="30" s="1"/>
  <c r="L25" i="15"/>
  <c r="L35" i="15" s="1"/>
  <c r="M107" i="30"/>
  <c r="M109" i="30" s="1"/>
  <c r="H127" i="29"/>
  <c r="I127" i="29" s="1"/>
  <c r="J127" i="29" s="1"/>
  <c r="G128" i="29" s="1"/>
  <c r="D29" i="39"/>
  <c r="C27" i="20" s="1"/>
  <c r="D30" i="39"/>
  <c r="M72" i="1"/>
  <c r="M74" i="1"/>
  <c r="M80" i="30" l="1"/>
  <c r="M84" i="30" s="1"/>
  <c r="M86" i="30" s="1"/>
  <c r="M78" i="30"/>
  <c r="M12" i="30" s="1"/>
  <c r="M11" i="30"/>
  <c r="L28" i="15"/>
  <c r="C29" i="15" s="1"/>
  <c r="M112" i="30"/>
  <c r="D113" i="30" s="1"/>
  <c r="M119" i="30"/>
  <c r="L42" i="15"/>
  <c r="L47" i="15" s="1"/>
  <c r="H128" i="29"/>
  <c r="I128" i="29" s="1"/>
  <c r="J128" i="29" s="1"/>
  <c r="G129" i="29" s="1"/>
  <c r="L44" i="15"/>
  <c r="M43" i="39"/>
  <c r="O42" i="39" s="1"/>
  <c r="M34" i="39"/>
  <c r="M81" i="1"/>
  <c r="M83" i="1" s="1"/>
  <c r="C30" i="15" l="1"/>
  <c r="M122" i="30"/>
  <c r="M127" i="30" s="1"/>
  <c r="D128" i="30" s="1"/>
  <c r="C29" i="20" s="1"/>
  <c r="M124" i="30"/>
  <c r="C48" i="15"/>
  <c r="C49" i="15"/>
  <c r="H129" i="29"/>
  <c r="I129" i="29" s="1"/>
  <c r="J129" i="29" s="1"/>
  <c r="G130" i="29" s="1"/>
  <c r="M46" i="39"/>
  <c r="D84" i="1"/>
  <c r="H130" i="29" l="1"/>
  <c r="I130" i="29" s="1"/>
  <c r="J130" i="29" s="1"/>
  <c r="G131" i="29" s="1"/>
  <c r="M41" i="39"/>
  <c r="D48" i="39"/>
  <c r="D47" i="39"/>
  <c r="C28" i="20" s="1"/>
  <c r="H131" i="29" l="1"/>
  <c r="I131" i="29" s="1"/>
  <c r="J131" i="29" s="1"/>
  <c r="G132" i="29" s="1"/>
  <c r="H132" i="29" l="1"/>
  <c r="I132" i="29" s="1"/>
  <c r="J132" i="29" s="1"/>
  <c r="G133" i="29" s="1"/>
  <c r="H133" i="29" l="1"/>
  <c r="I133" i="29" s="1"/>
  <c r="J133" i="29" s="1"/>
  <c r="G134" i="29" s="1"/>
  <c r="H134" i="29" l="1"/>
  <c r="I134" i="29" s="1"/>
  <c r="J134" i="29" s="1"/>
  <c r="G135" i="29" s="1"/>
  <c r="H135" i="29" l="1"/>
  <c r="I135" i="29" s="1"/>
  <c r="J135" i="29" s="1"/>
  <c r="G136" i="29" s="1"/>
  <c r="H136" i="29" l="1"/>
  <c r="I136" i="29" s="1"/>
  <c r="J136" i="29" s="1"/>
  <c r="G137" i="29" s="1"/>
  <c r="H137" i="29" l="1"/>
  <c r="I137" i="29" s="1"/>
  <c r="J137" i="29" s="1"/>
  <c r="G138" i="29" s="1"/>
  <c r="H138" i="29" l="1"/>
  <c r="I138" i="29" s="1"/>
  <c r="J138" i="29" s="1"/>
  <c r="G139" i="29" s="1"/>
  <c r="H139" i="29" l="1"/>
  <c r="I139" i="29" s="1"/>
  <c r="J139" i="29" s="1"/>
  <c r="G140" i="29" s="1"/>
  <c r="H140" i="29" l="1"/>
  <c r="I140" i="29" s="1"/>
  <c r="J140" i="29" s="1"/>
  <c r="G141" i="29" s="1"/>
  <c r="H141" i="29" l="1"/>
  <c r="I141" i="29" s="1"/>
  <c r="J141" i="29" s="1"/>
  <c r="G142" i="29" s="1"/>
  <c r="H142" i="29" l="1"/>
  <c r="I142" i="29" s="1"/>
  <c r="J142" i="29" s="1"/>
  <c r="G143" i="29" s="1"/>
  <c r="H143" i="29" l="1"/>
  <c r="I143" i="29" s="1"/>
  <c r="J143" i="29" s="1"/>
  <c r="G144" i="29" s="1"/>
  <c r="H144" i="29" l="1"/>
  <c r="I144" i="29" s="1"/>
  <c r="J144" i="29" s="1"/>
  <c r="G145" i="29" s="1"/>
  <c r="H145" i="29" l="1"/>
  <c r="I145" i="29" s="1"/>
  <c r="J145" i="29" s="1"/>
  <c r="G146" i="29" s="1"/>
  <c r="H146" i="29" l="1"/>
  <c r="I146" i="29" s="1"/>
  <c r="J146" i="29" s="1"/>
  <c r="G147" i="29" s="1"/>
  <c r="H147" i="29" l="1"/>
  <c r="I147" i="29" s="1"/>
  <c r="J147" i="29" s="1"/>
  <c r="G148" i="29" s="1"/>
  <c r="H148" i="29" l="1"/>
  <c r="I148" i="29" s="1"/>
  <c r="J148"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 Alvarado</author>
  </authors>
  <commentList>
    <comment ref="G17" authorId="0" shapeId="0" xr:uid="{00000000-0006-0000-0100-000001000000}">
      <text>
        <r>
          <rPr>
            <b/>
            <sz val="9"/>
            <color indexed="81"/>
            <rFont val="Calibri"/>
            <family val="2"/>
          </rPr>
          <t>Fernando Alvarado:</t>
        </r>
        <r>
          <rPr>
            <sz val="9"/>
            <color indexed="81"/>
            <rFont val="Calibri"/>
            <family val="2"/>
          </rPr>
          <t xml:space="preserve">
Shouldn't this also subtract the quarts sold at Lubecenters (like in cells E16 and F16)?
</t>
        </r>
      </text>
    </comment>
  </commentList>
</comments>
</file>

<file path=xl/sharedStrings.xml><?xml version="1.0" encoding="utf-8"?>
<sst xmlns="http://schemas.openxmlformats.org/spreadsheetml/2006/main" count="2150" uniqueCount="1143">
  <si>
    <t>Fundadores</t>
  </si>
  <si>
    <t xml:space="preserve">Inversion             </t>
  </si>
  <si>
    <t>Acciones en %</t>
  </si>
  <si>
    <t>Pre inversion</t>
  </si>
  <si>
    <t>Fase 2 Inversion</t>
  </si>
  <si>
    <t xml:space="preserve">Inversion                </t>
  </si>
  <si>
    <t>Costo/Accion</t>
  </si>
  <si>
    <t>Pre Inversion</t>
  </si>
  <si>
    <t>Despues/inversion</t>
  </si>
  <si>
    <t>Despues/Inversion</t>
  </si>
  <si>
    <t xml:space="preserve"> </t>
  </si>
  <si>
    <t>Valoracion Despues del Dinero</t>
  </si>
  <si>
    <t>Inversion</t>
  </si>
  <si>
    <t>Valoracion Antes del Dinero</t>
  </si>
  <si>
    <t>Notas</t>
  </si>
  <si>
    <t>Equidad</t>
  </si>
  <si>
    <t>Metodologia de La Valoracion</t>
  </si>
  <si>
    <t>Valor de los activos</t>
  </si>
  <si>
    <t>Promedio</t>
  </si>
  <si>
    <t>Inversión de dinero en efectivo por los desarrolladores del proyecto</t>
  </si>
  <si>
    <t>Estos costos ya son en Costa Rica, no hay mas costos de exportacion de aceites usados ni importacion de producto nuevo al igual que impuestos de importacion y locales.</t>
  </si>
  <si>
    <t>Fase 1 Inversion de los Fundadores</t>
  </si>
  <si>
    <t>Valoracion</t>
  </si>
  <si>
    <t># de Acciones</t>
  </si>
  <si>
    <t xml:space="preserve">Costo/Accion   </t>
  </si>
  <si>
    <t>Desarrolladores del Projecto</t>
  </si>
  <si>
    <t>Total</t>
  </si>
  <si>
    <t>Blended Lube Product Order</t>
  </si>
  <si>
    <t>EBITDA</t>
  </si>
  <si>
    <t>Value</t>
  </si>
  <si>
    <t>Office/lab Spaces</t>
  </si>
  <si>
    <t>Roads, walkways, allies</t>
  </si>
  <si>
    <t>Electrical base build</t>
  </si>
  <si>
    <t>Grading/Dirt movement</t>
  </si>
  <si>
    <t xml:space="preserve">Project Development Costs </t>
  </si>
  <si>
    <t>2017</t>
  </si>
  <si>
    <t>2018</t>
  </si>
  <si>
    <t>2019</t>
  </si>
  <si>
    <t>2020</t>
  </si>
  <si>
    <t>2021</t>
  </si>
  <si>
    <t>2022</t>
  </si>
  <si>
    <t>2023</t>
  </si>
  <si>
    <t>2024</t>
  </si>
  <si>
    <t>2025</t>
  </si>
  <si>
    <t>Inversión de los desarrolladores del proyecto</t>
  </si>
  <si>
    <t>Inversion de los Fundadores</t>
  </si>
  <si>
    <t>Delivery Costs</t>
  </si>
  <si>
    <t>`</t>
  </si>
  <si>
    <t>Amount</t>
  </si>
  <si>
    <t>Share price</t>
  </si>
  <si>
    <t>NA</t>
  </si>
  <si>
    <t>GPH</t>
  </si>
  <si>
    <t>LPH</t>
  </si>
  <si>
    <t>Estudios del mercado, ingeniería, diligencias legales, viajes, otros costos del negocio</t>
  </si>
  <si>
    <t>Pago de salarios de cuatro años en la empresa por WPA y RF</t>
  </si>
  <si>
    <t>Valor Gerencial/Tecnico/costo de la red de empleados de inicio de operaciones</t>
  </si>
  <si>
    <t>Empleados en el inicico y arranque de la empresa (WPA/RF)</t>
  </si>
  <si>
    <t>Logistics Resources for Plant</t>
  </si>
  <si>
    <t>PESCO</t>
  </si>
  <si>
    <t>PESCO Equity Contribution</t>
  </si>
  <si>
    <t xml:space="preserve">Project Development Work to Achieve "Shovel Ready" </t>
  </si>
  <si>
    <t>Total Investment</t>
  </si>
  <si>
    <t>Debt Term - years</t>
  </si>
  <si>
    <t>Grace period- months</t>
  </si>
  <si>
    <t>Investment Tranches</t>
  </si>
  <si>
    <t>Project Developers</t>
  </si>
  <si>
    <t>Revenues</t>
  </si>
  <si>
    <t>Base Oil</t>
  </si>
  <si>
    <t>Blended Lubricants from US Blender</t>
  </si>
  <si>
    <t>Lube Centers</t>
  </si>
  <si>
    <t>Depreciation</t>
  </si>
  <si>
    <t>Summary of Cash Flow - with Financing</t>
  </si>
  <si>
    <t>Summary of Cash Flow - No financing</t>
  </si>
  <si>
    <t>Key Cost Assumptions</t>
  </si>
  <si>
    <t>Working Capital for product purchase</t>
  </si>
  <si>
    <t>Cost of Goods</t>
  </si>
  <si>
    <t>Overhead (Adm, Sales, Drivers)</t>
  </si>
  <si>
    <t>Sales Reps</t>
  </si>
  <si>
    <t>Cleaning</t>
  </si>
  <si>
    <t>CEO</t>
  </si>
  <si>
    <t>Cost of Sales</t>
  </si>
  <si>
    <t>Imported Lubes</t>
  </si>
  <si>
    <t>LNG Wholesale (Drums)</t>
  </si>
  <si>
    <t>Revenue</t>
  </si>
  <si>
    <t>Gross Margin</t>
  </si>
  <si>
    <t>US Supplier Blended Lube</t>
  </si>
  <si>
    <t>New Investors</t>
  </si>
  <si>
    <t>Founders</t>
  </si>
  <si>
    <t>4x average EBITDA from first 5 years</t>
  </si>
  <si>
    <t>Etablished by New Investor Share price</t>
  </si>
  <si>
    <t>See Table below</t>
  </si>
  <si>
    <t xml:space="preserve">8 year NPV of Investoir Return at 15% </t>
  </si>
  <si>
    <t>Net Margin</t>
  </si>
  <si>
    <t>Delivery Costs (per drum)</t>
  </si>
  <si>
    <t>Blended Lubricants from CR Plant</t>
  </si>
  <si>
    <t>API Certification</t>
  </si>
  <si>
    <t>Asphalt Extender</t>
  </si>
  <si>
    <t>BLP</t>
  </si>
  <si>
    <t>Additional Shares owned:</t>
  </si>
  <si>
    <t>FWV</t>
  </si>
  <si>
    <t>*all pricing quoted is current for 30 days</t>
  </si>
  <si>
    <t>Register at  https://www.mylubrizol.com to access your current price list, sample requests, formulary guides, blending tools and current product offerings.</t>
  </si>
  <si>
    <t>Access Lubrizol online through your MyLubrizol</t>
  </si>
  <si>
    <t>Phone: 1.866.582.7496 </t>
  </si>
  <si>
    <t>Lubrizol Additives, North America Sales</t>
  </si>
  <si>
    <t>Account Manager</t>
  </si>
  <si>
    <t>Chris Ward</t>
  </si>
  <si>
    <t>$29.00/gal</t>
  </si>
  <si>
    <t>1%-4% wt</t>
  </si>
  <si>
    <t>1038U</t>
  </si>
  <si>
    <t>5,000 Gals</t>
  </si>
  <si>
    <t>IGO</t>
  </si>
  <si>
    <t>$36.00/gal</t>
  </si>
  <si>
    <t>0.85% wt</t>
  </si>
  <si>
    <t>10,000 Gals</t>
  </si>
  <si>
    <t>HY</t>
  </si>
  <si>
    <t>$18.50/gal</t>
  </si>
  <si>
    <t>7.8% vol or 8.62% wt</t>
  </si>
  <si>
    <t>PV1122</t>
  </si>
  <si>
    <t>20,000 Gals</t>
  </si>
  <si>
    <t>PCMO</t>
  </si>
  <si>
    <t>$30.00/gal</t>
  </si>
  <si>
    <t>16.5% wt</t>
  </si>
  <si>
    <t>30,000 Gals</t>
  </si>
  <si>
    <t>HD</t>
  </si>
  <si>
    <t>Cost per Drum</t>
  </si>
  <si>
    <t>Cost per Quart</t>
  </si>
  <si>
    <t>Price</t>
  </si>
  <si>
    <t>Est. Treat Rate</t>
  </si>
  <si>
    <t>LZ Product</t>
  </si>
  <si>
    <t>Finished Fluid Volume Est.</t>
  </si>
  <si>
    <t>End Use</t>
  </si>
  <si>
    <t xml:space="preserve">Here is ball park pricing to get you started on your financial analysis. I have been traveling so I do apologize for the delayed response here. These are ballpark estimates for pricing. When you get further into your analysis we can then dive deeper into the anticipated finished fluid volumes and additive usage to come to a more exact price. </t>
  </si>
  <si>
    <t>Gallon Weight</t>
  </si>
  <si>
    <t>Bill,</t>
  </si>
  <si>
    <t xml:space="preserve">Drum Weight(kgs):  </t>
  </si>
  <si>
    <t>Volume split per product</t>
  </si>
  <si>
    <t xml:space="preserve">Heavy Duty Diesel </t>
  </si>
  <si>
    <t>Passenger Car Motor Oils</t>
  </si>
  <si>
    <t>Hydraulic Fluids</t>
  </si>
  <si>
    <t>Gear Oils</t>
  </si>
  <si>
    <t>Average Additive Cost per Quart</t>
  </si>
  <si>
    <t xml:space="preserve">Assuming we can negotiate a much better price when we actually order the product: </t>
  </si>
  <si>
    <t xml:space="preserve"> discount from listed price</t>
  </si>
  <si>
    <t>Cash Cost Margin</t>
  </si>
  <si>
    <t>Cost of Additives</t>
  </si>
  <si>
    <t>Cost of Drums</t>
  </si>
  <si>
    <t>Crude West Texas Cost/Gal</t>
  </si>
  <si>
    <t>Base Oil G2 Cost/Gal</t>
  </si>
  <si>
    <t>Base Oil G1 Cost/Gal</t>
  </si>
  <si>
    <t>85% of posted G2 price</t>
  </si>
  <si>
    <t>Percentage of total local production sold as Base Oil</t>
  </si>
  <si>
    <t>Used Oil input</t>
  </si>
  <si>
    <t>Base Oil output</t>
  </si>
  <si>
    <t>Total cost Base oil (no addtives) for one drum (55 gal)</t>
  </si>
  <si>
    <t>Yield of Base Oil</t>
  </si>
  <si>
    <t>Quarts per lube center change</t>
  </si>
  <si>
    <t>Tank Farm</t>
  </si>
  <si>
    <t>Equity</t>
  </si>
  <si>
    <t>Debt</t>
  </si>
  <si>
    <t>Quality Engineer</t>
  </si>
  <si>
    <t>GM/CFO</t>
  </si>
  <si>
    <t>Angels</t>
  </si>
  <si>
    <t>Angels (First investors)</t>
  </si>
  <si>
    <t>PESCO-BEAM</t>
  </si>
  <si>
    <t>Reserved</t>
  </si>
  <si>
    <t>New Capital Investment</t>
  </si>
  <si>
    <t xml:space="preserve">Used Filter and coolant recycling </t>
  </si>
  <si>
    <t>2026</t>
  </si>
  <si>
    <t>Total cost Base oil (no addtives) for one quart</t>
  </si>
  <si>
    <t>Sales Price Assumptions</t>
  </si>
  <si>
    <t>Other Assumptions</t>
  </si>
  <si>
    <t>Average Cost for US blended Lubes (quart equivalent) FOB</t>
  </si>
  <si>
    <t>Misc. Business Expenses</t>
  </si>
  <si>
    <t>jan</t>
  </si>
  <si>
    <t>feb</t>
  </si>
  <si>
    <t>mar</t>
  </si>
  <si>
    <t>apr</t>
  </si>
  <si>
    <t>may</t>
  </si>
  <si>
    <t>jun</t>
  </si>
  <si>
    <t>jul</t>
  </si>
  <si>
    <t>aug</t>
  </si>
  <si>
    <t>sep</t>
  </si>
  <si>
    <t>oct</t>
  </si>
  <si>
    <t>nov</t>
  </si>
  <si>
    <t>dec</t>
  </si>
  <si>
    <t>Containers</t>
  </si>
  <si>
    <t>Gallons</t>
  </si>
  <si>
    <t>liters</t>
  </si>
  <si>
    <t>Shipping cost</t>
  </si>
  <si>
    <t>Liter cum</t>
  </si>
  <si>
    <t>Shipping Cost per container</t>
  </si>
  <si>
    <t>Avg 2017</t>
  </si>
  <si>
    <t>General building/grounds Maintenance</t>
  </si>
  <si>
    <t>Share of Market</t>
  </si>
  <si>
    <t>Total Available Market (lubricants)</t>
  </si>
  <si>
    <t>Used Oil Volumes/costs</t>
  </si>
  <si>
    <t>Base Oil Pricing per gallon</t>
  </si>
  <si>
    <t>Liters of used oil per container</t>
  </si>
  <si>
    <t>Container shipping costs per container</t>
  </si>
  <si>
    <t>Importation costs per container (avg)</t>
  </si>
  <si>
    <t>Used oil consumed in 100 gph Plant in liters per month</t>
  </si>
  <si>
    <t>Liters per gallon</t>
  </si>
  <si>
    <t>Annual base oil price increases</t>
  </si>
  <si>
    <t>Costa Rica Lubricant annual market growth</t>
  </si>
  <si>
    <t>Oscar 30%</t>
  </si>
  <si>
    <t>COOLANT (30% concentrated)</t>
  </si>
  <si>
    <t>Oscar DOT4</t>
  </si>
  <si>
    <t>BRAKE FLUID DOT 4</t>
  </si>
  <si>
    <t>Oscar DOT3</t>
  </si>
  <si>
    <t>BRAKE FLUID DOT 3</t>
  </si>
  <si>
    <t>KIM 5026 S</t>
  </si>
  <si>
    <t>OLEPHYN CO POLYMER (SSI 22)</t>
  </si>
  <si>
    <t>KIM 2225</t>
  </si>
  <si>
    <t>2T MOTORCYCLE ADDITIVE</t>
  </si>
  <si>
    <t>KIM 9325G</t>
  </si>
  <si>
    <t>4T MOTORCYCLE ADDITIVE</t>
  </si>
  <si>
    <t>KIM 8200, KIM 8-6000</t>
  </si>
  <si>
    <t>AUTOMATIC TRANSMISSION FLUID ADDITIVE</t>
  </si>
  <si>
    <t>KIM 522</t>
  </si>
  <si>
    <t>HYDRAULIC OIL ADDITIVE </t>
  </si>
  <si>
    <t>KIM 343</t>
  </si>
  <si>
    <t>GEAR ADDITIVE</t>
  </si>
  <si>
    <t>KIM 16011L</t>
  </si>
  <si>
    <t>KIM 16008, KIM 16010, </t>
  </si>
  <si>
    <t>DIESEL ENGINE OIL ADDITIVE</t>
  </si>
  <si>
    <t>KIM 9300G, KIM 9325G</t>
  </si>
  <si>
    <t>MOTOR ENGINE OIL ADDITIVE </t>
  </si>
  <si>
    <t>KIM A1700</t>
  </si>
  <si>
    <t>SILICON ANTIFOAM</t>
  </si>
  <si>
    <t>KIM 1-333</t>
  </si>
  <si>
    <t>POUR POINT DEPRESSANT</t>
  </si>
  <si>
    <t>KIM 400</t>
  </si>
  <si>
    <t>TBN BOOSTER 400</t>
  </si>
  <si>
    <t>KIM 317</t>
  </si>
  <si>
    <t>ZINC BOOSTER</t>
  </si>
  <si>
    <t>KIM 5026L, SSI=22</t>
  </si>
  <si>
    <t>VISCOSITY INDEX IMPROVER  (LIQUID)</t>
  </si>
  <si>
    <t>Ex-warehouse UAE</t>
  </si>
  <si>
    <t>Additive code</t>
  </si>
  <si>
    <t>USD/MT</t>
  </si>
  <si>
    <t>KG/Drums</t>
  </si>
  <si>
    <t>Description</t>
  </si>
  <si>
    <t>Maximum treatement rate for hihgest quality</t>
  </si>
  <si>
    <t>Gear oil Additive</t>
  </si>
  <si>
    <t>50 ppm</t>
  </si>
  <si>
    <t>Si Anti</t>
  </si>
  <si>
    <t>No data sheet</t>
  </si>
  <si>
    <t>Zinc</t>
  </si>
  <si>
    <t>used 0.3%</t>
  </si>
  <si>
    <t>0.1 - 0.3%</t>
  </si>
  <si>
    <t>PPD</t>
  </si>
  <si>
    <t>na</t>
  </si>
  <si>
    <t>TBN Booster</t>
  </si>
  <si>
    <t>If our base oil VI is good, we need less</t>
  </si>
  <si>
    <t>VII</t>
  </si>
  <si>
    <t>GL-5</t>
  </si>
  <si>
    <t>Cost per KG</t>
  </si>
  <si>
    <t>Density</t>
  </si>
  <si>
    <t>Treatement by weight</t>
  </si>
  <si>
    <t>Gear oil Addtives Cost per KG</t>
  </si>
  <si>
    <t>comments</t>
  </si>
  <si>
    <t>Hydarulic Additive</t>
  </si>
  <si>
    <t>HVI and AW</t>
  </si>
  <si>
    <t>Hydraulic Addtives Cost per KG</t>
  </si>
  <si>
    <t>specifically for SL</t>
  </si>
  <si>
    <t>PCMO Egnine Oil Additive  API SL</t>
  </si>
  <si>
    <t>API is SL.  Very old API lisence</t>
  </si>
  <si>
    <t>PCMO  Addtives Cost per KG</t>
  </si>
  <si>
    <t>Used 6%</t>
  </si>
  <si>
    <t>1-6%</t>
  </si>
  <si>
    <t>Diesel Egnine Oil Additive</t>
  </si>
  <si>
    <t>Used 5%</t>
  </si>
  <si>
    <t>0.5-5%</t>
  </si>
  <si>
    <t>API is CF-4.  Very old API lisence</t>
  </si>
  <si>
    <t>HD Addtives Cost per KG</t>
  </si>
  <si>
    <t>Oscar Additives Cost Matrix</t>
  </si>
  <si>
    <t>Used in Model</t>
  </si>
  <si>
    <t>Lubirzol</t>
  </si>
  <si>
    <t>Oscar</t>
  </si>
  <si>
    <t>Mixing Tanks</t>
  </si>
  <si>
    <t>Drum filling line</t>
  </si>
  <si>
    <t>Lab equipment</t>
  </si>
  <si>
    <t>M/E for blending line</t>
  </si>
  <si>
    <t>Electrical and instrumentation costs</t>
  </si>
  <si>
    <t>PESCO-BEAM Engineering (permitting/pre-planning)</t>
  </si>
  <si>
    <t>Collection trucks for used oil</t>
  </si>
  <si>
    <t>Forklifts</t>
  </si>
  <si>
    <t>Delivery Trucks</t>
  </si>
  <si>
    <t>Used Oil collection trucks</t>
  </si>
  <si>
    <t xml:space="preserve">Delivery Trucks </t>
  </si>
  <si>
    <t>Land Option</t>
  </si>
  <si>
    <t>Training and Travel</t>
  </si>
  <si>
    <t>Arch/Eng</t>
  </si>
  <si>
    <t>Legal Costs</t>
  </si>
  <si>
    <t xml:space="preserve">Project Management </t>
  </si>
  <si>
    <t>Office and office equipment set up costs</t>
  </si>
  <si>
    <t>CRM/SAP systems</t>
  </si>
  <si>
    <t>Procomer fee</t>
  </si>
  <si>
    <t>Renovations</t>
  </si>
  <si>
    <t>PR and Marketing</t>
  </si>
  <si>
    <t>Equipment</t>
  </si>
  <si>
    <t>Working Capital</t>
  </si>
  <si>
    <t>Plant Equipment/Installation</t>
  </si>
  <si>
    <t>Land/Warehouse/Infrastructure Civil</t>
  </si>
  <si>
    <t>Land/Buildings/Civil Infrastructure</t>
  </si>
  <si>
    <t xml:space="preserve">Cost per Drum </t>
  </si>
  <si>
    <t>Ag Oil per Quart</t>
  </si>
  <si>
    <t xml:space="preserve">Ag Oil   </t>
  </si>
  <si>
    <t>With Sales Tax</t>
  </si>
  <si>
    <t>Used Oil feedstock Storage</t>
  </si>
  <si>
    <t>Q4-17</t>
  </si>
  <si>
    <t>Q1-18</t>
  </si>
  <si>
    <t>Q2-18</t>
  </si>
  <si>
    <t>Q3-18</t>
  </si>
  <si>
    <t>Q4-18</t>
  </si>
  <si>
    <t>TOTAL</t>
  </si>
  <si>
    <t>METALUB - Investment Plan</t>
  </si>
  <si>
    <t>Quantity</t>
  </si>
  <si>
    <t>Permanent W/K for Company Growth</t>
  </si>
  <si>
    <t>Amortization</t>
  </si>
  <si>
    <t>METALUB - Disbursement Schedule</t>
  </si>
  <si>
    <t>Sub-Total</t>
  </si>
  <si>
    <t>Mech./Elec. Infrastructure Erection</t>
  </si>
  <si>
    <t>New collection centers facilities fit up and rent payment</t>
  </si>
  <si>
    <t>Civil Systems (Storm drainage, pot. water, waste water)</t>
  </si>
  <si>
    <t>TOTAL INVESTMENT PLAN</t>
  </si>
  <si>
    <t>Cumulative</t>
  </si>
  <si>
    <t>Balance in Bank Account</t>
  </si>
  <si>
    <t>Bank Up-Front Fee plus interest during construction</t>
  </si>
  <si>
    <t>Disbursement Schedule</t>
  </si>
  <si>
    <t>Interest:</t>
  </si>
  <si>
    <t>Debt Opening Balance</t>
  </si>
  <si>
    <t>Total Up-Front Fees plus Interest during construction</t>
  </si>
  <si>
    <t>Manually rounded to avoid circular reference</t>
  </si>
  <si>
    <t>Asphalt Extender (US mixer)</t>
  </si>
  <si>
    <t>REVENUES</t>
  </si>
  <si>
    <t>LNG CR Products in Drums (other regions)</t>
  </si>
  <si>
    <t>Lubecenters LNG (Profit)</t>
  </si>
  <si>
    <t>Total Revenues</t>
  </si>
  <si>
    <t>RAW MATERIALS</t>
  </si>
  <si>
    <t>Cost of used oil</t>
  </si>
  <si>
    <t>Flexible tanks</t>
  </si>
  <si>
    <t>Export/import logistics</t>
  </si>
  <si>
    <t>Total Raw Materials</t>
  </si>
  <si>
    <t>OPERATING COSTS</t>
  </si>
  <si>
    <t>Total Op. cost of blending finished lube</t>
  </si>
  <si>
    <t>Total Operating Costs</t>
  </si>
  <si>
    <t>GROSS MARGIN</t>
  </si>
  <si>
    <t>SALES AND ADMINISTRATIVE EXPENSES</t>
  </si>
  <si>
    <t>Literature</t>
  </si>
  <si>
    <t>API Certifications</t>
  </si>
  <si>
    <t>Total Sales and Administrative Expenses</t>
  </si>
  <si>
    <t>Depreciation and Amortization</t>
  </si>
  <si>
    <t>EBIT</t>
  </si>
  <si>
    <t>Interest Expenses</t>
  </si>
  <si>
    <t>Interest</t>
  </si>
  <si>
    <t>PMT</t>
  </si>
  <si>
    <t>Interest Rate</t>
  </si>
  <si>
    <t xml:space="preserve">Permanent W/K for Growth of existing business </t>
  </si>
  <si>
    <t>Indebtedness Ratio (Total Debt/Total Assets)</t>
  </si>
  <si>
    <t>Total Term (months)</t>
  </si>
  <si>
    <t>Grace (months)</t>
  </si>
  <si>
    <t>Amort. Term (months)</t>
  </si>
  <si>
    <t>#</t>
  </si>
  <si>
    <t>Month</t>
  </si>
  <si>
    <t>Amortit.</t>
  </si>
  <si>
    <t>Op. Balance</t>
  </si>
  <si>
    <t>Cl. Balance</t>
  </si>
  <si>
    <t>EBT</t>
  </si>
  <si>
    <t>CASH FLOW</t>
  </si>
  <si>
    <t>Net Income</t>
  </si>
  <si>
    <t>Net Cash Flow for Investors</t>
  </si>
  <si>
    <t>Plus Interest</t>
  </si>
  <si>
    <t>Operating Cash Flow</t>
  </si>
  <si>
    <t>Plus Depreciation and amortization</t>
  </si>
  <si>
    <t>Minus Debt Service</t>
  </si>
  <si>
    <t>Investors' Cash flows</t>
  </si>
  <si>
    <t>Preferred Share Coupon</t>
  </si>
  <si>
    <t>Used Oil Cost per liter</t>
  </si>
  <si>
    <t>Total Gallons (annual)</t>
  </si>
  <si>
    <t>Total Liters (annual)</t>
  </si>
  <si>
    <t>Annual Operating hours</t>
  </si>
  <si>
    <t>Production Capacity of Pesco - Beam System</t>
  </si>
  <si>
    <t>Total Liters (monthly)</t>
  </si>
  <si>
    <t>Electricity</t>
  </si>
  <si>
    <t>kWh</t>
  </si>
  <si>
    <t>Operating hours</t>
  </si>
  <si>
    <t>Annual</t>
  </si>
  <si>
    <t>per kWh</t>
  </si>
  <si>
    <t>Cooling water</t>
  </si>
  <si>
    <t>per 1,000 Liters</t>
  </si>
  <si>
    <t>Cost per Gallon</t>
  </si>
  <si>
    <t>Litters per year</t>
  </si>
  <si>
    <t>Sewage - Site specific</t>
  </si>
  <si>
    <t>per 1,000 gallons (billed in the water supply)</t>
  </si>
  <si>
    <t>Disposal of oily waters</t>
  </si>
  <si>
    <t>Site specific</t>
  </si>
  <si>
    <t>Cost of Solvents</t>
  </si>
  <si>
    <t>Bauxite replacement - annual</t>
  </si>
  <si>
    <t>Cost of Supplies and maintenance</t>
  </si>
  <si>
    <t>Lab Supplies and service</t>
  </si>
  <si>
    <t>Total annual Plan Operating Costs per Gallon</t>
  </si>
  <si>
    <t>Without Depreciation</t>
  </si>
  <si>
    <t>PESCO-BEAM Total Operating Cost per Liter - Base Oil Group II</t>
  </si>
  <si>
    <t>PESCO-BEAM Total Operating Cost per Gallon - Base Oil Group II</t>
  </si>
  <si>
    <t>Key Sales Volumes and Product Split  Assumptions</t>
  </si>
  <si>
    <t>Group II Base Oil Monthly Production (Liters)</t>
  </si>
  <si>
    <t>Asphalt Monthy Production (Liters)</t>
  </si>
  <si>
    <t>Blended Lubricants Monthly Production (Quarts)</t>
  </si>
  <si>
    <t>Filler</t>
  </si>
  <si>
    <t>Lubecenters - Monthly Oil Changes</t>
  </si>
  <si>
    <t>Filler (Liters per Month)</t>
  </si>
  <si>
    <t>Liters collected per Month</t>
  </si>
  <si>
    <t>Cost of collection/acquisition (per Liter)</t>
  </si>
  <si>
    <t>US blender Imports (quarts per month)</t>
  </si>
  <si>
    <t>Lubecenters (quarts per month)</t>
  </si>
  <si>
    <t>Asphalt Pricing per liter</t>
  </si>
  <si>
    <t>Filler price per quart</t>
  </si>
  <si>
    <t>Avg sales Price Blended Lube Drum</t>
  </si>
  <si>
    <t>Quarts of lube product per container</t>
  </si>
  <si>
    <t>Total Plant Operating Cost per liter - Base Oil</t>
  </si>
  <si>
    <t>Average Additive Cost Per Drum</t>
  </si>
  <si>
    <t>Total Plant Operating Cost per Drum - Base Oil</t>
  </si>
  <si>
    <t>Blending cost per Drum - Finished Oil</t>
  </si>
  <si>
    <t>Income Tax (assumes Free Zone status)</t>
  </si>
  <si>
    <t>Total Op. Cost of Base Oil for Export</t>
  </si>
  <si>
    <t>Total Op. Cost of Base Oil for finished Lube product</t>
  </si>
  <si>
    <t>Total Production Costs</t>
  </si>
  <si>
    <t>METALUB - Summary</t>
  </si>
  <si>
    <t>Minus CAPEX</t>
  </si>
  <si>
    <t>Raw Materials</t>
  </si>
  <si>
    <t>Plant Operating Costs</t>
  </si>
  <si>
    <t>Sales and Administrative Expenses</t>
  </si>
  <si>
    <t>Expenditures</t>
  </si>
  <si>
    <t>Total Expenditures</t>
  </si>
  <si>
    <t>Minus income tax</t>
  </si>
  <si>
    <t>Project IRR</t>
  </si>
  <si>
    <t>IRR 8 years</t>
  </si>
  <si>
    <t>IRR 10 Years</t>
  </si>
  <si>
    <t>Net Project Cash Flow</t>
  </si>
  <si>
    <t>Minus Preferred Share Coupon</t>
  </si>
  <si>
    <t>Net Cash for Equity Investors</t>
  </si>
  <si>
    <t>Leveraged IRR</t>
  </si>
  <si>
    <t>%</t>
  </si>
  <si>
    <t>New Debt</t>
  </si>
  <si>
    <t>METALUB - Margins</t>
  </si>
  <si>
    <t>METALUB - Summary Investment Plan and Offering</t>
  </si>
  <si>
    <t>METALUB - Key Assumptions</t>
  </si>
  <si>
    <t>METALUB - Debt Service Schedule</t>
  </si>
  <si>
    <t>METALUB - Plant Operating Costs</t>
  </si>
  <si>
    <t>Plant Personnel</t>
  </si>
  <si>
    <t>Base Salary</t>
  </si>
  <si>
    <t>Benefits</t>
  </si>
  <si>
    <t>Total Salary</t>
  </si>
  <si>
    <t>Monthly</t>
  </si>
  <si>
    <t>No.</t>
  </si>
  <si>
    <t>Plant Operations Manager</t>
  </si>
  <si>
    <t>Main Operators (supervisors)</t>
  </si>
  <si>
    <t>Assistant Operators</t>
  </si>
  <si>
    <t>Lab. Technicians</t>
  </si>
  <si>
    <t>Maintenance</t>
  </si>
  <si>
    <t>Electrician</t>
  </si>
  <si>
    <t>Drivers of used oil collection trucks</t>
  </si>
  <si>
    <t>Warehouse chief</t>
  </si>
  <si>
    <t>Logistics Manager</t>
  </si>
  <si>
    <t>Administrative</t>
  </si>
  <si>
    <t>Drivers for new oil delivery</t>
  </si>
  <si>
    <t>METALUB - Staff and Salaries</t>
  </si>
  <si>
    <t>SUB - TOTAL</t>
  </si>
  <si>
    <t>Operating Cost per Drum - Blended Lubricants</t>
  </si>
  <si>
    <t>Blending Line and support equipment</t>
  </si>
  <si>
    <t>METALUB - Profit and Loss and Cash Flow</t>
  </si>
  <si>
    <t>PROFIT &amp; LOSS</t>
  </si>
  <si>
    <t>METALUB - Sensitivity Analysis</t>
  </si>
  <si>
    <t>Sensitivity Parameters</t>
  </si>
  <si>
    <t>Drop in Revenues</t>
  </si>
  <si>
    <t>Increase in Overall Cost of Raw Materials</t>
  </si>
  <si>
    <t>Increase in Overall Plant Operating Cost</t>
  </si>
  <si>
    <t>Increase in Sales &amp; Admin. Cost</t>
  </si>
  <si>
    <t>Resulting EBITDA %</t>
  </si>
  <si>
    <t>Resulting reduction in EBITDA (%)</t>
  </si>
  <si>
    <t>Resulting Net Income %</t>
  </si>
  <si>
    <t>Resulting reduction in Net Income (%)</t>
  </si>
  <si>
    <t>Resulting 10-year Levered IRR</t>
  </si>
  <si>
    <t>Senior Debt Service</t>
  </si>
  <si>
    <t>Senior DSCR</t>
  </si>
  <si>
    <t>Total Debt Service Coverage Ratio</t>
  </si>
  <si>
    <t>Resulting Senior DSCR</t>
  </si>
  <si>
    <t>Used Oil Transportation Cost Analysis</t>
  </si>
  <si>
    <t>San Jose GMA</t>
  </si>
  <si>
    <t>Guanacaste</t>
  </si>
  <si>
    <t>Zona Sur</t>
  </si>
  <si>
    <t>Limon/San Carlos</t>
  </si>
  <si>
    <t>San Isidro/Quepos</t>
  </si>
  <si>
    <t>Used Oil Source</t>
  </si>
  <si>
    <t>GMA</t>
  </si>
  <si>
    <t>GC</t>
  </si>
  <si>
    <t>LM/SC</t>
  </si>
  <si>
    <t>SI/QP</t>
  </si>
  <si>
    <t>ZS</t>
  </si>
  <si>
    <t>Annual Cost of Used Oil Transport</t>
  </si>
  <si>
    <t>Land sqm</t>
  </si>
  <si>
    <t>7x EBITDA 2017</t>
  </si>
  <si>
    <t>NPV 5 years</t>
  </si>
  <si>
    <t>cum pallets</t>
  </si>
  <si>
    <t>warehouse space required sqm</t>
  </si>
  <si>
    <t>PU</t>
  </si>
  <si>
    <t>Puntarenus</t>
  </si>
  <si>
    <t>Annual Cost of Product Delivery</t>
  </si>
  <si>
    <t>NVP</t>
  </si>
  <si>
    <t>Delta</t>
  </si>
  <si>
    <t>Puntarenas</t>
  </si>
  <si>
    <t>Transport Cost Inflation</t>
  </si>
  <si>
    <t>Total Transport Costs</t>
  </si>
  <si>
    <t>Point to Point Logistic Costs per liter  - used oil</t>
  </si>
  <si>
    <t>Point to Point Logistic Costs per Drum Finished product</t>
  </si>
  <si>
    <t>Discount Rate for NPV</t>
  </si>
  <si>
    <t>Ernie</t>
  </si>
  <si>
    <t>used oil liters per month</t>
  </si>
  <si>
    <t>Drums per month</t>
  </si>
  <si>
    <t>Q1-19</t>
  </si>
  <si>
    <t>2018 Plant Production %</t>
  </si>
  <si>
    <t xml:space="preserve">Corp Tax - Costa Rica first 6 years </t>
  </si>
  <si>
    <t>Corp Tax - Costa Rica year 7-12</t>
  </si>
  <si>
    <t>Warehouse Shell 6m</t>
  </si>
  <si>
    <t>Warehouse Shell 9m (Plant area)</t>
  </si>
  <si>
    <t>Civil Systems (Pads/Containment dykes, etc. - tank farm)</t>
  </si>
  <si>
    <t>Blending Line/ Control Room - A/C enclosed</t>
  </si>
  <si>
    <t>Used Oil Shipped for Re-refining</t>
  </si>
  <si>
    <t>Used Oil Sold as Fuel locally</t>
  </si>
  <si>
    <t>Used oil Sold as Fuel Export</t>
  </si>
  <si>
    <t>Shipping cost per Gal</t>
  </si>
  <si>
    <t>Revenue for local Fuel sales</t>
  </si>
  <si>
    <t>Revenue for export Fuel sales</t>
  </si>
  <si>
    <t>Used Oil  fuel sale margin locally (per gal)</t>
  </si>
  <si>
    <t>Used Oil Collection cost per gal</t>
  </si>
  <si>
    <t>Used Oil purchase per gal</t>
  </si>
  <si>
    <t>Used oil collection payment per gal</t>
  </si>
  <si>
    <t>Total Revenue for Fuel sales</t>
  </si>
  <si>
    <t>Gallons cum</t>
  </si>
  <si>
    <t>Used oil fuel sale price per gallon</t>
  </si>
  <si>
    <t>Used Oil Storage locally</t>
  </si>
  <si>
    <t>Used Oil Ops Revenue/Cost</t>
  </si>
  <si>
    <t>Used Oil Cum Revenue</t>
  </si>
  <si>
    <t>Revenue from Re-refiners</t>
  </si>
  <si>
    <t>Used oil Sold to Re-refiner per gal</t>
  </si>
  <si>
    <t>HREFF</t>
  </si>
  <si>
    <t xml:space="preserve">Rent </t>
  </si>
  <si>
    <t>Transportation and labor</t>
  </si>
  <si>
    <t>drums</t>
  </si>
  <si>
    <t>Total Cost per month</t>
  </si>
  <si>
    <t>Re-refine oil</t>
  </si>
  <si>
    <t>Sale as Fuel</t>
  </si>
  <si>
    <t>Store oil</t>
  </si>
  <si>
    <t>Gallons Cum</t>
  </si>
  <si>
    <t>Caustic Soda</t>
  </si>
  <si>
    <t>Fuel Sales per gallon</t>
  </si>
  <si>
    <t>Used Oil Sales  Gallons</t>
  </si>
  <si>
    <t>Used Oil</t>
  </si>
  <si>
    <t>Used oil</t>
  </si>
  <si>
    <t>Used Oil sales as fuel Export margin (per gal)</t>
  </si>
  <si>
    <t>Used Oil Ops net Revenue</t>
  </si>
  <si>
    <t>Used Oil Containers shipped per Month</t>
  </si>
  <si>
    <t>Used Oil Export Logistics</t>
  </si>
  <si>
    <t>Blended Product import logistics</t>
  </si>
  <si>
    <t>Used Oil Pricing per gallon</t>
  </si>
  <si>
    <t>Total Lubricants Sold</t>
  </si>
  <si>
    <t>Crude Oil WTI Pricing (Avg US IEA and INO NYMEX Futures)</t>
  </si>
  <si>
    <t xml:space="preserve">Metalub CR Products in Drums </t>
  </si>
  <si>
    <t>Plus Interest during construction and bank/legal fees/Founder loan</t>
  </si>
  <si>
    <t>Founder loan</t>
  </si>
  <si>
    <t>Lubecenters Metalub Revenue</t>
  </si>
  <si>
    <t>Lube Center Costs</t>
  </si>
  <si>
    <t>Cost per quart Lube Center</t>
  </si>
  <si>
    <t>Lube Center Revenue per change</t>
  </si>
  <si>
    <t>Crude Oil Assumption options</t>
  </si>
  <si>
    <t>Set Crude Oil Price forecaste and Base Oil Calc method</t>
  </si>
  <si>
    <t>Extrapolation at 1.5% increase per year from 2026 on</t>
  </si>
  <si>
    <t>Enter A or R for Base Oil Calc Method</t>
  </si>
  <si>
    <t>R</t>
  </si>
  <si>
    <t>Base Oil to Crude Oil Spread per gallon (for method A)</t>
  </si>
  <si>
    <t>A</t>
  </si>
  <si>
    <t>Abraham method to calculate Base Oil Group III pricing uses Historical (2004-2017) Base Oil to Crude Oil Spread:  $1.48 per gal</t>
  </si>
  <si>
    <t>Ruiz method to calculate Base Oil pricing uses current Base Oil pricing with Crude Oil Index</t>
  </si>
  <si>
    <t>Crude % Change (index)</t>
  </si>
  <si>
    <t>Crude Oil (bbl)</t>
  </si>
  <si>
    <t>VGO (bbl) WTI+Spread</t>
  </si>
  <si>
    <t>VGO Price (gal)</t>
  </si>
  <si>
    <t>Base Oil GIII price (gal) based on "A" method</t>
  </si>
  <si>
    <t>ICIS Base Oil Basket "R" method:</t>
  </si>
  <si>
    <t>4cSt</t>
  </si>
  <si>
    <t>6cSt</t>
  </si>
  <si>
    <t>8cSt</t>
  </si>
  <si>
    <t>Avg Base Oil Group III price (gal) based on "R" method</t>
  </si>
  <si>
    <t>By Products Final</t>
  </si>
  <si>
    <t>Kerosene (gal)</t>
  </si>
  <si>
    <t>Naptha (metric ton)</t>
  </si>
  <si>
    <t>Naptha (gal)</t>
  </si>
  <si>
    <t>Administration Sales Company</t>
  </si>
  <si>
    <t>Final Metalub Share Distribution</t>
  </si>
  <si>
    <t>Total Metalub Shares Issued Cumulative</t>
  </si>
  <si>
    <t>Total Metalub Shares Reserved</t>
  </si>
  <si>
    <t>Investors Cash</t>
  </si>
  <si>
    <t>Total METALUB Investment Plan:</t>
  </si>
  <si>
    <t>Total METALUB Investment Plan</t>
  </si>
  <si>
    <t>Metalub Base Oil sales (gallons/month)</t>
  </si>
  <si>
    <t>Lube Center Labor/OH and filter per change</t>
  </si>
  <si>
    <t>Shares Outstanding</t>
  </si>
  <si>
    <t>Direct Sales CR Blended Lubes (quarts/month)</t>
  </si>
  <si>
    <t>Direct Sales CR Blended Lubes (drums per month)</t>
  </si>
  <si>
    <t>Base Oil Group II Final</t>
  </si>
  <si>
    <t>Q4 2017</t>
  </si>
  <si>
    <t>Q1 2018</t>
  </si>
  <si>
    <t>Q2 2018</t>
  </si>
  <si>
    <t>Q3 2018</t>
  </si>
  <si>
    <t>Q4 2018</t>
  </si>
  <si>
    <t>Plant Personnel Hired</t>
  </si>
  <si>
    <t>Total Monhtly Salary</t>
  </si>
  <si>
    <t>Sales Manager</t>
  </si>
  <si>
    <t>Marketing Manager</t>
  </si>
  <si>
    <t>Commercial Director</t>
  </si>
  <si>
    <t xml:space="preserve">Digitial Marketing </t>
  </si>
  <si>
    <t>Project Management (Plant/Site)</t>
  </si>
  <si>
    <t>Total MonthlySalaries</t>
  </si>
  <si>
    <t>Temporary  Positions</t>
  </si>
  <si>
    <t>Who</t>
  </si>
  <si>
    <t>Bill Abraham</t>
  </si>
  <si>
    <t>Jorge Jimenez</t>
  </si>
  <si>
    <t>Michael</t>
  </si>
  <si>
    <t>Isabel</t>
  </si>
  <si>
    <t>Kimberly</t>
  </si>
  <si>
    <t>Jonathon</t>
  </si>
  <si>
    <t>Richard</t>
  </si>
  <si>
    <t>Francis?</t>
  </si>
  <si>
    <t>Paulina?</t>
  </si>
  <si>
    <t>Digital/Brand Marketing</t>
  </si>
  <si>
    <t>Current</t>
  </si>
  <si>
    <t>Working Capital for Sales and Marketing Team</t>
  </si>
  <si>
    <t>Up-Front Fees (equity)</t>
  </si>
  <si>
    <t>Up-front Fees (debt)</t>
  </si>
  <si>
    <t>Expansion Evaporator Skid</t>
  </si>
  <si>
    <t>Working Capital for Headcount</t>
  </si>
  <si>
    <t>Shareholders Loan</t>
  </si>
  <si>
    <t xml:space="preserve">Bank up-front fee and Interest during construction </t>
  </si>
  <si>
    <t>Interest during construction &amp; Comissions</t>
  </si>
  <si>
    <t>Warehouse Shell 16m (Plant area)</t>
  </si>
  <si>
    <t>Warehouse Shell 9m</t>
  </si>
  <si>
    <t>Warehouse Racking</t>
  </si>
  <si>
    <t>Warehouse racking</t>
  </si>
  <si>
    <t>Sub Debt Interest During Construction</t>
  </si>
  <si>
    <t>Bank Debt Interest During Construction</t>
  </si>
  <si>
    <t>Sub Debt Balance</t>
  </si>
  <si>
    <t>200 GPH</t>
  </si>
  <si>
    <t>100 GPH</t>
  </si>
  <si>
    <t>Acquired Assets from LNG</t>
  </si>
  <si>
    <t>Base Oil Group II Final FOB Costa Rica</t>
  </si>
  <si>
    <t>INO NYMEX Futures May 24 2017 to Dec 20025</t>
  </si>
  <si>
    <t>EIA 2017 Long Range Outlook - published Jan 2017</t>
  </si>
  <si>
    <t>Crude Oil Forecast</t>
  </si>
  <si>
    <t>r</t>
  </si>
  <si>
    <t>Q2-19</t>
  </si>
  <si>
    <t>Q3-19</t>
  </si>
  <si>
    <t>Phase Two  Loan Amount</t>
  </si>
  <si>
    <t>Sensitivty Scenario (leveraged)</t>
  </si>
  <si>
    <t>Senior Debt Loan Amount</t>
  </si>
  <si>
    <t>Additional Evaporation Skid (2x Capacity)</t>
  </si>
  <si>
    <t>Solvent Extraction Unit (Capacity expansion/Base Oil quality improvement</t>
  </si>
  <si>
    <t>Operating Cost of Base Oil for Export</t>
  </si>
  <si>
    <t>Operating Cost of Base Oil for finished Lube product</t>
  </si>
  <si>
    <t>Operating  cost of blending finished lube</t>
  </si>
  <si>
    <t>API/OEM Certifications</t>
  </si>
  <si>
    <t>Total Plant Operating Cost per Gallon - Base Oil</t>
  </si>
  <si>
    <t>Plan Labor Cost</t>
  </si>
  <si>
    <t>Average</t>
  </si>
  <si>
    <t>Enter 1, 2 or 3 for Crude Oil assumption</t>
  </si>
  <si>
    <t>Ag Oil</t>
  </si>
  <si>
    <t>AG oil  Sales Gallons per month</t>
  </si>
  <si>
    <t>Operating cost of Ag Oil</t>
  </si>
  <si>
    <t>Plant Ops Cost</t>
  </si>
  <si>
    <t>Blended Lube per gallon</t>
  </si>
  <si>
    <t>Base Oil per Gallon</t>
  </si>
  <si>
    <t>Quart/Gallon Semi-auto fill station.</t>
  </si>
  <si>
    <r>
      <t>Optional Features</t>
    </r>
    <r>
      <rPr>
        <sz val="11"/>
        <color theme="1"/>
        <rFont val="Times New Roman"/>
        <family val="1"/>
      </rPr>
      <t>:</t>
    </r>
  </si>
  <si>
    <t>304 Stainless Steel Cone Hopper:</t>
  </si>
  <si>
    <t>5.7" Filler Operator Interface (upcharge)</t>
  </si>
  <si>
    <t>Automation Package</t>
  </si>
  <si>
    <t>Conveyor</t>
  </si>
  <si>
    <t xml:space="preserve">Diving Nozzle System                                                                 </t>
  </si>
  <si>
    <t>Nozzle Change Parts (Per Set)</t>
  </si>
  <si>
    <t>Product Supply Pump System</t>
  </si>
  <si>
    <t>Oden 40" Rotary Feed Table</t>
  </si>
  <si>
    <t>Oden 40 "Rotary Accumulation Table</t>
  </si>
  <si>
    <t>SERVO/FILL® Heavy Duty (HD) Benchtop Liquid Filler</t>
  </si>
  <si>
    <t>Optional Features:</t>
  </si>
  <si>
    <t>·         Without Level Control</t>
  </si>
  <si>
    <t>·         With Ball Float Level Control</t>
  </si>
  <si>
    <t>One (1) Head CI by Oden™ Net/Weight,</t>
  </si>
  <si>
    <t>Semi-Automatic Scale Based Liquid</t>
  </si>
  <si>
    <t xml:space="preserve">Filling System </t>
  </si>
  <si>
    <t>Filler Options:</t>
  </si>
  <si>
    <t>Class 1, Division 1, Group C &amp; D</t>
  </si>
  <si>
    <t>Explosion-Proof Construction</t>
  </si>
  <si>
    <t>Waukesha PD Feed Pump System</t>
  </si>
  <si>
    <r>
      <t>·</t>
    </r>
    <r>
      <rPr>
        <sz val="7"/>
        <color theme="1"/>
        <rFont val="Times New Roman"/>
        <family val="1"/>
      </rPr>
      <t xml:space="preserve">         </t>
    </r>
    <r>
      <rPr>
        <sz val="11"/>
        <color theme="1"/>
        <rFont val="Times New Roman"/>
        <family val="1"/>
      </rPr>
      <t>With Explosion-Proof Construction</t>
    </r>
  </si>
  <si>
    <t>CLOSER:</t>
  </si>
  <si>
    <t>One (1) CI by Oden™ PRO/CLOSE</t>
  </si>
  <si>
    <t>Semi-Automatic Pail Closer</t>
  </si>
  <si>
    <t>Pail Filler Station</t>
  </si>
  <si>
    <t>One (1) CI by Oden™ MF1-PL Filler</t>
  </si>
  <si>
    <t>Pallet/Crate Charge:</t>
  </si>
  <si>
    <t>OPTIONS</t>
  </si>
  <si>
    <t>Motorized Scale Conveyor</t>
  </si>
  <si>
    <t>Motorized Conveyor (per 5' section)</t>
  </si>
  <si>
    <t>Motorized Conveyor (per 10' section)</t>
  </si>
  <si>
    <t>Fume Cover</t>
  </si>
  <si>
    <t>Pneumatic Bung Wrench with Tool Support</t>
  </si>
  <si>
    <t>Operator Platform</t>
  </si>
  <si>
    <t>AOD Sanitary Feed Pump System</t>
  </si>
  <si>
    <t>Class 1, Div 1, Group C &amp; D Explosion-Proof Construction</t>
  </si>
  <si>
    <r>
      <t>MASS/BLEND</t>
    </r>
    <r>
      <rPr>
        <vertAlign val="superscript"/>
        <sz val="11"/>
        <color theme="1"/>
        <rFont val="Times New Roman"/>
        <family val="1"/>
      </rPr>
      <t xml:space="preserve">®  </t>
    </r>
    <r>
      <rPr>
        <sz val="11"/>
        <color theme="1"/>
        <rFont val="Times New Roman"/>
        <family val="1"/>
      </rPr>
      <t>GEN 3 Continuous</t>
    </r>
  </si>
  <si>
    <t>Stream Digital Blending System</t>
  </si>
  <si>
    <t>Class 1, Division 1, Group D Explosion-Proof Components</t>
  </si>
  <si>
    <t>Grand Total</t>
  </si>
  <si>
    <t>Training Assistance (2 days) plus expenses</t>
  </si>
  <si>
    <t>Drum Filler Station</t>
  </si>
  <si>
    <t>Operating Costs</t>
  </si>
  <si>
    <t>Sr. Debt Service</t>
  </si>
  <si>
    <t>Senrio Debt Service Coverage Ratio</t>
  </si>
  <si>
    <t>2027</t>
  </si>
  <si>
    <t>2028</t>
  </si>
  <si>
    <t>IRR 10 years</t>
  </si>
  <si>
    <t>NPV 10 years</t>
  </si>
  <si>
    <t>NPV 10 Years</t>
  </si>
  <si>
    <t>Minus sub debt service</t>
  </si>
  <si>
    <t>Minus SR Debt Service</t>
  </si>
  <si>
    <t>EBITA</t>
  </si>
  <si>
    <t>EBTA</t>
  </si>
  <si>
    <t>Plus Depreciation</t>
  </si>
  <si>
    <t>Plus Amortization</t>
  </si>
  <si>
    <t>Blended Lubes from US</t>
  </si>
  <si>
    <t>S&amp;A Expenses</t>
  </si>
  <si>
    <t>Blended Lubes CR Plant</t>
  </si>
  <si>
    <t xml:space="preserve">All numbers in 1000 $USD </t>
  </si>
  <si>
    <t>- CAPEX</t>
  </si>
  <si>
    <t>- Income Tax</t>
  </si>
  <si>
    <t>Senior Debt Service Coverage Ratio</t>
  </si>
  <si>
    <t>Bank and Shareholder Loan</t>
  </si>
  <si>
    <t>EBA</t>
  </si>
  <si>
    <t>Logistics Resources for Operations</t>
  </si>
  <si>
    <t>Sub Debt</t>
  </si>
  <si>
    <t>Cash Balance EOY</t>
  </si>
  <si>
    <t>Free Cash Flow</t>
  </si>
  <si>
    <t>IRR (10 year)</t>
  </si>
  <si>
    <t>CABEF</t>
  </si>
  <si>
    <t>Estructura de inversión</t>
  </si>
  <si>
    <t>Monto</t>
  </si>
  <si>
    <t>10-year Project IRR</t>
  </si>
  <si>
    <t>10-year Leveraged IRR</t>
  </si>
  <si>
    <t>Colateral</t>
  </si>
  <si>
    <t>Recursos Logísticos para Planta</t>
  </si>
  <si>
    <t>Tierra / Edificios / Infraestructura Civil</t>
  </si>
  <si>
    <t>Interés durante la construcción y comisiones</t>
  </si>
  <si>
    <t>Lubricentros</t>
  </si>
  <si>
    <t>Debt Interest rate (fixed)</t>
  </si>
  <si>
    <t>Duración de la deuda - años</t>
  </si>
  <si>
    <t>Período de gracia-meses</t>
  </si>
  <si>
    <t>Volumes</t>
  </si>
  <si>
    <t>Activos adquiridos de LNG</t>
  </si>
  <si>
    <t>Average Crude Oil Price from 2004 to 2016</t>
  </si>
  <si>
    <t>Average Base Oil Price from 2004 to 2016</t>
  </si>
  <si>
    <t>Metalub Base Oil G2 Price</t>
  </si>
  <si>
    <t>Mtalub forecast Avg</t>
  </si>
  <si>
    <t>Hydraulic</t>
  </si>
  <si>
    <t>Gear Oil</t>
  </si>
  <si>
    <t>Lubricantes Precios de Ventas</t>
  </si>
  <si>
    <t xml:space="preserve">Modelo de negocias </t>
  </si>
  <si>
    <t>Metalub precios actual</t>
  </si>
  <si>
    <t xml:space="preserve">Ratio de deuda </t>
  </si>
  <si>
    <t>Planta de Recuperación de Aceite Usado (200 gph)</t>
  </si>
  <si>
    <t>Total METALUB plano de inversión</t>
  </si>
  <si>
    <t>Total Equity</t>
  </si>
  <si>
    <t>Blending Line</t>
  </si>
  <si>
    <t xml:space="preserve">PESCO Oil Recovery Plant </t>
  </si>
  <si>
    <t>Financiamiento Bancario</t>
  </si>
  <si>
    <t>Solvent Extraction System</t>
  </si>
  <si>
    <t>Línea Mezcladora</t>
  </si>
  <si>
    <t>Capital de Trabajo Permanente para Crecimiento de Negocios Actuales</t>
  </si>
  <si>
    <t>Desarrollo de Proyectos previos a la Construcción</t>
  </si>
  <si>
    <t>Patrimonio del Fundador</t>
  </si>
  <si>
    <t>Deuda Tasa de Interés (fijo)</t>
  </si>
  <si>
    <t>Volumen/Costos Aceite Usado</t>
  </si>
  <si>
    <t>Contenedores Aceite Usado Despachados por Mes</t>
  </si>
  <si>
    <t>Litros Recolectados por Mes</t>
  </si>
  <si>
    <t>Costo Recolección/Adquisición (por Litro)</t>
  </si>
  <si>
    <t>Principales Supuestos: Volumen de Ventas y Surtido de Productos</t>
  </si>
  <si>
    <t>Producción Mensual Aceite Base Grupo II (Litros)</t>
  </si>
  <si>
    <t>Ventas Aceite Usado (Galones)</t>
  </si>
  <si>
    <t>Producción Mensual Asfalto (Litros)</t>
  </si>
  <si>
    <t>Producción Mensual Lubricantes (Cuartos)</t>
  </si>
  <si>
    <t>% Producción Local Total Vendida como Aceite Base</t>
  </si>
  <si>
    <t>Ventas Metalub Aceite Base (galones/mes)</t>
  </si>
  <si>
    <t>Ventas Directas Lubricantes en CR (cuartos/mes)</t>
  </si>
  <si>
    <t>Ventas Directas Aceite Sales (Estañones/mes)</t>
  </si>
  <si>
    <t>Aceite Agrícola</t>
  </si>
  <si>
    <t>Ventas de Aceite Agrícola (Galones)</t>
  </si>
  <si>
    <t>Distribución de Volumen por Tipo de Producto</t>
  </si>
  <si>
    <t>Aceite para Agricultura</t>
  </si>
  <si>
    <t>Relleno</t>
  </si>
  <si>
    <t>Diesel Heavy Duty</t>
  </si>
  <si>
    <t>Aceite para Automóvil de Pasajeros</t>
  </si>
  <si>
    <t>Transmisión</t>
  </si>
  <si>
    <t>Aceites Hidráulicos</t>
  </si>
  <si>
    <t>Aceite de Transmisión</t>
  </si>
  <si>
    <t>Total Lubricantes Vendidos</t>
  </si>
  <si>
    <t>Importaciones Proveedor USA (Cuartos por mes)</t>
  </si>
  <si>
    <t>Lubricentros (Cuartos por Mes)</t>
  </si>
  <si>
    <t>Lubricentros - Cambios de Aceite por mes</t>
  </si>
  <si>
    <t>Relleno (Litros por mes)</t>
  </si>
  <si>
    <t>Participación de Mercado</t>
  </si>
  <si>
    <t>Mercado Total de Lubricantes</t>
  </si>
  <si>
    <t>Supuestos Precios de Venta</t>
  </si>
  <si>
    <t>Aceite Usado por Galón</t>
  </si>
  <si>
    <t>Precio Crudo WTI (Promedio US IEA y INO NYMEX Futuros)</t>
  </si>
  <si>
    <t>Aceite Base por Galón</t>
  </si>
  <si>
    <t>Asfalto por Litro</t>
  </si>
  <si>
    <t>Ventas de Combustible por Galón</t>
  </si>
  <si>
    <t>Aceite para Agricultura por Cuarto</t>
  </si>
  <si>
    <t>Relleno por Cuarto</t>
  </si>
  <si>
    <t>Precio Venta Promedio Lubricantes por Estañón</t>
  </si>
  <si>
    <t>Impuesto Ventas Incluído</t>
  </si>
  <si>
    <t xml:space="preserve">Aceite para Agricultura  </t>
  </si>
  <si>
    <t xml:space="preserve">Relleno  </t>
  </si>
  <si>
    <t>Hidráulico</t>
  </si>
  <si>
    <t>Ingresos en Lubricentros por Cambio de Aceite</t>
  </si>
  <si>
    <t>Supuestos Principales de Costos</t>
  </si>
  <si>
    <t>Costo de Mezclado por Estañón - Aceite Terminado</t>
  </si>
  <si>
    <t>Costo Promedio Aditivos por Estañón</t>
  </si>
  <si>
    <t>Costos de Distribución (por Estañón)</t>
  </si>
  <si>
    <t>Costo Aceite Usado por Litro</t>
  </si>
  <si>
    <t>Costo Operativo Total de Planta por Litro - Aceite Base</t>
  </si>
  <si>
    <t>Costo Total Operativo de Planta por Estañón - Aceite Base</t>
  </si>
  <si>
    <t>Costo Operativo por Estañón - Lubricantes Mezclados</t>
  </si>
  <si>
    <t>Costo Promedio Aditivos por Cuarto</t>
  </si>
  <si>
    <t>Costo FOB Promedio  de Lubricantes Importados US (Equivalente a Cuartos)</t>
  </si>
  <si>
    <t>Otros Supuestos</t>
  </si>
  <si>
    <t>Litros por Contenedor de Aceite Usado</t>
  </si>
  <si>
    <t>Cuartos de Lubricantes por Contenedor</t>
  </si>
  <si>
    <t>Costos de Envío por Contenedor</t>
  </si>
  <si>
    <t>Costos Nacionalización por contenedor (Promedio)</t>
  </si>
  <si>
    <t>Aceite Usado consumido en una Planta de 100 gph en Litros por Mes</t>
  </si>
  <si>
    <t>Litros por Galón</t>
  </si>
  <si>
    <t>Incrementos Anuales en Precio de Aceite Base</t>
  </si>
  <si>
    <t>Impuesto Renta - Costa Rica primeros 6 años</t>
  </si>
  <si>
    <t>Impuesto Renta - Costa Rica años 7-12</t>
  </si>
  <si>
    <t>% Producción de Planta en 2018</t>
  </si>
  <si>
    <t>Rendimiento del Aceite Base</t>
  </si>
  <si>
    <t>Cuartos por Cambio de Aceite en Lubricentros</t>
  </si>
  <si>
    <t>Costo del Estañón Vacío</t>
  </si>
  <si>
    <t>Crecimiento Anual Mercado de Lubricantes en Costa Rica</t>
  </si>
  <si>
    <t>Costo por Cuarto en Lubricentros</t>
  </si>
  <si>
    <t>Costo Mano de Obra y Filtro por Cambio Aceite Lubricentros</t>
  </si>
  <si>
    <t>Instalación Equipo de la Planta</t>
  </si>
  <si>
    <t>Línea de Mezclado y Equipo de Apoyo</t>
  </si>
  <si>
    <t>Equipo de Laboratorio</t>
  </si>
  <si>
    <t>Tanques de Almacenamiento</t>
  </si>
  <si>
    <t>Infraestructura Eléctrica y Mecánica</t>
  </si>
  <si>
    <t>Certificación API</t>
  </si>
  <si>
    <t>Tanques de Mezclado</t>
  </si>
  <si>
    <t>Línea de Llenado de Estañones</t>
  </si>
  <si>
    <t>Costos de Instrumentos y Eléctricos</t>
  </si>
  <si>
    <t>Electricidad y Mecánica Línea de Mezclado</t>
  </si>
  <si>
    <t>Equipo Adicional de Evaporación (dobla capacidad)</t>
  </si>
  <si>
    <t>Unidad de Extracción de Solventes (Expansión de Capacidad/Mejora en Calidad de Aceite Base)</t>
  </si>
  <si>
    <t>200 GPH Used Oil Recovery Plant</t>
  </si>
  <si>
    <t>Planta 200 GPH Recuperación Aceite Usado</t>
  </si>
  <si>
    <t>Ingeniería PESCO-BEAM (Permisos/Pre-Planificación)</t>
  </si>
  <si>
    <t>Recursos Logísticos para Operaciones</t>
  </si>
  <si>
    <t>Camiones Recolectores para Aceite Usado</t>
  </si>
  <si>
    <t>Camiones Repartidores</t>
  </si>
  <si>
    <t>Montacargas</t>
  </si>
  <si>
    <t>Capital de Trabajo Permanente para Crecimiento</t>
  </si>
  <si>
    <t>Acondicionamiento Nuevos Centros de Acopio y Alquileres</t>
  </si>
  <si>
    <t>Reciclaje de Filtros de Aceite y Refrigerante</t>
  </si>
  <si>
    <t>Almacenamiento Inventario de Aceite Usado</t>
  </si>
  <si>
    <t>Capital de Trabajo para Equipo de Ventas y Mercadeo</t>
  </si>
  <si>
    <t>Capital de Trabajo Compra de Inventario Producto Terminado</t>
  </si>
  <si>
    <t>Terreno/Bodega/Infraestructura</t>
  </si>
  <si>
    <t>Terreno en metros cuadrados</t>
  </si>
  <si>
    <t>Estantería para Bodega</t>
  </si>
  <si>
    <t>Movimiento de Tierra</t>
  </si>
  <si>
    <t>Sistemas Mecánicos (Diques de Contención, etc)</t>
  </si>
  <si>
    <t>Oficinas y Laboratorio</t>
  </si>
  <si>
    <t>Aire Acondicionado de Línea de Mezclado y Cuarto de Control</t>
  </si>
  <si>
    <t>Sistemas Mecánicos (Drenajes, Aguas Residuales, Aguas Negras)</t>
  </si>
  <si>
    <t>Calles, Aceras, Pasillos</t>
  </si>
  <si>
    <t>Costos Proyecto de Desarrollo</t>
  </si>
  <si>
    <t>Administración de Proyecto</t>
  </si>
  <si>
    <t>Arquitectura e Ingeniería</t>
  </si>
  <si>
    <t>Entrenamiento y Viajes</t>
  </si>
  <si>
    <t>Sistemas CRM/SAP</t>
  </si>
  <si>
    <t>Instalación de Oficinas y Equipo de Oficinas</t>
  </si>
  <si>
    <t>Costos Legales</t>
  </si>
  <si>
    <t>Procomer</t>
  </si>
  <si>
    <t>Opción de Compra</t>
  </si>
  <si>
    <t>Relaciones Públicas y Mercadeo</t>
  </si>
  <si>
    <t>Remodelaciones</t>
  </si>
  <si>
    <t>Equipo</t>
  </si>
  <si>
    <t>Capital de Trabajo</t>
  </si>
  <si>
    <t>Intereses durante Construcción, Comisiones bancarias, costos legales, préstamo fundador)</t>
  </si>
  <si>
    <t>Bodega con Altura 9 metros</t>
  </si>
  <si>
    <t>Bodega con Altura 16 metros</t>
  </si>
  <si>
    <t>Instalación Eléctrica de Bodega</t>
  </si>
  <si>
    <t>Intalación de Equipo para Planta</t>
  </si>
  <si>
    <t>Planta Recuperación Aceite - 200 GPH</t>
  </si>
  <si>
    <t>Línea Mezcladora y Equipo de Apoyo</t>
  </si>
  <si>
    <t>Construcción Sistemas Electromecánicos</t>
  </si>
  <si>
    <t>Tanques Mezcladores</t>
  </si>
  <si>
    <t>Costos Instalación Eléctrica e Instrumentos</t>
  </si>
  <si>
    <t>Ingeniería PESCO-BEAM (Permisos/Pre-planificación)</t>
  </si>
  <si>
    <t>Comisión Bancaria e Intereses Durante Construcción</t>
  </si>
  <si>
    <t>Total Plan de Inversión</t>
  </si>
  <si>
    <t>Acumulado</t>
  </si>
  <si>
    <t>Capital</t>
  </si>
  <si>
    <t>Deuda</t>
  </si>
  <si>
    <t>Saldo Bancos</t>
  </si>
  <si>
    <t>Préstamo del Fundador</t>
  </si>
  <si>
    <t>Comisiones e Intereses Durante Construcción</t>
  </si>
  <si>
    <t>Comisiones en Acciones</t>
  </si>
  <si>
    <t xml:space="preserve">Comisiones </t>
  </si>
  <si>
    <t>Intereses:</t>
  </si>
  <si>
    <t>Saldo Inicial de Deuda</t>
  </si>
  <si>
    <t>Intereses Deuda Bancaria durante Construcción</t>
  </si>
  <si>
    <t>Saldo Deuda Subrogada</t>
  </si>
  <si>
    <t>Intereses Deuda Subrogada</t>
  </si>
  <si>
    <t>Total Comisiones e Intereses durante Construcción</t>
  </si>
  <si>
    <t xml:space="preserve">Redondeo Manual </t>
  </si>
  <si>
    <t>METALUB - Estado de Resultados y Flujo de Caja</t>
  </si>
  <si>
    <t>ESTADO DE RESULTADOS</t>
  </si>
  <si>
    <t>INGRESOS</t>
  </si>
  <si>
    <t>Aceite Usado</t>
  </si>
  <si>
    <t>Aceite Base</t>
  </si>
  <si>
    <t>Emulsión Asfáltica (Mezclador en USA)</t>
  </si>
  <si>
    <t>Productos Metalub CR en Estañones</t>
  </si>
  <si>
    <t>Lubricantes Importados (USA)</t>
  </si>
  <si>
    <t>Ventas en Lubricentros Metalub</t>
  </si>
  <si>
    <t>Total Ingresos</t>
  </si>
  <si>
    <t>MATERIA PRIMA</t>
  </si>
  <si>
    <t>Compra Productos Lubricantes</t>
  </si>
  <si>
    <t>Costo Aceite Usado</t>
  </si>
  <si>
    <t>Costo de Estañones</t>
  </si>
  <si>
    <t>Costo de Aditivos</t>
  </si>
  <si>
    <t>Tanques Flexibles</t>
  </si>
  <si>
    <t>Total Materia Prima</t>
  </si>
  <si>
    <t>COSTOS OPERATIVOS</t>
  </si>
  <si>
    <t>Costo Operativo de Aceite Base para Exportación</t>
  </si>
  <si>
    <t>Costo Operativo de Aceite Agrícola</t>
  </si>
  <si>
    <t>Costo Operativo de Aceite Base para Lubricantes Producto Terminado</t>
  </si>
  <si>
    <t>Costo Operativo de Lubricantes Producto Terminado</t>
  </si>
  <si>
    <t>Costo Logístico de Exportación de Aceite Usado</t>
  </si>
  <si>
    <t>Costo Operativo Lubricentros</t>
  </si>
  <si>
    <t>Costo Logístico de Importaciones Lubricantes</t>
  </si>
  <si>
    <t>Mantenimiento General</t>
  </si>
  <si>
    <t>Total Costos Operativos</t>
  </si>
  <si>
    <t>Total Costo Producción</t>
  </si>
  <si>
    <t>UTILIDAD BRUTA</t>
  </si>
  <si>
    <t>GASTOS ADMINISTRATIVOS Y DE VENTAS</t>
  </si>
  <si>
    <t>Literatura</t>
  </si>
  <si>
    <t>Certificaciones API/OEM</t>
  </si>
  <si>
    <t>Gastos Miscelaneos</t>
  </si>
  <si>
    <t>Costos de Distribución</t>
  </si>
  <si>
    <t>Salarios y Cargas Sociales (Adm, Ventas, Choferes)</t>
  </si>
  <si>
    <t>Total Gastos Administrativos y de Ventas</t>
  </si>
  <si>
    <t>Depreciación</t>
  </si>
  <si>
    <t>Intereses</t>
  </si>
  <si>
    <t xml:space="preserve">EBTA </t>
  </si>
  <si>
    <t>Impuesto de Renta (se asume status Zona Franca)</t>
  </si>
  <si>
    <t>Amortización</t>
  </si>
  <si>
    <t>UTILIDAD NETA</t>
  </si>
  <si>
    <t>FLUJO CAJA</t>
  </si>
  <si>
    <t>Ingreso Neto</t>
  </si>
  <si>
    <t>Más Depreciación</t>
  </si>
  <si>
    <t>Más Amortización</t>
  </si>
  <si>
    <t>Más Intereses</t>
  </si>
  <si>
    <t>Flujo Caja Operación</t>
  </si>
  <si>
    <t>Pagos Deuda Primaria</t>
  </si>
  <si>
    <t>DSCR Deuda Primaria</t>
  </si>
  <si>
    <t>Flujo de Caja Operación</t>
  </si>
  <si>
    <t>Menos Pagos Deuda Primaria</t>
  </si>
  <si>
    <t>Menos CAPEX</t>
  </si>
  <si>
    <t>Saldo Efectivo Cierre Anual</t>
  </si>
  <si>
    <t>IRR (10 años)</t>
  </si>
  <si>
    <t>Flujo Caja Neto</t>
  </si>
  <si>
    <t>Flujo de Caja para Inversionistas</t>
  </si>
  <si>
    <t>Resumen Flujo Caja - Sin Financiamiento</t>
  </si>
  <si>
    <t>En Miles de Dólares</t>
  </si>
  <si>
    <t>Ingresos</t>
  </si>
  <si>
    <t>Emulsión Asfáltica</t>
  </si>
  <si>
    <t>Lubricantes Planta CR</t>
  </si>
  <si>
    <t>Lubricantes Importados USA</t>
  </si>
  <si>
    <t>Ingresos Totales</t>
  </si>
  <si>
    <t>Gastos</t>
  </si>
  <si>
    <t>Materia Prima</t>
  </si>
  <si>
    <t>Costos Operativos</t>
  </si>
  <si>
    <t>Gastos Administrativos y Ventas</t>
  </si>
  <si>
    <t>Total Gastos</t>
  </si>
  <si>
    <t>- Impuesto de Renta</t>
  </si>
  <si>
    <t>Flujo de Caja Neto del Proyecto</t>
  </si>
  <si>
    <t>IRR</t>
  </si>
  <si>
    <t>IRR 10 años</t>
  </si>
  <si>
    <t>NPV 10 años</t>
  </si>
  <si>
    <t>Resumen Flujo de Caja - Con Financiamiento</t>
  </si>
  <si>
    <t>Flujo de Caja Neto</t>
  </si>
  <si>
    <t>Menos Pagos a Deuda</t>
  </si>
  <si>
    <t>Efectivo Cierre Anual</t>
  </si>
  <si>
    <t>DSCR Deuda Principal</t>
  </si>
  <si>
    <t>IRR Apalancado</t>
  </si>
  <si>
    <t>Flujo de Caja Inversionistas</t>
  </si>
  <si>
    <t>METALUB - Análisis de Sensibilidad</t>
  </si>
  <si>
    <t>Parámetros de Sensitividad</t>
  </si>
  <si>
    <t>Disminución de Ventas</t>
  </si>
  <si>
    <t>Inremento General de Costos Operativos</t>
  </si>
  <si>
    <t>Incremento General de Costos en Materia Prima</t>
  </si>
  <si>
    <t>Impacto en EBITDA %</t>
  </si>
  <si>
    <t>Impacto en Reducción de EBITDA (%)</t>
  </si>
  <si>
    <t>Incremento en Gastos Administrativos y Ventas</t>
  </si>
  <si>
    <t>Impacto en Reducción en Utilidad Neta (%)</t>
  </si>
  <si>
    <t>Impacto en Utilidad Neta %</t>
  </si>
  <si>
    <t>Deuda Subordinada</t>
  </si>
  <si>
    <t>Menos Pagos Deuda Subordinada</t>
  </si>
  <si>
    <t>Impacto en DSCR Deuda Principal</t>
  </si>
  <si>
    <t>Impacto IRR Apalancardo a 10 años</t>
  </si>
  <si>
    <t>Emulsión Asfáltica (Mezclador USA)</t>
  </si>
  <si>
    <t>Productos LNG CR en Estañones (Otras Regiones)</t>
  </si>
  <si>
    <t>Lubricentros LNG (Ganancia)</t>
  </si>
  <si>
    <t>Orden de Productos Lubricantes</t>
  </si>
  <si>
    <t>Costo de Additivos</t>
  </si>
  <si>
    <t>Costo Operación Aceite Base para Exportación</t>
  </si>
  <si>
    <t>Costo Operación Aceite Base para Producto Terminado Lubricantes</t>
  </si>
  <si>
    <t>Costo Operación Mezclado Lubricantes</t>
  </si>
  <si>
    <t>Logistica Importaciones y Exportaciones</t>
  </si>
  <si>
    <t>Total Costos Producción</t>
  </si>
  <si>
    <t>GASTOS ADMINISTRATIVOS Y VENTAS</t>
  </si>
  <si>
    <t>Certificaciones API</t>
  </si>
  <si>
    <t>Gastos Administrativos (Adm, Ventas, Choferes)</t>
  </si>
  <si>
    <t>Total Gastos Administrativos y Ventas</t>
  </si>
  <si>
    <t>Depreciación y Amortización</t>
  </si>
  <si>
    <t>Impuesto Renta (Asumiendo Status Zona Franca)</t>
  </si>
  <si>
    <t>Utilidad Neta</t>
  </si>
  <si>
    <t>FLUJO DE CAJA</t>
  </si>
  <si>
    <t>Más Depreciación y Amortización</t>
  </si>
  <si>
    <t>Pago Deuda Principal</t>
  </si>
  <si>
    <t>Flujo de Caja Operativo</t>
  </si>
  <si>
    <t>Menos Pago a Deuda</t>
  </si>
  <si>
    <t>Resumen Flujo de Caja - Sin Financiamiento</t>
  </si>
  <si>
    <t>Materiales</t>
  </si>
  <si>
    <t>Costos Operativos de Planta</t>
  </si>
  <si>
    <t>Menos Impuesto de Renta</t>
  </si>
  <si>
    <t>IRR del Proyecto</t>
  </si>
  <si>
    <t>Menos Cupón Acciones Preferentes</t>
  </si>
  <si>
    <t>Cupón Acciones Preferentes</t>
  </si>
  <si>
    <t>Efectivo Neto para Inversionistas</t>
  </si>
  <si>
    <t>DSCR Total</t>
  </si>
  <si>
    <t>Monto Préstamo Deuda Principal</t>
  </si>
  <si>
    <t>Plazo (Meses)</t>
  </si>
  <si>
    <t>Periodo de Gracias (Meses)</t>
  </si>
  <si>
    <t>Plazo Amortización (Meses)</t>
  </si>
  <si>
    <t>Tasa Interés</t>
  </si>
  <si>
    <t>Monto Préstamo Fase Dos</t>
  </si>
  <si>
    <t>METALUB - Costos Operativos de Planta</t>
  </si>
  <si>
    <t>Capacidad de Producción Sistema PESCO-BEAM</t>
  </si>
  <si>
    <t>Electricidad</t>
  </si>
  <si>
    <t>Agua para Enfriamiento</t>
  </si>
  <si>
    <t>Total Galones (Anual)</t>
  </si>
  <si>
    <t>Total Litros (Mensual)</t>
  </si>
  <si>
    <t>Total Litros (Anual)</t>
  </si>
  <si>
    <t>Input Aceite Usado</t>
  </si>
  <si>
    <t>Output Aceite Base</t>
  </si>
  <si>
    <t>Horas Operación Anual</t>
  </si>
  <si>
    <t>Horas Operación</t>
  </si>
  <si>
    <t>Anual</t>
  </si>
  <si>
    <t>Costo por Galón</t>
  </si>
  <si>
    <t>por 1,000 litros</t>
  </si>
  <si>
    <t>Litros Anuales</t>
  </si>
  <si>
    <t xml:space="preserve">Alcantarillado </t>
  </si>
  <si>
    <t>por 1,000 litros (Incluído en Recibo de Agua)</t>
  </si>
  <si>
    <t>Desecho de Aguas con Aceite</t>
  </si>
  <si>
    <t>Específico del Sitio</t>
  </si>
  <si>
    <t>Galones</t>
  </si>
  <si>
    <t>Costo de Solventes</t>
  </si>
  <si>
    <t>Soda Cáustica</t>
  </si>
  <si>
    <t>Bauxita Granular - Anual</t>
  </si>
  <si>
    <t>Suministros y Mantenimiento</t>
  </si>
  <si>
    <t>Suministros y Servicios de Laboratorio</t>
  </si>
  <si>
    <t>Mano de Obra de la Planta</t>
  </si>
  <si>
    <t>Costo Operativo Total Anual por Galón</t>
  </si>
  <si>
    <t>Sin Depreciación</t>
  </si>
  <si>
    <t>PESCO-BEAM Costo Total Operativo por Galón - Base Oil Group II</t>
  </si>
  <si>
    <t>PESCO-BEAM Costo Total Operativo por Litro - Base Oil Group II</t>
  </si>
  <si>
    <t>Costo Total Aceite Base (sin aditivos) para un Cuarto</t>
  </si>
  <si>
    <t>Costo Total Aceite Base (sin aditivos) para un Estañón (55 GL)</t>
  </si>
  <si>
    <t>Costo Op. Planta</t>
  </si>
  <si>
    <t>Lubricantes por Galón</t>
  </si>
  <si>
    <t>Costo de Producto</t>
  </si>
  <si>
    <t>Utilidad Bruta</t>
  </si>
  <si>
    <t>Costo de Ventas</t>
  </si>
  <si>
    <t>Lubricantes Importados</t>
  </si>
  <si>
    <t>Margen Neto</t>
  </si>
  <si>
    <t>Mayoreo LNG (Estañones)</t>
  </si>
  <si>
    <t>Costo Promedio Total por Estañón Metalub</t>
  </si>
  <si>
    <t>Costo Promedio Total por Estañón Metalub + Costo Ventas</t>
  </si>
  <si>
    <t>METALUB - Staff y Salarios</t>
  </si>
  <si>
    <t>Gerente Operaciones de Planta</t>
  </si>
  <si>
    <t>Operarios Principales (Supervisores)</t>
  </si>
  <si>
    <t>Operarios Asistentes</t>
  </si>
  <si>
    <t>Ingeniero de Calidad</t>
  </si>
  <si>
    <t>Técnico de Laboratorio</t>
  </si>
  <si>
    <t>Mantenimiento</t>
  </si>
  <si>
    <t>Electricista</t>
  </si>
  <si>
    <t>Choferes de Camiones Recolectores Aceite Usado</t>
  </si>
  <si>
    <t>Personal de Planta</t>
  </si>
  <si>
    <t>Administración y Ventas</t>
  </si>
  <si>
    <t>Gerente Generla/CFO</t>
  </si>
  <si>
    <t>Gerente Mercadeo</t>
  </si>
  <si>
    <t>Gerente Ventas</t>
  </si>
  <si>
    <t>Director Comercial</t>
  </si>
  <si>
    <t>Mercadeo Digital</t>
  </si>
  <si>
    <t>Asesores de Ventas</t>
  </si>
  <si>
    <t>Jefe de Bodega</t>
  </si>
  <si>
    <t>Limpieza</t>
  </si>
  <si>
    <t>Gerente Logística</t>
  </si>
  <si>
    <t>Administrativo</t>
  </si>
  <si>
    <t>Choferes Repartidores</t>
  </si>
  <si>
    <t>Personal de Planta Contratado</t>
  </si>
  <si>
    <t>Posiciones Temporales</t>
  </si>
  <si>
    <t>Gerente de Proyectos (Planta)</t>
  </si>
  <si>
    <t>Total Salarios Mensuales</t>
  </si>
  <si>
    <t>Projecto Total</t>
  </si>
  <si>
    <t>Flujo de Caja</t>
  </si>
  <si>
    <t>HREFF 4% coupon</t>
  </si>
  <si>
    <t>HREFF 4% Cupón</t>
  </si>
  <si>
    <t>HREFF 4% Coupon</t>
  </si>
  <si>
    <t>HREFF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</si>
</sst>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409]* #,##0_);_([$$-409]* \(#,##0\);_([$$-409]* &quot;-&quot;??_);_(@_)"/>
    <numFmt numFmtId="167" formatCode="&quot;$&quot;#,##0.00"/>
    <numFmt numFmtId="168" formatCode="_(&quot;$&quot;* #,##0.000_);_(&quot;$&quot;* \(#,##0.000\);_(&quot;$&quot;* &quot;-&quot;??_);_(@_)"/>
    <numFmt numFmtId="169" formatCode="&quot;$&quot;#,##0"/>
    <numFmt numFmtId="170" formatCode="&quot;$&quot;#,##0.0000"/>
    <numFmt numFmtId="171" formatCode="&quot;$&quot;#,##0.0000_);\(&quot;$&quot;#,##0.0000\)"/>
    <numFmt numFmtId="172" formatCode="&quot;$&quot;#,##0.000"/>
    <numFmt numFmtId="173" formatCode="0.0%"/>
    <numFmt numFmtId="174" formatCode="[$-F800]dddd\,\ mmmm\ dd\,\ yyyy"/>
    <numFmt numFmtId="175" formatCode="[$-409]d\-mmm\-yy;@"/>
    <numFmt numFmtId="176" formatCode="0.0"/>
    <numFmt numFmtId="177" formatCode="_([$€-2]* #,##0.00_);_([$€-2]* \(#,##0.00\);_([$€-2]* &quot;-&quot;??_)"/>
    <numFmt numFmtId="178" formatCode="0,"/>
    <numFmt numFmtId="179" formatCode="&quot;$&quot;#,##0.0_);[Red]\(&quot;$&quot;#,##0.0\)"/>
  </numFmts>
  <fonts count="52">
    <font>
      <sz val="11"/>
      <color theme="1"/>
      <name val="Calibri"/>
      <family val="2"/>
      <scheme val="minor"/>
    </font>
    <font>
      <sz val="12"/>
      <color theme="1"/>
      <name val="Calibri"/>
      <family val="2"/>
      <charset val="128"/>
      <scheme val="minor"/>
    </font>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indexed="8"/>
      <name val="Calibri"/>
      <family val="2"/>
    </font>
    <font>
      <u/>
      <sz val="11"/>
      <color theme="10"/>
      <name val="Calibri"/>
      <family val="2"/>
      <scheme val="minor"/>
    </font>
    <font>
      <b/>
      <sz val="11"/>
      <color indexed="8"/>
      <name val="Calibri"/>
      <family val="2"/>
    </font>
    <font>
      <sz val="11"/>
      <color indexed="8"/>
      <name val="Times"/>
    </font>
    <font>
      <sz val="11"/>
      <color indexed="8"/>
      <name val="Calibri"/>
      <family val="2"/>
      <scheme val="minor"/>
    </font>
    <font>
      <sz val="11"/>
      <color rgb="FF000000"/>
      <name val="Calibri"/>
      <family val="2"/>
      <scheme val="minor"/>
    </font>
    <font>
      <sz val="8"/>
      <name val="Times"/>
    </font>
    <font>
      <sz val="11"/>
      <color rgb="FF2F5496"/>
      <name val="Calibri"/>
      <family val="2"/>
      <scheme val="minor"/>
    </font>
    <font>
      <b/>
      <sz val="11"/>
      <color rgb="FF2F5496"/>
      <name val="Calibri"/>
      <family val="2"/>
      <scheme val="minor"/>
    </font>
    <font>
      <sz val="11"/>
      <color rgb="FF000000"/>
      <name val="Calibri"/>
      <family val="2"/>
    </font>
    <font>
      <b/>
      <sz val="11"/>
      <color rgb="FF000000"/>
      <name val="Calibri"/>
      <family val="2"/>
    </font>
    <font>
      <sz val="10"/>
      <name val="Verdana"/>
      <family val="2"/>
    </font>
    <font>
      <sz val="11"/>
      <color theme="1"/>
      <name val="Calibri"/>
      <family val="2"/>
    </font>
    <font>
      <sz val="11"/>
      <color rgb="FF222222"/>
      <name val="Calibri"/>
      <family val="2"/>
    </font>
    <font>
      <b/>
      <sz val="12"/>
      <color theme="1"/>
      <name val="Calibri"/>
      <family val="2"/>
      <charset val="128"/>
      <scheme val="minor"/>
    </font>
    <font>
      <u/>
      <sz val="11"/>
      <color theme="11"/>
      <name val="Calibri"/>
      <family val="2"/>
      <scheme val="minor"/>
    </font>
    <font>
      <sz val="10"/>
      <color theme="1"/>
      <name val="Calibri"/>
      <family val="2"/>
      <scheme val="minor"/>
    </font>
    <font>
      <b/>
      <sz val="10"/>
      <color indexed="9"/>
      <name val="Calibri"/>
      <family val="2"/>
      <scheme val="minor"/>
    </font>
    <font>
      <sz val="10"/>
      <name val="Calibri"/>
      <family val="2"/>
      <scheme val="minor"/>
    </font>
    <font>
      <b/>
      <sz val="10"/>
      <name val="Calibri"/>
      <family val="2"/>
      <scheme val="minor"/>
    </font>
    <font>
      <b/>
      <sz val="10"/>
      <color theme="1"/>
      <name val="Calibri"/>
      <family val="2"/>
      <scheme val="minor"/>
    </font>
    <font>
      <b/>
      <sz val="10"/>
      <color theme="0"/>
      <name val="Calibri"/>
      <family val="2"/>
      <scheme val="minor"/>
    </font>
    <font>
      <b/>
      <sz val="11"/>
      <color theme="0"/>
      <name val="Calibri"/>
      <family val="2"/>
      <scheme val="minor"/>
    </font>
    <font>
      <b/>
      <u/>
      <sz val="10"/>
      <color theme="1"/>
      <name val="Calibri"/>
      <family val="2"/>
      <scheme val="minor"/>
    </font>
    <font>
      <b/>
      <sz val="12"/>
      <name val="Calibri"/>
      <family val="2"/>
      <scheme val="minor"/>
    </font>
    <font>
      <sz val="8"/>
      <name val="Calibri"/>
      <family val="2"/>
      <scheme val="minor"/>
    </font>
    <font>
      <b/>
      <sz val="10"/>
      <color theme="1"/>
      <name val="Calibri"/>
      <family val="2"/>
    </font>
    <font>
      <sz val="10"/>
      <color theme="1"/>
      <name val="Calibri"/>
      <family val="2"/>
    </font>
    <font>
      <b/>
      <sz val="10"/>
      <color indexed="8"/>
      <name val="Calibri"/>
      <family val="2"/>
    </font>
    <font>
      <sz val="11"/>
      <color theme="0"/>
      <name val="Calibri"/>
      <family val="2"/>
      <scheme val="minor"/>
    </font>
    <font>
      <b/>
      <sz val="10"/>
      <color theme="0"/>
      <name val="Arial"/>
      <family val="2"/>
    </font>
    <font>
      <sz val="10"/>
      <color theme="0"/>
      <name val="Calibri"/>
      <family val="2"/>
      <scheme val="minor"/>
    </font>
    <font>
      <b/>
      <sz val="10"/>
      <color theme="0"/>
      <name val="Calibri"/>
      <family val="2"/>
    </font>
    <font>
      <sz val="9"/>
      <color indexed="81"/>
      <name val="Calibri"/>
      <family val="2"/>
    </font>
    <font>
      <b/>
      <sz val="9"/>
      <color indexed="81"/>
      <name val="Calibri"/>
      <family val="2"/>
    </font>
    <font>
      <b/>
      <i/>
      <sz val="9"/>
      <color theme="1"/>
      <name val="Calibri"/>
      <family val="2"/>
      <scheme val="minor"/>
    </font>
    <font>
      <i/>
      <sz val="11"/>
      <color theme="1"/>
      <name val="Calibri"/>
      <family val="2"/>
      <scheme val="minor"/>
    </font>
    <font>
      <b/>
      <sz val="10"/>
      <color rgb="FFFFFFFF"/>
      <name val="Calibri"/>
      <family val="2"/>
    </font>
    <font>
      <sz val="10"/>
      <name val="Calibri"/>
      <family val="2"/>
    </font>
    <font>
      <b/>
      <sz val="10"/>
      <name val="Calibri"/>
      <family val="2"/>
    </font>
    <font>
      <b/>
      <sz val="10"/>
      <color theme="1"/>
      <name val="Arial"/>
      <family val="2"/>
    </font>
    <font>
      <sz val="11"/>
      <color theme="1"/>
      <name val="Times New Roman"/>
      <family val="1"/>
    </font>
    <font>
      <vertAlign val="superscript"/>
      <sz val="11"/>
      <color theme="1"/>
      <name val="Times New Roman"/>
      <family val="1"/>
    </font>
    <font>
      <u/>
      <sz val="11"/>
      <color theme="1"/>
      <name val="Times New Roman"/>
      <family val="1"/>
    </font>
    <font>
      <sz val="7"/>
      <color theme="1"/>
      <name val="Times New Roman"/>
      <family val="1"/>
    </font>
    <font>
      <b/>
      <u/>
      <sz val="11"/>
      <color theme="1"/>
      <name val="Times New Roman"/>
      <family val="1"/>
    </font>
  </fonts>
  <fills count="18">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0"/>
        <bgColor indexed="64"/>
      </patternFill>
    </fill>
    <fill>
      <patternFill patternType="solid">
        <fgColor rgb="FFFFFFFF"/>
        <bgColor rgb="FF000000"/>
      </patternFill>
    </fill>
    <fill>
      <patternFill patternType="solid">
        <fgColor rgb="FFFFFF00"/>
        <bgColor rgb="FF000000"/>
      </patternFill>
    </fill>
    <fill>
      <patternFill patternType="solid">
        <fgColor indexed="9"/>
        <bgColor indexed="64"/>
      </patternFill>
    </fill>
    <fill>
      <patternFill patternType="solid">
        <fgColor indexed="13"/>
        <bgColor indexed="64"/>
      </patternFill>
    </fill>
    <fill>
      <patternFill patternType="solid">
        <fgColor rgb="FFFFC000"/>
        <bgColor indexed="64"/>
      </patternFill>
    </fill>
    <fill>
      <patternFill patternType="solid">
        <fgColor rgb="FF92D050"/>
        <bgColor indexed="64"/>
      </patternFill>
    </fill>
    <fill>
      <patternFill patternType="solid">
        <fgColor rgb="FFC0C0C0"/>
        <bgColor indexed="64"/>
      </patternFill>
    </fill>
    <fill>
      <patternFill patternType="solid">
        <fgColor theme="8"/>
        <bgColor indexed="64"/>
      </patternFill>
    </fill>
    <fill>
      <patternFill patternType="solid">
        <fgColor rgb="FFCCFFCC"/>
        <bgColor indexed="64"/>
      </patternFill>
    </fill>
    <fill>
      <patternFill patternType="solid">
        <fgColor rgb="FF0070C0"/>
        <bgColor rgb="FF000000"/>
      </patternFill>
    </fill>
    <fill>
      <patternFill patternType="solid">
        <fgColor rgb="FF00B0F0"/>
        <bgColor indexed="64"/>
      </patternFill>
    </fill>
    <fill>
      <patternFill patternType="solid">
        <fgColor theme="7"/>
        <bgColor indexed="64"/>
      </patternFill>
    </fill>
    <fill>
      <patternFill patternType="solid">
        <fgColor theme="2"/>
        <bgColor indexed="64"/>
      </patternFill>
    </fill>
  </fills>
  <borders count="121">
    <border>
      <left/>
      <right/>
      <top/>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style="thin">
        <color auto="1"/>
      </bottom>
      <diagonal/>
    </border>
    <border>
      <left/>
      <right style="thin">
        <color theme="0"/>
      </right>
      <top/>
      <bottom/>
      <diagonal/>
    </border>
    <border>
      <left style="thin">
        <color theme="0"/>
      </left>
      <right style="thin">
        <color theme="0"/>
      </right>
      <top/>
      <bottom/>
      <diagonal/>
    </border>
    <border>
      <left style="thin">
        <color auto="1"/>
      </left>
      <right style="thin">
        <color auto="1"/>
      </right>
      <top style="thin">
        <color theme="0"/>
      </top>
      <bottom style="thin">
        <color theme="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top style="medium">
        <color auto="1"/>
      </top>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top style="thin">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rgb="FF000000"/>
      </bottom>
      <diagonal/>
    </border>
    <border>
      <left/>
      <right style="medium">
        <color rgb="FF000000"/>
      </right>
      <top/>
      <bottom style="thick">
        <color rgb="FF000000"/>
      </bottom>
      <diagonal/>
    </border>
    <border>
      <left/>
      <right style="medium">
        <color rgb="FF000000"/>
      </right>
      <top style="medium">
        <color rgb="FF000000"/>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bottom style="thin">
        <color auto="1"/>
      </bottom>
      <diagonal/>
    </border>
    <border>
      <left style="thin">
        <color auto="1"/>
      </left>
      <right style="thin">
        <color auto="1"/>
      </right>
      <top style="thin">
        <color auto="1"/>
      </top>
      <bottom style="thin">
        <color theme="0"/>
      </bottom>
      <diagonal/>
    </border>
    <border>
      <left style="thin">
        <color rgb="FF002060"/>
      </left>
      <right/>
      <top style="thin">
        <color theme="0"/>
      </top>
      <bottom style="thin">
        <color theme="0"/>
      </bottom>
      <diagonal/>
    </border>
    <border>
      <left style="medium">
        <color auto="1"/>
      </left>
      <right style="thin">
        <color auto="1"/>
      </right>
      <top style="medium">
        <color auto="1"/>
      </top>
      <bottom style="thin">
        <color theme="0"/>
      </bottom>
      <diagonal/>
    </border>
    <border>
      <left style="thin">
        <color auto="1"/>
      </left>
      <right style="thin">
        <color auto="1"/>
      </right>
      <top style="medium">
        <color auto="1"/>
      </top>
      <bottom style="thin">
        <color theme="0"/>
      </bottom>
      <diagonal/>
    </border>
    <border>
      <left style="thin">
        <color auto="1"/>
      </left>
      <right style="medium">
        <color auto="1"/>
      </right>
      <top style="medium">
        <color auto="1"/>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medium">
        <color rgb="FF002060"/>
      </top>
      <bottom style="medium">
        <color auto="1"/>
      </bottom>
      <diagonal/>
    </border>
    <border>
      <left style="thin">
        <color theme="0"/>
      </left>
      <right style="thin">
        <color theme="0"/>
      </right>
      <top style="medium">
        <color rgb="FF002060"/>
      </top>
      <bottom style="medium">
        <color auto="1"/>
      </bottom>
      <diagonal/>
    </border>
    <border>
      <left style="thin">
        <color theme="0"/>
      </left>
      <right style="medium">
        <color auto="1"/>
      </right>
      <top style="medium">
        <color rgb="FF002060"/>
      </top>
      <bottom style="medium">
        <color auto="1"/>
      </bottom>
      <diagonal/>
    </border>
    <border>
      <left style="thin">
        <color rgb="FF002060"/>
      </left>
      <right/>
      <top style="thin">
        <color auto="1"/>
      </top>
      <bottom style="thin">
        <color theme="0"/>
      </bottom>
      <diagonal/>
    </border>
    <border>
      <left style="medium">
        <color auto="1"/>
      </left>
      <right style="thin">
        <color theme="0"/>
      </right>
      <top style="thin">
        <color theme="0"/>
      </top>
      <bottom style="thin">
        <color theme="0"/>
      </bottom>
      <diagonal/>
    </border>
    <border>
      <left style="medium">
        <color auto="1"/>
      </left>
      <right style="thin">
        <color theme="0"/>
      </right>
      <top style="thin">
        <color theme="0"/>
      </top>
      <bottom style="thin">
        <color auto="1"/>
      </bottom>
      <diagonal/>
    </border>
    <border>
      <left style="thin">
        <color theme="0"/>
      </left>
      <right style="medium">
        <color auto="1"/>
      </right>
      <top style="thin">
        <color theme="0"/>
      </top>
      <bottom style="thin">
        <color auto="1"/>
      </bottom>
      <diagonal/>
    </border>
    <border>
      <left style="medium">
        <color auto="1"/>
      </left>
      <right style="thin">
        <color theme="0"/>
      </right>
      <top/>
      <bottom style="medium">
        <color auto="1"/>
      </bottom>
      <diagonal/>
    </border>
    <border>
      <left style="thin">
        <color theme="0"/>
      </left>
      <right style="thin">
        <color theme="0"/>
      </right>
      <top/>
      <bottom style="medium">
        <color auto="1"/>
      </bottom>
      <diagonal/>
    </border>
    <border>
      <left style="thin">
        <color theme="0"/>
      </left>
      <right style="medium">
        <color auto="1"/>
      </right>
      <top/>
      <bottom style="medium">
        <color auto="1"/>
      </bottom>
      <diagonal/>
    </border>
    <border>
      <left style="thin">
        <color theme="0"/>
      </left>
      <right/>
      <top/>
      <bottom/>
      <diagonal/>
    </border>
    <border>
      <left style="medium">
        <color auto="1"/>
      </left>
      <right style="thin">
        <color theme="0"/>
      </right>
      <top style="medium">
        <color auto="1"/>
      </top>
      <bottom style="thin">
        <color theme="0"/>
      </bottom>
      <diagonal/>
    </border>
    <border>
      <left style="medium">
        <color auto="1"/>
      </left>
      <right style="thin">
        <color theme="0"/>
      </right>
      <top style="thin">
        <color theme="0"/>
      </top>
      <bottom/>
      <diagonal/>
    </border>
    <border>
      <left style="thin">
        <color theme="0"/>
      </left>
      <right style="medium">
        <color auto="1"/>
      </right>
      <top style="thin">
        <color theme="0"/>
      </top>
      <bottom/>
      <diagonal/>
    </border>
    <border>
      <left style="medium">
        <color auto="1"/>
      </left>
      <right/>
      <top style="medium">
        <color auto="1"/>
      </top>
      <bottom style="thin">
        <color theme="0"/>
      </bottom>
      <diagonal/>
    </border>
    <border>
      <left style="medium">
        <color auto="1"/>
      </left>
      <right style="thin">
        <color theme="0"/>
      </right>
      <top/>
      <bottom/>
      <diagonal/>
    </border>
    <border>
      <left/>
      <right style="thin">
        <color theme="0"/>
      </right>
      <top style="medium">
        <color rgb="FF002060"/>
      </top>
      <bottom style="medium">
        <color auto="1"/>
      </bottom>
      <diagonal/>
    </border>
    <border>
      <left style="medium">
        <color auto="1"/>
      </left>
      <right/>
      <top style="thin">
        <color theme="0"/>
      </top>
      <bottom style="medium">
        <color rgb="FF002060"/>
      </bottom>
      <diagonal/>
    </border>
    <border>
      <left style="medium">
        <color auto="1"/>
      </left>
      <right/>
      <top style="thin">
        <color theme="0"/>
      </top>
      <bottom style="thin">
        <color theme="0"/>
      </bottom>
      <diagonal/>
    </border>
    <border>
      <left/>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rgb="FFFFFFFF"/>
      </right>
      <top style="medium">
        <color auto="1"/>
      </top>
      <bottom style="thin">
        <color rgb="FFFFFFFF"/>
      </bottom>
      <diagonal/>
    </border>
    <border>
      <left style="thin">
        <color auto="1"/>
      </left>
      <right style="thin">
        <color auto="1"/>
      </right>
      <top style="medium">
        <color auto="1"/>
      </top>
      <bottom style="thin">
        <color rgb="FFFFFFFF"/>
      </bottom>
      <diagonal/>
    </border>
    <border>
      <left style="thin">
        <color auto="1"/>
      </left>
      <right style="medium">
        <color auto="1"/>
      </right>
      <top style="medium">
        <color auto="1"/>
      </top>
      <bottom style="thin">
        <color rgb="FFFFFFFF"/>
      </bottom>
      <diagonal/>
    </border>
    <border>
      <left style="medium">
        <color auto="1"/>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medium">
        <color auto="1"/>
      </right>
      <top style="thin">
        <color rgb="FFFFFFFF"/>
      </top>
      <bottom style="thin">
        <color rgb="FFFFFFFF"/>
      </bottom>
      <diagonal/>
    </border>
    <border>
      <left style="medium">
        <color auto="1"/>
      </left>
      <right style="thin">
        <color rgb="FFFFFFFF"/>
      </right>
      <top style="thin">
        <color rgb="FFFFFFFF"/>
      </top>
      <bottom style="medium">
        <color auto="1"/>
      </bottom>
      <diagonal/>
    </border>
    <border>
      <left style="thin">
        <color rgb="FFFFFFFF"/>
      </left>
      <right style="thin">
        <color rgb="FFFFFFFF"/>
      </right>
      <top style="thin">
        <color rgb="FFFFFFFF"/>
      </top>
      <bottom style="medium">
        <color auto="1"/>
      </bottom>
      <diagonal/>
    </border>
    <border>
      <left style="thin">
        <color rgb="FFFFFFFF"/>
      </left>
      <right style="medium">
        <color auto="1"/>
      </right>
      <top style="thin">
        <color rgb="FFFFFFFF"/>
      </top>
      <bottom style="medium">
        <color auto="1"/>
      </bottom>
      <diagonal/>
    </border>
    <border>
      <left style="thin">
        <color auto="1"/>
      </left>
      <right style="thin">
        <color rgb="FFFFFFFF"/>
      </right>
      <top/>
      <bottom style="thin">
        <color auto="1"/>
      </bottom>
      <diagonal/>
    </border>
    <border>
      <left style="thin">
        <color rgb="FFFFFFFF"/>
      </left>
      <right style="thin">
        <color rgb="FFFFFFFF"/>
      </right>
      <top/>
      <bottom style="thin">
        <color auto="1"/>
      </bottom>
      <diagonal/>
    </border>
    <border>
      <left style="thin">
        <color rgb="FFFFFFFF"/>
      </left>
      <right style="thin">
        <color auto="1"/>
      </right>
      <top/>
      <bottom style="thin">
        <color auto="1"/>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auto="1"/>
      </left>
      <right style="thin">
        <color rgb="FFFFFFFF"/>
      </right>
      <top style="thin">
        <color rgb="FFFFFFFF"/>
      </top>
      <bottom style="thin">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style="thin">
        <color theme="0"/>
      </top>
      <bottom style="thin">
        <color auto="1"/>
      </bottom>
      <diagonal/>
    </border>
    <border>
      <left/>
      <right style="thin">
        <color theme="0"/>
      </right>
      <top/>
      <bottom style="medium">
        <color auto="1"/>
      </bottom>
      <diagonal/>
    </border>
    <border>
      <left/>
      <right/>
      <top style="medium">
        <color auto="1"/>
      </top>
      <bottom style="thin">
        <color theme="0"/>
      </bottom>
      <diagonal/>
    </border>
    <border>
      <left/>
      <right/>
      <top style="medium">
        <color auto="1"/>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style="medium">
        <color auto="1"/>
      </bottom>
      <diagonal/>
    </border>
    <border>
      <left/>
      <right style="thin">
        <color rgb="FFFFFFFF"/>
      </right>
      <top/>
      <bottom style="thin">
        <color auto="1"/>
      </bottom>
      <diagonal/>
    </border>
  </borders>
  <cellStyleXfs count="14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6" fillId="0" borderId="0"/>
    <xf numFmtId="0" fontId="7" fillId="0" borderId="0" applyNumberForma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77" fontId="2" fillId="0" borderId="0"/>
  </cellStyleXfs>
  <cellXfs count="775">
    <xf numFmtId="0" fontId="0" fillId="0" borderId="0" xfId="0"/>
    <xf numFmtId="0" fontId="0" fillId="0" borderId="0" xfId="0" applyBorder="1"/>
    <xf numFmtId="0" fontId="0" fillId="0" borderId="5" xfId="0" applyBorder="1"/>
    <xf numFmtId="0" fontId="0" fillId="0" borderId="0" xfId="0" applyFill="1" applyBorder="1"/>
    <xf numFmtId="6" fontId="0" fillId="0" borderId="0" xfId="0" applyNumberFormat="1"/>
    <xf numFmtId="44" fontId="0" fillId="0" borderId="0" xfId="0" applyNumberFormat="1"/>
    <xf numFmtId="44" fontId="0" fillId="0" borderId="0" xfId="2" applyFont="1"/>
    <xf numFmtId="0" fontId="0" fillId="0" borderId="0" xfId="0" applyAlignment="1">
      <alignment horizontal="center"/>
    </xf>
    <xf numFmtId="9" fontId="0" fillId="0" borderId="0" xfId="0" applyNumberFormat="1"/>
    <xf numFmtId="0" fontId="3" fillId="0" borderId="0" xfId="0" applyFont="1"/>
    <xf numFmtId="0" fontId="0" fillId="0" borderId="5" xfId="0" applyBorder="1" applyAlignment="1">
      <alignment horizontal="center"/>
    </xf>
    <xf numFmtId="0" fontId="5" fillId="0" borderId="0" xfId="0" applyFont="1"/>
    <xf numFmtId="0" fontId="6" fillId="5" borderId="0" xfId="7" applyFont="1" applyFill="1" applyBorder="1"/>
    <xf numFmtId="0" fontId="6" fillId="5" borderId="0" xfId="7" applyFont="1" applyFill="1" applyBorder="1" applyAlignment="1">
      <alignment horizontal="center"/>
    </xf>
    <xf numFmtId="0" fontId="6" fillId="5" borderId="8" xfId="7" applyFont="1" applyFill="1" applyBorder="1" applyAlignment="1">
      <alignment horizontal="centerContinuous"/>
    </xf>
    <xf numFmtId="0" fontId="6" fillId="5" borderId="13" xfId="7" applyFont="1" applyFill="1" applyBorder="1" applyAlignment="1">
      <alignment horizontal="center"/>
    </xf>
    <xf numFmtId="0" fontId="6" fillId="5" borderId="29" xfId="7" applyFont="1" applyFill="1" applyBorder="1" applyAlignment="1">
      <alignment horizontal="centerContinuous"/>
    </xf>
    <xf numFmtId="0" fontId="6" fillId="5" borderId="32" xfId="7" applyFont="1" applyFill="1" applyBorder="1" applyAlignment="1">
      <alignment horizontal="center" vertical="center"/>
    </xf>
    <xf numFmtId="0" fontId="6" fillId="5" borderId="13" xfId="7" applyFont="1" applyFill="1" applyBorder="1" applyAlignment="1">
      <alignment horizontal="center" vertical="center"/>
    </xf>
    <xf numFmtId="0" fontId="6" fillId="5" borderId="12" xfId="7" applyFont="1" applyFill="1" applyBorder="1" applyAlignment="1">
      <alignment horizontal="center" vertical="center" wrapText="1"/>
    </xf>
    <xf numFmtId="0" fontId="6" fillId="5" borderId="9" xfId="7" applyFont="1" applyFill="1" applyBorder="1"/>
    <xf numFmtId="0" fontId="6" fillId="6" borderId="33" xfId="7" applyFont="1" applyFill="1" applyBorder="1"/>
    <xf numFmtId="0" fontId="6" fillId="5" borderId="2" xfId="7" applyFont="1" applyFill="1" applyBorder="1"/>
    <xf numFmtId="0" fontId="6" fillId="0" borderId="5" xfId="7" applyBorder="1"/>
    <xf numFmtId="0" fontId="6" fillId="0" borderId="0" xfId="7"/>
    <xf numFmtId="0" fontId="6" fillId="0" borderId="0" xfId="7" applyBorder="1"/>
    <xf numFmtId="6" fontId="6" fillId="0" borderId="0" xfId="7" applyNumberFormat="1" applyBorder="1"/>
    <xf numFmtId="6" fontId="6" fillId="0" borderId="0" xfId="7" applyNumberFormat="1" applyAlignment="1">
      <alignment horizontal="left"/>
    </xf>
    <xf numFmtId="6" fontId="6" fillId="0" borderId="0" xfId="7" applyNumberFormat="1"/>
    <xf numFmtId="0" fontId="6" fillId="5" borderId="9" xfId="7" applyFont="1" applyFill="1" applyBorder="1" applyAlignment="1">
      <alignment horizontal="center"/>
    </xf>
    <xf numFmtId="0" fontId="6" fillId="5" borderId="3" xfId="7" applyFont="1" applyFill="1" applyBorder="1" applyAlignment="1">
      <alignment horizontal="center"/>
    </xf>
    <xf numFmtId="0" fontId="6" fillId="5" borderId="10" xfId="7" applyFont="1" applyFill="1" applyBorder="1" applyAlignment="1">
      <alignment horizontal="center"/>
    </xf>
    <xf numFmtId="0" fontId="6" fillId="5" borderId="32" xfId="7" applyFont="1" applyFill="1" applyBorder="1" applyAlignment="1">
      <alignment horizontal="center" vertical="center" wrapText="1"/>
    </xf>
    <xf numFmtId="0" fontId="6" fillId="5" borderId="11" xfId="7" applyFont="1" applyFill="1" applyBorder="1" applyAlignment="1">
      <alignment horizontal="center" vertical="center" wrapText="1"/>
    </xf>
    <xf numFmtId="165" fontId="4" fillId="5" borderId="13" xfId="6" applyNumberFormat="1" applyFont="1" applyFill="1" applyBorder="1" applyAlignment="1">
      <alignment horizontal="center"/>
    </xf>
    <xf numFmtId="173" fontId="6" fillId="5" borderId="13" xfId="7" applyNumberFormat="1" applyFont="1" applyFill="1" applyBorder="1" applyAlignment="1">
      <alignment horizontal="center"/>
    </xf>
    <xf numFmtId="164" fontId="6" fillId="0" borderId="0" xfId="1" applyNumberFormat="1" applyFont="1" applyFill="1" applyBorder="1" applyAlignment="1">
      <alignment horizontal="center"/>
    </xf>
    <xf numFmtId="164" fontId="4" fillId="5" borderId="13" xfId="5" applyNumberFormat="1" applyFont="1" applyFill="1" applyBorder="1" applyAlignment="1">
      <alignment horizontal="center"/>
    </xf>
    <xf numFmtId="165" fontId="4" fillId="6" borderId="34" xfId="6" applyNumberFormat="1" applyFont="1" applyFill="1" applyBorder="1" applyAlignment="1">
      <alignment horizontal="center"/>
    </xf>
    <xf numFmtId="0" fontId="6" fillId="6" borderId="34" xfId="7" applyFont="1" applyFill="1" applyBorder="1" applyAlignment="1">
      <alignment horizontal="center"/>
    </xf>
    <xf numFmtId="0" fontId="6" fillId="6" borderId="33" xfId="7" applyFont="1" applyFill="1" applyBorder="1" applyAlignment="1">
      <alignment horizontal="center"/>
    </xf>
    <xf numFmtId="173" fontId="6" fillId="6" borderId="35" xfId="7" applyNumberFormat="1" applyFont="1" applyFill="1" applyBorder="1" applyAlignment="1">
      <alignment horizontal="center"/>
    </xf>
    <xf numFmtId="164" fontId="4" fillId="6" borderId="28" xfId="1" applyNumberFormat="1" applyFont="1" applyFill="1" applyBorder="1" applyAlignment="1">
      <alignment horizontal="center"/>
    </xf>
    <xf numFmtId="165" fontId="4" fillId="6" borderId="28" xfId="6" applyNumberFormat="1" applyFont="1" applyFill="1" applyBorder="1" applyAlignment="1">
      <alignment horizontal="center"/>
    </xf>
    <xf numFmtId="165" fontId="6" fillId="5" borderId="0" xfId="7" applyNumberFormat="1" applyFont="1" applyFill="1" applyBorder="1" applyAlignment="1">
      <alignment horizontal="center"/>
    </xf>
    <xf numFmtId="9" fontId="6" fillId="5" borderId="0" xfId="7" applyNumberFormat="1" applyFont="1" applyFill="1" applyBorder="1" applyAlignment="1">
      <alignment horizontal="center"/>
    </xf>
    <xf numFmtId="164" fontId="6" fillId="5" borderId="36" xfId="7" applyNumberFormat="1" applyFont="1" applyFill="1" applyBorder="1" applyAlignment="1">
      <alignment horizontal="center"/>
    </xf>
    <xf numFmtId="165" fontId="4" fillId="5" borderId="36" xfId="6" applyNumberFormat="1" applyFont="1" applyFill="1" applyBorder="1" applyAlignment="1">
      <alignment horizontal="center"/>
    </xf>
    <xf numFmtId="164" fontId="6" fillId="0" borderId="13" xfId="1" applyNumberFormat="1" applyFont="1" applyFill="1" applyBorder="1" applyAlignment="1">
      <alignment horizontal="center"/>
    </xf>
    <xf numFmtId="0" fontId="6" fillId="5" borderId="32" xfId="7" applyFont="1" applyFill="1" applyBorder="1" applyAlignment="1">
      <alignment horizontal="center"/>
    </xf>
    <xf numFmtId="0" fontId="6" fillId="5" borderId="2" xfId="7" applyFont="1" applyFill="1" applyBorder="1" applyAlignment="1">
      <alignment horizontal="center"/>
    </xf>
    <xf numFmtId="164" fontId="4" fillId="5" borderId="28" xfId="5" applyNumberFormat="1" applyFont="1" applyFill="1" applyBorder="1" applyAlignment="1">
      <alignment horizontal="center"/>
    </xf>
    <xf numFmtId="6" fontId="6" fillId="2" borderId="0" xfId="7" applyNumberFormat="1" applyFill="1" applyAlignment="1">
      <alignment horizontal="left"/>
    </xf>
    <xf numFmtId="6" fontId="8" fillId="0" borderId="0" xfId="7" applyNumberFormat="1" applyFont="1" applyAlignment="1">
      <alignment horizontal="left"/>
    </xf>
    <xf numFmtId="6" fontId="0" fillId="0" borderId="0" xfId="0" applyNumberFormat="1" applyAlignment="1">
      <alignment horizontal="left"/>
    </xf>
    <xf numFmtId="6" fontId="6" fillId="0" borderId="0" xfId="7" applyNumberFormat="1" applyFill="1" applyAlignment="1">
      <alignment horizontal="left"/>
    </xf>
    <xf numFmtId="6" fontId="6" fillId="2" borderId="5" xfId="7" applyNumberFormat="1" applyFill="1" applyBorder="1" applyAlignment="1">
      <alignment horizontal="left"/>
    </xf>
    <xf numFmtId="0" fontId="0" fillId="0" borderId="0" xfId="0" applyAlignment="1">
      <alignment wrapText="1"/>
    </xf>
    <xf numFmtId="0" fontId="0" fillId="2" borderId="0" xfId="0" applyFill="1"/>
    <xf numFmtId="0" fontId="6" fillId="0" borderId="5" xfId="7" applyFont="1" applyBorder="1"/>
    <xf numFmtId="6" fontId="6" fillId="0" borderId="0" xfId="7" applyNumberFormat="1" applyFont="1"/>
    <xf numFmtId="0" fontId="6" fillId="0" borderId="0" xfId="7" applyFont="1"/>
    <xf numFmtId="0" fontId="9" fillId="7" borderId="0" xfId="7" applyFont="1" applyFill="1"/>
    <xf numFmtId="6" fontId="9" fillId="7" borderId="0" xfId="7" applyNumberFormat="1" applyFont="1" applyFill="1"/>
    <xf numFmtId="0" fontId="6" fillId="7" borderId="0" xfId="7" applyFont="1" applyFill="1"/>
    <xf numFmtId="6" fontId="9" fillId="7" borderId="5" xfId="7" applyNumberFormat="1" applyFont="1" applyFill="1" applyBorder="1"/>
    <xf numFmtId="0" fontId="10" fillId="7" borderId="0" xfId="7" applyFont="1" applyFill="1"/>
    <xf numFmtId="0" fontId="10" fillId="0" borderId="0" xfId="7" applyFont="1" applyFill="1"/>
    <xf numFmtId="0" fontId="11" fillId="7" borderId="0" xfId="7" applyFont="1" applyFill="1"/>
    <xf numFmtId="0" fontId="11" fillId="4" borderId="0" xfId="7" applyFont="1" applyFill="1"/>
    <xf numFmtId="6" fontId="11" fillId="7" borderId="0" xfId="7" applyNumberFormat="1" applyFont="1" applyFill="1"/>
    <xf numFmtId="0" fontId="6" fillId="0" borderId="5" xfId="7" applyBorder="1" applyAlignment="1">
      <alignment horizontal="center"/>
    </xf>
    <xf numFmtId="0" fontId="6" fillId="0" borderId="5" xfId="7" applyBorder="1" applyAlignment="1">
      <alignment horizontal="center" wrapText="1"/>
    </xf>
    <xf numFmtId="0" fontId="0" fillId="4" borderId="0" xfId="0" applyFont="1" applyFill="1"/>
    <xf numFmtId="43" fontId="0" fillId="0" borderId="0" xfId="0" applyNumberFormat="1"/>
    <xf numFmtId="164" fontId="0" fillId="0" borderId="0" xfId="1" applyNumberFormat="1" applyFont="1"/>
    <xf numFmtId="164" fontId="0" fillId="0" borderId="0" xfId="0" applyNumberFormat="1"/>
    <xf numFmtId="0" fontId="6" fillId="8" borderId="13" xfId="7" applyFont="1" applyFill="1" applyBorder="1" applyAlignment="1">
      <alignment horizontal="center" vertical="center"/>
    </xf>
    <xf numFmtId="173" fontId="0" fillId="8" borderId="0" xfId="3" applyNumberFormat="1" applyFont="1" applyFill="1"/>
    <xf numFmtId="0" fontId="0" fillId="0" borderId="0" xfId="0" applyBorder="1" applyAlignment="1">
      <alignment horizontal="center"/>
    </xf>
    <xf numFmtId="9" fontId="0" fillId="2" borderId="0" xfId="0" applyNumberFormat="1" applyFill="1"/>
    <xf numFmtId="0" fontId="0" fillId="4" borderId="0" xfId="0" applyFill="1" applyAlignment="1">
      <alignment wrapText="1"/>
    </xf>
    <xf numFmtId="0" fontId="0" fillId="4" borderId="0" xfId="0" applyFill="1"/>
    <xf numFmtId="165" fontId="0" fillId="4" borderId="0" xfId="0" applyNumberFormat="1" applyFill="1"/>
    <xf numFmtId="169" fontId="0" fillId="4" borderId="0" xfId="0" applyNumberFormat="1" applyFill="1"/>
    <xf numFmtId="0" fontId="0" fillId="4" borderId="0" xfId="0" applyFill="1" applyBorder="1"/>
    <xf numFmtId="0" fontId="0" fillId="4" borderId="24" xfId="0" applyFill="1" applyBorder="1"/>
    <xf numFmtId="0" fontId="13" fillId="0" borderId="0" xfId="0" applyFont="1" applyAlignment="1">
      <alignment vertical="center"/>
    </xf>
    <xf numFmtId="0" fontId="7" fillId="0" borderId="0" xfId="8" applyAlignment="1">
      <alignment vertical="center"/>
    </xf>
    <xf numFmtId="0" fontId="14" fillId="0" borderId="0" xfId="0" applyFont="1" applyAlignment="1">
      <alignment vertical="center"/>
    </xf>
    <xf numFmtId="0" fontId="0" fillId="0" borderId="0" xfId="0" applyAlignment="1">
      <alignment vertical="center"/>
    </xf>
    <xf numFmtId="0" fontId="15" fillId="0" borderId="31" xfId="0" applyFont="1" applyBorder="1" applyAlignment="1">
      <alignment horizontal="center" vertical="center"/>
    </xf>
    <xf numFmtId="0" fontId="15" fillId="0" borderId="23" xfId="0" applyFont="1" applyBorder="1" applyAlignment="1">
      <alignment horizontal="center" vertical="center"/>
    </xf>
    <xf numFmtId="0" fontId="16" fillId="0" borderId="0" xfId="0" applyFont="1" applyFill="1" applyBorder="1" applyAlignment="1">
      <alignment horizontal="center" vertical="center"/>
    </xf>
    <xf numFmtId="0" fontId="16" fillId="0" borderId="30" xfId="0" applyFont="1" applyBorder="1" applyAlignment="1">
      <alignment horizontal="center" vertical="center"/>
    </xf>
    <xf numFmtId="0" fontId="16" fillId="0" borderId="22" xfId="0" applyFont="1" applyBorder="1" applyAlignment="1">
      <alignment horizontal="center" vertical="center"/>
    </xf>
    <xf numFmtId="10" fontId="0" fillId="0" borderId="0" xfId="0" applyNumberFormat="1"/>
    <xf numFmtId="17" fontId="0" fillId="0" borderId="0" xfId="0" applyNumberFormat="1"/>
    <xf numFmtId="165" fontId="4" fillId="5" borderId="32" xfId="6" applyNumberFormat="1" applyFont="1" applyFill="1" applyBorder="1" applyAlignment="1">
      <alignment horizontal="center"/>
    </xf>
    <xf numFmtId="164" fontId="6" fillId="0" borderId="28" xfId="1" applyNumberFormat="1" applyFont="1" applyFill="1" applyBorder="1" applyAlignment="1">
      <alignment horizontal="center"/>
    </xf>
    <xf numFmtId="165" fontId="4" fillId="5" borderId="28" xfId="2" applyNumberFormat="1" applyFont="1" applyFill="1" applyBorder="1" applyAlignment="1">
      <alignment horizontal="center"/>
    </xf>
    <xf numFmtId="43" fontId="0" fillId="0" borderId="0" xfId="1" applyNumberFormat="1" applyFont="1" applyBorder="1"/>
    <xf numFmtId="174" fontId="3" fillId="0" borderId="0" xfId="0" applyNumberFormat="1" applyFont="1"/>
    <xf numFmtId="0" fontId="0" fillId="0" borderId="3" xfId="0" applyBorder="1" applyAlignment="1">
      <alignment horizontal="center"/>
    </xf>
    <xf numFmtId="174" fontId="3" fillId="0" borderId="9" xfId="0" applyNumberFormat="1" applyFont="1" applyBorder="1" applyAlignment="1">
      <alignment horizontal="center"/>
    </xf>
    <xf numFmtId="174" fontId="3" fillId="0" borderId="3" xfId="0" applyNumberFormat="1" applyFont="1" applyBorder="1" applyAlignment="1">
      <alignment horizontal="center"/>
    </xf>
    <xf numFmtId="174" fontId="3" fillId="0" borderId="10" xfId="0" applyNumberFormat="1" applyFont="1" applyBorder="1" applyAlignment="1">
      <alignment horizontal="center"/>
    </xf>
    <xf numFmtId="164" fontId="0" fillId="0" borderId="0" xfId="1" applyNumberFormat="1" applyFont="1" applyAlignment="1">
      <alignment horizontal="center"/>
    </xf>
    <xf numFmtId="165" fontId="0" fillId="0" borderId="0" xfId="2" applyNumberFormat="1" applyFont="1" applyAlignment="1">
      <alignment horizontal="center"/>
    </xf>
    <xf numFmtId="0" fontId="0" fillId="0" borderId="0" xfId="0" applyAlignment="1">
      <alignment horizontal="left"/>
    </xf>
    <xf numFmtId="164" fontId="0" fillId="9" borderId="0" xfId="0" applyNumberFormat="1" applyFill="1" applyAlignment="1">
      <alignment horizontal="center"/>
    </xf>
    <xf numFmtId="165" fontId="0" fillId="10" borderId="0" xfId="2" applyNumberFormat="1" applyFont="1" applyFill="1" applyAlignment="1">
      <alignment horizontal="center"/>
    </xf>
    <xf numFmtId="0" fontId="18" fillId="0" borderId="50" xfId="0" applyFont="1" applyBorder="1" applyAlignment="1">
      <alignment horizontal="center" vertical="center" wrapText="1"/>
    </xf>
    <xf numFmtId="0" fontId="18" fillId="0" borderId="51" xfId="0" applyFont="1" applyBorder="1" applyAlignment="1">
      <alignment horizontal="center" vertical="center"/>
    </xf>
    <xf numFmtId="0" fontId="18" fillId="11" borderId="50" xfId="0" applyFont="1" applyFill="1" applyBorder="1" applyAlignment="1">
      <alignment horizontal="center" vertical="center" wrapText="1"/>
    </xf>
    <xf numFmtId="3" fontId="18" fillId="11" borderId="50" xfId="0" applyNumberFormat="1" applyFont="1" applyFill="1" applyBorder="1" applyAlignment="1">
      <alignment horizontal="center" vertical="center" wrapText="1"/>
    </xf>
    <xf numFmtId="0" fontId="18" fillId="11" borderId="51" xfId="0" applyFont="1" applyFill="1" applyBorder="1" applyAlignment="1">
      <alignment horizontal="center" vertical="center"/>
    </xf>
    <xf numFmtId="3" fontId="18" fillId="0" borderId="50" xfId="0" applyNumberFormat="1" applyFont="1" applyBorder="1" applyAlignment="1">
      <alignment horizontal="center" vertical="center" wrapText="1"/>
    </xf>
    <xf numFmtId="0" fontId="18" fillId="11" borderId="52" xfId="0" applyFont="1" applyFill="1" applyBorder="1" applyAlignment="1">
      <alignment horizontal="center" vertical="center" wrapText="1"/>
    </xf>
    <xf numFmtId="0" fontId="18" fillId="0" borderId="51"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44" fontId="0" fillId="0" borderId="0" xfId="0" applyNumberFormat="1" applyBorder="1"/>
    <xf numFmtId="44" fontId="0" fillId="0" borderId="0" xfId="2" applyFont="1" applyBorder="1" applyAlignment="1">
      <alignment horizontal="center"/>
    </xf>
    <xf numFmtId="10" fontId="0" fillId="0" borderId="0" xfId="0" applyNumberFormat="1" applyBorder="1" applyAlignment="1">
      <alignment horizontal="center"/>
    </xf>
    <xf numFmtId="44" fontId="0" fillId="0" borderId="5" xfId="0" applyNumberFormat="1" applyBorder="1"/>
    <xf numFmtId="44" fontId="0" fillId="0" borderId="5" xfId="2" applyFont="1" applyBorder="1" applyAlignment="1">
      <alignment horizontal="center"/>
    </xf>
    <xf numFmtId="10" fontId="0" fillId="0" borderId="5" xfId="0" applyNumberFormat="1" applyBorder="1" applyAlignment="1">
      <alignment horizontal="center"/>
    </xf>
    <xf numFmtId="44" fontId="0" fillId="0" borderId="0" xfId="2" applyFont="1" applyAlignment="1">
      <alignment horizontal="center"/>
    </xf>
    <xf numFmtId="0" fontId="0" fillId="0" borderId="0" xfId="0" quotePrefix="1" applyAlignment="1">
      <alignment horizontal="center"/>
    </xf>
    <xf numFmtId="9" fontId="0" fillId="0" borderId="0" xfId="0" applyNumberFormat="1" applyAlignment="1">
      <alignment horizontal="center"/>
    </xf>
    <xf numFmtId="0" fontId="0" fillId="0" borderId="5" xfId="0" applyBorder="1" applyAlignment="1">
      <alignment horizontal="left"/>
    </xf>
    <xf numFmtId="0" fontId="19" fillId="0" borderId="0" xfId="0" applyFont="1" applyAlignment="1">
      <alignment vertical="center" wrapText="1"/>
    </xf>
    <xf numFmtId="0" fontId="22" fillId="0" borderId="0" xfId="0" applyFont="1"/>
    <xf numFmtId="0" fontId="22" fillId="4" borderId="0" xfId="0" applyFont="1" applyFill="1"/>
    <xf numFmtId="0" fontId="22" fillId="4" borderId="0" xfId="0" applyFont="1" applyFill="1" applyBorder="1"/>
    <xf numFmtId="0" fontId="24" fillId="4" borderId="16" xfId="0" applyFont="1" applyFill="1" applyBorder="1" applyAlignment="1">
      <alignment horizontal="center"/>
    </xf>
    <xf numFmtId="0" fontId="24" fillId="4" borderId="19" xfId="0" applyFont="1" applyFill="1" applyBorder="1" applyAlignment="1">
      <alignment horizontal="center"/>
    </xf>
    <xf numFmtId="0" fontId="24" fillId="0" borderId="14" xfId="0" applyFont="1" applyFill="1" applyBorder="1" applyAlignment="1">
      <alignment horizontal="center"/>
    </xf>
    <xf numFmtId="166" fontId="25" fillId="4" borderId="0" xfId="0" applyNumberFormat="1" applyFont="1" applyFill="1" applyBorder="1" applyAlignment="1">
      <alignment horizontal="center"/>
    </xf>
    <xf numFmtId="0" fontId="24" fillId="0" borderId="18" xfId="0" applyFont="1" applyFill="1" applyBorder="1" applyAlignment="1">
      <alignment horizontal="center"/>
    </xf>
    <xf numFmtId="0" fontId="24" fillId="0" borderId="0" xfId="0" applyFont="1" applyFill="1" applyBorder="1"/>
    <xf numFmtId="0" fontId="24" fillId="0" borderId="14" xfId="0" applyFont="1" applyBorder="1" applyAlignment="1">
      <alignment horizontal="center"/>
    </xf>
    <xf numFmtId="0" fontId="24" fillId="0" borderId="15" xfId="0" applyFont="1" applyFill="1" applyBorder="1" applyAlignment="1">
      <alignment horizontal="center"/>
    </xf>
    <xf numFmtId="0" fontId="24" fillId="0" borderId="16" xfId="0" applyFont="1" applyFill="1" applyBorder="1"/>
    <xf numFmtId="0" fontId="20" fillId="0" borderId="0" xfId="0" applyFont="1"/>
    <xf numFmtId="6" fontId="24" fillId="4" borderId="14" xfId="0" applyNumberFormat="1" applyFont="1" applyFill="1" applyBorder="1" applyAlignment="1"/>
    <xf numFmtId="6" fontId="24" fillId="4" borderId="20" xfId="0" applyNumberFormat="1" applyFont="1" applyFill="1" applyBorder="1" applyAlignment="1"/>
    <xf numFmtId="6" fontId="24" fillId="0" borderId="14" xfId="0" applyNumberFormat="1" applyFont="1" applyFill="1" applyBorder="1" applyAlignment="1">
      <alignment horizontal="right"/>
    </xf>
    <xf numFmtId="6" fontId="24" fillId="0" borderId="18" xfId="0" applyNumberFormat="1" applyFont="1" applyFill="1" applyBorder="1" applyAlignment="1">
      <alignment horizontal="right"/>
    </xf>
    <xf numFmtId="6" fontId="24" fillId="0" borderId="15" xfId="0" applyNumberFormat="1" applyFont="1" applyFill="1" applyBorder="1" applyAlignment="1">
      <alignment horizontal="right"/>
    </xf>
    <xf numFmtId="0" fontId="23" fillId="3" borderId="62" xfId="0" applyFont="1" applyFill="1" applyBorder="1" applyAlignment="1">
      <alignment horizontal="center"/>
    </xf>
    <xf numFmtId="0" fontId="23" fillId="3" borderId="63" xfId="0" applyFont="1" applyFill="1" applyBorder="1"/>
    <xf numFmtId="0" fontId="23" fillId="3" borderId="64" xfId="0" applyFont="1" applyFill="1" applyBorder="1" applyAlignment="1">
      <alignment horizontal="center"/>
    </xf>
    <xf numFmtId="0" fontId="23" fillId="3" borderId="65" xfId="0" applyFont="1" applyFill="1" applyBorder="1" applyAlignment="1">
      <alignment horizontal="center"/>
    </xf>
    <xf numFmtId="6" fontId="24" fillId="0" borderId="66" xfId="0" applyNumberFormat="1" applyFont="1" applyFill="1" applyBorder="1" applyAlignment="1"/>
    <xf numFmtId="6" fontId="24" fillId="4" borderId="66" xfId="0" applyNumberFormat="1" applyFont="1" applyFill="1" applyBorder="1" applyAlignment="1"/>
    <xf numFmtId="0" fontId="25" fillId="4" borderId="67" xfId="0" applyFont="1" applyFill="1" applyBorder="1"/>
    <xf numFmtId="0" fontId="25" fillId="4" borderId="68" xfId="0" applyFont="1" applyFill="1" applyBorder="1" applyAlignment="1"/>
    <xf numFmtId="6" fontId="25" fillId="4" borderId="68" xfId="0" applyNumberFormat="1" applyFont="1" applyFill="1" applyBorder="1" applyAlignment="1"/>
    <xf numFmtId="6" fontId="25" fillId="4" borderId="69" xfId="0" applyNumberFormat="1" applyFont="1" applyFill="1" applyBorder="1" applyAlignment="1"/>
    <xf numFmtId="0" fontId="23" fillId="3" borderId="70" xfId="0" applyFont="1" applyFill="1" applyBorder="1" applyAlignment="1">
      <alignment horizontal="center"/>
    </xf>
    <xf numFmtId="0" fontId="24" fillId="0" borderId="71" xfId="0" applyFont="1" applyFill="1" applyBorder="1"/>
    <xf numFmtId="6" fontId="24" fillId="0" borderId="66" xfId="0" applyNumberFormat="1" applyFont="1" applyFill="1" applyBorder="1" applyAlignment="1">
      <alignment horizontal="right"/>
    </xf>
    <xf numFmtId="0" fontId="24" fillId="0" borderId="72" xfId="0" applyFont="1" applyFill="1" applyBorder="1"/>
    <xf numFmtId="6" fontId="24" fillId="0" borderId="73" xfId="0" applyNumberFormat="1" applyFont="1" applyFill="1" applyBorder="1" applyAlignment="1">
      <alignment horizontal="right"/>
    </xf>
    <xf numFmtId="0" fontId="25" fillId="0" borderId="74" xfId="0" applyFont="1" applyBorder="1"/>
    <xf numFmtId="0" fontId="25" fillId="0" borderId="75" xfId="0" applyFont="1" applyBorder="1" applyAlignment="1">
      <alignment horizontal="center"/>
    </xf>
    <xf numFmtId="6" fontId="25" fillId="0" borderId="75" xfId="0" applyNumberFormat="1" applyFont="1" applyBorder="1" applyAlignment="1">
      <alignment horizontal="right"/>
    </xf>
    <xf numFmtId="6" fontId="25" fillId="0" borderId="76" xfId="0" applyNumberFormat="1" applyFont="1" applyFill="1" applyBorder="1" applyAlignment="1">
      <alignment horizontal="right"/>
    </xf>
    <xf numFmtId="0" fontId="24" fillId="0" borderId="19" xfId="0" applyFont="1" applyBorder="1"/>
    <xf numFmtId="0" fontId="24" fillId="0" borderId="20" xfId="0" applyFont="1" applyBorder="1" applyAlignment="1">
      <alignment horizontal="center"/>
    </xf>
    <xf numFmtId="0" fontId="24" fillId="0" borderId="77" xfId="0" applyFont="1" applyBorder="1" applyAlignment="1">
      <alignment horizontal="center"/>
    </xf>
    <xf numFmtId="0" fontId="23" fillId="3" borderId="78" xfId="0" applyFont="1" applyFill="1" applyBorder="1"/>
    <xf numFmtId="0" fontId="24" fillId="0" borderId="71" xfId="0" applyFont="1" applyBorder="1"/>
    <xf numFmtId="0" fontId="24" fillId="0" borderId="79" xfId="0" applyFont="1" applyFill="1" applyBorder="1"/>
    <xf numFmtId="6" fontId="24" fillId="0" borderId="80" xfId="0" applyNumberFormat="1" applyFont="1" applyFill="1" applyBorder="1" applyAlignment="1">
      <alignment horizontal="right"/>
    </xf>
    <xf numFmtId="0" fontId="23" fillId="3" borderId="81" xfId="0" applyFont="1" applyFill="1" applyBorder="1"/>
    <xf numFmtId="6" fontId="24" fillId="0" borderId="66" xfId="2" applyNumberFormat="1" applyFont="1" applyFill="1" applyBorder="1"/>
    <xf numFmtId="6" fontId="24" fillId="0" borderId="66" xfId="2" applyNumberFormat="1" applyFont="1" applyFill="1" applyBorder="1" applyAlignment="1">
      <alignment horizontal="right"/>
    </xf>
    <xf numFmtId="0" fontId="24" fillId="4" borderId="71" xfId="0" applyFont="1" applyFill="1" applyBorder="1"/>
    <xf numFmtId="0" fontId="25" fillId="0" borderId="67" xfId="0" applyFont="1" applyBorder="1"/>
    <xf numFmtId="0" fontId="25" fillId="0" borderId="83" xfId="0" applyFont="1" applyBorder="1"/>
    <xf numFmtId="6" fontId="25" fillId="0" borderId="69" xfId="0" applyNumberFormat="1" applyFont="1" applyBorder="1" applyAlignment="1">
      <alignment horizontal="right"/>
    </xf>
    <xf numFmtId="6" fontId="25" fillId="0" borderId="83" xfId="0" applyNumberFormat="1" applyFont="1" applyBorder="1" applyAlignment="1">
      <alignment horizontal="right"/>
    </xf>
    <xf numFmtId="0" fontId="23" fillId="3" borderId="32" xfId="0" applyFont="1" applyFill="1" applyBorder="1" applyAlignment="1">
      <alignment horizontal="center"/>
    </xf>
    <xf numFmtId="6" fontId="22" fillId="4" borderId="32" xfId="0" applyNumberFormat="1" applyFont="1" applyFill="1" applyBorder="1"/>
    <xf numFmtId="6" fontId="22" fillId="4" borderId="11" xfId="0" applyNumberFormat="1" applyFont="1" applyFill="1" applyBorder="1"/>
    <xf numFmtId="6" fontId="26" fillId="0" borderId="13" xfId="0" applyNumberFormat="1" applyFont="1" applyBorder="1"/>
    <xf numFmtId="6" fontId="26" fillId="0" borderId="12" xfId="0" applyNumberFormat="1" applyFont="1" applyBorder="1"/>
    <xf numFmtId="6" fontId="24" fillId="0" borderId="61" xfId="0" applyNumberFormat="1" applyFont="1" applyBorder="1"/>
    <xf numFmtId="6" fontId="24" fillId="0" borderId="21" xfId="0" applyNumberFormat="1" applyFont="1" applyBorder="1"/>
    <xf numFmtId="0" fontId="27" fillId="12" borderId="0" xfId="0" applyFont="1" applyFill="1" applyAlignment="1">
      <alignment horizontal="center"/>
    </xf>
    <xf numFmtId="6" fontId="22" fillId="4" borderId="2" xfId="0" applyNumberFormat="1" applyFont="1" applyFill="1" applyBorder="1"/>
    <xf numFmtId="6" fontId="22" fillId="4" borderId="37" xfId="0" applyNumberFormat="1" applyFont="1" applyFill="1" applyBorder="1"/>
    <xf numFmtId="6" fontId="22" fillId="4" borderId="28" xfId="0" applyNumberFormat="1" applyFont="1" applyFill="1" applyBorder="1"/>
    <xf numFmtId="6" fontId="22" fillId="4" borderId="4" xfId="0" applyNumberFormat="1" applyFont="1" applyFill="1" applyBorder="1"/>
    <xf numFmtId="6" fontId="22" fillId="4" borderId="0" xfId="0" applyNumberFormat="1" applyFont="1" applyFill="1" applyBorder="1"/>
    <xf numFmtId="6" fontId="22" fillId="4" borderId="8" xfId="0" applyNumberFormat="1" applyFont="1" applyFill="1" applyBorder="1"/>
    <xf numFmtId="6" fontId="22" fillId="4" borderId="60" xfId="0" applyNumberFormat="1" applyFont="1" applyFill="1" applyBorder="1"/>
    <xf numFmtId="6" fontId="22" fillId="4" borderId="5" xfId="0" applyNumberFormat="1" applyFont="1" applyFill="1" applyBorder="1"/>
    <xf numFmtId="6" fontId="22" fillId="4" borderId="29" xfId="0" applyNumberFormat="1" applyFont="1" applyFill="1" applyBorder="1"/>
    <xf numFmtId="0" fontId="22" fillId="4" borderId="8" xfId="0" applyFont="1" applyFill="1" applyBorder="1"/>
    <xf numFmtId="6" fontId="24" fillId="4" borderId="32" xfId="0" applyNumberFormat="1" applyFont="1" applyFill="1" applyBorder="1"/>
    <xf numFmtId="6" fontId="22" fillId="4" borderId="12" xfId="0" applyNumberFormat="1" applyFont="1" applyFill="1" applyBorder="1"/>
    <xf numFmtId="6" fontId="26" fillId="4" borderId="12" xfId="0" applyNumberFormat="1" applyFont="1" applyFill="1" applyBorder="1"/>
    <xf numFmtId="0" fontId="25" fillId="4" borderId="0" xfId="0" applyFont="1" applyFill="1" applyBorder="1"/>
    <xf numFmtId="0" fontId="24" fillId="4" borderId="16" xfId="0" applyFont="1" applyFill="1" applyBorder="1"/>
    <xf numFmtId="0" fontId="26" fillId="4" borderId="0" xfId="0" applyFont="1" applyFill="1"/>
    <xf numFmtId="0" fontId="24" fillId="4" borderId="79" xfId="0" applyFont="1" applyFill="1" applyBorder="1"/>
    <xf numFmtId="0" fontId="24" fillId="4" borderId="82" xfId="0" applyFont="1" applyFill="1" applyBorder="1"/>
    <xf numFmtId="0" fontId="24" fillId="4" borderId="17" xfId="0" applyFont="1" applyFill="1" applyBorder="1" applyAlignment="1">
      <alignment horizontal="center"/>
    </xf>
    <xf numFmtId="0" fontId="24" fillId="0" borderId="17" xfId="0" applyFont="1" applyFill="1" applyBorder="1" applyAlignment="1">
      <alignment horizontal="center"/>
    </xf>
    <xf numFmtId="0" fontId="24" fillId="4" borderId="85" xfId="0" applyFont="1" applyFill="1" applyBorder="1"/>
    <xf numFmtId="0" fontId="24" fillId="4" borderId="84" xfId="0" applyFont="1" applyFill="1" applyBorder="1"/>
    <xf numFmtId="0" fontId="0" fillId="0" borderId="0" xfId="0" applyFont="1"/>
    <xf numFmtId="166" fontId="0" fillId="0" borderId="0" xfId="0" applyNumberFormat="1" applyFont="1"/>
    <xf numFmtId="0" fontId="0" fillId="4" borderId="0" xfId="0" applyFont="1" applyFill="1" applyBorder="1"/>
    <xf numFmtId="0" fontId="28" fillId="12" borderId="0" xfId="0" applyFont="1" applyFill="1"/>
    <xf numFmtId="0" fontId="28" fillId="12" borderId="0" xfId="0" applyFont="1" applyFill="1" applyBorder="1"/>
    <xf numFmtId="0" fontId="28" fillId="12" borderId="0" xfId="0" applyFont="1" applyFill="1" applyBorder="1" applyAlignment="1">
      <alignment horizontal="center"/>
    </xf>
    <xf numFmtId="6" fontId="24" fillId="4" borderId="0" xfId="0" applyNumberFormat="1" applyFont="1" applyFill="1" applyBorder="1" applyAlignment="1"/>
    <xf numFmtId="6" fontId="22" fillId="4" borderId="0" xfId="2" applyNumberFormat="1" applyFont="1" applyFill="1" applyBorder="1"/>
    <xf numFmtId="6" fontId="24" fillId="4" borderId="5" xfId="0" applyNumberFormat="1" applyFont="1" applyFill="1" applyBorder="1" applyAlignment="1"/>
    <xf numFmtId="0" fontId="26" fillId="4" borderId="0" xfId="0" applyFont="1" applyFill="1" applyBorder="1" applyAlignment="1">
      <alignment horizontal="right"/>
    </xf>
    <xf numFmtId="6" fontId="25" fillId="4" borderId="0" xfId="0" applyNumberFormat="1" applyFont="1" applyFill="1" applyBorder="1" applyAlignment="1"/>
    <xf numFmtId="166" fontId="24" fillId="4" borderId="0" xfId="0" applyNumberFormat="1" applyFont="1" applyFill="1" applyBorder="1" applyAlignment="1"/>
    <xf numFmtId="166" fontId="22" fillId="0" borderId="0" xfId="0" applyNumberFormat="1" applyFont="1" applyFill="1" applyBorder="1"/>
    <xf numFmtId="0" fontId="27" fillId="4" borderId="0" xfId="0" applyFont="1" applyFill="1"/>
    <xf numFmtId="0" fontId="24" fillId="4" borderId="0" xfId="0" applyFont="1" applyFill="1" applyBorder="1"/>
    <xf numFmtId="6" fontId="24" fillId="4" borderId="0" xfId="0" applyNumberFormat="1" applyFont="1" applyFill="1"/>
    <xf numFmtId="6" fontId="24" fillId="4" borderId="0" xfId="0" applyNumberFormat="1" applyFont="1" applyFill="1" applyBorder="1"/>
    <xf numFmtId="6" fontId="24" fillId="4" borderId="5" xfId="0" applyNumberFormat="1" applyFont="1" applyFill="1" applyBorder="1"/>
    <xf numFmtId="166" fontId="22" fillId="4" borderId="0" xfId="0" applyNumberFormat="1" applyFont="1" applyFill="1" applyBorder="1"/>
    <xf numFmtId="0" fontId="22" fillId="4" borderId="0" xfId="0" applyFont="1" applyFill="1" applyBorder="1" applyAlignment="1">
      <alignment horizontal="right"/>
    </xf>
    <xf numFmtId="0" fontId="24" fillId="4" borderId="0" xfId="0" applyFont="1" applyFill="1"/>
    <xf numFmtId="6" fontId="26" fillId="4" borderId="0" xfId="0" applyNumberFormat="1" applyFont="1" applyFill="1" applyBorder="1"/>
    <xf numFmtId="6" fontId="22" fillId="4" borderId="0" xfId="0" applyNumberFormat="1" applyFont="1" applyFill="1"/>
    <xf numFmtId="6" fontId="26" fillId="4" borderId="0" xfId="0" applyNumberFormat="1" applyFont="1" applyFill="1"/>
    <xf numFmtId="0" fontId="22" fillId="2" borderId="0" xfId="0" applyFont="1" applyFill="1"/>
    <xf numFmtId="6" fontId="22" fillId="2" borderId="0" xfId="0" applyNumberFormat="1" applyFont="1" applyFill="1"/>
    <xf numFmtId="0" fontId="22" fillId="4" borderId="0" xfId="0" applyFont="1" applyFill="1" applyAlignment="1">
      <alignment horizontal="right"/>
    </xf>
    <xf numFmtId="166" fontId="0" fillId="4" borderId="0" xfId="0" applyNumberFormat="1" applyFont="1" applyFill="1"/>
    <xf numFmtId="6" fontId="0" fillId="0" borderId="5" xfId="0" applyNumberFormat="1" applyBorder="1"/>
    <xf numFmtId="0" fontId="0" fillId="0" borderId="0" xfId="0" applyFont="1" applyAlignment="1">
      <alignment horizontal="right"/>
    </xf>
    <xf numFmtId="0" fontId="0" fillId="0" borderId="0" xfId="0" applyAlignment="1">
      <alignment horizontal="right"/>
    </xf>
    <xf numFmtId="0" fontId="28" fillId="12" borderId="0" xfId="0" applyFont="1" applyFill="1" applyAlignment="1">
      <alignment horizontal="center"/>
    </xf>
    <xf numFmtId="0" fontId="3" fillId="4" borderId="0" xfId="0" applyFont="1" applyFill="1" applyAlignment="1">
      <alignment horizontal="right"/>
    </xf>
    <xf numFmtId="6" fontId="0" fillId="4" borderId="0" xfId="2" applyNumberFormat="1" applyFont="1" applyFill="1" applyBorder="1"/>
    <xf numFmtId="6" fontId="0" fillId="4" borderId="5" xfId="2" applyNumberFormat="1" applyFont="1" applyFill="1" applyBorder="1"/>
    <xf numFmtId="6" fontId="3" fillId="4" borderId="0" xfId="0" applyNumberFormat="1" applyFont="1" applyFill="1"/>
    <xf numFmtId="0" fontId="3" fillId="4" borderId="13" xfId="0" applyFont="1" applyFill="1" applyBorder="1" applyAlignment="1">
      <alignment horizontal="right"/>
    </xf>
    <xf numFmtId="0" fontId="0" fillId="4" borderId="0" xfId="0" applyFill="1" applyAlignment="1">
      <alignment horizontal="center"/>
    </xf>
    <xf numFmtId="175" fontId="0" fillId="0" borderId="0" xfId="0" applyNumberFormat="1" applyAlignment="1">
      <alignment horizontal="center"/>
    </xf>
    <xf numFmtId="0" fontId="0" fillId="13" borderId="0" xfId="0" applyFill="1" applyAlignment="1">
      <alignment horizontal="center"/>
    </xf>
    <xf numFmtId="175" fontId="0" fillId="13" borderId="0" xfId="0" applyNumberFormat="1" applyFill="1" applyAlignment="1">
      <alignment horizontal="center"/>
    </xf>
    <xf numFmtId="175" fontId="0" fillId="0" borderId="5" xfId="0" applyNumberFormat="1" applyBorder="1" applyAlignment="1">
      <alignment horizontal="center"/>
    </xf>
    <xf numFmtId="0" fontId="29" fillId="4" borderId="45" xfId="0" applyFont="1" applyFill="1" applyBorder="1" applyAlignment="1">
      <alignment wrapText="1"/>
    </xf>
    <xf numFmtId="0" fontId="22" fillId="4" borderId="45" xfId="0" applyFont="1" applyFill="1" applyBorder="1" applyAlignment="1">
      <alignment wrapText="1"/>
    </xf>
    <xf numFmtId="44" fontId="22" fillId="4" borderId="13" xfId="0" applyNumberFormat="1" applyFont="1" applyFill="1" applyBorder="1"/>
    <xf numFmtId="8" fontId="22" fillId="4" borderId="13" xfId="0" applyNumberFormat="1" applyFont="1" applyFill="1" applyBorder="1"/>
    <xf numFmtId="0" fontId="22" fillId="4" borderId="47" xfId="0" applyFont="1" applyFill="1" applyBorder="1" applyAlignment="1">
      <alignment wrapText="1"/>
    </xf>
    <xf numFmtId="8" fontId="22" fillId="4" borderId="48" xfId="0" applyNumberFormat="1" applyFont="1" applyFill="1" applyBorder="1"/>
    <xf numFmtId="8" fontId="22" fillId="4" borderId="49" xfId="0" applyNumberFormat="1" applyFont="1" applyFill="1" applyBorder="1"/>
    <xf numFmtId="0" fontId="22" fillId="4" borderId="0" xfId="0" applyFont="1" applyFill="1" applyBorder="1" applyAlignment="1">
      <alignment wrapText="1"/>
    </xf>
    <xf numFmtId="164" fontId="22" fillId="4" borderId="13" xfId="1" applyNumberFormat="1" applyFont="1" applyFill="1" applyBorder="1"/>
    <xf numFmtId="164" fontId="22" fillId="4" borderId="46" xfId="1" applyNumberFormat="1" applyFont="1" applyFill="1" applyBorder="1"/>
    <xf numFmtId="9" fontId="22" fillId="4" borderId="13" xfId="0" applyNumberFormat="1" applyFont="1" applyFill="1" applyBorder="1"/>
    <xf numFmtId="9" fontId="22" fillId="4" borderId="13" xfId="3" applyFont="1" applyFill="1" applyBorder="1"/>
    <xf numFmtId="164" fontId="22" fillId="4" borderId="13" xfId="0" applyNumberFormat="1" applyFont="1" applyFill="1" applyBorder="1"/>
    <xf numFmtId="0" fontId="22" fillId="4" borderId="45" xfId="0" applyFont="1" applyFill="1" applyBorder="1" applyAlignment="1">
      <alignment horizontal="left" vertical="top" wrapText="1"/>
    </xf>
    <xf numFmtId="165" fontId="22" fillId="4" borderId="13" xfId="0" applyNumberFormat="1" applyFont="1" applyFill="1" applyBorder="1"/>
    <xf numFmtId="165" fontId="22" fillId="4" borderId="46" xfId="0" applyNumberFormat="1" applyFont="1" applyFill="1" applyBorder="1"/>
    <xf numFmtId="0" fontId="22" fillId="4" borderId="45" xfId="0" applyFont="1" applyFill="1" applyBorder="1" applyAlignment="1">
      <alignment horizontal="left" wrapText="1"/>
    </xf>
    <xf numFmtId="0" fontId="22" fillId="0" borderId="45" xfId="0" applyFont="1" applyBorder="1" applyAlignment="1">
      <alignment wrapText="1"/>
    </xf>
    <xf numFmtId="0" fontId="22" fillId="0" borderId="47" xfId="0" applyFont="1" applyBorder="1" applyAlignment="1">
      <alignment wrapText="1"/>
    </xf>
    <xf numFmtId="164" fontId="22" fillId="4" borderId="0" xfId="1" applyNumberFormat="1" applyFont="1" applyFill="1" applyBorder="1"/>
    <xf numFmtId="8" fontId="22" fillId="4" borderId="0" xfId="0" applyNumberFormat="1" applyFont="1" applyFill="1" applyBorder="1"/>
    <xf numFmtId="0" fontId="22" fillId="4" borderId="57" xfId="0" applyFont="1" applyFill="1" applyBorder="1" applyAlignment="1">
      <alignment wrapText="1"/>
    </xf>
    <xf numFmtId="164" fontId="22" fillId="4" borderId="32" xfId="1" applyNumberFormat="1" applyFont="1" applyFill="1" applyBorder="1"/>
    <xf numFmtId="0" fontId="22" fillId="4" borderId="42" xfId="0" applyFont="1" applyFill="1" applyBorder="1" applyAlignment="1">
      <alignment wrapText="1"/>
    </xf>
    <xf numFmtId="0" fontId="22" fillId="4" borderId="59" xfId="0" applyFont="1" applyFill="1" applyBorder="1" applyAlignment="1">
      <alignment wrapText="1"/>
    </xf>
    <xf numFmtId="0" fontId="22" fillId="4" borderId="0" xfId="0" applyFont="1" applyFill="1" applyAlignment="1">
      <alignment wrapText="1"/>
    </xf>
    <xf numFmtId="0" fontId="24" fillId="0" borderId="0" xfId="4" applyFont="1"/>
    <xf numFmtId="0" fontId="30" fillId="4" borderId="0" xfId="4" applyFont="1" applyFill="1"/>
    <xf numFmtId="0" fontId="24" fillId="4" borderId="0" xfId="4" applyFont="1" applyFill="1"/>
    <xf numFmtId="0" fontId="24" fillId="4" borderId="9" xfId="4" applyFont="1" applyFill="1" applyBorder="1" applyAlignment="1">
      <alignment horizontal="left"/>
    </xf>
    <xf numFmtId="0" fontId="24" fillId="4" borderId="3" xfId="4" applyFont="1" applyFill="1" applyBorder="1"/>
    <xf numFmtId="164" fontId="24" fillId="4" borderId="10" xfId="4" applyNumberFormat="1" applyFont="1" applyFill="1" applyBorder="1" applyAlignment="1"/>
    <xf numFmtId="0" fontId="24" fillId="4" borderId="9" xfId="4" applyFont="1" applyFill="1" applyBorder="1"/>
    <xf numFmtId="0" fontId="25" fillId="4" borderId="0" xfId="4" applyFont="1" applyFill="1"/>
    <xf numFmtId="164" fontId="24" fillId="4" borderId="0" xfId="4" applyNumberFormat="1" applyFont="1" applyFill="1"/>
    <xf numFmtId="8" fontId="24" fillId="4" borderId="0" xfId="4" applyNumberFormat="1" applyFont="1" applyFill="1"/>
    <xf numFmtId="0" fontId="25" fillId="4" borderId="0" xfId="4" applyFont="1" applyFill="1" applyAlignment="1">
      <alignment horizontal="left"/>
    </xf>
    <xf numFmtId="0" fontId="25" fillId="4" borderId="0" xfId="4" applyFont="1" applyFill="1" applyAlignment="1">
      <alignment horizontal="right"/>
    </xf>
    <xf numFmtId="172" fontId="24" fillId="4" borderId="0" xfId="4" applyNumberFormat="1" applyFont="1" applyFill="1"/>
    <xf numFmtId="169" fontId="24" fillId="4" borderId="0" xfId="4" applyNumberFormat="1" applyFont="1" applyFill="1"/>
    <xf numFmtId="168" fontId="24" fillId="4" borderId="0" xfId="4" applyNumberFormat="1" applyFont="1" applyFill="1"/>
    <xf numFmtId="0" fontId="24" fillId="4" borderId="5" xfId="4" applyFont="1" applyFill="1" applyBorder="1"/>
    <xf numFmtId="0" fontId="24" fillId="4" borderId="5" xfId="4" applyFont="1" applyFill="1" applyBorder="1" applyAlignment="1">
      <alignment horizontal="right"/>
    </xf>
    <xf numFmtId="172" fontId="24" fillId="4" borderId="5" xfId="4" applyNumberFormat="1" applyFont="1" applyFill="1" applyBorder="1"/>
    <xf numFmtId="169" fontId="24" fillId="4" borderId="5" xfId="4" applyNumberFormat="1" applyFont="1" applyFill="1" applyBorder="1"/>
    <xf numFmtId="168" fontId="24" fillId="4" borderId="5" xfId="4" applyNumberFormat="1" applyFont="1" applyFill="1" applyBorder="1"/>
    <xf numFmtId="0" fontId="24" fillId="4" borderId="0" xfId="4" applyFont="1" applyFill="1" applyAlignment="1">
      <alignment horizontal="right"/>
    </xf>
    <xf numFmtId="167" fontId="24" fillId="4" borderId="0" xfId="4" applyNumberFormat="1" applyFont="1" applyFill="1"/>
    <xf numFmtId="0" fontId="2" fillId="0" borderId="0" xfId="0" applyFont="1"/>
    <xf numFmtId="0" fontId="24" fillId="4" borderId="0" xfId="4" applyFont="1" applyFill="1" applyBorder="1"/>
    <xf numFmtId="168" fontId="24" fillId="4" borderId="0" xfId="4" applyNumberFormat="1" applyFont="1" applyFill="1" applyBorder="1"/>
    <xf numFmtId="167" fontId="24" fillId="4" borderId="5" xfId="4" applyNumberFormat="1" applyFont="1" applyFill="1" applyBorder="1"/>
    <xf numFmtId="171" fontId="24" fillId="4" borderId="0" xfId="4" applyNumberFormat="1" applyFont="1" applyFill="1"/>
    <xf numFmtId="8" fontId="24" fillId="4" borderId="5" xfId="4" applyNumberFormat="1" applyFont="1" applyFill="1" applyBorder="1"/>
    <xf numFmtId="171" fontId="24" fillId="4" borderId="5" xfId="4" applyNumberFormat="1" applyFont="1" applyFill="1" applyBorder="1"/>
    <xf numFmtId="170" fontId="24" fillId="4" borderId="5" xfId="4" applyNumberFormat="1" applyFont="1" applyFill="1" applyBorder="1"/>
    <xf numFmtId="167" fontId="24" fillId="4" borderId="0" xfId="4" applyNumberFormat="1" applyFont="1" applyFill="1" applyBorder="1"/>
    <xf numFmtId="0" fontId="24" fillId="4" borderId="24" xfId="4" applyFont="1" applyFill="1" applyBorder="1"/>
    <xf numFmtId="0" fontId="24" fillId="0" borderId="0" xfId="4" applyFont="1" applyFill="1"/>
    <xf numFmtId="0" fontId="24" fillId="4" borderId="6" xfId="4" applyFont="1" applyFill="1" applyBorder="1"/>
    <xf numFmtId="0" fontId="24" fillId="4" borderId="27" xfId="4" applyFont="1" applyFill="1" applyBorder="1"/>
    <xf numFmtId="44" fontId="24" fillId="4" borderId="26" xfId="4" applyNumberFormat="1" applyFont="1" applyFill="1" applyBorder="1"/>
    <xf numFmtId="0" fontId="24" fillId="4" borderId="40" xfId="4" applyFont="1" applyFill="1" applyBorder="1"/>
    <xf numFmtId="0" fontId="24" fillId="4" borderId="41" xfId="4" applyFont="1" applyFill="1" applyBorder="1"/>
    <xf numFmtId="44" fontId="24" fillId="4" borderId="25" xfId="4" applyNumberFormat="1" applyFont="1" applyFill="1" applyBorder="1"/>
    <xf numFmtId="165" fontId="24" fillId="4" borderId="0" xfId="4" applyNumberFormat="1" applyFont="1" applyFill="1" applyBorder="1"/>
    <xf numFmtId="165" fontId="24" fillId="4" borderId="23" xfId="4" applyNumberFormat="1" applyFont="1" applyFill="1" applyBorder="1"/>
    <xf numFmtId="164" fontId="22" fillId="4" borderId="0" xfId="5" applyNumberFormat="1" applyFont="1" applyFill="1"/>
    <xf numFmtId="43" fontId="22" fillId="4" borderId="0" xfId="5" applyFont="1" applyFill="1"/>
    <xf numFmtId="164" fontId="22" fillId="4" borderId="5" xfId="5" applyNumberFormat="1" applyFont="1" applyFill="1" applyBorder="1"/>
    <xf numFmtId="43" fontId="22" fillId="4" borderId="5" xfId="5" applyFont="1" applyFill="1" applyBorder="1"/>
    <xf numFmtId="5" fontId="22" fillId="4" borderId="5" xfId="5" applyNumberFormat="1" applyFont="1" applyFill="1" applyBorder="1"/>
    <xf numFmtId="7" fontId="22" fillId="4" borderId="0" xfId="5" applyNumberFormat="1" applyFont="1" applyFill="1"/>
    <xf numFmtId="164" fontId="22" fillId="0" borderId="0" xfId="5" applyNumberFormat="1" applyFont="1"/>
    <xf numFmtId="38" fontId="24" fillId="4" borderId="0" xfId="4" applyNumberFormat="1" applyFont="1" applyFill="1"/>
    <xf numFmtId="3" fontId="25" fillId="2" borderId="0" xfId="4" applyNumberFormat="1" applyFont="1" applyFill="1"/>
    <xf numFmtId="164" fontId="22" fillId="4" borderId="10" xfId="5" applyNumberFormat="1" applyFont="1" applyFill="1" applyBorder="1"/>
    <xf numFmtId="164" fontId="22" fillId="4" borderId="13" xfId="5" applyNumberFormat="1" applyFont="1" applyFill="1" applyBorder="1"/>
    <xf numFmtId="172" fontId="25" fillId="2" borderId="0" xfId="4" applyNumberFormat="1" applyFont="1" applyFill="1"/>
    <xf numFmtId="164" fontId="22" fillId="13" borderId="0" xfId="5" applyNumberFormat="1" applyFont="1" applyFill="1"/>
    <xf numFmtId="169" fontId="24" fillId="13" borderId="0" xfId="4" applyNumberFormat="1" applyFont="1" applyFill="1"/>
    <xf numFmtId="168" fontId="25" fillId="13" borderId="0" xfId="4" applyNumberFormat="1" applyFont="1" applyFill="1"/>
    <xf numFmtId="0" fontId="25" fillId="2" borderId="0" xfId="4" applyFont="1" applyFill="1" applyAlignment="1">
      <alignment horizontal="left"/>
    </xf>
    <xf numFmtId="5" fontId="24" fillId="13" borderId="0" xfId="4" applyNumberFormat="1" applyFont="1" applyFill="1"/>
    <xf numFmtId="168" fontId="25" fillId="13" borderId="0" xfId="4" applyNumberFormat="1" applyFont="1" applyFill="1" applyBorder="1"/>
    <xf numFmtId="167" fontId="24" fillId="13" borderId="0" xfId="4" applyNumberFormat="1" applyFont="1" applyFill="1"/>
    <xf numFmtId="167" fontId="24" fillId="2" borderId="0" xfId="4" applyNumberFormat="1" applyFont="1" applyFill="1"/>
    <xf numFmtId="167" fontId="24" fillId="13" borderId="0" xfId="4" applyNumberFormat="1" applyFont="1" applyFill="1" applyBorder="1"/>
    <xf numFmtId="164" fontId="22" fillId="13" borderId="13" xfId="1" applyNumberFormat="1" applyFont="1" applyFill="1" applyBorder="1"/>
    <xf numFmtId="164" fontId="22" fillId="13" borderId="46" xfId="1" applyNumberFormat="1" applyFont="1" applyFill="1" applyBorder="1"/>
    <xf numFmtId="8" fontId="22" fillId="2" borderId="48" xfId="0" applyNumberFormat="1" applyFont="1" applyFill="1" applyBorder="1"/>
    <xf numFmtId="9" fontId="22" fillId="2" borderId="13" xfId="3" applyFont="1" applyFill="1" applyBorder="1" applyAlignment="1">
      <alignment horizontal="center"/>
    </xf>
    <xf numFmtId="164" fontId="22" fillId="13" borderId="13" xfId="0" applyNumberFormat="1" applyFont="1" applyFill="1" applyBorder="1"/>
    <xf numFmtId="164" fontId="22" fillId="2" borderId="13" xfId="0" applyNumberFormat="1" applyFont="1" applyFill="1" applyBorder="1"/>
    <xf numFmtId="164" fontId="22" fillId="13" borderId="46" xfId="0" applyNumberFormat="1" applyFont="1" applyFill="1" applyBorder="1"/>
    <xf numFmtId="9" fontId="22" fillId="13" borderId="13" xfId="3" applyFont="1" applyFill="1" applyBorder="1"/>
    <xf numFmtId="9" fontId="22" fillId="2" borderId="13" xfId="3" applyFont="1" applyFill="1" applyBorder="1"/>
    <xf numFmtId="9" fontId="22" fillId="13" borderId="13" xfId="0" applyNumberFormat="1" applyFont="1" applyFill="1" applyBorder="1"/>
    <xf numFmtId="164" fontId="22" fillId="2" borderId="13" xfId="1" applyNumberFormat="1" applyFont="1" applyFill="1" applyBorder="1"/>
    <xf numFmtId="164" fontId="22" fillId="2" borderId="46" xfId="1" applyNumberFormat="1" applyFont="1" applyFill="1" applyBorder="1"/>
    <xf numFmtId="10" fontId="22" fillId="13" borderId="13" xfId="3" applyNumberFormat="1" applyFont="1" applyFill="1" applyBorder="1"/>
    <xf numFmtId="10" fontId="22" fillId="13" borderId="46" xfId="3" applyNumberFormat="1" applyFont="1" applyFill="1" applyBorder="1"/>
    <xf numFmtId="164" fontId="22" fillId="13" borderId="48" xfId="1" applyNumberFormat="1" applyFont="1" applyFill="1" applyBorder="1"/>
    <xf numFmtId="164" fontId="22" fillId="13" borderId="49" xfId="1" applyNumberFormat="1" applyFont="1" applyFill="1" applyBorder="1"/>
    <xf numFmtId="164" fontId="22" fillId="2" borderId="48" xfId="1" applyNumberFormat="1" applyFont="1" applyFill="1" applyBorder="1"/>
    <xf numFmtId="8" fontId="22" fillId="2" borderId="13" xfId="0" applyNumberFormat="1" applyFont="1" applyFill="1" applyBorder="1"/>
    <xf numFmtId="8" fontId="22" fillId="2" borderId="32" xfId="0" applyNumberFormat="1" applyFont="1" applyFill="1" applyBorder="1"/>
    <xf numFmtId="8" fontId="22" fillId="13" borderId="13" xfId="0" applyNumberFormat="1" applyFont="1" applyFill="1" applyBorder="1"/>
    <xf numFmtId="8" fontId="22" fillId="13" borderId="46" xfId="0" applyNumberFormat="1" applyFont="1" applyFill="1" applyBorder="1"/>
    <xf numFmtId="8" fontId="22" fillId="13" borderId="32" xfId="0" applyNumberFormat="1" applyFont="1" applyFill="1" applyBorder="1"/>
    <xf numFmtId="8" fontId="22" fillId="13" borderId="58" xfId="0" applyNumberFormat="1" applyFont="1" applyFill="1" applyBorder="1"/>
    <xf numFmtId="6" fontId="22" fillId="13" borderId="48" xfId="0" applyNumberFormat="1" applyFont="1" applyFill="1" applyBorder="1"/>
    <xf numFmtId="6" fontId="22" fillId="2" borderId="43" xfId="0" applyNumberFormat="1" applyFont="1" applyFill="1" applyBorder="1"/>
    <xf numFmtId="6" fontId="22" fillId="13" borderId="11" xfId="0" applyNumberFormat="1" applyFont="1" applyFill="1" applyBorder="1"/>
    <xf numFmtId="6" fontId="22" fillId="13" borderId="12" xfId="0" applyNumberFormat="1" applyFont="1" applyFill="1" applyBorder="1"/>
    <xf numFmtId="6" fontId="22" fillId="2" borderId="32" xfId="0" applyNumberFormat="1" applyFont="1" applyFill="1" applyBorder="1"/>
    <xf numFmtId="6" fontId="22" fillId="13" borderId="13" xfId="0" applyNumberFormat="1" applyFont="1" applyFill="1" applyBorder="1"/>
    <xf numFmtId="6" fontId="22" fillId="13" borderId="49" xfId="0" applyNumberFormat="1" applyFont="1" applyFill="1" applyBorder="1"/>
    <xf numFmtId="6" fontId="22" fillId="2" borderId="48" xfId="0" applyNumberFormat="1" applyFont="1" applyFill="1" applyBorder="1"/>
    <xf numFmtId="8" fontId="22" fillId="13" borderId="43" xfId="0" applyNumberFormat="1" applyFont="1" applyFill="1" applyBorder="1"/>
    <xf numFmtId="44" fontId="22" fillId="13" borderId="13" xfId="0" applyNumberFormat="1" applyFont="1" applyFill="1" applyBorder="1"/>
    <xf numFmtId="0" fontId="22" fillId="4" borderId="45" xfId="0" applyFont="1" applyFill="1" applyBorder="1" applyAlignment="1">
      <alignment vertical="center" wrapText="1"/>
    </xf>
    <xf numFmtId="0" fontId="22" fillId="4" borderId="47" xfId="0" applyFont="1" applyFill="1" applyBorder="1" applyAlignment="1">
      <alignment vertical="center" wrapText="1"/>
    </xf>
    <xf numFmtId="6" fontId="22" fillId="2" borderId="46" xfId="0" applyNumberFormat="1" applyFont="1" applyFill="1" applyBorder="1" applyAlignment="1">
      <alignment vertical="center"/>
    </xf>
    <xf numFmtId="38" fontId="22" fillId="2" borderId="46" xfId="0" applyNumberFormat="1" applyFont="1" applyFill="1" applyBorder="1" applyAlignment="1">
      <alignment vertical="center"/>
    </xf>
    <xf numFmtId="164" fontId="22" fillId="2" borderId="46" xfId="1" applyNumberFormat="1" applyFont="1" applyFill="1" applyBorder="1" applyAlignment="1">
      <alignment vertical="center"/>
    </xf>
    <xf numFmtId="0" fontId="22" fillId="4" borderId="46" xfId="0" applyFont="1" applyFill="1" applyBorder="1" applyAlignment="1">
      <alignment vertical="center"/>
    </xf>
    <xf numFmtId="9" fontId="26" fillId="2" borderId="46" xfId="0" applyNumberFormat="1" applyFont="1" applyFill="1" applyBorder="1" applyAlignment="1">
      <alignment horizontal="center" vertical="center"/>
    </xf>
    <xf numFmtId="9" fontId="26" fillId="2" borderId="46" xfId="3" applyFont="1" applyFill="1" applyBorder="1" applyAlignment="1">
      <alignment horizontal="center" vertical="center"/>
    </xf>
    <xf numFmtId="44" fontId="22" fillId="2" borderId="13" xfId="0" applyNumberFormat="1" applyFont="1" applyFill="1" applyBorder="1"/>
    <xf numFmtId="44" fontId="22" fillId="13" borderId="46" xfId="0" applyNumberFormat="1" applyFont="1" applyFill="1" applyBorder="1"/>
    <xf numFmtId="0" fontId="3" fillId="0" borderId="0" xfId="0" applyFont="1" applyBorder="1"/>
    <xf numFmtId="0" fontId="32" fillId="0" borderId="5" xfId="0" applyFont="1" applyBorder="1"/>
    <xf numFmtId="0" fontId="33" fillId="0" borderId="0" xfId="0" applyFont="1" applyAlignment="1">
      <alignment horizontal="right"/>
    </xf>
    <xf numFmtId="6" fontId="33" fillId="0" borderId="0" xfId="1" applyNumberFormat="1" applyFont="1"/>
    <xf numFmtId="6" fontId="33" fillId="0" borderId="0" xfId="0" applyNumberFormat="1" applyFont="1"/>
    <xf numFmtId="0" fontId="33" fillId="0" borderId="0" xfId="0" applyFont="1" applyFill="1" applyAlignment="1">
      <alignment horizontal="right"/>
    </xf>
    <xf numFmtId="0" fontId="33" fillId="0" borderId="5" xfId="0" applyFont="1" applyBorder="1" applyAlignment="1">
      <alignment horizontal="right"/>
    </xf>
    <xf numFmtId="6" fontId="33" fillId="0" borderId="5" xfId="1" applyNumberFormat="1" applyFont="1" applyBorder="1"/>
    <xf numFmtId="6" fontId="33" fillId="0" borderId="5" xfId="0" applyNumberFormat="1" applyFont="1" applyBorder="1"/>
    <xf numFmtId="0" fontId="32" fillId="0" borderId="0" xfId="0" applyFont="1"/>
    <xf numFmtId="6" fontId="32" fillId="0" borderId="0" xfId="1" applyNumberFormat="1" applyFont="1"/>
    <xf numFmtId="6" fontId="32" fillId="0" borderId="0" xfId="0" applyNumberFormat="1" applyFont="1"/>
    <xf numFmtId="0" fontId="33" fillId="0" borderId="0" xfId="0" applyFont="1"/>
    <xf numFmtId="0" fontId="34" fillId="0" borderId="5" xfId="0" applyFont="1" applyBorder="1"/>
    <xf numFmtId="0" fontId="32" fillId="0" borderId="0" xfId="0" applyFont="1" applyBorder="1"/>
    <xf numFmtId="0" fontId="33" fillId="0" borderId="0" xfId="0" applyFont="1" applyBorder="1"/>
    <xf numFmtId="0" fontId="32" fillId="0" borderId="0" xfId="0" applyFont="1" applyFill="1" applyBorder="1"/>
    <xf numFmtId="0" fontId="33" fillId="0" borderId="0" xfId="0" applyFont="1" applyFill="1" applyBorder="1"/>
    <xf numFmtId="6" fontId="33" fillId="0" borderId="0" xfId="1" applyNumberFormat="1" applyFont="1" applyBorder="1"/>
    <xf numFmtId="0" fontId="33" fillId="0" borderId="5" xfId="0" applyFont="1" applyBorder="1"/>
    <xf numFmtId="0" fontId="0" fillId="0" borderId="0" xfId="0" applyFont="1" applyBorder="1"/>
    <xf numFmtId="0" fontId="26" fillId="0" borderId="0" xfId="0" applyFont="1"/>
    <xf numFmtId="0" fontId="24" fillId="4" borderId="13" xfId="4" applyFont="1" applyFill="1" applyBorder="1" applyAlignment="1">
      <alignment horizontal="center"/>
    </xf>
    <xf numFmtId="0" fontId="20" fillId="4" borderId="0" xfId="0" applyFont="1" applyFill="1"/>
    <xf numFmtId="8" fontId="0" fillId="4" borderId="0" xfId="0" applyNumberFormat="1" applyFill="1"/>
    <xf numFmtId="0" fontId="18" fillId="4" borderId="0" xfId="0" applyFont="1" applyFill="1" applyBorder="1"/>
    <xf numFmtId="9" fontId="18" fillId="4" borderId="0" xfId="0" applyNumberFormat="1" applyFont="1" applyFill="1" applyBorder="1" applyAlignment="1">
      <alignment horizontal="center"/>
    </xf>
    <xf numFmtId="6" fontId="18" fillId="4" borderId="0" xfId="0" applyNumberFormat="1" applyFont="1" applyFill="1" applyBorder="1"/>
    <xf numFmtId="0" fontId="0" fillId="4" borderId="0" xfId="0" applyFill="1" applyBorder="1" applyAlignment="1">
      <alignment horizontal="center"/>
    </xf>
    <xf numFmtId="3" fontId="0" fillId="4" borderId="0" xfId="0" applyNumberFormat="1" applyFill="1" applyBorder="1" applyAlignment="1">
      <alignment horizontal="center"/>
    </xf>
    <xf numFmtId="169" fontId="0" fillId="4" borderId="0" xfId="0" applyNumberFormat="1" applyFill="1" applyBorder="1" applyAlignment="1">
      <alignment horizontal="center"/>
    </xf>
    <xf numFmtId="0" fontId="0" fillId="4" borderId="5" xfId="0" applyFill="1" applyBorder="1"/>
    <xf numFmtId="169" fontId="0" fillId="4" borderId="5" xfId="0" applyNumberFormat="1" applyFill="1" applyBorder="1"/>
    <xf numFmtId="169" fontId="0" fillId="4" borderId="5" xfId="0" applyNumberFormat="1" applyFill="1" applyBorder="1" applyAlignment="1">
      <alignment horizontal="center"/>
    </xf>
    <xf numFmtId="3" fontId="0" fillId="4" borderId="5" xfId="0" applyNumberFormat="1" applyFill="1" applyBorder="1" applyAlignment="1">
      <alignment horizontal="center"/>
    </xf>
    <xf numFmtId="3" fontId="0" fillId="4" borderId="0" xfId="0" applyNumberFormat="1" applyFill="1" applyAlignment="1">
      <alignment horizontal="center"/>
    </xf>
    <xf numFmtId="173" fontId="0" fillId="4" borderId="0" xfId="3" applyNumberFormat="1" applyFont="1" applyFill="1" applyAlignment="1">
      <alignment horizontal="center"/>
    </xf>
    <xf numFmtId="9" fontId="0" fillId="4" borderId="0" xfId="0" applyNumberFormat="1" applyFill="1"/>
    <xf numFmtId="173" fontId="0" fillId="4" borderId="5" xfId="3" applyNumberFormat="1" applyFont="1" applyFill="1" applyBorder="1" applyAlignment="1">
      <alignment horizontal="center"/>
    </xf>
    <xf numFmtId="9" fontId="0" fillId="4" borderId="0" xfId="0" applyNumberFormat="1" applyFill="1" applyAlignment="1">
      <alignment horizontal="center"/>
    </xf>
    <xf numFmtId="0" fontId="28" fillId="12" borderId="5" xfId="0" applyFont="1" applyFill="1" applyBorder="1" applyAlignment="1">
      <alignment horizontal="center"/>
    </xf>
    <xf numFmtId="0" fontId="35" fillId="12" borderId="13" xfId="0" applyFont="1" applyFill="1" applyBorder="1" applyAlignment="1">
      <alignment horizontal="center" vertical="center" wrapText="1"/>
    </xf>
    <xf numFmtId="0" fontId="28" fillId="12" borderId="13" xfId="0" applyFont="1" applyFill="1" applyBorder="1" applyAlignment="1">
      <alignment horizontal="center" vertical="center" wrapText="1"/>
    </xf>
    <xf numFmtId="0" fontId="28" fillId="12" borderId="13" xfId="0" applyFont="1" applyFill="1" applyBorder="1" applyAlignment="1">
      <alignment horizontal="center" wrapText="1"/>
    </xf>
    <xf numFmtId="0" fontId="28" fillId="12" borderId="13" xfId="0" applyFont="1" applyFill="1" applyBorder="1" applyAlignment="1">
      <alignment horizontal="center" vertical="center"/>
    </xf>
    <xf numFmtId="0" fontId="27" fillId="12" borderId="42" xfId="0" applyFont="1" applyFill="1" applyBorder="1" applyAlignment="1">
      <alignment wrapText="1"/>
    </xf>
    <xf numFmtId="0" fontId="27" fillId="12" borderId="43" xfId="0" applyFont="1" applyFill="1" applyBorder="1" applyAlignment="1">
      <alignment horizontal="center"/>
    </xf>
    <xf numFmtId="0" fontId="27" fillId="12" borderId="44" xfId="0" applyFont="1" applyFill="1" applyBorder="1" applyAlignment="1">
      <alignment horizontal="center"/>
    </xf>
    <xf numFmtId="0" fontId="36" fillId="12" borderId="42" xfId="0" applyFont="1" applyFill="1" applyBorder="1" applyAlignment="1">
      <alignment vertical="center" wrapText="1"/>
    </xf>
    <xf numFmtId="0" fontId="37" fillId="12" borderId="44" xfId="0" applyFont="1" applyFill="1" applyBorder="1"/>
    <xf numFmtId="17" fontId="27" fillId="12" borderId="0" xfId="0" quotePrefix="1" applyNumberFormat="1" applyFont="1" applyFill="1" applyAlignment="1">
      <alignment horizontal="center"/>
    </xf>
    <xf numFmtId="17" fontId="27" fillId="12" borderId="5" xfId="0" quotePrefix="1" applyNumberFormat="1" applyFont="1" applyFill="1" applyBorder="1" applyAlignment="1">
      <alignment horizontal="center"/>
    </xf>
    <xf numFmtId="6" fontId="22" fillId="4" borderId="0" xfId="0" quotePrefix="1" applyNumberFormat="1" applyFont="1" applyFill="1" applyAlignment="1">
      <alignment horizontal="right"/>
    </xf>
    <xf numFmtId="6" fontId="22" fillId="4" borderId="5" xfId="0" quotePrefix="1" applyNumberFormat="1" applyFont="1" applyFill="1" applyBorder="1" applyAlignment="1">
      <alignment horizontal="right"/>
    </xf>
    <xf numFmtId="0" fontId="26" fillId="4" borderId="0" xfId="0" applyFont="1" applyFill="1" applyAlignment="1">
      <alignment horizontal="right"/>
    </xf>
    <xf numFmtId="17" fontId="22" fillId="4" borderId="0" xfId="0" quotePrefix="1" applyNumberFormat="1" applyFont="1" applyFill="1" applyAlignment="1">
      <alignment horizontal="center"/>
    </xf>
    <xf numFmtId="6" fontId="22" fillId="4" borderId="0" xfId="0" quotePrefix="1" applyNumberFormat="1" applyFont="1" applyFill="1" applyAlignment="1">
      <alignment horizontal="center"/>
    </xf>
    <xf numFmtId="40" fontId="26" fillId="13" borderId="0" xfId="0" quotePrefix="1" applyNumberFormat="1" applyFont="1" applyFill="1" applyAlignment="1">
      <alignment horizontal="center"/>
    </xf>
    <xf numFmtId="0" fontId="0" fillId="4" borderId="4" xfId="0" applyFill="1" applyBorder="1" applyAlignment="1">
      <alignment horizontal="left" indent="1"/>
    </xf>
    <xf numFmtId="0" fontId="3" fillId="4" borderId="0" xfId="0" applyFont="1" applyFill="1"/>
    <xf numFmtId="0" fontId="0" fillId="4" borderId="0" xfId="0" applyFont="1" applyFill="1" applyAlignment="1">
      <alignment horizontal="right"/>
    </xf>
    <xf numFmtId="0" fontId="22" fillId="4" borderId="5" xfId="0" applyFont="1" applyFill="1" applyBorder="1" applyAlignment="1">
      <alignment horizontal="right"/>
    </xf>
    <xf numFmtId="0" fontId="26" fillId="4" borderId="5" xfId="0" applyFont="1" applyFill="1" applyBorder="1" applyAlignment="1">
      <alignment horizontal="right"/>
    </xf>
    <xf numFmtId="165" fontId="22" fillId="4" borderId="0" xfId="0" applyNumberFormat="1" applyFont="1" applyFill="1"/>
    <xf numFmtId="165" fontId="22" fillId="4" borderId="0" xfId="0" applyNumberFormat="1" applyFont="1" applyFill="1" applyBorder="1"/>
    <xf numFmtId="165" fontId="26" fillId="4" borderId="0" xfId="0" applyNumberFormat="1" applyFont="1" applyFill="1"/>
    <xf numFmtId="6" fontId="26" fillId="4" borderId="5" xfId="0" applyNumberFormat="1" applyFont="1" applyFill="1" applyBorder="1"/>
    <xf numFmtId="6" fontId="26" fillId="4" borderId="0" xfId="0" quotePrefix="1" applyNumberFormat="1" applyFont="1" applyFill="1" applyAlignment="1">
      <alignment horizontal="right"/>
    </xf>
    <xf numFmtId="0" fontId="26" fillId="4" borderId="0" xfId="0" applyFont="1" applyFill="1" applyBorder="1"/>
    <xf numFmtId="17" fontId="22" fillId="4" borderId="0" xfId="0" applyNumberFormat="1" applyFont="1" applyFill="1" applyBorder="1"/>
    <xf numFmtId="17" fontId="38" fillId="12" borderId="5" xfId="0" quotePrefix="1" applyNumberFormat="1" applyFont="1" applyFill="1" applyBorder="1" applyAlignment="1">
      <alignment horizontal="center"/>
    </xf>
    <xf numFmtId="17" fontId="28" fillId="12" borderId="5" xfId="0" quotePrefix="1" applyNumberFormat="1" applyFont="1" applyFill="1" applyBorder="1" applyAlignment="1">
      <alignment horizontal="center"/>
    </xf>
    <xf numFmtId="43" fontId="0" fillId="13" borderId="0" xfId="1" applyNumberFormat="1" applyFont="1" applyFill="1" applyBorder="1"/>
    <xf numFmtId="0" fontId="1" fillId="4" borderId="6" xfId="0" applyFont="1" applyFill="1" applyBorder="1"/>
    <xf numFmtId="0" fontId="0" fillId="4" borderId="27" xfId="0" applyFill="1" applyBorder="1"/>
    <xf numFmtId="6" fontId="0" fillId="4" borderId="38" xfId="0" applyNumberFormat="1" applyFill="1" applyBorder="1"/>
    <xf numFmtId="0" fontId="0" fillId="4" borderId="7" xfId="0" applyFont="1" applyFill="1" applyBorder="1"/>
    <xf numFmtId="0" fontId="0" fillId="4" borderId="39" xfId="0" applyFill="1" applyBorder="1" applyAlignment="1">
      <alignment horizontal="center"/>
    </xf>
    <xf numFmtId="0" fontId="1" fillId="4" borderId="7" xfId="0" applyFont="1" applyFill="1" applyBorder="1"/>
    <xf numFmtId="6" fontId="0" fillId="4" borderId="39" xfId="0" applyNumberFormat="1" applyFill="1" applyBorder="1"/>
    <xf numFmtId="0" fontId="1" fillId="4" borderId="1" xfId="0" applyFont="1" applyFill="1" applyBorder="1"/>
    <xf numFmtId="10" fontId="0" fillId="4" borderId="31" xfId="0" applyNumberFormat="1" applyFill="1" applyBorder="1" applyAlignment="1">
      <alignment horizontal="center"/>
    </xf>
    <xf numFmtId="0" fontId="26" fillId="4" borderId="6" xfId="0" applyFont="1" applyFill="1" applyBorder="1"/>
    <xf numFmtId="9" fontId="22" fillId="4" borderId="0" xfId="3" applyFont="1" applyFill="1" applyBorder="1"/>
    <xf numFmtId="0" fontId="22" fillId="4" borderId="24" xfId="0" applyFont="1" applyFill="1" applyBorder="1"/>
    <xf numFmtId="17" fontId="27" fillId="12" borderId="0" xfId="0" quotePrefix="1" applyNumberFormat="1" applyFont="1" applyFill="1" applyBorder="1" applyAlignment="1">
      <alignment horizontal="center"/>
    </xf>
    <xf numFmtId="0" fontId="27" fillId="12" borderId="0" xfId="0" applyFont="1" applyFill="1" applyBorder="1"/>
    <xf numFmtId="9" fontId="22" fillId="13" borderId="46" xfId="0" applyNumberFormat="1" applyFont="1" applyFill="1" applyBorder="1"/>
    <xf numFmtId="9" fontId="22" fillId="4" borderId="46" xfId="0" applyNumberFormat="1" applyFont="1" applyFill="1" applyBorder="1"/>
    <xf numFmtId="6" fontId="22" fillId="13" borderId="87" xfId="0" applyNumberFormat="1" applyFont="1" applyFill="1" applyBorder="1"/>
    <xf numFmtId="6" fontId="22" fillId="13" borderId="46" xfId="0" applyNumberFormat="1" applyFont="1" applyFill="1" applyBorder="1"/>
    <xf numFmtId="0" fontId="22" fillId="0" borderId="7" xfId="0" applyFont="1" applyBorder="1"/>
    <xf numFmtId="0" fontId="24" fillId="4" borderId="5" xfId="4" applyFont="1" applyFill="1" applyBorder="1" applyAlignment="1">
      <alignment wrapText="1"/>
    </xf>
    <xf numFmtId="0" fontId="30" fillId="0" borderId="0" xfId="4" applyFont="1"/>
    <xf numFmtId="0" fontId="27" fillId="12" borderId="5" xfId="4" applyFont="1" applyFill="1" applyBorder="1" applyAlignment="1">
      <alignment horizontal="center"/>
    </xf>
    <xf numFmtId="164" fontId="28" fillId="12" borderId="5" xfId="5" applyNumberFormat="1" applyFont="1" applyFill="1" applyBorder="1" applyAlignment="1">
      <alignment horizontal="center"/>
    </xf>
    <xf numFmtId="169" fontId="25" fillId="4" borderId="0" xfId="4" applyNumberFormat="1" applyFont="1" applyFill="1"/>
    <xf numFmtId="10" fontId="22" fillId="4" borderId="0" xfId="3" applyNumberFormat="1" applyFont="1" applyFill="1" applyBorder="1" applyAlignment="1">
      <alignment horizontal="center"/>
    </xf>
    <xf numFmtId="0" fontId="26" fillId="4" borderId="27" xfId="0" applyFont="1" applyFill="1" applyBorder="1"/>
    <xf numFmtId="6" fontId="26" fillId="4" borderId="38" xfId="0" applyNumberFormat="1" applyFont="1" applyFill="1" applyBorder="1"/>
    <xf numFmtId="0" fontId="26" fillId="4" borderId="7" xfId="0" applyFont="1" applyFill="1" applyBorder="1"/>
    <xf numFmtId="0" fontId="26" fillId="4" borderId="1" xfId="0" applyFont="1" applyFill="1" applyBorder="1" applyAlignment="1">
      <alignment horizontal="right"/>
    </xf>
    <xf numFmtId="6" fontId="26" fillId="4" borderId="31" xfId="0" applyNumberFormat="1" applyFont="1" applyFill="1" applyBorder="1"/>
    <xf numFmtId="6" fontId="22" fillId="4" borderId="41" xfId="0" applyNumberFormat="1" applyFont="1" applyFill="1" applyBorder="1"/>
    <xf numFmtId="169" fontId="3" fillId="4" borderId="0" xfId="0" applyNumberFormat="1" applyFont="1" applyFill="1"/>
    <xf numFmtId="9" fontId="3" fillId="13" borderId="13" xfId="3" applyFont="1" applyFill="1" applyBorder="1" applyAlignment="1">
      <alignment horizontal="center"/>
    </xf>
    <xf numFmtId="0" fontId="0" fillId="4" borderId="2" xfId="0" applyFill="1" applyBorder="1"/>
    <xf numFmtId="0" fontId="0" fillId="4" borderId="4" xfId="0" applyFill="1" applyBorder="1"/>
    <xf numFmtId="0" fontId="0" fillId="4" borderId="60" xfId="0" applyFill="1" applyBorder="1"/>
    <xf numFmtId="44" fontId="22" fillId="4" borderId="0" xfId="0" applyNumberFormat="1" applyFont="1" applyFill="1" applyBorder="1"/>
    <xf numFmtId="0" fontId="0" fillId="4" borderId="0" xfId="0" applyFill="1" applyAlignment="1">
      <alignment horizontal="right"/>
    </xf>
    <xf numFmtId="9" fontId="0" fillId="2" borderId="0" xfId="0" applyNumberFormat="1" applyFill="1" applyAlignment="1">
      <alignment horizontal="center"/>
    </xf>
    <xf numFmtId="10" fontId="41" fillId="4" borderId="0" xfId="0" quotePrefix="1" applyNumberFormat="1" applyFont="1" applyFill="1" applyAlignment="1">
      <alignment horizontal="center"/>
    </xf>
    <xf numFmtId="10" fontId="41" fillId="4" borderId="0" xfId="0" applyNumberFormat="1" applyFont="1" applyFill="1" applyAlignment="1">
      <alignment horizontal="center"/>
    </xf>
    <xf numFmtId="10" fontId="42" fillId="13" borderId="0" xfId="0" applyNumberFormat="1" applyFont="1" applyFill="1" applyAlignment="1">
      <alignment horizontal="center"/>
    </xf>
    <xf numFmtId="40" fontId="42" fillId="13" borderId="0" xfId="0" applyNumberFormat="1" applyFont="1" applyFill="1" applyAlignment="1">
      <alignment horizontal="center"/>
    </xf>
    <xf numFmtId="0" fontId="5" fillId="4" borderId="0" xfId="0" applyFont="1" applyFill="1"/>
    <xf numFmtId="0" fontId="32" fillId="4" borderId="5" xfId="0" applyFont="1" applyFill="1" applyBorder="1"/>
    <xf numFmtId="0" fontId="33" fillId="4" borderId="0" xfId="0" applyFont="1" applyFill="1" applyAlignment="1">
      <alignment horizontal="right"/>
    </xf>
    <xf numFmtId="0" fontId="33" fillId="4" borderId="5" xfId="0" applyFont="1" applyFill="1" applyBorder="1" applyAlignment="1">
      <alignment horizontal="right"/>
    </xf>
    <xf numFmtId="0" fontId="32" fillId="4" borderId="0" xfId="0" applyFont="1" applyFill="1"/>
    <xf numFmtId="0" fontId="33" fillId="4" borderId="0" xfId="0" applyFont="1" applyFill="1"/>
    <xf numFmtId="0" fontId="34" fillId="4" borderId="5" xfId="0" applyFont="1" applyFill="1" applyBorder="1"/>
    <xf numFmtId="0" fontId="32" fillId="4" borderId="0" xfId="0" applyFont="1" applyFill="1" applyBorder="1"/>
    <xf numFmtId="0" fontId="33" fillId="4" borderId="0" xfId="0" applyFont="1" applyFill="1" applyBorder="1"/>
    <xf numFmtId="0" fontId="33" fillId="4" borderId="5" xfId="0" applyFont="1" applyFill="1" applyBorder="1"/>
    <xf numFmtId="0" fontId="3" fillId="4" borderId="0" xfId="0" applyFont="1" applyFill="1" applyBorder="1"/>
    <xf numFmtId="6" fontId="33" fillId="4" borderId="0" xfId="1" applyNumberFormat="1" applyFont="1" applyFill="1"/>
    <xf numFmtId="6" fontId="33" fillId="4" borderId="5" xfId="1" applyNumberFormat="1" applyFont="1" applyFill="1" applyBorder="1"/>
    <xf numFmtId="6" fontId="32" fillId="4" borderId="0" xfId="1" applyNumberFormat="1" applyFont="1" applyFill="1"/>
    <xf numFmtId="6" fontId="32" fillId="4" borderId="0" xfId="0" applyNumberFormat="1" applyFont="1" applyFill="1"/>
    <xf numFmtId="6" fontId="33" fillId="4" borderId="0" xfId="0" applyNumberFormat="1" applyFont="1" applyFill="1"/>
    <xf numFmtId="6" fontId="33" fillId="4" borderId="5" xfId="0" applyNumberFormat="1" applyFont="1" applyFill="1" applyBorder="1"/>
    <xf numFmtId="165" fontId="33" fillId="4" borderId="5" xfId="1" applyNumberFormat="1" applyFont="1" applyFill="1" applyBorder="1"/>
    <xf numFmtId="6" fontId="33" fillId="4" borderId="0" xfId="1" applyNumberFormat="1" applyFont="1" applyFill="1" applyBorder="1"/>
    <xf numFmtId="164" fontId="0" fillId="4" borderId="0" xfId="0" applyNumberFormat="1" applyFill="1"/>
    <xf numFmtId="164" fontId="22" fillId="4" borderId="0" xfId="1" applyNumberFormat="1" applyFont="1" applyFill="1"/>
    <xf numFmtId="43" fontId="22" fillId="4" borderId="0" xfId="1" applyNumberFormat="1" applyFont="1" applyFill="1" applyBorder="1"/>
    <xf numFmtId="6" fontId="0" fillId="0" borderId="0" xfId="1" applyNumberFormat="1" applyFont="1"/>
    <xf numFmtId="6" fontId="0" fillId="0" borderId="5" xfId="1" applyNumberFormat="1" applyFont="1" applyBorder="1"/>
    <xf numFmtId="6" fontId="0" fillId="0" borderId="0" xfId="1" applyNumberFormat="1" applyFont="1" applyBorder="1"/>
    <xf numFmtId="6" fontId="22" fillId="4" borderId="0" xfId="1" applyNumberFormat="1" applyFont="1" applyFill="1"/>
    <xf numFmtId="6" fontId="22" fillId="4" borderId="5" xfId="1" applyNumberFormat="1" applyFont="1" applyFill="1" applyBorder="1"/>
    <xf numFmtId="6" fontId="22" fillId="4" borderId="0" xfId="1" applyNumberFormat="1" applyFont="1" applyFill="1" applyBorder="1"/>
    <xf numFmtId="40" fontId="22" fillId="13" borderId="0" xfId="1" applyNumberFormat="1" applyFont="1" applyFill="1" applyBorder="1"/>
    <xf numFmtId="44" fontId="0" fillId="0" borderId="0" xfId="0" applyNumberFormat="1" applyAlignment="1">
      <alignment horizontal="center"/>
    </xf>
    <xf numFmtId="165" fontId="0" fillId="0" borderId="0" xfId="0" applyNumberFormat="1" applyAlignment="1">
      <alignment horizontal="center"/>
    </xf>
    <xf numFmtId="8" fontId="0" fillId="0" borderId="0" xfId="0" applyNumberFormat="1" applyAlignment="1">
      <alignment horizontal="center"/>
    </xf>
    <xf numFmtId="44" fontId="0" fillId="2" borderId="0" xfId="2" applyFont="1" applyFill="1" applyAlignment="1">
      <alignment horizontal="center"/>
    </xf>
    <xf numFmtId="44" fontId="0" fillId="0" borderId="0" xfId="2" applyFont="1" applyFill="1" applyAlignment="1">
      <alignment horizontal="center"/>
    </xf>
    <xf numFmtId="0" fontId="0" fillId="0" borderId="0" xfId="0" applyAlignment="1">
      <alignment horizontal="left" vertical="top"/>
    </xf>
    <xf numFmtId="3" fontId="0" fillId="2" borderId="0" xfId="0" applyNumberFormat="1" applyFill="1" applyAlignment="1">
      <alignment horizontal="center"/>
    </xf>
    <xf numFmtId="0" fontId="0" fillId="2" borderId="0" xfId="0" applyFill="1" applyAlignment="1">
      <alignment horizontal="center"/>
    </xf>
    <xf numFmtId="0" fontId="0" fillId="0" borderId="26" xfId="0" applyBorder="1"/>
    <xf numFmtId="0" fontId="0" fillId="0" borderId="25" xfId="0" applyBorder="1"/>
    <xf numFmtId="8" fontId="0" fillId="0" borderId="25" xfId="0" applyNumberFormat="1" applyBorder="1"/>
    <xf numFmtId="8" fontId="0" fillId="0" borderId="23" xfId="0" applyNumberFormat="1" applyBorder="1"/>
    <xf numFmtId="0" fontId="16" fillId="2" borderId="25" xfId="0" applyFont="1" applyFill="1" applyBorder="1" applyAlignment="1">
      <alignment horizontal="center" vertical="center"/>
    </xf>
    <xf numFmtId="0" fontId="0" fillId="2" borderId="26" xfId="0" applyFill="1" applyBorder="1" applyAlignment="1">
      <alignment horizontal="center"/>
    </xf>
    <xf numFmtId="44" fontId="0" fillId="2" borderId="25" xfId="2" applyFont="1" applyFill="1" applyBorder="1" applyAlignment="1">
      <alignment horizontal="center"/>
    </xf>
    <xf numFmtId="44" fontId="0" fillId="2" borderId="23" xfId="2" applyFont="1" applyFill="1" applyBorder="1" applyAlignment="1">
      <alignment horizontal="center"/>
    </xf>
    <xf numFmtId="44" fontId="15" fillId="0" borderId="23" xfId="2" applyFont="1" applyBorder="1" applyAlignment="1">
      <alignment horizontal="center" vertical="center"/>
    </xf>
    <xf numFmtId="173" fontId="22" fillId="4" borderId="0" xfId="0" applyNumberFormat="1" applyFont="1" applyFill="1"/>
    <xf numFmtId="6" fontId="0" fillId="0" borderId="0" xfId="0" quotePrefix="1" applyNumberFormat="1" applyFont="1" applyBorder="1" applyAlignment="1">
      <alignment horizontal="right"/>
    </xf>
    <xf numFmtId="6" fontId="22" fillId="4" borderId="0" xfId="0" quotePrefix="1" applyNumberFormat="1" applyFont="1" applyFill="1" applyBorder="1" applyAlignment="1">
      <alignment horizontal="right"/>
    </xf>
    <xf numFmtId="6" fontId="26" fillId="0" borderId="0" xfId="0" applyNumberFormat="1" applyFont="1" applyBorder="1"/>
    <xf numFmtId="0" fontId="43" fillId="14" borderId="88" xfId="0" applyFont="1" applyFill="1" applyBorder="1"/>
    <xf numFmtId="0" fontId="43" fillId="14" borderId="89" xfId="0" applyFont="1" applyFill="1" applyBorder="1" applyAlignment="1">
      <alignment horizontal="center"/>
    </xf>
    <xf numFmtId="0" fontId="43" fillId="14" borderId="90" xfId="0" applyFont="1" applyFill="1" applyBorder="1" applyAlignment="1">
      <alignment horizontal="center"/>
    </xf>
    <xf numFmtId="0" fontId="44" fillId="0" borderId="91" xfId="0" applyFont="1" applyFill="1" applyBorder="1"/>
    <xf numFmtId="1" fontId="44" fillId="0" borderId="92" xfId="0" applyNumberFormat="1" applyFont="1" applyFill="1" applyBorder="1" applyAlignment="1">
      <alignment horizontal="center"/>
    </xf>
    <xf numFmtId="6" fontId="44" fillId="0" borderId="92" xfId="0" applyNumberFormat="1" applyFont="1" applyFill="1" applyBorder="1" applyAlignment="1">
      <alignment horizontal="right"/>
    </xf>
    <xf numFmtId="6" fontId="44" fillId="0" borderId="93" xfId="0" applyNumberFormat="1" applyFont="1" applyFill="1" applyBorder="1" applyAlignment="1">
      <alignment horizontal="right"/>
    </xf>
    <xf numFmtId="0" fontId="44" fillId="0" borderId="94" xfId="0" applyFont="1" applyFill="1" applyBorder="1"/>
    <xf numFmtId="6" fontId="44" fillId="0" borderId="95" xfId="0" applyNumberFormat="1" applyFont="1" applyFill="1" applyBorder="1" applyAlignment="1">
      <alignment horizontal="right"/>
    </xf>
    <xf numFmtId="6" fontId="44" fillId="0" borderId="96" xfId="0" applyNumberFormat="1" applyFont="1" applyFill="1" applyBorder="1" applyAlignment="1">
      <alignment horizontal="right"/>
    </xf>
    <xf numFmtId="0" fontId="45" fillId="0" borderId="97" xfId="0" applyFont="1" applyFill="1" applyBorder="1"/>
    <xf numFmtId="0" fontId="45" fillId="0" borderId="98" xfId="0" applyFont="1" applyFill="1" applyBorder="1" applyAlignment="1">
      <alignment horizontal="center"/>
    </xf>
    <xf numFmtId="6" fontId="45" fillId="0" borderId="98" xfId="0" applyNumberFormat="1" applyFont="1" applyFill="1" applyBorder="1" applyAlignment="1">
      <alignment horizontal="right"/>
    </xf>
    <xf numFmtId="6" fontId="45" fillId="0" borderId="99" xfId="0" applyNumberFormat="1" applyFont="1" applyFill="1" applyBorder="1" applyAlignment="1">
      <alignment horizontal="right"/>
    </xf>
    <xf numFmtId="6" fontId="22" fillId="4" borderId="100" xfId="0" applyNumberFormat="1" applyFont="1" applyFill="1" applyBorder="1"/>
    <xf numFmtId="6" fontId="22" fillId="4" borderId="101" xfId="0" applyNumberFormat="1" applyFont="1" applyFill="1" applyBorder="1"/>
    <xf numFmtId="6" fontId="22" fillId="4" borderId="24" xfId="0" applyNumberFormat="1" applyFont="1" applyFill="1" applyBorder="1"/>
    <xf numFmtId="6" fontId="22" fillId="4" borderId="102" xfId="0" applyNumberFormat="1" applyFont="1" applyFill="1" applyBorder="1"/>
    <xf numFmtId="9" fontId="0" fillId="0" borderId="0" xfId="3" applyFont="1" applyAlignment="1">
      <alignment horizontal="center"/>
    </xf>
    <xf numFmtId="6" fontId="0" fillId="0" borderId="0" xfId="0" applyNumberFormat="1" applyAlignment="1">
      <alignment horizontal="center"/>
    </xf>
    <xf numFmtId="44" fontId="0" fillId="0" borderId="0" xfId="2" applyNumberFormat="1" applyFont="1" applyAlignment="1">
      <alignment horizontal="center"/>
    </xf>
    <xf numFmtId="164" fontId="0" fillId="0" borderId="0" xfId="0" applyNumberFormat="1" applyAlignment="1">
      <alignment horizontal="center"/>
    </xf>
    <xf numFmtId="165" fontId="0" fillId="0" borderId="0" xfId="2" applyNumberFormat="1" applyFont="1" applyFill="1" applyAlignment="1">
      <alignment horizontal="center"/>
    </xf>
    <xf numFmtId="164" fontId="0" fillId="0" borderId="0" xfId="1" applyNumberFormat="1" applyFont="1" applyFill="1" applyAlignment="1">
      <alignment horizontal="center"/>
    </xf>
    <xf numFmtId="9" fontId="0" fillId="10" borderId="0" xfId="3" applyFont="1" applyFill="1" applyAlignment="1">
      <alignment horizontal="center"/>
    </xf>
    <xf numFmtId="9" fontId="0" fillId="15" borderId="0" xfId="3" applyFont="1" applyFill="1" applyAlignment="1">
      <alignment horizontal="center"/>
    </xf>
    <xf numFmtId="9" fontId="0" fillId="0" borderId="0" xfId="3" applyFont="1" applyFill="1" applyAlignment="1">
      <alignment horizontal="center"/>
    </xf>
    <xf numFmtId="9" fontId="0" fillId="16" borderId="0" xfId="3" applyFont="1" applyFill="1" applyAlignment="1">
      <alignment horizontal="center"/>
    </xf>
    <xf numFmtId="165" fontId="0" fillId="0" borderId="5" xfId="2" applyNumberFormat="1" applyFont="1" applyBorder="1" applyAlignment="1">
      <alignment horizontal="center"/>
    </xf>
    <xf numFmtId="0" fontId="0" fillId="0" borderId="1" xfId="0" applyBorder="1"/>
    <xf numFmtId="165" fontId="0" fillId="0" borderId="24" xfId="0" applyNumberFormat="1" applyBorder="1" applyAlignment="1">
      <alignment horizontal="center"/>
    </xf>
    <xf numFmtId="165" fontId="0" fillId="0" borderId="31" xfId="0" applyNumberFormat="1" applyBorder="1" applyAlignment="1">
      <alignment horizontal="center"/>
    </xf>
    <xf numFmtId="165" fontId="0" fillId="0" borderId="0" xfId="0" applyNumberFormat="1" applyBorder="1" applyAlignment="1">
      <alignment horizontal="center"/>
    </xf>
    <xf numFmtId="0" fontId="0" fillId="0" borderId="103" xfId="0" applyBorder="1"/>
    <xf numFmtId="165" fontId="0" fillId="0" borderId="86" xfId="0" applyNumberFormat="1" applyBorder="1" applyAlignment="1">
      <alignment horizontal="center"/>
    </xf>
    <xf numFmtId="165" fontId="0" fillId="0" borderId="104" xfId="0" applyNumberFormat="1" applyBorder="1" applyAlignment="1">
      <alignment horizontal="center"/>
    </xf>
    <xf numFmtId="1" fontId="44" fillId="0" borderId="95" xfId="0" applyNumberFormat="1" applyFont="1" applyFill="1" applyBorder="1" applyAlignment="1">
      <alignment horizontal="center"/>
    </xf>
    <xf numFmtId="176" fontId="0" fillId="0" borderId="0" xfId="0" applyNumberFormat="1" applyAlignment="1">
      <alignment horizontal="center"/>
    </xf>
    <xf numFmtId="169" fontId="0" fillId="2" borderId="8" xfId="0" applyNumberFormat="1" applyFill="1" applyBorder="1"/>
    <xf numFmtId="169" fontId="0" fillId="2" borderId="29" xfId="0" applyNumberFormat="1" applyFill="1" applyBorder="1"/>
    <xf numFmtId="9" fontId="33" fillId="0" borderId="0" xfId="0" applyNumberFormat="1" applyFont="1"/>
    <xf numFmtId="0" fontId="0" fillId="13" borderId="0" xfId="0" applyFill="1" applyAlignment="1">
      <alignment horizontal="center" vertical="center" wrapText="1"/>
    </xf>
    <xf numFmtId="176" fontId="22" fillId="13" borderId="13" xfId="0" applyNumberFormat="1" applyFont="1" applyFill="1" applyBorder="1" applyAlignment="1">
      <alignment horizontal="center"/>
    </xf>
    <xf numFmtId="176" fontId="22" fillId="2" borderId="13" xfId="0" applyNumberFormat="1" applyFont="1" applyFill="1" applyBorder="1" applyAlignment="1">
      <alignment horizontal="center"/>
    </xf>
    <xf numFmtId="6" fontId="0" fillId="13" borderId="0" xfId="0" applyNumberFormat="1" applyFill="1" applyAlignment="1">
      <alignment horizontal="center" vertical="center" wrapText="1"/>
    </xf>
    <xf numFmtId="175" fontId="0" fillId="0" borderId="0" xfId="0" applyNumberFormat="1" applyBorder="1" applyAlignment="1">
      <alignment horizontal="center"/>
    </xf>
    <xf numFmtId="9" fontId="22" fillId="2" borderId="46" xfId="3" applyFont="1" applyFill="1" applyBorder="1"/>
    <xf numFmtId="6" fontId="33" fillId="4" borderId="0" xfId="0" applyNumberFormat="1" applyFont="1" applyFill="1" applyAlignment="1">
      <alignment horizontal="right"/>
    </xf>
    <xf numFmtId="6" fontId="33" fillId="4" borderId="5" xfId="0" applyNumberFormat="1" applyFont="1" applyFill="1" applyBorder="1" applyAlignment="1">
      <alignment horizontal="right"/>
    </xf>
    <xf numFmtId="165" fontId="33" fillId="4" borderId="5" xfId="0" applyNumberFormat="1" applyFont="1" applyFill="1" applyBorder="1" applyAlignment="1">
      <alignment horizontal="right"/>
    </xf>
    <xf numFmtId="9" fontId="33" fillId="4" borderId="0" xfId="0" applyNumberFormat="1" applyFont="1" applyFill="1" applyAlignment="1">
      <alignment horizontal="right"/>
    </xf>
    <xf numFmtId="0" fontId="27" fillId="12" borderId="0" xfId="0" applyFont="1" applyFill="1" applyBorder="1" applyAlignment="1">
      <alignment horizontal="center"/>
    </xf>
    <xf numFmtId="8" fontId="0" fillId="0" borderId="0" xfId="0" applyNumberFormat="1"/>
    <xf numFmtId="9" fontId="0" fillId="13" borderId="28" xfId="0" applyNumberFormat="1" applyFill="1" applyBorder="1" applyAlignment="1">
      <alignment horizontal="center"/>
    </xf>
    <xf numFmtId="9" fontId="0" fillId="13" borderId="8" xfId="0" applyNumberFormat="1" applyFill="1" applyBorder="1" applyAlignment="1">
      <alignment horizontal="center"/>
    </xf>
    <xf numFmtId="0" fontId="28" fillId="0" borderId="0" xfId="0" applyFont="1" applyFill="1" applyBorder="1"/>
    <xf numFmtId="0" fontId="28" fillId="0" borderId="0" xfId="0" applyFont="1" applyFill="1" applyBorder="1" applyAlignment="1">
      <alignment horizontal="center"/>
    </xf>
    <xf numFmtId="0" fontId="26" fillId="2" borderId="46" xfId="3" applyNumberFormat="1" applyFont="1" applyFill="1" applyBorder="1" applyAlignment="1">
      <alignment horizontal="center" vertical="center"/>
    </xf>
    <xf numFmtId="6" fontId="22" fillId="2" borderId="49" xfId="0" applyNumberFormat="1" applyFont="1" applyFill="1" applyBorder="1" applyAlignment="1">
      <alignment horizontal="center" vertical="center"/>
    </xf>
    <xf numFmtId="177" fontId="3" fillId="0" borderId="5" xfId="144" applyFont="1" applyFill="1" applyBorder="1"/>
    <xf numFmtId="177" fontId="3" fillId="0" borderId="0" xfId="144" applyFont="1" applyFill="1"/>
    <xf numFmtId="44" fontId="2" fillId="0" borderId="0" xfId="2"/>
    <xf numFmtId="8" fontId="2" fillId="0" borderId="0" xfId="2" applyNumberFormat="1"/>
    <xf numFmtId="44" fontId="2" fillId="17" borderId="0" xfId="2" applyFill="1"/>
    <xf numFmtId="44" fontId="2" fillId="0" borderId="4" xfId="2" applyBorder="1"/>
    <xf numFmtId="177" fontId="3" fillId="0" borderId="24" xfId="144" applyFont="1" applyFill="1" applyBorder="1"/>
    <xf numFmtId="44" fontId="0" fillId="0" borderId="60" xfId="2" applyFont="1" applyBorder="1"/>
    <xf numFmtId="44" fontId="2" fillId="0" borderId="5" xfId="2" applyBorder="1"/>
    <xf numFmtId="0" fontId="0" fillId="2" borderId="13" xfId="0" applyFill="1" applyBorder="1" applyAlignment="1">
      <alignment horizontal="center"/>
    </xf>
    <xf numFmtId="44" fontId="0" fillId="2" borderId="13" xfId="2" applyFont="1" applyFill="1" applyBorder="1" applyAlignment="1">
      <alignment horizontal="center"/>
    </xf>
    <xf numFmtId="177" fontId="0" fillId="0" borderId="0" xfId="144" applyFont="1"/>
    <xf numFmtId="10" fontId="2" fillId="0" borderId="0" xfId="3" applyNumberFormat="1"/>
    <xf numFmtId="177" fontId="46" fillId="0" borderId="0" xfId="144" applyFont="1"/>
    <xf numFmtId="177" fontId="3" fillId="0" borderId="0" xfId="144" applyFont="1"/>
    <xf numFmtId="177" fontId="3" fillId="0" borderId="5" xfId="144" applyFont="1" applyBorder="1"/>
    <xf numFmtId="177" fontId="3" fillId="0" borderId="105" xfId="144" applyFont="1" applyFill="1" applyBorder="1"/>
    <xf numFmtId="0" fontId="0" fillId="0" borderId="106" xfId="0" applyBorder="1"/>
    <xf numFmtId="44" fontId="2" fillId="0" borderId="106" xfId="2" applyBorder="1"/>
    <xf numFmtId="44" fontId="2" fillId="0" borderId="30" xfId="2" applyBorder="1"/>
    <xf numFmtId="173" fontId="0" fillId="0" borderId="0" xfId="0" applyNumberFormat="1"/>
    <xf numFmtId="8" fontId="22" fillId="2" borderId="46" xfId="0" applyNumberFormat="1" applyFont="1" applyFill="1" applyBorder="1" applyAlignment="1">
      <alignment horizontal="center" vertical="center"/>
    </xf>
    <xf numFmtId="169" fontId="24" fillId="0" borderId="0" xfId="4" applyNumberFormat="1" applyFont="1"/>
    <xf numFmtId="0" fontId="27" fillId="12" borderId="5" xfId="4" applyFont="1" applyFill="1" applyBorder="1" applyAlignment="1">
      <alignment horizontal="left"/>
    </xf>
    <xf numFmtId="0" fontId="44" fillId="0" borderId="107" xfId="0" applyFont="1" applyFill="1" applyBorder="1"/>
    <xf numFmtId="6" fontId="0" fillId="4" borderId="0" xfId="0" applyNumberFormat="1" applyFill="1"/>
    <xf numFmtId="6" fontId="0" fillId="4" borderId="5" xfId="0" applyNumberFormat="1" applyFill="1" applyBorder="1"/>
    <xf numFmtId="0" fontId="22" fillId="4" borderId="0" xfId="0" applyFont="1" applyFill="1" applyAlignment="1">
      <alignment horizontal="left"/>
    </xf>
    <xf numFmtId="6" fontId="0" fillId="2" borderId="0" xfId="0" applyNumberFormat="1" applyFill="1"/>
    <xf numFmtId="0" fontId="0" fillId="4" borderId="5" xfId="0" applyFill="1" applyBorder="1" applyAlignment="1">
      <alignment wrapText="1"/>
    </xf>
    <xf numFmtId="0" fontId="0" fillId="0" borderId="105" xfId="0" applyBorder="1"/>
    <xf numFmtId="44" fontId="0" fillId="0" borderId="106" xfId="0" applyNumberFormat="1" applyBorder="1"/>
    <xf numFmtId="6" fontId="0" fillId="13" borderId="5" xfId="0" applyNumberFormat="1" applyFill="1" applyBorder="1" applyAlignment="1">
      <alignment horizontal="center" vertical="center" wrapText="1"/>
    </xf>
    <xf numFmtId="0" fontId="0" fillId="13" borderId="5" xfId="0" applyFill="1" applyBorder="1" applyAlignment="1">
      <alignment horizontal="center" vertical="center" wrapText="1"/>
    </xf>
    <xf numFmtId="0" fontId="0" fillId="13" borderId="5" xfId="0" applyFill="1" applyBorder="1" applyAlignment="1">
      <alignment horizontal="center"/>
    </xf>
    <xf numFmtId="9" fontId="0" fillId="13" borderId="29" xfId="0" applyNumberFormat="1" applyFill="1" applyBorder="1" applyAlignment="1">
      <alignment horizontal="center"/>
    </xf>
    <xf numFmtId="0" fontId="22" fillId="2" borderId="13" xfId="0" applyNumberFormat="1" applyFont="1" applyFill="1" applyBorder="1"/>
    <xf numFmtId="44" fontId="2" fillId="17" borderId="4" xfId="2" applyFill="1" applyBorder="1"/>
    <xf numFmtId="8" fontId="2" fillId="0" borderId="37" xfId="2" applyNumberFormat="1" applyBorder="1"/>
    <xf numFmtId="44" fontId="2" fillId="17" borderId="0" xfId="2" applyFill="1" applyBorder="1"/>
    <xf numFmtId="44" fontId="2" fillId="0" borderId="0" xfId="0" applyNumberFormat="1" applyFont="1"/>
    <xf numFmtId="0" fontId="49" fillId="0" borderId="0" xfId="0" applyFont="1" applyAlignment="1">
      <alignment horizontal="justify" vertical="center"/>
    </xf>
    <xf numFmtId="8" fontId="0" fillId="0" borderId="5" xfId="0" applyNumberFormat="1" applyBorder="1"/>
    <xf numFmtId="0" fontId="3" fillId="0" borderId="6" xfId="0" applyFont="1" applyBorder="1"/>
    <xf numFmtId="0" fontId="0" fillId="0" borderId="27" xfId="0" applyBorder="1"/>
    <xf numFmtId="0" fontId="0" fillId="0" borderId="38" xfId="0" applyBorder="1"/>
    <xf numFmtId="0" fontId="0" fillId="0" borderId="7" xfId="0" applyBorder="1"/>
    <xf numFmtId="0" fontId="0" fillId="0" borderId="39" xfId="0" applyBorder="1"/>
    <xf numFmtId="0" fontId="0" fillId="0" borderId="40" xfId="0" applyBorder="1"/>
    <xf numFmtId="8" fontId="0" fillId="0" borderId="0" xfId="0" applyNumberFormat="1" applyBorder="1"/>
    <xf numFmtId="0" fontId="0" fillId="0" borderId="41" xfId="0" applyBorder="1"/>
    <xf numFmtId="8" fontId="0" fillId="0" borderId="24" xfId="0" applyNumberFormat="1" applyBorder="1"/>
    <xf numFmtId="0" fontId="0" fillId="0" borderId="24" xfId="0" applyBorder="1"/>
    <xf numFmtId="8" fontId="0" fillId="0" borderId="31" xfId="0" applyNumberFormat="1" applyBorder="1"/>
    <xf numFmtId="0" fontId="47" fillId="0" borderId="7" xfId="0" applyFont="1" applyBorder="1" applyAlignment="1">
      <alignment horizontal="left" vertical="top"/>
    </xf>
    <xf numFmtId="0" fontId="47" fillId="0" borderId="0" xfId="0" applyFont="1" applyBorder="1" applyAlignment="1">
      <alignment horizontal="left" vertical="center" indent="5"/>
    </xf>
    <xf numFmtId="0" fontId="47" fillId="0" borderId="40" xfId="0" applyFont="1" applyBorder="1" applyAlignment="1">
      <alignment horizontal="left" vertical="top"/>
    </xf>
    <xf numFmtId="8" fontId="0" fillId="0" borderId="39" xfId="0" applyNumberFormat="1" applyBorder="1"/>
    <xf numFmtId="0" fontId="47" fillId="0" borderId="7" xfId="0" applyFont="1" applyBorder="1" applyAlignment="1">
      <alignment horizontal="left" vertical="center" indent="5"/>
    </xf>
    <xf numFmtId="0" fontId="49" fillId="0" borderId="7" xfId="0" applyFont="1" applyBorder="1" applyAlignment="1">
      <alignment horizontal="left" vertical="top"/>
    </xf>
    <xf numFmtId="0" fontId="47" fillId="0" borderId="7" xfId="0" applyFont="1" applyBorder="1" applyAlignment="1">
      <alignment horizontal="justify" vertical="center"/>
    </xf>
    <xf numFmtId="0" fontId="0" fillId="0" borderId="0" xfId="0" applyBorder="1" applyAlignment="1">
      <alignment horizontal="right"/>
    </xf>
    <xf numFmtId="8" fontId="47" fillId="0" borderId="0" xfId="0" applyNumberFormat="1" applyFont="1" applyBorder="1" applyAlignment="1">
      <alignment horizontal="right" vertical="center"/>
    </xf>
    <xf numFmtId="0" fontId="47" fillId="0" borderId="40" xfId="0" applyFont="1" applyBorder="1" applyAlignment="1">
      <alignment horizontal="justify" vertical="center"/>
    </xf>
    <xf numFmtId="0" fontId="47" fillId="0" borderId="6" xfId="0" applyFont="1" applyBorder="1" applyAlignment="1">
      <alignment horizontal="justify" vertical="center"/>
    </xf>
    <xf numFmtId="0" fontId="0" fillId="0" borderId="0" xfId="0" applyBorder="1" applyAlignment="1"/>
    <xf numFmtId="0" fontId="47" fillId="0" borderId="1" xfId="0" applyFont="1" applyBorder="1" applyAlignment="1">
      <alignment horizontal="left" vertical="center" indent="5"/>
    </xf>
    <xf numFmtId="8" fontId="0" fillId="0" borderId="30" xfId="0" applyNumberFormat="1" applyBorder="1"/>
    <xf numFmtId="0" fontId="3" fillId="0" borderId="7" xfId="0" applyFont="1" applyBorder="1"/>
    <xf numFmtId="0" fontId="51" fillId="0" borderId="7" xfId="0" applyFont="1" applyBorder="1" applyAlignment="1">
      <alignment horizontal="left" vertical="top"/>
    </xf>
    <xf numFmtId="0" fontId="51" fillId="0" borderId="7" xfId="0" applyFont="1" applyBorder="1" applyAlignment="1">
      <alignment horizontal="justify" vertical="center"/>
    </xf>
    <xf numFmtId="8" fontId="0" fillId="2" borderId="5" xfId="0" applyNumberFormat="1" applyFill="1" applyBorder="1"/>
    <xf numFmtId="8" fontId="0" fillId="2" borderId="0" xfId="0" applyNumberFormat="1" applyFill="1" applyBorder="1"/>
    <xf numFmtId="8" fontId="47" fillId="2" borderId="5" xfId="0" applyNumberFormat="1" applyFont="1" applyFill="1" applyBorder="1" applyAlignment="1">
      <alignment horizontal="right" vertical="center"/>
    </xf>
    <xf numFmtId="8" fontId="47" fillId="2" borderId="0" xfId="0" applyNumberFormat="1" applyFont="1" applyFill="1" applyBorder="1" applyAlignment="1">
      <alignment horizontal="right" vertical="center"/>
    </xf>
    <xf numFmtId="8" fontId="47" fillId="0" borderId="0" xfId="0" applyNumberFormat="1" applyFont="1" applyFill="1" applyBorder="1" applyAlignment="1">
      <alignment horizontal="right" vertical="center"/>
    </xf>
    <xf numFmtId="8" fontId="47" fillId="2" borderId="0" xfId="0" applyNumberFormat="1" applyFont="1" applyFill="1" applyBorder="1" applyAlignment="1">
      <alignment vertical="center"/>
    </xf>
    <xf numFmtId="8" fontId="47" fillId="2" borderId="5" xfId="0" applyNumberFormat="1" applyFont="1" applyFill="1" applyBorder="1" applyAlignment="1">
      <alignment vertical="center"/>
    </xf>
    <xf numFmtId="0" fontId="0" fillId="0" borderId="0" xfId="0" quotePrefix="1" applyAlignment="1">
      <alignment wrapText="1"/>
    </xf>
    <xf numFmtId="178" fontId="33" fillId="0" borderId="0" xfId="1" applyNumberFormat="1" applyFont="1"/>
    <xf numFmtId="178" fontId="33" fillId="0" borderId="0" xfId="0" applyNumberFormat="1" applyFont="1"/>
    <xf numFmtId="178" fontId="33" fillId="0" borderId="5" xfId="1" applyNumberFormat="1" applyFont="1" applyBorder="1"/>
    <xf numFmtId="178" fontId="33" fillId="0" borderId="5" xfId="0" applyNumberFormat="1" applyFont="1" applyBorder="1"/>
    <xf numFmtId="178" fontId="32" fillId="0" borderId="0" xfId="1" applyNumberFormat="1" applyFont="1"/>
    <xf numFmtId="178" fontId="32" fillId="0" borderId="0" xfId="0" applyNumberFormat="1" applyFont="1"/>
    <xf numFmtId="0" fontId="33" fillId="0" borderId="0" xfId="0" quotePrefix="1" applyFont="1" applyFill="1" applyBorder="1"/>
    <xf numFmtId="0" fontId="33" fillId="0" borderId="5" xfId="0" quotePrefix="1" applyFont="1" applyBorder="1"/>
    <xf numFmtId="9" fontId="33" fillId="0" borderId="0" xfId="3" applyFont="1"/>
    <xf numFmtId="0" fontId="42" fillId="0" borderId="0" xfId="0" applyFont="1"/>
    <xf numFmtId="169" fontId="0" fillId="2" borderId="28" xfId="0" applyNumberFormat="1" applyFill="1" applyBorder="1"/>
    <xf numFmtId="0" fontId="0" fillId="0" borderId="5" xfId="0" quotePrefix="1" applyBorder="1" applyAlignment="1">
      <alignment wrapText="1"/>
    </xf>
    <xf numFmtId="0" fontId="3" fillId="0" borderId="0" xfId="0" applyFont="1" applyAlignment="1">
      <alignment horizontal="right"/>
    </xf>
    <xf numFmtId="178" fontId="33" fillId="0" borderId="0" xfId="1" applyNumberFormat="1" applyFont="1" applyAlignment="1">
      <alignment horizontal="right"/>
    </xf>
    <xf numFmtId="178" fontId="33" fillId="0" borderId="5" xfId="1" applyNumberFormat="1" applyFont="1" applyBorder="1" applyAlignment="1">
      <alignment horizontal="right"/>
    </xf>
    <xf numFmtId="6" fontId="22" fillId="4" borderId="0" xfId="0" quotePrefix="1" applyNumberFormat="1" applyFont="1" applyFill="1" applyAlignment="1"/>
    <xf numFmtId="40" fontId="26" fillId="13" borderId="0" xfId="0" quotePrefix="1" applyNumberFormat="1" applyFont="1" applyFill="1" applyAlignment="1">
      <alignment horizontal="right"/>
    </xf>
    <xf numFmtId="0" fontId="28" fillId="12" borderId="5" xfId="0" applyFont="1" applyFill="1" applyBorder="1"/>
    <xf numFmtId="179" fontId="0" fillId="4" borderId="0" xfId="0" applyNumberFormat="1" applyFill="1"/>
    <xf numFmtId="10" fontId="0" fillId="4" borderId="28" xfId="0" applyNumberFormat="1" applyFill="1" applyBorder="1" applyAlignment="1">
      <alignment horizontal="center"/>
    </xf>
    <xf numFmtId="0" fontId="0" fillId="4" borderId="8" xfId="0" applyFill="1" applyBorder="1" applyAlignment="1">
      <alignment horizontal="center"/>
    </xf>
    <xf numFmtId="0" fontId="0" fillId="4" borderId="29" xfId="0" applyFill="1" applyBorder="1" applyAlignment="1">
      <alignment horizontal="center"/>
    </xf>
    <xf numFmtId="9" fontId="0" fillId="4" borderId="0" xfId="3" applyFont="1" applyFill="1" applyBorder="1"/>
    <xf numFmtId="0" fontId="0" fillId="2" borderId="5" xfId="0" applyFill="1" applyBorder="1"/>
    <xf numFmtId="169" fontId="0" fillId="2" borderId="5" xfId="0" applyNumberFormat="1" applyFill="1" applyBorder="1"/>
    <xf numFmtId="9" fontId="0" fillId="2" borderId="5" xfId="3" applyFont="1" applyFill="1" applyBorder="1"/>
    <xf numFmtId="17" fontId="38" fillId="12" borderId="5" xfId="0" quotePrefix="1" applyNumberFormat="1" applyFont="1" applyFill="1" applyBorder="1" applyAlignment="1">
      <alignment horizontal="right"/>
    </xf>
    <xf numFmtId="0" fontId="28" fillId="12" borderId="13" xfId="0" applyFont="1" applyFill="1" applyBorder="1" applyAlignment="1">
      <alignment horizontal="left" vertical="center"/>
    </xf>
    <xf numFmtId="0" fontId="3" fillId="4" borderId="0" xfId="0" applyFont="1" applyFill="1" applyAlignment="1">
      <alignment horizontal="left"/>
    </xf>
    <xf numFmtId="173" fontId="0" fillId="4" borderId="0" xfId="3" applyNumberFormat="1" applyFont="1" applyFill="1"/>
    <xf numFmtId="173" fontId="0" fillId="4" borderId="5" xfId="3" applyNumberFormat="1" applyFont="1" applyFill="1" applyBorder="1"/>
    <xf numFmtId="0" fontId="27" fillId="12" borderId="108" xfId="0" applyFont="1" applyFill="1" applyBorder="1" applyAlignment="1">
      <alignment wrapText="1"/>
    </xf>
    <xf numFmtId="0" fontId="22" fillId="4" borderId="10" xfId="0" applyFont="1" applyFill="1" applyBorder="1" applyAlignment="1">
      <alignment wrapText="1"/>
    </xf>
    <xf numFmtId="0" fontId="22" fillId="4" borderId="109" xfId="0" applyFont="1" applyFill="1" applyBorder="1" applyAlignment="1">
      <alignment wrapText="1"/>
    </xf>
    <xf numFmtId="0" fontId="36" fillId="12" borderId="108" xfId="0" applyFont="1" applyFill="1" applyBorder="1" applyAlignment="1">
      <alignment vertical="center" wrapText="1"/>
    </xf>
    <xf numFmtId="0" fontId="22" fillId="4" borderId="10" xfId="0" applyFont="1" applyFill="1" applyBorder="1" applyAlignment="1">
      <alignment horizontal="left" vertical="top" wrapText="1"/>
    </xf>
    <xf numFmtId="0" fontId="29" fillId="4" borderId="10" xfId="0" applyFont="1" applyFill="1" applyBorder="1" applyAlignment="1">
      <alignment wrapText="1"/>
    </xf>
    <xf numFmtId="0" fontId="22" fillId="4" borderId="10" xfId="0" applyFont="1" applyFill="1" applyBorder="1" applyAlignment="1">
      <alignment horizontal="left" wrapText="1"/>
    </xf>
    <xf numFmtId="0" fontId="22" fillId="0" borderId="10" xfId="0" applyFont="1" applyBorder="1" applyAlignment="1">
      <alignment wrapText="1"/>
    </xf>
    <xf numFmtId="0" fontId="22" fillId="0" borderId="109" xfId="0" applyFont="1" applyBorder="1" applyAlignment="1">
      <alignment wrapText="1"/>
    </xf>
    <xf numFmtId="0" fontId="22" fillId="4" borderId="28" xfId="0" applyFont="1" applyFill="1" applyBorder="1" applyAlignment="1">
      <alignment wrapText="1"/>
    </xf>
    <xf numFmtId="0" fontId="22" fillId="4" borderId="108" xfId="0" applyFont="1" applyFill="1" applyBorder="1" applyAlignment="1">
      <alignment wrapText="1"/>
    </xf>
    <xf numFmtId="0" fontId="22" fillId="4" borderId="8" xfId="0" applyFont="1" applyFill="1" applyBorder="1" applyAlignment="1">
      <alignment wrapText="1"/>
    </xf>
    <xf numFmtId="0" fontId="22" fillId="0" borderId="0" xfId="0" applyFont="1" applyBorder="1"/>
    <xf numFmtId="0" fontId="27" fillId="12" borderId="86" xfId="0" applyFont="1" applyFill="1" applyBorder="1" applyAlignment="1">
      <alignment wrapText="1"/>
    </xf>
    <xf numFmtId="0" fontId="22" fillId="4" borderId="3" xfId="0" applyFont="1" applyFill="1" applyBorder="1" applyAlignment="1">
      <alignment vertical="center" wrapText="1"/>
    </xf>
    <xf numFmtId="0" fontId="22" fillId="4" borderId="110" xfId="0" applyFont="1" applyFill="1" applyBorder="1" applyAlignment="1">
      <alignment vertical="center" wrapText="1"/>
    </xf>
    <xf numFmtId="0" fontId="23" fillId="3" borderId="111" xfId="0" applyFont="1" applyFill="1" applyBorder="1"/>
    <xf numFmtId="0" fontId="24" fillId="4" borderId="112" xfId="0" applyFont="1" applyFill="1" applyBorder="1"/>
    <xf numFmtId="0" fontId="24" fillId="4" borderId="113" xfId="0" applyFont="1" applyFill="1" applyBorder="1"/>
    <xf numFmtId="0" fontId="25" fillId="4" borderId="83" xfId="0" applyFont="1" applyFill="1" applyBorder="1"/>
    <xf numFmtId="0" fontId="24" fillId="0" borderId="114" xfId="0" applyFont="1" applyFill="1" applyBorder="1"/>
    <xf numFmtId="0" fontId="25" fillId="0" borderId="115" xfId="0" applyFont="1" applyBorder="1"/>
    <xf numFmtId="0" fontId="23" fillId="3" borderId="116" xfId="0" applyFont="1" applyFill="1" applyBorder="1"/>
    <xf numFmtId="0" fontId="24" fillId="0" borderId="16" xfId="0" applyFont="1" applyBorder="1"/>
    <xf numFmtId="0" fontId="24" fillId="0" borderId="17" xfId="0" applyFont="1" applyFill="1" applyBorder="1"/>
    <xf numFmtId="0" fontId="43" fillId="14" borderId="117" xfId="0" applyFont="1" applyFill="1" applyBorder="1"/>
    <xf numFmtId="0" fontId="44" fillId="0" borderId="118" xfId="0" applyFont="1" applyFill="1" applyBorder="1"/>
    <xf numFmtId="0" fontId="44" fillId="0" borderId="119" xfId="0" applyFont="1" applyFill="1" applyBorder="1"/>
    <xf numFmtId="0" fontId="45" fillId="0" borderId="120" xfId="0" applyFont="1" applyFill="1" applyBorder="1"/>
    <xf numFmtId="0" fontId="24" fillId="4" borderId="17" xfId="0" applyFont="1" applyFill="1" applyBorder="1"/>
    <xf numFmtId="0" fontId="24" fillId="4" borderId="19" xfId="0" applyFont="1" applyFill="1" applyBorder="1"/>
    <xf numFmtId="0" fontId="26" fillId="4" borderId="24" xfId="0" applyFont="1" applyFill="1" applyBorder="1" applyAlignment="1">
      <alignment horizontal="right"/>
    </xf>
    <xf numFmtId="0" fontId="0" fillId="0" borderId="0" xfId="0" applyFill="1" applyBorder="1" applyAlignment="1">
      <alignment wrapText="1"/>
    </xf>
    <xf numFmtId="169" fontId="0" fillId="4" borderId="0" xfId="0" applyNumberFormat="1" applyFill="1" applyBorder="1"/>
    <xf numFmtId="0" fontId="0" fillId="4" borderId="105" xfId="0" applyFill="1" applyBorder="1"/>
    <xf numFmtId="169" fontId="0" fillId="4" borderId="106" xfId="0" applyNumberFormat="1" applyFill="1" applyBorder="1"/>
    <xf numFmtId="9" fontId="0" fillId="4" borderId="30" xfId="3" applyFont="1" applyFill="1" applyBorder="1"/>
    <xf numFmtId="6" fontId="22" fillId="0" borderId="0" xfId="0" applyNumberFormat="1" applyFont="1"/>
    <xf numFmtId="0" fontId="0" fillId="0" borderId="0" xfId="0" quotePrefix="1" applyBorder="1" applyAlignment="1">
      <alignment wrapText="1"/>
    </xf>
    <xf numFmtId="178" fontId="33" fillId="0" borderId="0" xfId="1" applyNumberFormat="1" applyFont="1" applyBorder="1" applyAlignment="1">
      <alignment horizontal="right"/>
    </xf>
    <xf numFmtId="0" fontId="25" fillId="4" borderId="5" xfId="4" applyFont="1" applyFill="1"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11" borderId="53" xfId="0" applyFont="1" applyFill="1" applyBorder="1" applyAlignment="1">
      <alignment horizontal="center" vertical="center" wrapText="1"/>
    </xf>
    <xf numFmtId="0" fontId="18" fillId="11" borderId="51" xfId="0" applyFont="1" applyFill="1" applyBorder="1" applyAlignment="1">
      <alignment horizontal="center" vertical="center" wrapText="1"/>
    </xf>
    <xf numFmtId="3" fontId="18" fillId="11" borderId="53" xfId="0" applyNumberFormat="1" applyFont="1" applyFill="1" applyBorder="1" applyAlignment="1">
      <alignment horizontal="center" vertical="center" wrapText="1"/>
    </xf>
    <xf numFmtId="3" fontId="18" fillId="11" borderId="51" xfId="0" applyNumberFormat="1" applyFont="1" applyFill="1" applyBorder="1" applyAlignment="1">
      <alignment horizontal="center" vertical="center" wrapText="1"/>
    </xf>
  </cellXfs>
  <cellStyles count="145">
    <cellStyle name="Comma" xfId="1" builtinId="3"/>
    <cellStyle name="Comma 2" xfId="5" xr:uid="{00000000-0005-0000-0000-000001000000}"/>
    <cellStyle name="Comma 3" xfId="10" xr:uid="{00000000-0005-0000-0000-000002000000}"/>
    <cellStyle name="Currency" xfId="2" builtinId="4"/>
    <cellStyle name="Currency 2" xfId="6" xr:uid="{00000000-0005-0000-0000-000004000000}"/>
    <cellStyle name="Currency 3" xfId="12" xr:uid="{00000000-0005-0000-0000-000005000000}"/>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Hyperlink" xfId="8" builtinId="8"/>
    <cellStyle name="Normal" xfId="0" builtinId="0"/>
    <cellStyle name="Normal 2" xfId="4" xr:uid="{00000000-0005-0000-0000-00008B000000}"/>
    <cellStyle name="Normal 2 2" xfId="7" xr:uid="{00000000-0005-0000-0000-00008C000000}"/>
    <cellStyle name="Normal 2 3" xfId="144" xr:uid="{00000000-0005-0000-0000-00008D000000}"/>
    <cellStyle name="Normal 3" xfId="9" xr:uid="{00000000-0005-0000-0000-00008E000000}"/>
    <cellStyle name="Percent" xfId="3" builtinId="5"/>
    <cellStyle name="Percent 2" xfId="11" xr:uid="{00000000-0005-0000-0000-00009000000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Metalub</a:t>
            </a:r>
            <a:r>
              <a:rPr lang="en-US" baseline="0"/>
              <a:t> - Ingresos por Año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'Summary Cash Flows'!$B$7</c:f>
              <c:strCache>
                <c:ptCount val="1"/>
                <c:pt idx="0">
                  <c:v>Base Oil</c:v>
                </c:pt>
              </c:strCache>
            </c:strRef>
          </c:tx>
          <c:spPr>
            <a:solidFill>
              <a:schemeClr val="accent2"/>
            </a:solidFill>
            <a:ln>
              <a:noFill/>
            </a:ln>
            <a:effectLst/>
          </c:spPr>
          <c:invertIfNegative val="0"/>
          <c:cat>
            <c:strRef>
              <c:f>'Summary Cash Flows'!$C$5:$K$5</c:f>
              <c:strCache>
                <c:ptCount val="9"/>
                <c:pt idx="0">
                  <c:v>2018</c:v>
                </c:pt>
                <c:pt idx="1">
                  <c:v>2019</c:v>
                </c:pt>
                <c:pt idx="2">
                  <c:v>2020</c:v>
                </c:pt>
                <c:pt idx="3">
                  <c:v>2021</c:v>
                </c:pt>
                <c:pt idx="4">
                  <c:v>2022</c:v>
                </c:pt>
                <c:pt idx="5">
                  <c:v>2023</c:v>
                </c:pt>
                <c:pt idx="6">
                  <c:v>2024</c:v>
                </c:pt>
                <c:pt idx="7">
                  <c:v>2025</c:v>
                </c:pt>
                <c:pt idx="8">
                  <c:v>2026</c:v>
                </c:pt>
              </c:strCache>
            </c:strRef>
          </c:cat>
          <c:val>
            <c:numRef>
              <c:f>'Summary Cash Flows'!$C$7:$K$7</c:f>
              <c:numCache>
                <c:formatCode>"$"#,##0_);[Red]\("$"#,##0\)</c:formatCode>
                <c:ptCount val="9"/>
                <c:pt idx="0">
                  <c:v>0</c:v>
                </c:pt>
                <c:pt idx="1">
                  <c:v>2291550.8940103771</c:v>
                </c:pt>
                <c:pt idx="2">
                  <c:v>1867091.679263728</c:v>
                </c:pt>
                <c:pt idx="3">
                  <c:v>1606426.0805886374</c:v>
                </c:pt>
                <c:pt idx="4">
                  <c:v>1271697.4119162047</c:v>
                </c:pt>
                <c:pt idx="5">
                  <c:v>1255022.5957710776</c:v>
                </c:pt>
                <c:pt idx="6">
                  <c:v>1220380.4663281897</c:v>
                </c:pt>
                <c:pt idx="7">
                  <c:v>1174475.0321592535</c:v>
                </c:pt>
                <c:pt idx="8">
                  <c:v>1131803.6580796672</c:v>
                </c:pt>
              </c:numCache>
            </c:numRef>
          </c:val>
          <c:extLst>
            <c:ext xmlns:c16="http://schemas.microsoft.com/office/drawing/2014/chart" uri="{C3380CC4-5D6E-409C-BE32-E72D297353CC}">
              <c16:uniqueId val="{00000001-31B3-42CB-B9D4-8DF360693F93}"/>
            </c:ext>
          </c:extLst>
        </c:ser>
        <c:ser>
          <c:idx val="2"/>
          <c:order val="1"/>
          <c:tx>
            <c:strRef>
              <c:f>'Summary Cash Flows'!$B$10</c:f>
              <c:strCache>
                <c:ptCount val="1"/>
                <c:pt idx="0">
                  <c:v>Blended Lubricants from CR Plant</c:v>
                </c:pt>
              </c:strCache>
            </c:strRef>
          </c:tx>
          <c:spPr>
            <a:solidFill>
              <a:schemeClr val="accent3"/>
            </a:solidFill>
            <a:ln>
              <a:noFill/>
            </a:ln>
            <a:effectLst/>
          </c:spPr>
          <c:invertIfNegative val="0"/>
          <c:cat>
            <c:strRef>
              <c:f>'Summary Cash Flows'!$C$5:$K$5</c:f>
              <c:strCache>
                <c:ptCount val="9"/>
                <c:pt idx="0">
                  <c:v>2018</c:v>
                </c:pt>
                <c:pt idx="1">
                  <c:v>2019</c:v>
                </c:pt>
                <c:pt idx="2">
                  <c:v>2020</c:v>
                </c:pt>
                <c:pt idx="3">
                  <c:v>2021</c:v>
                </c:pt>
                <c:pt idx="4">
                  <c:v>2022</c:v>
                </c:pt>
                <c:pt idx="5">
                  <c:v>2023</c:v>
                </c:pt>
                <c:pt idx="6">
                  <c:v>2024</c:v>
                </c:pt>
                <c:pt idx="7">
                  <c:v>2025</c:v>
                </c:pt>
                <c:pt idx="8">
                  <c:v>2026</c:v>
                </c:pt>
              </c:strCache>
            </c:strRef>
          </c:cat>
          <c:val>
            <c:numRef>
              <c:f>'Summary Cash Flows'!$C$10:$K$10</c:f>
              <c:numCache>
                <c:formatCode>"$"#,##0_);[Red]\("$"#,##0\)</c:formatCode>
                <c:ptCount val="9"/>
                <c:pt idx="0">
                  <c:v>0</c:v>
                </c:pt>
                <c:pt idx="1">
                  <c:v>2364802.677939232</c:v>
                </c:pt>
                <c:pt idx="2">
                  <c:v>4355873.9328496885</c:v>
                </c:pt>
                <c:pt idx="3">
                  <c:v>5729824.3499326939</c:v>
                </c:pt>
                <c:pt idx="4">
                  <c:v>7476885.9884419106</c:v>
                </c:pt>
                <c:pt idx="5">
                  <c:v>7792101.9604568621</c:v>
                </c:pt>
                <c:pt idx="6">
                  <c:v>8120203.6060693897</c:v>
                </c:pt>
                <c:pt idx="7">
                  <c:v>8473927.7046428546</c:v>
                </c:pt>
                <c:pt idx="8">
                  <c:v>8845160.9200001173</c:v>
                </c:pt>
              </c:numCache>
            </c:numRef>
          </c:val>
          <c:extLst>
            <c:ext xmlns:c16="http://schemas.microsoft.com/office/drawing/2014/chart" uri="{C3380CC4-5D6E-409C-BE32-E72D297353CC}">
              <c16:uniqueId val="{00000002-31B3-42CB-B9D4-8DF360693F93}"/>
            </c:ext>
          </c:extLst>
        </c:ser>
        <c:ser>
          <c:idx val="3"/>
          <c:order val="2"/>
          <c:tx>
            <c:strRef>
              <c:f>'Summary Cash Flows'!$B$11</c:f>
              <c:strCache>
                <c:ptCount val="1"/>
                <c:pt idx="0">
                  <c:v>Blended Lubricants from US Blender</c:v>
                </c:pt>
              </c:strCache>
            </c:strRef>
          </c:tx>
          <c:spPr>
            <a:solidFill>
              <a:schemeClr val="accent4"/>
            </a:solidFill>
            <a:ln>
              <a:noFill/>
            </a:ln>
            <a:effectLst/>
          </c:spPr>
          <c:invertIfNegative val="0"/>
          <c:cat>
            <c:strRef>
              <c:f>'Summary Cash Flows'!$C$5:$K$5</c:f>
              <c:strCache>
                <c:ptCount val="9"/>
                <c:pt idx="0">
                  <c:v>2018</c:v>
                </c:pt>
                <c:pt idx="1">
                  <c:v>2019</c:v>
                </c:pt>
                <c:pt idx="2">
                  <c:v>2020</c:v>
                </c:pt>
                <c:pt idx="3">
                  <c:v>2021</c:v>
                </c:pt>
                <c:pt idx="4">
                  <c:v>2022</c:v>
                </c:pt>
                <c:pt idx="5">
                  <c:v>2023</c:v>
                </c:pt>
                <c:pt idx="6">
                  <c:v>2024</c:v>
                </c:pt>
                <c:pt idx="7">
                  <c:v>2025</c:v>
                </c:pt>
                <c:pt idx="8">
                  <c:v>2026</c:v>
                </c:pt>
              </c:strCache>
            </c:strRef>
          </c:cat>
          <c:val>
            <c:numRef>
              <c:f>'Summary Cash Flows'!$C$11:$K$11</c:f>
              <c:numCache>
                <c:formatCode>"$"#,##0_);[Red]\("$"#,##0\)</c:formatCode>
                <c:ptCount val="9"/>
                <c:pt idx="0">
                  <c:v>1392981.8181818179</c:v>
                </c:pt>
                <c:pt idx="1">
                  <c:v>843652.34999999974</c:v>
                </c:pt>
                <c:pt idx="2">
                  <c:v>872016.34224272694</c:v>
                </c:pt>
                <c:pt idx="3">
                  <c:v>901353.50897860294</c:v>
                </c:pt>
                <c:pt idx="4">
                  <c:v>931697.94998718821</c:v>
                </c:pt>
                <c:pt idx="5">
                  <c:v>963084.98514174484</c:v>
                </c:pt>
                <c:pt idx="6">
                  <c:v>995551.19894339296</c:v>
                </c:pt>
                <c:pt idx="7">
                  <c:v>1029134.4867107654</c:v>
                </c:pt>
                <c:pt idx="8">
                  <c:v>1063874.102487708</c:v>
                </c:pt>
              </c:numCache>
            </c:numRef>
          </c:val>
          <c:extLst>
            <c:ext xmlns:c16="http://schemas.microsoft.com/office/drawing/2014/chart" uri="{C3380CC4-5D6E-409C-BE32-E72D297353CC}">
              <c16:uniqueId val="{00000003-31B3-42CB-B9D4-8DF360693F93}"/>
            </c:ext>
          </c:extLst>
        </c:ser>
        <c:ser>
          <c:idx val="4"/>
          <c:order val="3"/>
          <c:tx>
            <c:strRef>
              <c:f>'Summary Cash Flows'!$B$12</c:f>
              <c:strCache>
                <c:ptCount val="1"/>
                <c:pt idx="0">
                  <c:v>Lube Centers</c:v>
                </c:pt>
              </c:strCache>
            </c:strRef>
          </c:tx>
          <c:spPr>
            <a:solidFill>
              <a:schemeClr val="accent5"/>
            </a:solidFill>
            <a:ln>
              <a:noFill/>
            </a:ln>
            <a:effectLst/>
          </c:spPr>
          <c:invertIfNegative val="0"/>
          <c:cat>
            <c:strRef>
              <c:f>'Summary Cash Flows'!$C$5:$K$5</c:f>
              <c:strCache>
                <c:ptCount val="9"/>
                <c:pt idx="0">
                  <c:v>2018</c:v>
                </c:pt>
                <c:pt idx="1">
                  <c:v>2019</c:v>
                </c:pt>
                <c:pt idx="2">
                  <c:v>2020</c:v>
                </c:pt>
                <c:pt idx="3">
                  <c:v>2021</c:v>
                </c:pt>
                <c:pt idx="4">
                  <c:v>2022</c:v>
                </c:pt>
                <c:pt idx="5">
                  <c:v>2023</c:v>
                </c:pt>
                <c:pt idx="6">
                  <c:v>2024</c:v>
                </c:pt>
                <c:pt idx="7">
                  <c:v>2025</c:v>
                </c:pt>
                <c:pt idx="8">
                  <c:v>2026</c:v>
                </c:pt>
              </c:strCache>
            </c:strRef>
          </c:cat>
          <c:val>
            <c:numRef>
              <c:f>'Summary Cash Flows'!$C$12:$K$12</c:f>
              <c:numCache>
                <c:formatCode>"$"#,##0_);[Red]\("$"#,##0\)</c:formatCode>
                <c:ptCount val="9"/>
                <c:pt idx="0">
                  <c:v>296640</c:v>
                </c:pt>
                <c:pt idx="1">
                  <c:v>814771.20000000007</c:v>
                </c:pt>
                <c:pt idx="2">
                  <c:v>906351.48288000026</c:v>
                </c:pt>
                <c:pt idx="3">
                  <c:v>1008225.3895557123</c:v>
                </c:pt>
                <c:pt idx="4">
                  <c:v>1121549.9233417744</c:v>
                </c:pt>
                <c:pt idx="5">
                  <c:v>1247612.13472539</c:v>
                </c:pt>
                <c:pt idx="6">
                  <c:v>1387843.7386685242</c:v>
                </c:pt>
                <c:pt idx="7">
                  <c:v>1500953.0033700089</c:v>
                </c:pt>
                <c:pt idx="8">
                  <c:v>1623280.6731446646</c:v>
                </c:pt>
              </c:numCache>
            </c:numRef>
          </c:val>
          <c:extLst>
            <c:ext xmlns:c16="http://schemas.microsoft.com/office/drawing/2014/chart" uri="{C3380CC4-5D6E-409C-BE32-E72D297353CC}">
              <c16:uniqueId val="{00000004-31B3-42CB-B9D4-8DF360693F93}"/>
            </c:ext>
          </c:extLst>
        </c:ser>
        <c:dLbls>
          <c:showLegendKey val="0"/>
          <c:showVal val="0"/>
          <c:showCatName val="0"/>
          <c:showSerName val="0"/>
          <c:showPercent val="0"/>
          <c:showBubbleSize val="0"/>
        </c:dLbls>
        <c:gapWidth val="219"/>
        <c:axId val="481809392"/>
        <c:axId val="481809720"/>
      </c:barChart>
      <c:catAx>
        <c:axId val="48180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809720"/>
        <c:crosses val="autoZero"/>
        <c:auto val="1"/>
        <c:lblAlgn val="ctr"/>
        <c:lblOffset val="100"/>
        <c:noMultiLvlLbl val="0"/>
      </c:catAx>
      <c:valAx>
        <c:axId val="4818097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809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Producción</a:t>
            </a:r>
            <a:r>
              <a:rPr lang="en-US" baseline="0"/>
              <a:t> Mensual en Litros - Planta</a:t>
            </a:r>
            <a:endParaRPr lang="en-US"/>
          </a:p>
        </c:rich>
      </c:tx>
      <c:layout>
        <c:manualLayout>
          <c:xMode val="edge"/>
          <c:yMode val="edge"/>
          <c:x val="0.3853037335850260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Graphs!$C$57</c:f>
              <c:strCache>
                <c:ptCount val="1"/>
                <c:pt idx="0">
                  <c:v>Base Oil</c:v>
                </c:pt>
              </c:strCache>
            </c:strRef>
          </c:tx>
          <c:spPr>
            <a:solidFill>
              <a:schemeClr val="accent1"/>
            </a:solidFill>
            <a:ln>
              <a:noFill/>
            </a:ln>
            <a:effectLst/>
          </c:spPr>
          <c:invertIfNegative val="0"/>
          <c:cat>
            <c:strRef>
              <c:extLst>
                <c:ext xmlns:c15="http://schemas.microsoft.com/office/drawing/2012/chart" uri="{02D57815-91ED-43cb-92C2-25804820EDAC}">
                  <c15:fullRef>
                    <c15:sqref>Graphs!$C$56:$N$56</c15:sqref>
                  </c15:fullRef>
                </c:ext>
              </c:extLst>
              <c:f>Graphs!$D$56:$N$56</c:f>
              <c:strCache>
                <c:ptCount val="11"/>
                <c:pt idx="0">
                  <c:v>2018</c:v>
                </c:pt>
                <c:pt idx="1">
                  <c:v>2019</c:v>
                </c:pt>
                <c:pt idx="2">
                  <c:v>2020</c:v>
                </c:pt>
                <c:pt idx="3">
                  <c:v>2021</c:v>
                </c:pt>
                <c:pt idx="4">
                  <c:v>2022</c:v>
                </c:pt>
                <c:pt idx="5">
                  <c:v>2023</c:v>
                </c:pt>
                <c:pt idx="6">
                  <c:v>2024</c:v>
                </c:pt>
                <c:pt idx="7">
                  <c:v>2025</c:v>
                </c:pt>
                <c:pt idx="8">
                  <c:v>2026</c:v>
                </c:pt>
                <c:pt idx="9">
                  <c:v>2027</c:v>
                </c:pt>
                <c:pt idx="10">
                  <c:v>2028</c:v>
                </c:pt>
              </c:strCache>
            </c:strRef>
          </c:cat>
          <c:val>
            <c:numRef>
              <c:extLst>
                <c:ext xmlns:c15="http://schemas.microsoft.com/office/drawing/2012/chart" uri="{02D57815-91ED-43cb-92C2-25804820EDAC}">
                  <c15:fullRef>
                    <c15:sqref>Graphs!$C$57:$N$57</c15:sqref>
                  </c15:fullRef>
                </c:ext>
              </c:extLst>
              <c:f>Graphs!$D$57:$N$57</c:f>
              <c:numCache>
                <c:formatCode>_(* #,##0_);_(* \(#,##0\);_(* "-"??_);_(@_)</c:formatCode>
                <c:ptCount val="11"/>
                <c:pt idx="0">
                  <c:v>0</c:v>
                </c:pt>
                <c:pt idx="1">
                  <c:v>300000</c:v>
                </c:pt>
                <c:pt idx="2">
                  <c:v>243750</c:v>
                </c:pt>
                <c:pt idx="3">
                  <c:v>206250</c:v>
                </c:pt>
                <c:pt idx="4">
                  <c:v>159375</c:v>
                </c:pt>
                <c:pt idx="5">
                  <c:v>152812.49999999997</c:v>
                </c:pt>
                <c:pt idx="6">
                  <c:v>146043.74999999997</c:v>
                </c:pt>
                <c:pt idx="7">
                  <c:v>139039.12499999994</c:v>
                </c:pt>
                <c:pt idx="8">
                  <c:v>131766.21749999997</c:v>
                </c:pt>
                <c:pt idx="9">
                  <c:v>124189.55564999995</c:v>
                </c:pt>
                <c:pt idx="10">
                  <c:v>116270.29328699992</c:v>
                </c:pt>
              </c:numCache>
            </c:numRef>
          </c:val>
          <c:extLst>
            <c:ext xmlns:c16="http://schemas.microsoft.com/office/drawing/2014/chart" uri="{C3380CC4-5D6E-409C-BE32-E72D297353CC}">
              <c16:uniqueId val="{00000000-49C4-487E-A24F-81EDCBB9346F}"/>
            </c:ext>
          </c:extLst>
        </c:ser>
        <c:ser>
          <c:idx val="1"/>
          <c:order val="1"/>
          <c:tx>
            <c:strRef>
              <c:f>Graphs!$C$58</c:f>
              <c:strCache>
                <c:ptCount val="1"/>
                <c:pt idx="0">
                  <c:v>Ag Oil</c:v>
                </c:pt>
              </c:strCache>
            </c:strRef>
          </c:tx>
          <c:spPr>
            <a:solidFill>
              <a:schemeClr val="accent2"/>
            </a:solidFill>
            <a:ln>
              <a:noFill/>
            </a:ln>
            <a:effectLst/>
          </c:spPr>
          <c:invertIfNegative val="0"/>
          <c:cat>
            <c:strRef>
              <c:extLst>
                <c:ext xmlns:c15="http://schemas.microsoft.com/office/drawing/2012/chart" uri="{02D57815-91ED-43cb-92C2-25804820EDAC}">
                  <c15:fullRef>
                    <c15:sqref>Graphs!$C$56:$N$56</c15:sqref>
                  </c15:fullRef>
                </c:ext>
              </c:extLst>
              <c:f>Graphs!$D$56:$N$56</c:f>
              <c:strCache>
                <c:ptCount val="11"/>
                <c:pt idx="0">
                  <c:v>2018</c:v>
                </c:pt>
                <c:pt idx="1">
                  <c:v>2019</c:v>
                </c:pt>
                <c:pt idx="2">
                  <c:v>2020</c:v>
                </c:pt>
                <c:pt idx="3">
                  <c:v>2021</c:v>
                </c:pt>
                <c:pt idx="4">
                  <c:v>2022</c:v>
                </c:pt>
                <c:pt idx="5">
                  <c:v>2023</c:v>
                </c:pt>
                <c:pt idx="6">
                  <c:v>2024</c:v>
                </c:pt>
                <c:pt idx="7">
                  <c:v>2025</c:v>
                </c:pt>
                <c:pt idx="8">
                  <c:v>2026</c:v>
                </c:pt>
                <c:pt idx="9">
                  <c:v>2027</c:v>
                </c:pt>
                <c:pt idx="10">
                  <c:v>2028</c:v>
                </c:pt>
              </c:strCache>
            </c:strRef>
          </c:cat>
          <c:val>
            <c:numRef>
              <c:extLst>
                <c:ext xmlns:c15="http://schemas.microsoft.com/office/drawing/2012/chart" uri="{02D57815-91ED-43cb-92C2-25804820EDAC}">
                  <c15:fullRef>
                    <c15:sqref>Graphs!$C$58:$N$58</c15:sqref>
                  </c15:fullRef>
                </c:ext>
              </c:extLst>
              <c:f>Graphs!$D$58:$N$58</c:f>
              <c:numCache>
                <c:formatCode>_(* #,##0_);_(* \(#,##0\);_(* "-"??_);_(@_)</c:formatCode>
                <c:ptCount val="11"/>
                <c:pt idx="0">
                  <c:v>0</c:v>
                </c:pt>
                <c:pt idx="1">
                  <c:v>0</c:v>
                </c:pt>
                <c:pt idx="2">
                  <c:v>0</c:v>
                </c:pt>
                <c:pt idx="3">
                  <c:v>18750</c:v>
                </c:pt>
                <c:pt idx="4">
                  <c:v>28125.000000000004</c:v>
                </c:pt>
                <c:pt idx="5">
                  <c:v>30937.500000000007</c:v>
                </c:pt>
                <c:pt idx="6">
                  <c:v>34031.250000000007</c:v>
                </c:pt>
                <c:pt idx="7">
                  <c:v>37434.375000000015</c:v>
                </c:pt>
                <c:pt idx="8">
                  <c:v>41177.812500000022</c:v>
                </c:pt>
                <c:pt idx="9">
                  <c:v>45295.593750000029</c:v>
                </c:pt>
                <c:pt idx="10">
                  <c:v>49825.153125000033</c:v>
                </c:pt>
              </c:numCache>
            </c:numRef>
          </c:val>
          <c:extLst>
            <c:ext xmlns:c16="http://schemas.microsoft.com/office/drawing/2014/chart" uri="{C3380CC4-5D6E-409C-BE32-E72D297353CC}">
              <c16:uniqueId val="{00000001-49C4-487E-A24F-81EDCBB9346F}"/>
            </c:ext>
          </c:extLst>
        </c:ser>
        <c:ser>
          <c:idx val="3"/>
          <c:order val="3"/>
          <c:tx>
            <c:strRef>
              <c:f>Graphs!$C$60</c:f>
              <c:strCache>
                <c:ptCount val="1"/>
                <c:pt idx="0">
                  <c:v>Blended Lubes CR Plant</c:v>
                </c:pt>
              </c:strCache>
            </c:strRef>
          </c:tx>
          <c:spPr>
            <a:solidFill>
              <a:schemeClr val="accent4"/>
            </a:solidFill>
            <a:ln>
              <a:noFill/>
            </a:ln>
            <a:effectLst/>
          </c:spPr>
          <c:invertIfNegative val="0"/>
          <c:cat>
            <c:strRef>
              <c:extLst>
                <c:ext xmlns:c15="http://schemas.microsoft.com/office/drawing/2012/chart" uri="{02D57815-91ED-43cb-92C2-25804820EDAC}">
                  <c15:fullRef>
                    <c15:sqref>Graphs!$C$56:$N$56</c15:sqref>
                  </c15:fullRef>
                </c:ext>
              </c:extLst>
              <c:f>Graphs!$D$56:$N$56</c:f>
              <c:strCache>
                <c:ptCount val="11"/>
                <c:pt idx="0">
                  <c:v>2018</c:v>
                </c:pt>
                <c:pt idx="1">
                  <c:v>2019</c:v>
                </c:pt>
                <c:pt idx="2">
                  <c:v>2020</c:v>
                </c:pt>
                <c:pt idx="3">
                  <c:v>2021</c:v>
                </c:pt>
                <c:pt idx="4">
                  <c:v>2022</c:v>
                </c:pt>
                <c:pt idx="5">
                  <c:v>2023</c:v>
                </c:pt>
                <c:pt idx="6">
                  <c:v>2024</c:v>
                </c:pt>
                <c:pt idx="7">
                  <c:v>2025</c:v>
                </c:pt>
                <c:pt idx="8">
                  <c:v>2026</c:v>
                </c:pt>
                <c:pt idx="9">
                  <c:v>2027</c:v>
                </c:pt>
                <c:pt idx="10">
                  <c:v>2028</c:v>
                </c:pt>
              </c:strCache>
            </c:strRef>
          </c:cat>
          <c:val>
            <c:numRef>
              <c:extLst>
                <c:ext xmlns:c15="http://schemas.microsoft.com/office/drawing/2012/chart" uri="{02D57815-91ED-43cb-92C2-25804820EDAC}">
                  <c15:fullRef>
                    <c15:sqref>Graphs!$C$60:$N$60</c15:sqref>
                  </c15:fullRef>
                </c:ext>
              </c:extLst>
              <c:f>Graphs!$D$60:$N$60</c:f>
              <c:numCache>
                <c:formatCode>_(* #,##0_);_(* \(#,##0\);_(* "-"??_);_(@_)</c:formatCode>
                <c:ptCount val="11"/>
                <c:pt idx="0">
                  <c:v>0</c:v>
                </c:pt>
                <c:pt idx="1">
                  <c:v>87186.261558784638</c:v>
                </c:pt>
                <c:pt idx="2">
                  <c:v>152575.95772787317</c:v>
                </c:pt>
                <c:pt idx="3">
                  <c:v>196169.08850726552</c:v>
                </c:pt>
                <c:pt idx="4">
                  <c:v>250660.50198150595</c:v>
                </c:pt>
                <c:pt idx="5">
                  <c:v>258289.29986789962</c:v>
                </c:pt>
                <c:pt idx="6">
                  <c:v>266157.85997357994</c:v>
                </c:pt>
                <c:pt idx="7">
                  <c:v>274300.62087186269</c:v>
                </c:pt>
                <c:pt idx="8">
                  <c:v>282755.25574636727</c:v>
                </c:pt>
                <c:pt idx="9">
                  <c:v>291563.00003698817</c:v>
                </c:pt>
                <c:pt idx="10">
                  <c:v>300769.01176676364</c:v>
                </c:pt>
              </c:numCache>
            </c:numRef>
          </c:val>
          <c:extLst>
            <c:ext xmlns:c16="http://schemas.microsoft.com/office/drawing/2014/chart" uri="{C3380CC4-5D6E-409C-BE32-E72D297353CC}">
              <c16:uniqueId val="{00000003-49C4-487E-A24F-81EDCBB9346F}"/>
            </c:ext>
          </c:extLst>
        </c:ser>
        <c:ser>
          <c:idx val="4"/>
          <c:order val="4"/>
          <c:tx>
            <c:strRef>
              <c:f>Graphs!$C$61</c:f>
              <c:strCache>
                <c:ptCount val="1"/>
                <c:pt idx="0">
                  <c:v>Blended Lubes from US</c:v>
                </c:pt>
              </c:strCache>
            </c:strRef>
          </c:tx>
          <c:spPr>
            <a:solidFill>
              <a:schemeClr val="accent5"/>
            </a:solidFill>
            <a:ln>
              <a:noFill/>
            </a:ln>
            <a:effectLst/>
          </c:spPr>
          <c:invertIfNegative val="0"/>
          <c:cat>
            <c:strRef>
              <c:extLst>
                <c:ext xmlns:c15="http://schemas.microsoft.com/office/drawing/2012/chart" uri="{02D57815-91ED-43cb-92C2-25804820EDAC}">
                  <c15:fullRef>
                    <c15:sqref>Graphs!$C$56:$N$56</c15:sqref>
                  </c15:fullRef>
                </c:ext>
              </c:extLst>
              <c:f>Graphs!$D$56:$N$56</c:f>
              <c:strCache>
                <c:ptCount val="11"/>
                <c:pt idx="0">
                  <c:v>2018</c:v>
                </c:pt>
                <c:pt idx="1">
                  <c:v>2019</c:v>
                </c:pt>
                <c:pt idx="2">
                  <c:v>2020</c:v>
                </c:pt>
                <c:pt idx="3">
                  <c:v>2021</c:v>
                </c:pt>
                <c:pt idx="4">
                  <c:v>2022</c:v>
                </c:pt>
                <c:pt idx="5">
                  <c:v>2023</c:v>
                </c:pt>
                <c:pt idx="6">
                  <c:v>2024</c:v>
                </c:pt>
                <c:pt idx="7">
                  <c:v>2025</c:v>
                </c:pt>
                <c:pt idx="8">
                  <c:v>2026</c:v>
                </c:pt>
                <c:pt idx="9">
                  <c:v>2027</c:v>
                </c:pt>
                <c:pt idx="10">
                  <c:v>2028</c:v>
                </c:pt>
              </c:strCache>
            </c:strRef>
          </c:cat>
          <c:val>
            <c:numRef>
              <c:extLst>
                <c:ext xmlns:c15="http://schemas.microsoft.com/office/drawing/2012/chart" uri="{02D57815-91ED-43cb-92C2-25804820EDAC}">
                  <c15:fullRef>
                    <c15:sqref>Graphs!$C$61:$N$61</c15:sqref>
                  </c15:fullRef>
                </c:ext>
              </c:extLst>
              <c:f>Graphs!$D$61:$N$61</c:f>
              <c:numCache>
                <c:formatCode>_(* #,##0_);_(* \(#,##0\);_(* "-"??_);_(@_)</c:formatCode>
                <c:ptCount val="11"/>
                <c:pt idx="0">
                  <c:v>40000</c:v>
                </c:pt>
                <c:pt idx="1">
                  <c:v>25000</c:v>
                </c:pt>
                <c:pt idx="2">
                  <c:v>25500</c:v>
                </c:pt>
                <c:pt idx="3">
                  <c:v>26010</c:v>
                </c:pt>
                <c:pt idx="4">
                  <c:v>26530.2</c:v>
                </c:pt>
                <c:pt idx="5">
                  <c:v>27060.804</c:v>
                </c:pt>
                <c:pt idx="6">
                  <c:v>27602.020080000002</c:v>
                </c:pt>
                <c:pt idx="7">
                  <c:v>28154.060481600001</c:v>
                </c:pt>
                <c:pt idx="8">
                  <c:v>28717.141691232002</c:v>
                </c:pt>
                <c:pt idx="9">
                  <c:v>29291.484525056643</c:v>
                </c:pt>
                <c:pt idx="10">
                  <c:v>29877.314215557777</c:v>
                </c:pt>
              </c:numCache>
            </c:numRef>
          </c:val>
          <c:extLst>
            <c:ext xmlns:c16="http://schemas.microsoft.com/office/drawing/2014/chart" uri="{C3380CC4-5D6E-409C-BE32-E72D297353CC}">
              <c16:uniqueId val="{00000004-49C4-487E-A24F-81EDCBB9346F}"/>
            </c:ext>
          </c:extLst>
        </c:ser>
        <c:ser>
          <c:idx val="5"/>
          <c:order val="5"/>
          <c:tx>
            <c:strRef>
              <c:f>Graphs!$C$62</c:f>
              <c:strCache>
                <c:ptCount val="1"/>
                <c:pt idx="0">
                  <c:v>Lube Centers</c:v>
                </c:pt>
              </c:strCache>
            </c:strRef>
          </c:tx>
          <c:spPr>
            <a:solidFill>
              <a:schemeClr val="accent6"/>
            </a:solidFill>
            <a:ln>
              <a:noFill/>
            </a:ln>
            <a:effectLst/>
          </c:spPr>
          <c:invertIfNegative val="0"/>
          <c:cat>
            <c:strRef>
              <c:extLst>
                <c:ext xmlns:c15="http://schemas.microsoft.com/office/drawing/2012/chart" uri="{02D57815-91ED-43cb-92C2-25804820EDAC}">
                  <c15:fullRef>
                    <c15:sqref>Graphs!$C$56:$N$56</c15:sqref>
                  </c15:fullRef>
                </c:ext>
              </c:extLst>
              <c:f>Graphs!$D$56:$N$56</c:f>
              <c:strCache>
                <c:ptCount val="11"/>
                <c:pt idx="0">
                  <c:v>2018</c:v>
                </c:pt>
                <c:pt idx="1">
                  <c:v>2019</c:v>
                </c:pt>
                <c:pt idx="2">
                  <c:v>2020</c:v>
                </c:pt>
                <c:pt idx="3">
                  <c:v>2021</c:v>
                </c:pt>
                <c:pt idx="4">
                  <c:v>2022</c:v>
                </c:pt>
                <c:pt idx="5">
                  <c:v>2023</c:v>
                </c:pt>
                <c:pt idx="6">
                  <c:v>2024</c:v>
                </c:pt>
                <c:pt idx="7">
                  <c:v>2025</c:v>
                </c:pt>
                <c:pt idx="8">
                  <c:v>2026</c:v>
                </c:pt>
                <c:pt idx="9">
                  <c:v>2027</c:v>
                </c:pt>
                <c:pt idx="10">
                  <c:v>2028</c:v>
                </c:pt>
              </c:strCache>
            </c:strRef>
          </c:cat>
          <c:val>
            <c:numRef>
              <c:extLst>
                <c:ext xmlns:c15="http://schemas.microsoft.com/office/drawing/2012/chart" uri="{02D57815-91ED-43cb-92C2-25804820EDAC}">
                  <c15:fullRef>
                    <c15:sqref>Graphs!$C$62:$N$62</c15:sqref>
                  </c15:fullRef>
                </c:ext>
              </c:extLst>
              <c:f>Graphs!$D$62:$N$62</c:f>
              <c:numCache>
                <c:formatCode>_(* #,##0_);_(* \(#,##0\);_(* "-"??_);_(@_)</c:formatCode>
                <c:ptCount val="11"/>
                <c:pt idx="0">
                  <c:v>3000</c:v>
                </c:pt>
                <c:pt idx="1">
                  <c:v>8000</c:v>
                </c:pt>
                <c:pt idx="2">
                  <c:v>8640</c:v>
                </c:pt>
                <c:pt idx="3">
                  <c:v>9331.2000000000007</c:v>
                </c:pt>
                <c:pt idx="4">
                  <c:v>10077.696000000002</c:v>
                </c:pt>
                <c:pt idx="5">
                  <c:v>10883.911680000003</c:v>
                </c:pt>
                <c:pt idx="6">
                  <c:v>11754.624614400003</c:v>
                </c:pt>
                <c:pt idx="7">
                  <c:v>12342.355845120004</c:v>
                </c:pt>
                <c:pt idx="8">
                  <c:v>12959.473637376006</c:v>
                </c:pt>
                <c:pt idx="9">
                  <c:v>13607.447319244806</c:v>
                </c:pt>
                <c:pt idx="10">
                  <c:v>14287.819685207049</c:v>
                </c:pt>
              </c:numCache>
            </c:numRef>
          </c:val>
          <c:extLst>
            <c:ext xmlns:c16="http://schemas.microsoft.com/office/drawing/2014/chart" uri="{C3380CC4-5D6E-409C-BE32-E72D297353CC}">
              <c16:uniqueId val="{00000005-49C4-487E-A24F-81EDCBB9346F}"/>
            </c:ext>
          </c:extLst>
        </c:ser>
        <c:dLbls>
          <c:showLegendKey val="0"/>
          <c:showVal val="0"/>
          <c:showCatName val="0"/>
          <c:showSerName val="0"/>
          <c:showPercent val="0"/>
          <c:showBubbleSize val="0"/>
        </c:dLbls>
        <c:gapWidth val="219"/>
        <c:overlap val="-27"/>
        <c:axId val="447304360"/>
        <c:axId val="447304688"/>
        <c:extLst>
          <c:ext xmlns:c15="http://schemas.microsoft.com/office/drawing/2012/chart" uri="{02D57815-91ED-43cb-92C2-25804820EDAC}">
            <c15:filteredBarSeries>
              <c15:ser>
                <c:idx val="2"/>
                <c:order val="2"/>
                <c:tx>
                  <c:strRef>
                    <c:extLst>
                      <c:ext uri="{02D57815-91ED-43cb-92C2-25804820EDAC}">
                        <c15:formulaRef>
                          <c15:sqref>Graphs!$C$59</c15:sqref>
                        </c15:formulaRef>
                      </c:ext>
                    </c:extLst>
                    <c:strCache>
                      <c:ptCount val="1"/>
                      <c:pt idx="0">
                        <c:v>Asphalt Extender</c:v>
                      </c:pt>
                    </c:strCache>
                  </c:strRef>
                </c:tx>
                <c:spPr>
                  <a:solidFill>
                    <a:schemeClr val="accent3"/>
                  </a:solidFill>
                  <a:ln>
                    <a:noFill/>
                  </a:ln>
                  <a:effectLst/>
                </c:spPr>
                <c:invertIfNegative val="0"/>
                <c:cat>
                  <c:strRef>
                    <c:extLst>
                      <c:ext uri="{02D57815-91ED-43cb-92C2-25804820EDAC}">
                        <c15:fullRef>
                          <c15:sqref>Graphs!$C$56:$N$56</c15:sqref>
                        </c15:fullRef>
                        <c15:formulaRef>
                          <c15:sqref>Graphs!$D$56:$N$56</c15:sqref>
                        </c15:formulaRef>
                      </c:ext>
                    </c:extLst>
                    <c:strCache>
                      <c:ptCount val="11"/>
                      <c:pt idx="0">
                        <c:v>2018</c:v>
                      </c:pt>
                      <c:pt idx="1">
                        <c:v>2019</c:v>
                      </c:pt>
                      <c:pt idx="2">
                        <c:v>2020</c:v>
                      </c:pt>
                      <c:pt idx="3">
                        <c:v>2021</c:v>
                      </c:pt>
                      <c:pt idx="4">
                        <c:v>2022</c:v>
                      </c:pt>
                      <c:pt idx="5">
                        <c:v>2023</c:v>
                      </c:pt>
                      <c:pt idx="6">
                        <c:v>2024</c:v>
                      </c:pt>
                      <c:pt idx="7">
                        <c:v>2025</c:v>
                      </c:pt>
                      <c:pt idx="8">
                        <c:v>2026</c:v>
                      </c:pt>
                      <c:pt idx="9">
                        <c:v>2027</c:v>
                      </c:pt>
                      <c:pt idx="10">
                        <c:v>2028</c:v>
                      </c:pt>
                    </c:strCache>
                  </c:strRef>
                </c:cat>
                <c:val>
                  <c:numRef>
                    <c:extLst>
                      <c:ext uri="{02D57815-91ED-43cb-92C2-25804820EDAC}">
                        <c15:fullRef>
                          <c15:sqref>Graphs!$C$59:$N$59</c15:sqref>
                        </c15:fullRef>
                        <c15:formulaRef>
                          <c15:sqref>Graphs!$D$59:$N$59</c15:sqref>
                        </c15:formulaRef>
                      </c:ext>
                    </c:extLst>
                    <c:numCache>
                      <c:formatCode>_(* #,##0_);_(* \(#,##0\);_(* "-"??_);_(@_)</c:formatCode>
                      <c:ptCount val="11"/>
                      <c:pt idx="0">
                        <c:v>0</c:v>
                      </c:pt>
                      <c:pt idx="1">
                        <c:v>50000</c:v>
                      </c:pt>
                      <c:pt idx="2">
                        <c:v>50000</c:v>
                      </c:pt>
                      <c:pt idx="3">
                        <c:v>50000</c:v>
                      </c:pt>
                      <c:pt idx="4">
                        <c:v>50000</c:v>
                      </c:pt>
                      <c:pt idx="5">
                        <c:v>50000</c:v>
                      </c:pt>
                      <c:pt idx="6">
                        <c:v>50000</c:v>
                      </c:pt>
                      <c:pt idx="7">
                        <c:v>50000</c:v>
                      </c:pt>
                      <c:pt idx="8">
                        <c:v>50000</c:v>
                      </c:pt>
                      <c:pt idx="9">
                        <c:v>50000</c:v>
                      </c:pt>
                      <c:pt idx="10">
                        <c:v>50000</c:v>
                      </c:pt>
                    </c:numCache>
                  </c:numRef>
                </c:val>
                <c:extLst>
                  <c:ext xmlns:c16="http://schemas.microsoft.com/office/drawing/2014/chart" uri="{C3380CC4-5D6E-409C-BE32-E72D297353CC}">
                    <c16:uniqueId val="{00000002-49C4-487E-A24F-81EDCBB9346F}"/>
                  </c:ext>
                </c:extLst>
              </c15:ser>
            </c15:filteredBarSeries>
          </c:ext>
        </c:extLst>
      </c:barChart>
      <c:catAx>
        <c:axId val="44730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304688"/>
        <c:crosses val="autoZero"/>
        <c:auto val="1"/>
        <c:lblAlgn val="ctr"/>
        <c:lblOffset val="100"/>
        <c:noMultiLvlLbl val="0"/>
      </c:catAx>
      <c:valAx>
        <c:axId val="447304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304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Precios por 15W-40 Diesel (Estañon)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Graphs!$C$69</c:f>
              <c:strCache>
                <c:ptCount val="1"/>
                <c:pt idx="0">
                  <c:v>Modelo de negocias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Graphs!$D$68:$N$68</c:f>
              <c:strCache>
                <c:ptCount val="11"/>
                <c:pt idx="0">
                  <c:v>2018</c:v>
                </c:pt>
                <c:pt idx="1">
                  <c:v>2019</c:v>
                </c:pt>
                <c:pt idx="2">
                  <c:v>2020</c:v>
                </c:pt>
                <c:pt idx="3">
                  <c:v>2021</c:v>
                </c:pt>
                <c:pt idx="4">
                  <c:v>2022</c:v>
                </c:pt>
                <c:pt idx="5">
                  <c:v>2023</c:v>
                </c:pt>
                <c:pt idx="6">
                  <c:v>2024</c:v>
                </c:pt>
                <c:pt idx="7">
                  <c:v>2025</c:v>
                </c:pt>
                <c:pt idx="8">
                  <c:v>2026</c:v>
                </c:pt>
                <c:pt idx="9">
                  <c:v>2027</c:v>
                </c:pt>
                <c:pt idx="10">
                  <c:v>2028</c:v>
                </c:pt>
              </c:strCache>
            </c:strRef>
          </c:cat>
          <c:val>
            <c:numRef>
              <c:f>Graphs!$D$69:$N$69</c:f>
              <c:numCache>
                <c:formatCode>"$"#,##0_);[Red]\("$"#,##0\)</c:formatCode>
                <c:ptCount val="11"/>
                <c:pt idx="0">
                  <c:v>600</c:v>
                </c:pt>
                <c:pt idx="1">
                  <c:v>612</c:v>
                </c:pt>
                <c:pt idx="2">
                  <c:v>624.24</c:v>
                </c:pt>
                <c:pt idx="3">
                  <c:v>636.72480000000007</c:v>
                </c:pt>
                <c:pt idx="4">
                  <c:v>649.45929600000011</c:v>
                </c:pt>
                <c:pt idx="5">
                  <c:v>662.44848192000018</c:v>
                </c:pt>
                <c:pt idx="6">
                  <c:v>675.69745155840019</c:v>
                </c:pt>
                <c:pt idx="7">
                  <c:v>689.21140058956826</c:v>
                </c:pt>
                <c:pt idx="8">
                  <c:v>702.99562860135961</c:v>
                </c:pt>
                <c:pt idx="9">
                  <c:v>717.05554117338681</c:v>
                </c:pt>
                <c:pt idx="10">
                  <c:v>731.39665199685453</c:v>
                </c:pt>
              </c:numCache>
            </c:numRef>
          </c:val>
          <c:smooth val="0"/>
          <c:extLst>
            <c:ext xmlns:c16="http://schemas.microsoft.com/office/drawing/2014/chart" uri="{C3380CC4-5D6E-409C-BE32-E72D297353CC}">
              <c16:uniqueId val="{00000000-ED18-4991-96EC-9C76C44404CC}"/>
            </c:ext>
          </c:extLst>
        </c:ser>
        <c:ser>
          <c:idx val="1"/>
          <c:order val="1"/>
          <c:tx>
            <c:strRef>
              <c:f>Graphs!$C$70</c:f>
              <c:strCache>
                <c:ptCount val="1"/>
                <c:pt idx="0">
                  <c:v>Metalub precios actual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Graphs!$D$68:$N$68</c:f>
              <c:strCache>
                <c:ptCount val="11"/>
                <c:pt idx="0">
                  <c:v>2018</c:v>
                </c:pt>
                <c:pt idx="1">
                  <c:v>2019</c:v>
                </c:pt>
                <c:pt idx="2">
                  <c:v>2020</c:v>
                </c:pt>
                <c:pt idx="3">
                  <c:v>2021</c:v>
                </c:pt>
                <c:pt idx="4">
                  <c:v>2022</c:v>
                </c:pt>
                <c:pt idx="5">
                  <c:v>2023</c:v>
                </c:pt>
                <c:pt idx="6">
                  <c:v>2024</c:v>
                </c:pt>
                <c:pt idx="7">
                  <c:v>2025</c:v>
                </c:pt>
                <c:pt idx="8">
                  <c:v>2026</c:v>
                </c:pt>
                <c:pt idx="9">
                  <c:v>2027</c:v>
                </c:pt>
                <c:pt idx="10">
                  <c:v>2028</c:v>
                </c:pt>
              </c:strCache>
            </c:strRef>
          </c:cat>
          <c:val>
            <c:numRef>
              <c:f>Graphs!$D$70:$N$70</c:f>
              <c:numCache>
                <c:formatCode>"$"#,##0_);[Red]\("$"#,##0\)</c:formatCode>
                <c:ptCount val="11"/>
                <c:pt idx="0">
                  <c:v>700</c:v>
                </c:pt>
                <c:pt idx="1">
                  <c:v>714</c:v>
                </c:pt>
                <c:pt idx="2">
                  <c:v>728.28</c:v>
                </c:pt>
                <c:pt idx="3">
                  <c:v>742.84559999999999</c:v>
                </c:pt>
                <c:pt idx="4">
                  <c:v>757.70251199999996</c:v>
                </c:pt>
                <c:pt idx="5">
                  <c:v>772.85656224000002</c:v>
                </c:pt>
                <c:pt idx="6">
                  <c:v>788.31369348480007</c:v>
                </c:pt>
                <c:pt idx="7">
                  <c:v>804.07996735449603</c:v>
                </c:pt>
                <c:pt idx="8">
                  <c:v>820.16156670158603</c:v>
                </c:pt>
                <c:pt idx="9">
                  <c:v>836.56479803561774</c:v>
                </c:pt>
                <c:pt idx="10">
                  <c:v>853.29609399633011</c:v>
                </c:pt>
              </c:numCache>
            </c:numRef>
          </c:val>
          <c:smooth val="0"/>
          <c:extLst>
            <c:ext xmlns:c16="http://schemas.microsoft.com/office/drawing/2014/chart" uri="{C3380CC4-5D6E-409C-BE32-E72D297353CC}">
              <c16:uniqueId val="{00000001-ED18-4991-96EC-9C76C44404CC}"/>
            </c:ext>
          </c:extLst>
        </c:ser>
        <c:dLbls>
          <c:showLegendKey val="0"/>
          <c:showVal val="0"/>
          <c:showCatName val="0"/>
          <c:showSerName val="0"/>
          <c:showPercent val="0"/>
          <c:showBubbleSize val="0"/>
        </c:dLbls>
        <c:marker val="1"/>
        <c:smooth val="0"/>
        <c:axId val="539667160"/>
        <c:axId val="539678640"/>
      </c:lineChart>
      <c:catAx>
        <c:axId val="539667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78640"/>
        <c:crosses val="autoZero"/>
        <c:auto val="1"/>
        <c:lblAlgn val="ctr"/>
        <c:lblOffset val="100"/>
        <c:noMultiLvlLbl val="0"/>
      </c:catAx>
      <c:valAx>
        <c:axId val="539678640"/>
        <c:scaling>
          <c:orientation val="minMax"/>
          <c:min val="400"/>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667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12 Year </a:t>
            </a:r>
            <a:r>
              <a:rPr lang="en-US"/>
              <a:t>Base Oil and Crude Trends</a:t>
            </a:r>
          </a:p>
        </c:rich>
      </c:tx>
      <c:overlay val="1"/>
    </c:title>
    <c:autoTitleDeleted val="0"/>
    <c:plotArea>
      <c:layout>
        <c:manualLayout>
          <c:layoutTarget val="inner"/>
          <c:xMode val="edge"/>
          <c:yMode val="edge"/>
          <c:x val="6.2127367567298801E-2"/>
          <c:y val="2.56953665855248E-2"/>
          <c:w val="0.93210686732134596"/>
          <c:h val="0.82994251969464905"/>
        </c:manualLayout>
      </c:layout>
      <c:lineChart>
        <c:grouping val="standard"/>
        <c:varyColors val="0"/>
        <c:ser>
          <c:idx val="0"/>
          <c:order val="0"/>
          <c:tx>
            <c:strRef>
              <c:f>'Base Oil Trends'!$A$4</c:f>
              <c:strCache>
                <c:ptCount val="1"/>
                <c:pt idx="0">
                  <c:v>Base Oil G1 Cost/Gal</c:v>
                </c:pt>
              </c:strCache>
            </c:strRef>
          </c:tx>
          <c:marker>
            <c:symbol val="none"/>
          </c:marker>
          <c:cat>
            <c:numRef>
              <c:f>'Base Oil Trends'!$B$3:$EQ$3</c:f>
              <c:numCache>
                <c:formatCode>mmm\-yy</c:formatCode>
                <c:ptCount val="146"/>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numCache>
            </c:numRef>
          </c:cat>
          <c:val>
            <c:numRef>
              <c:f>'Base Oil Trends'!$B$4:$EQ$4</c:f>
              <c:numCache>
                <c:formatCode>_("$"* #,##0.00_);_("$"* \(#,##0.00\);_("$"* "-"??_);_(@_)</c:formatCode>
                <c:ptCount val="146"/>
                <c:pt idx="0">
                  <c:v>1.78</c:v>
                </c:pt>
                <c:pt idx="1">
                  <c:v>1.78</c:v>
                </c:pt>
                <c:pt idx="2">
                  <c:v>1.78</c:v>
                </c:pt>
                <c:pt idx="3">
                  <c:v>1.78</c:v>
                </c:pt>
                <c:pt idx="4">
                  <c:v>1.8</c:v>
                </c:pt>
                <c:pt idx="5">
                  <c:v>1.9</c:v>
                </c:pt>
                <c:pt idx="6">
                  <c:v>1.9</c:v>
                </c:pt>
                <c:pt idx="7">
                  <c:v>2</c:v>
                </c:pt>
                <c:pt idx="8">
                  <c:v>2.0499999999999998</c:v>
                </c:pt>
                <c:pt idx="9">
                  <c:v>2.23</c:v>
                </c:pt>
                <c:pt idx="10">
                  <c:v>2.37</c:v>
                </c:pt>
                <c:pt idx="11">
                  <c:v>2.42</c:v>
                </c:pt>
                <c:pt idx="12">
                  <c:v>2.46</c:v>
                </c:pt>
                <c:pt idx="13">
                  <c:v>2.46</c:v>
                </c:pt>
                <c:pt idx="14">
                  <c:v>2.46</c:v>
                </c:pt>
                <c:pt idx="15">
                  <c:v>2.63</c:v>
                </c:pt>
                <c:pt idx="16">
                  <c:v>2.73</c:v>
                </c:pt>
                <c:pt idx="17">
                  <c:v>2.73</c:v>
                </c:pt>
                <c:pt idx="18">
                  <c:v>2.82</c:v>
                </c:pt>
                <c:pt idx="19">
                  <c:v>3</c:v>
                </c:pt>
                <c:pt idx="20">
                  <c:v>3</c:v>
                </c:pt>
                <c:pt idx="21">
                  <c:v>3.15</c:v>
                </c:pt>
                <c:pt idx="22">
                  <c:v>3.15</c:v>
                </c:pt>
                <c:pt idx="23">
                  <c:v>3.15</c:v>
                </c:pt>
                <c:pt idx="24">
                  <c:v>3.05</c:v>
                </c:pt>
                <c:pt idx="25">
                  <c:v>3.05</c:v>
                </c:pt>
                <c:pt idx="26">
                  <c:v>3</c:v>
                </c:pt>
                <c:pt idx="27">
                  <c:v>2.87</c:v>
                </c:pt>
                <c:pt idx="28">
                  <c:v>2.87</c:v>
                </c:pt>
                <c:pt idx="29">
                  <c:v>2.87</c:v>
                </c:pt>
                <c:pt idx="30">
                  <c:v>2.87</c:v>
                </c:pt>
                <c:pt idx="31">
                  <c:v>3</c:v>
                </c:pt>
                <c:pt idx="32">
                  <c:v>3.05</c:v>
                </c:pt>
                <c:pt idx="33">
                  <c:v>3.1</c:v>
                </c:pt>
                <c:pt idx="34">
                  <c:v>3.1</c:v>
                </c:pt>
                <c:pt idx="35">
                  <c:v>3.1</c:v>
                </c:pt>
                <c:pt idx="36">
                  <c:v>3.13</c:v>
                </c:pt>
                <c:pt idx="37">
                  <c:v>3.33</c:v>
                </c:pt>
                <c:pt idx="38">
                  <c:v>3.33</c:v>
                </c:pt>
                <c:pt idx="39">
                  <c:v>3.33</c:v>
                </c:pt>
                <c:pt idx="40">
                  <c:v>3.6</c:v>
                </c:pt>
                <c:pt idx="41">
                  <c:v>3.8</c:v>
                </c:pt>
                <c:pt idx="42">
                  <c:v>3.95</c:v>
                </c:pt>
                <c:pt idx="43">
                  <c:v>4.25</c:v>
                </c:pt>
                <c:pt idx="44">
                  <c:v>5.05</c:v>
                </c:pt>
                <c:pt idx="45">
                  <c:v>5.05</c:v>
                </c:pt>
                <c:pt idx="46">
                  <c:v>5.15</c:v>
                </c:pt>
                <c:pt idx="47">
                  <c:v>5.15</c:v>
                </c:pt>
                <c:pt idx="48">
                  <c:v>4.95</c:v>
                </c:pt>
                <c:pt idx="49">
                  <c:v>3.75</c:v>
                </c:pt>
                <c:pt idx="50">
                  <c:v>3.25</c:v>
                </c:pt>
                <c:pt idx="51">
                  <c:v>2.85</c:v>
                </c:pt>
                <c:pt idx="52">
                  <c:v>2.35</c:v>
                </c:pt>
                <c:pt idx="53">
                  <c:v>2.25</c:v>
                </c:pt>
                <c:pt idx="54">
                  <c:v>2.25</c:v>
                </c:pt>
                <c:pt idx="55">
                  <c:v>2.25</c:v>
                </c:pt>
                <c:pt idx="56">
                  <c:v>2.35</c:v>
                </c:pt>
                <c:pt idx="57">
                  <c:v>2.6</c:v>
                </c:pt>
                <c:pt idx="58">
                  <c:v>2.6</c:v>
                </c:pt>
                <c:pt idx="59">
                  <c:v>2.6</c:v>
                </c:pt>
                <c:pt idx="60">
                  <c:v>2.6</c:v>
                </c:pt>
                <c:pt idx="61">
                  <c:v>2.6</c:v>
                </c:pt>
                <c:pt idx="62">
                  <c:v>2.6</c:v>
                </c:pt>
                <c:pt idx="63">
                  <c:v>2.95</c:v>
                </c:pt>
                <c:pt idx="64">
                  <c:v>2.95</c:v>
                </c:pt>
                <c:pt idx="65">
                  <c:v>3</c:v>
                </c:pt>
                <c:pt idx="66">
                  <c:v>3.15</c:v>
                </c:pt>
                <c:pt idx="67">
                  <c:v>3.45</c:v>
                </c:pt>
                <c:pt idx="68">
                  <c:v>3.5</c:v>
                </c:pt>
                <c:pt idx="69">
                  <c:v>3.3</c:v>
                </c:pt>
                <c:pt idx="70">
                  <c:v>3.3</c:v>
                </c:pt>
                <c:pt idx="71">
                  <c:v>3.3</c:v>
                </c:pt>
                <c:pt idx="72">
                  <c:v>3.3</c:v>
                </c:pt>
                <c:pt idx="73">
                  <c:v>3.5</c:v>
                </c:pt>
                <c:pt idx="74">
                  <c:v>3.5</c:v>
                </c:pt>
                <c:pt idx="75">
                  <c:v>3.5</c:v>
                </c:pt>
                <c:pt idx="76">
                  <c:v>4</c:v>
                </c:pt>
                <c:pt idx="77">
                  <c:v>4</c:v>
                </c:pt>
                <c:pt idx="78">
                  <c:v>4.3</c:v>
                </c:pt>
                <c:pt idx="79">
                  <c:v>4.75</c:v>
                </c:pt>
                <c:pt idx="80">
                  <c:v>4.75</c:v>
                </c:pt>
                <c:pt idx="81">
                  <c:v>4.75</c:v>
                </c:pt>
                <c:pt idx="82">
                  <c:v>4.5999999999999996</c:v>
                </c:pt>
                <c:pt idx="83">
                  <c:v>4.3499999999999996</c:v>
                </c:pt>
                <c:pt idx="84">
                  <c:v>4.3499999999999996</c:v>
                </c:pt>
                <c:pt idx="85">
                  <c:v>4.1500000000000004</c:v>
                </c:pt>
                <c:pt idx="86">
                  <c:v>4.1500000000000004</c:v>
                </c:pt>
                <c:pt idx="87">
                  <c:v>4.1500000000000004</c:v>
                </c:pt>
                <c:pt idx="88">
                  <c:v>4.1500000000000004</c:v>
                </c:pt>
                <c:pt idx="89">
                  <c:v>4.45</c:v>
                </c:pt>
                <c:pt idx="90">
                  <c:v>4.45</c:v>
                </c:pt>
                <c:pt idx="91">
                  <c:v>4.3</c:v>
                </c:pt>
                <c:pt idx="92">
                  <c:v>4</c:v>
                </c:pt>
                <c:pt idx="93">
                  <c:v>4</c:v>
                </c:pt>
                <c:pt idx="94">
                  <c:v>4</c:v>
                </c:pt>
                <c:pt idx="95">
                  <c:v>4</c:v>
                </c:pt>
                <c:pt idx="96">
                  <c:v>3.9</c:v>
                </c:pt>
                <c:pt idx="97">
                  <c:v>3.85</c:v>
                </c:pt>
                <c:pt idx="98">
                  <c:v>3.75</c:v>
                </c:pt>
                <c:pt idx="99">
                  <c:v>3.75</c:v>
                </c:pt>
                <c:pt idx="100">
                  <c:v>3.75</c:v>
                </c:pt>
                <c:pt idx="101">
                  <c:v>3.8</c:v>
                </c:pt>
                <c:pt idx="102">
                  <c:v>3.8</c:v>
                </c:pt>
                <c:pt idx="103">
                  <c:v>3.8</c:v>
                </c:pt>
                <c:pt idx="104">
                  <c:v>3.8</c:v>
                </c:pt>
                <c:pt idx="105">
                  <c:v>3.8</c:v>
                </c:pt>
                <c:pt idx="106">
                  <c:v>3.9</c:v>
                </c:pt>
                <c:pt idx="107">
                  <c:v>3.9</c:v>
                </c:pt>
                <c:pt idx="108">
                  <c:v>4</c:v>
                </c:pt>
                <c:pt idx="109">
                  <c:v>4</c:v>
                </c:pt>
                <c:pt idx="110">
                  <c:v>4</c:v>
                </c:pt>
                <c:pt idx="111">
                  <c:v>3.85</c:v>
                </c:pt>
                <c:pt idx="112">
                  <c:v>3.85</c:v>
                </c:pt>
                <c:pt idx="113">
                  <c:v>3.9</c:v>
                </c:pt>
                <c:pt idx="114">
                  <c:v>3.9</c:v>
                </c:pt>
                <c:pt idx="115">
                  <c:v>4</c:v>
                </c:pt>
                <c:pt idx="116">
                  <c:v>4</c:v>
                </c:pt>
                <c:pt idx="117">
                  <c:v>3.8</c:v>
                </c:pt>
                <c:pt idx="118">
                  <c:v>3.8</c:v>
                </c:pt>
                <c:pt idx="119">
                  <c:v>3.65</c:v>
                </c:pt>
                <c:pt idx="120">
                  <c:v>3.3</c:v>
                </c:pt>
                <c:pt idx="121">
                  <c:v>2.8</c:v>
                </c:pt>
                <c:pt idx="122">
                  <c:v>2.8</c:v>
                </c:pt>
                <c:pt idx="123">
                  <c:v>2.8</c:v>
                </c:pt>
                <c:pt idx="124">
                  <c:v>2.8</c:v>
                </c:pt>
                <c:pt idx="125">
                  <c:v>2.8</c:v>
                </c:pt>
                <c:pt idx="126">
                  <c:v>2.8</c:v>
                </c:pt>
                <c:pt idx="127">
                  <c:v>2.8</c:v>
                </c:pt>
                <c:pt idx="128">
                  <c:v>2.8</c:v>
                </c:pt>
                <c:pt idx="129">
                  <c:v>2.7</c:v>
                </c:pt>
                <c:pt idx="130">
                  <c:v>2.5</c:v>
                </c:pt>
                <c:pt idx="131">
                  <c:v>2.4</c:v>
                </c:pt>
                <c:pt idx="132">
                  <c:v>2.4</c:v>
                </c:pt>
                <c:pt idx="133">
                  <c:v>2.2999999999999998</c:v>
                </c:pt>
                <c:pt idx="134">
                  <c:v>2.1</c:v>
                </c:pt>
                <c:pt idx="135">
                  <c:v>1.8</c:v>
                </c:pt>
                <c:pt idx="136">
                  <c:v>1.8</c:v>
                </c:pt>
                <c:pt idx="137">
                  <c:v>1.9</c:v>
                </c:pt>
                <c:pt idx="138">
                  <c:v>2</c:v>
                </c:pt>
                <c:pt idx="139">
                  <c:v>2.25</c:v>
                </c:pt>
                <c:pt idx="140">
                  <c:v>2.4</c:v>
                </c:pt>
                <c:pt idx="141">
                  <c:v>2.4</c:v>
                </c:pt>
                <c:pt idx="142">
                  <c:v>2.4</c:v>
                </c:pt>
                <c:pt idx="143" formatCode="General">
                  <c:v>2.4</c:v>
                </c:pt>
                <c:pt idx="144">
                  <c:v>2.4</c:v>
                </c:pt>
                <c:pt idx="145">
                  <c:v>2.4</c:v>
                </c:pt>
              </c:numCache>
            </c:numRef>
          </c:val>
          <c:smooth val="0"/>
          <c:extLst>
            <c:ext xmlns:c16="http://schemas.microsoft.com/office/drawing/2014/chart" uri="{C3380CC4-5D6E-409C-BE32-E72D297353CC}">
              <c16:uniqueId val="{00000000-C545-4053-AAE9-8CC23E6E527F}"/>
            </c:ext>
          </c:extLst>
        </c:ser>
        <c:ser>
          <c:idx val="1"/>
          <c:order val="1"/>
          <c:tx>
            <c:strRef>
              <c:f>'Base Oil Trends'!$A$5</c:f>
              <c:strCache>
                <c:ptCount val="1"/>
                <c:pt idx="0">
                  <c:v>Base Oil G2 Cost/Gal</c:v>
                </c:pt>
              </c:strCache>
            </c:strRef>
          </c:tx>
          <c:marker>
            <c:symbol val="none"/>
          </c:marker>
          <c:cat>
            <c:numRef>
              <c:f>'Base Oil Trends'!$B$3:$EQ$3</c:f>
              <c:numCache>
                <c:formatCode>mmm\-yy</c:formatCode>
                <c:ptCount val="146"/>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numCache>
            </c:numRef>
          </c:cat>
          <c:val>
            <c:numRef>
              <c:f>'Base Oil Trends'!$B$5:$EQ$5</c:f>
              <c:numCache>
                <c:formatCode>_("$"* #,##0.00_);_("$"* \(#,##0.00\);_("$"* "-"??_);_(@_)</c:formatCode>
                <c:ptCount val="146"/>
                <c:pt idx="0">
                  <c:v>1.85</c:v>
                </c:pt>
                <c:pt idx="1">
                  <c:v>1.85</c:v>
                </c:pt>
                <c:pt idx="2">
                  <c:v>1.85</c:v>
                </c:pt>
                <c:pt idx="3">
                  <c:v>1.85</c:v>
                </c:pt>
                <c:pt idx="4">
                  <c:v>1.82</c:v>
                </c:pt>
                <c:pt idx="5">
                  <c:v>2.0499999999999998</c:v>
                </c:pt>
                <c:pt idx="6">
                  <c:v>2.0499999999999998</c:v>
                </c:pt>
                <c:pt idx="7">
                  <c:v>2.0699999999999998</c:v>
                </c:pt>
                <c:pt idx="8">
                  <c:v>2.2000000000000002</c:v>
                </c:pt>
                <c:pt idx="9">
                  <c:v>2.2799999999999998</c:v>
                </c:pt>
                <c:pt idx="10">
                  <c:v>2.4</c:v>
                </c:pt>
                <c:pt idx="11">
                  <c:v>2.48</c:v>
                </c:pt>
                <c:pt idx="12">
                  <c:v>2.5499999999999998</c:v>
                </c:pt>
                <c:pt idx="13">
                  <c:v>2.5499999999999998</c:v>
                </c:pt>
                <c:pt idx="14">
                  <c:v>2.5499999999999998</c:v>
                </c:pt>
                <c:pt idx="15">
                  <c:v>2.7</c:v>
                </c:pt>
                <c:pt idx="16">
                  <c:v>2.76</c:v>
                </c:pt>
                <c:pt idx="17">
                  <c:v>2.82</c:v>
                </c:pt>
                <c:pt idx="18">
                  <c:v>2.9</c:v>
                </c:pt>
                <c:pt idx="19">
                  <c:v>3</c:v>
                </c:pt>
                <c:pt idx="20">
                  <c:v>3.15</c:v>
                </c:pt>
                <c:pt idx="21">
                  <c:v>3.15</c:v>
                </c:pt>
                <c:pt idx="22">
                  <c:v>3.15</c:v>
                </c:pt>
                <c:pt idx="23">
                  <c:v>3.15</c:v>
                </c:pt>
                <c:pt idx="24">
                  <c:v>3</c:v>
                </c:pt>
                <c:pt idx="25">
                  <c:v>3</c:v>
                </c:pt>
                <c:pt idx="26">
                  <c:v>3</c:v>
                </c:pt>
                <c:pt idx="27">
                  <c:v>3</c:v>
                </c:pt>
                <c:pt idx="28">
                  <c:v>3</c:v>
                </c:pt>
                <c:pt idx="29">
                  <c:v>3</c:v>
                </c:pt>
                <c:pt idx="30">
                  <c:v>3</c:v>
                </c:pt>
                <c:pt idx="31">
                  <c:v>3.12</c:v>
                </c:pt>
                <c:pt idx="32">
                  <c:v>3.23</c:v>
                </c:pt>
                <c:pt idx="33">
                  <c:v>3.23</c:v>
                </c:pt>
                <c:pt idx="34">
                  <c:v>3.23</c:v>
                </c:pt>
                <c:pt idx="35">
                  <c:v>3.23</c:v>
                </c:pt>
                <c:pt idx="36">
                  <c:v>3.23</c:v>
                </c:pt>
                <c:pt idx="37">
                  <c:v>3.3</c:v>
                </c:pt>
                <c:pt idx="38">
                  <c:v>3.33</c:v>
                </c:pt>
                <c:pt idx="39">
                  <c:v>3.33</c:v>
                </c:pt>
                <c:pt idx="40">
                  <c:v>3.6</c:v>
                </c:pt>
                <c:pt idx="41">
                  <c:v>3.8</c:v>
                </c:pt>
                <c:pt idx="42">
                  <c:v>3.95</c:v>
                </c:pt>
                <c:pt idx="43">
                  <c:v>4.2</c:v>
                </c:pt>
                <c:pt idx="44">
                  <c:v>4.9000000000000004</c:v>
                </c:pt>
                <c:pt idx="45">
                  <c:v>5.05</c:v>
                </c:pt>
                <c:pt idx="46">
                  <c:v>5.05</c:v>
                </c:pt>
                <c:pt idx="47">
                  <c:v>4.95</c:v>
                </c:pt>
                <c:pt idx="48">
                  <c:v>4.8499999999999996</c:v>
                </c:pt>
                <c:pt idx="49">
                  <c:v>3.75</c:v>
                </c:pt>
                <c:pt idx="50">
                  <c:v>3.2</c:v>
                </c:pt>
                <c:pt idx="51">
                  <c:v>2.85</c:v>
                </c:pt>
                <c:pt idx="52">
                  <c:v>2.4</c:v>
                </c:pt>
                <c:pt idx="53">
                  <c:v>2.25</c:v>
                </c:pt>
                <c:pt idx="54">
                  <c:v>2.25</c:v>
                </c:pt>
                <c:pt idx="55">
                  <c:v>2.25</c:v>
                </c:pt>
                <c:pt idx="56">
                  <c:v>2.35</c:v>
                </c:pt>
                <c:pt idx="57">
                  <c:v>2.7</c:v>
                </c:pt>
                <c:pt idx="58">
                  <c:v>2.7</c:v>
                </c:pt>
                <c:pt idx="59">
                  <c:v>2.7</c:v>
                </c:pt>
                <c:pt idx="60">
                  <c:v>2.7</c:v>
                </c:pt>
                <c:pt idx="61">
                  <c:v>2.7</c:v>
                </c:pt>
                <c:pt idx="62">
                  <c:v>2.7</c:v>
                </c:pt>
                <c:pt idx="63">
                  <c:v>2.95</c:v>
                </c:pt>
                <c:pt idx="64">
                  <c:v>3</c:v>
                </c:pt>
                <c:pt idx="65">
                  <c:v>3.1</c:v>
                </c:pt>
                <c:pt idx="66">
                  <c:v>3.2</c:v>
                </c:pt>
                <c:pt idx="67">
                  <c:v>3.5</c:v>
                </c:pt>
                <c:pt idx="68">
                  <c:v>3.5</c:v>
                </c:pt>
                <c:pt idx="69">
                  <c:v>3.5</c:v>
                </c:pt>
                <c:pt idx="70">
                  <c:v>3.5</c:v>
                </c:pt>
                <c:pt idx="71">
                  <c:v>3.5</c:v>
                </c:pt>
                <c:pt idx="72">
                  <c:v>3.5</c:v>
                </c:pt>
                <c:pt idx="73">
                  <c:v>3.85</c:v>
                </c:pt>
                <c:pt idx="74">
                  <c:v>3.85</c:v>
                </c:pt>
                <c:pt idx="75">
                  <c:v>3.85</c:v>
                </c:pt>
                <c:pt idx="76">
                  <c:v>4.25</c:v>
                </c:pt>
                <c:pt idx="77">
                  <c:v>4.25</c:v>
                </c:pt>
                <c:pt idx="78">
                  <c:v>4.75</c:v>
                </c:pt>
                <c:pt idx="79">
                  <c:v>4.75</c:v>
                </c:pt>
                <c:pt idx="80">
                  <c:v>4.95</c:v>
                </c:pt>
                <c:pt idx="81">
                  <c:v>4.95</c:v>
                </c:pt>
                <c:pt idx="82">
                  <c:v>4.95</c:v>
                </c:pt>
                <c:pt idx="83">
                  <c:v>4.95</c:v>
                </c:pt>
                <c:pt idx="84">
                  <c:v>4.95</c:v>
                </c:pt>
                <c:pt idx="85">
                  <c:v>4.75</c:v>
                </c:pt>
                <c:pt idx="86">
                  <c:v>4.75</c:v>
                </c:pt>
                <c:pt idx="87">
                  <c:v>4.75</c:v>
                </c:pt>
                <c:pt idx="88">
                  <c:v>4.75</c:v>
                </c:pt>
                <c:pt idx="89">
                  <c:v>4.75</c:v>
                </c:pt>
                <c:pt idx="90">
                  <c:v>5</c:v>
                </c:pt>
                <c:pt idx="91">
                  <c:v>4.75</c:v>
                </c:pt>
                <c:pt idx="92">
                  <c:v>4.3</c:v>
                </c:pt>
                <c:pt idx="93">
                  <c:v>4.3</c:v>
                </c:pt>
                <c:pt idx="94">
                  <c:v>4.3</c:v>
                </c:pt>
                <c:pt idx="95">
                  <c:v>4.3</c:v>
                </c:pt>
                <c:pt idx="96">
                  <c:v>4</c:v>
                </c:pt>
                <c:pt idx="97">
                  <c:v>4</c:v>
                </c:pt>
                <c:pt idx="98">
                  <c:v>3.75</c:v>
                </c:pt>
                <c:pt idx="99">
                  <c:v>3.75</c:v>
                </c:pt>
                <c:pt idx="100">
                  <c:v>3.75</c:v>
                </c:pt>
                <c:pt idx="101">
                  <c:v>3.9</c:v>
                </c:pt>
                <c:pt idx="102">
                  <c:v>3.9</c:v>
                </c:pt>
                <c:pt idx="103">
                  <c:v>3.9</c:v>
                </c:pt>
                <c:pt idx="104">
                  <c:v>3.9</c:v>
                </c:pt>
                <c:pt idx="105">
                  <c:v>3.9</c:v>
                </c:pt>
                <c:pt idx="106">
                  <c:v>4</c:v>
                </c:pt>
                <c:pt idx="107">
                  <c:v>4</c:v>
                </c:pt>
                <c:pt idx="108">
                  <c:v>3.9</c:v>
                </c:pt>
                <c:pt idx="109">
                  <c:v>3.9</c:v>
                </c:pt>
                <c:pt idx="110">
                  <c:v>3.9</c:v>
                </c:pt>
                <c:pt idx="111">
                  <c:v>3.85</c:v>
                </c:pt>
                <c:pt idx="112">
                  <c:v>3.85</c:v>
                </c:pt>
                <c:pt idx="113">
                  <c:v>3.9</c:v>
                </c:pt>
                <c:pt idx="114">
                  <c:v>3.9</c:v>
                </c:pt>
                <c:pt idx="115">
                  <c:v>3.9</c:v>
                </c:pt>
                <c:pt idx="116">
                  <c:v>3.9</c:v>
                </c:pt>
                <c:pt idx="117">
                  <c:v>3.7</c:v>
                </c:pt>
                <c:pt idx="118">
                  <c:v>3.7</c:v>
                </c:pt>
                <c:pt idx="119">
                  <c:v>3.55</c:v>
                </c:pt>
                <c:pt idx="120">
                  <c:v>3.3</c:v>
                </c:pt>
                <c:pt idx="121">
                  <c:v>2.8</c:v>
                </c:pt>
                <c:pt idx="122">
                  <c:v>2.8</c:v>
                </c:pt>
                <c:pt idx="123">
                  <c:v>2.8</c:v>
                </c:pt>
                <c:pt idx="124">
                  <c:v>2.8</c:v>
                </c:pt>
                <c:pt idx="125">
                  <c:v>2.8</c:v>
                </c:pt>
                <c:pt idx="126">
                  <c:v>2.8</c:v>
                </c:pt>
                <c:pt idx="127">
                  <c:v>2.8</c:v>
                </c:pt>
                <c:pt idx="128">
                  <c:v>2.8</c:v>
                </c:pt>
                <c:pt idx="129">
                  <c:v>2.7</c:v>
                </c:pt>
                <c:pt idx="130">
                  <c:v>2.5</c:v>
                </c:pt>
                <c:pt idx="131">
                  <c:v>2.4</c:v>
                </c:pt>
                <c:pt idx="132">
                  <c:v>2.4</c:v>
                </c:pt>
                <c:pt idx="133">
                  <c:v>2.2999999999999998</c:v>
                </c:pt>
                <c:pt idx="134">
                  <c:v>2.1</c:v>
                </c:pt>
                <c:pt idx="135">
                  <c:v>1.8</c:v>
                </c:pt>
                <c:pt idx="136">
                  <c:v>1.8</c:v>
                </c:pt>
                <c:pt idx="137">
                  <c:v>1.8</c:v>
                </c:pt>
                <c:pt idx="138">
                  <c:v>1.95</c:v>
                </c:pt>
                <c:pt idx="139">
                  <c:v>2.2000000000000002</c:v>
                </c:pt>
                <c:pt idx="140">
                  <c:v>2.2999999999999998</c:v>
                </c:pt>
                <c:pt idx="141">
                  <c:v>2.2999999999999998</c:v>
                </c:pt>
                <c:pt idx="142">
                  <c:v>2.2999999999999998</c:v>
                </c:pt>
                <c:pt idx="143">
                  <c:v>2.2000000000000002</c:v>
                </c:pt>
                <c:pt idx="144">
                  <c:v>2.2000000000000002</c:v>
                </c:pt>
                <c:pt idx="145">
                  <c:v>2.2000000000000002</c:v>
                </c:pt>
              </c:numCache>
            </c:numRef>
          </c:val>
          <c:smooth val="0"/>
          <c:extLst>
            <c:ext xmlns:c16="http://schemas.microsoft.com/office/drawing/2014/chart" uri="{C3380CC4-5D6E-409C-BE32-E72D297353CC}">
              <c16:uniqueId val="{00000001-C545-4053-AAE9-8CC23E6E527F}"/>
            </c:ext>
          </c:extLst>
        </c:ser>
        <c:ser>
          <c:idx val="2"/>
          <c:order val="2"/>
          <c:tx>
            <c:strRef>
              <c:f>'Base Oil Trends'!$A$6</c:f>
              <c:strCache>
                <c:ptCount val="1"/>
                <c:pt idx="0">
                  <c:v>Crude West Texas Cost/Gal</c:v>
                </c:pt>
              </c:strCache>
            </c:strRef>
          </c:tx>
          <c:marker>
            <c:symbol val="none"/>
          </c:marker>
          <c:cat>
            <c:numRef>
              <c:f>'Base Oil Trends'!$B$3:$EQ$3</c:f>
              <c:numCache>
                <c:formatCode>mmm\-yy</c:formatCode>
                <c:ptCount val="146"/>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numCache>
            </c:numRef>
          </c:cat>
          <c:val>
            <c:numRef>
              <c:f>'Base Oil Trends'!$B$6:$EQ$6</c:f>
              <c:numCache>
                <c:formatCode>_("$"* #,##0.00_);_("$"* \(#,##0.00\);_("$"* "-"??_);_(@_)</c:formatCode>
                <c:ptCount val="146"/>
                <c:pt idx="0">
                  <c:v>1.1499999999999999</c:v>
                </c:pt>
                <c:pt idx="1">
                  <c:v>1</c:v>
                </c:pt>
                <c:pt idx="2">
                  <c:v>1.1000000000000001</c:v>
                </c:pt>
                <c:pt idx="3">
                  <c:v>1.1499999999999999</c:v>
                </c:pt>
                <c:pt idx="4">
                  <c:v>1.28</c:v>
                </c:pt>
                <c:pt idx="5">
                  <c:v>1.26</c:v>
                </c:pt>
                <c:pt idx="6">
                  <c:v>1.18</c:v>
                </c:pt>
                <c:pt idx="7">
                  <c:v>1.3</c:v>
                </c:pt>
                <c:pt idx="8">
                  <c:v>1.4</c:v>
                </c:pt>
                <c:pt idx="9">
                  <c:v>1.53</c:v>
                </c:pt>
                <c:pt idx="10">
                  <c:v>1.53</c:v>
                </c:pt>
                <c:pt idx="11">
                  <c:v>1.5</c:v>
                </c:pt>
                <c:pt idx="12">
                  <c:v>1.4</c:v>
                </c:pt>
                <c:pt idx="13">
                  <c:v>1.43</c:v>
                </c:pt>
                <c:pt idx="14">
                  <c:v>1.53</c:v>
                </c:pt>
                <c:pt idx="15">
                  <c:v>1.48</c:v>
                </c:pt>
                <c:pt idx="16">
                  <c:v>1.5</c:v>
                </c:pt>
                <c:pt idx="17">
                  <c:v>1.65</c:v>
                </c:pt>
                <c:pt idx="18">
                  <c:v>1.7</c:v>
                </c:pt>
                <c:pt idx="19">
                  <c:v>1.7</c:v>
                </c:pt>
                <c:pt idx="20">
                  <c:v>1.75</c:v>
                </c:pt>
                <c:pt idx="21">
                  <c:v>1.72</c:v>
                </c:pt>
                <c:pt idx="22">
                  <c:v>1.5</c:v>
                </c:pt>
                <c:pt idx="23">
                  <c:v>1.45</c:v>
                </c:pt>
                <c:pt idx="24">
                  <c:v>1.45</c:v>
                </c:pt>
                <c:pt idx="25">
                  <c:v>1.5</c:v>
                </c:pt>
                <c:pt idx="26">
                  <c:v>1.3</c:v>
                </c:pt>
                <c:pt idx="27">
                  <c:v>1.4</c:v>
                </c:pt>
                <c:pt idx="28">
                  <c:v>1.44</c:v>
                </c:pt>
                <c:pt idx="29">
                  <c:v>1.5</c:v>
                </c:pt>
                <c:pt idx="30">
                  <c:v>1.5</c:v>
                </c:pt>
                <c:pt idx="31">
                  <c:v>1.6</c:v>
                </c:pt>
                <c:pt idx="32">
                  <c:v>1.75</c:v>
                </c:pt>
                <c:pt idx="33">
                  <c:v>1.7</c:v>
                </c:pt>
                <c:pt idx="34">
                  <c:v>1.92</c:v>
                </c:pt>
                <c:pt idx="35">
                  <c:v>2.0499999999999998</c:v>
                </c:pt>
                <c:pt idx="36">
                  <c:v>2.2000000000000002</c:v>
                </c:pt>
                <c:pt idx="37">
                  <c:v>2.16</c:v>
                </c:pt>
                <c:pt idx="38">
                  <c:v>2.1800000000000002</c:v>
                </c:pt>
                <c:pt idx="39">
                  <c:v>2.2000000000000002</c:v>
                </c:pt>
                <c:pt idx="40">
                  <c:v>2.5</c:v>
                </c:pt>
                <c:pt idx="41">
                  <c:v>2.75</c:v>
                </c:pt>
                <c:pt idx="42">
                  <c:v>3</c:v>
                </c:pt>
                <c:pt idx="43">
                  <c:v>3.15</c:v>
                </c:pt>
                <c:pt idx="44">
                  <c:v>3.15</c:v>
                </c:pt>
                <c:pt idx="45">
                  <c:v>2.85</c:v>
                </c:pt>
                <c:pt idx="46">
                  <c:v>2.5</c:v>
                </c:pt>
                <c:pt idx="47">
                  <c:v>1.9</c:v>
                </c:pt>
                <c:pt idx="48">
                  <c:v>1.3</c:v>
                </c:pt>
                <c:pt idx="49">
                  <c:v>1</c:v>
                </c:pt>
                <c:pt idx="50">
                  <c:v>1</c:v>
                </c:pt>
                <c:pt idx="51">
                  <c:v>0.9</c:v>
                </c:pt>
                <c:pt idx="52">
                  <c:v>1.1000000000000001</c:v>
                </c:pt>
                <c:pt idx="53">
                  <c:v>1.1200000000000001</c:v>
                </c:pt>
                <c:pt idx="54">
                  <c:v>1.4</c:v>
                </c:pt>
                <c:pt idx="55">
                  <c:v>1.75</c:v>
                </c:pt>
                <c:pt idx="56">
                  <c:v>1.7</c:v>
                </c:pt>
                <c:pt idx="57">
                  <c:v>1.85</c:v>
                </c:pt>
                <c:pt idx="58">
                  <c:v>1.8</c:v>
                </c:pt>
                <c:pt idx="59">
                  <c:v>1.88</c:v>
                </c:pt>
                <c:pt idx="60">
                  <c:v>1.9</c:v>
                </c:pt>
                <c:pt idx="61">
                  <c:v>1.85</c:v>
                </c:pt>
                <c:pt idx="62">
                  <c:v>1.9</c:v>
                </c:pt>
                <c:pt idx="63">
                  <c:v>1.85</c:v>
                </c:pt>
                <c:pt idx="64">
                  <c:v>1.95</c:v>
                </c:pt>
                <c:pt idx="65">
                  <c:v>2</c:v>
                </c:pt>
                <c:pt idx="66">
                  <c:v>1.85</c:v>
                </c:pt>
                <c:pt idx="67">
                  <c:v>1.9</c:v>
                </c:pt>
                <c:pt idx="68">
                  <c:v>1.95</c:v>
                </c:pt>
                <c:pt idx="69">
                  <c:v>1.95</c:v>
                </c:pt>
                <c:pt idx="70">
                  <c:v>1.9</c:v>
                </c:pt>
                <c:pt idx="71">
                  <c:v>2</c:v>
                </c:pt>
                <c:pt idx="72">
                  <c:v>2</c:v>
                </c:pt>
                <c:pt idx="73">
                  <c:v>2.1</c:v>
                </c:pt>
                <c:pt idx="74">
                  <c:v>2.1</c:v>
                </c:pt>
                <c:pt idx="75">
                  <c:v>2.1</c:v>
                </c:pt>
                <c:pt idx="76">
                  <c:v>2.4</c:v>
                </c:pt>
                <c:pt idx="77">
                  <c:v>2.65</c:v>
                </c:pt>
                <c:pt idx="78">
                  <c:v>2.35</c:v>
                </c:pt>
                <c:pt idx="79">
                  <c:v>2.2000000000000002</c:v>
                </c:pt>
                <c:pt idx="80">
                  <c:v>2.2000000000000002</c:v>
                </c:pt>
                <c:pt idx="81">
                  <c:v>2</c:v>
                </c:pt>
                <c:pt idx="82">
                  <c:v>2</c:v>
                </c:pt>
                <c:pt idx="83">
                  <c:v>2</c:v>
                </c:pt>
                <c:pt idx="84">
                  <c:v>2.2000000000000002</c:v>
                </c:pt>
                <c:pt idx="85">
                  <c:v>2.2999999999999998</c:v>
                </c:pt>
                <c:pt idx="86">
                  <c:v>2.35</c:v>
                </c:pt>
                <c:pt idx="87">
                  <c:v>2.4500000000000002</c:v>
                </c:pt>
                <c:pt idx="88">
                  <c:v>2.5499999999999998</c:v>
                </c:pt>
                <c:pt idx="89">
                  <c:v>2.5</c:v>
                </c:pt>
                <c:pt idx="90">
                  <c:v>2.2000000000000002</c:v>
                </c:pt>
                <c:pt idx="91">
                  <c:v>2</c:v>
                </c:pt>
                <c:pt idx="92">
                  <c:v>2.1</c:v>
                </c:pt>
                <c:pt idx="93">
                  <c:v>2.2000000000000002</c:v>
                </c:pt>
                <c:pt idx="94">
                  <c:v>2.2000000000000002</c:v>
                </c:pt>
                <c:pt idx="95">
                  <c:v>2.1</c:v>
                </c:pt>
                <c:pt idx="96">
                  <c:v>2.1</c:v>
                </c:pt>
                <c:pt idx="97">
                  <c:v>2.15</c:v>
                </c:pt>
                <c:pt idx="98">
                  <c:v>2.25</c:v>
                </c:pt>
                <c:pt idx="99">
                  <c:v>2.25</c:v>
                </c:pt>
                <c:pt idx="100">
                  <c:v>2.25</c:v>
                </c:pt>
                <c:pt idx="101">
                  <c:v>2.2000000000000002</c:v>
                </c:pt>
                <c:pt idx="102">
                  <c:v>2.2000000000000002</c:v>
                </c:pt>
                <c:pt idx="103">
                  <c:v>2.2000000000000002</c:v>
                </c:pt>
                <c:pt idx="104">
                  <c:v>2.5</c:v>
                </c:pt>
                <c:pt idx="105">
                  <c:v>2.6</c:v>
                </c:pt>
                <c:pt idx="106">
                  <c:v>2.6</c:v>
                </c:pt>
                <c:pt idx="107">
                  <c:v>2.4500000000000002</c:v>
                </c:pt>
                <c:pt idx="108">
                  <c:v>2.2999999999999998</c:v>
                </c:pt>
                <c:pt idx="109">
                  <c:v>2.35</c:v>
                </c:pt>
                <c:pt idx="110">
                  <c:v>2.2999999999999998</c:v>
                </c:pt>
                <c:pt idx="111">
                  <c:v>2.35</c:v>
                </c:pt>
                <c:pt idx="112">
                  <c:v>2.35</c:v>
                </c:pt>
                <c:pt idx="113">
                  <c:v>2.35</c:v>
                </c:pt>
                <c:pt idx="114">
                  <c:v>2.35</c:v>
                </c:pt>
                <c:pt idx="115">
                  <c:v>2.4</c:v>
                </c:pt>
                <c:pt idx="116">
                  <c:v>2.2999999999999998</c:v>
                </c:pt>
                <c:pt idx="117">
                  <c:v>2.25</c:v>
                </c:pt>
                <c:pt idx="118">
                  <c:v>2.15</c:v>
                </c:pt>
                <c:pt idx="119">
                  <c:v>2</c:v>
                </c:pt>
                <c:pt idx="120">
                  <c:v>1.85</c:v>
                </c:pt>
                <c:pt idx="121">
                  <c:v>1.35</c:v>
                </c:pt>
                <c:pt idx="122">
                  <c:v>1.1000000000000001</c:v>
                </c:pt>
                <c:pt idx="123">
                  <c:v>1.1499999999999999</c:v>
                </c:pt>
                <c:pt idx="124">
                  <c:v>1.05</c:v>
                </c:pt>
                <c:pt idx="125">
                  <c:v>1.2</c:v>
                </c:pt>
                <c:pt idx="126">
                  <c:v>1.35</c:v>
                </c:pt>
                <c:pt idx="127">
                  <c:v>1.35</c:v>
                </c:pt>
                <c:pt idx="128">
                  <c:v>1.25</c:v>
                </c:pt>
                <c:pt idx="129">
                  <c:v>1</c:v>
                </c:pt>
                <c:pt idx="130">
                  <c:v>1.05</c:v>
                </c:pt>
                <c:pt idx="131">
                  <c:v>1.05</c:v>
                </c:pt>
                <c:pt idx="132">
                  <c:v>1</c:v>
                </c:pt>
                <c:pt idx="133">
                  <c:v>0.85</c:v>
                </c:pt>
                <c:pt idx="134">
                  <c:v>0.75</c:v>
                </c:pt>
                <c:pt idx="135">
                  <c:v>0.75</c:v>
                </c:pt>
                <c:pt idx="136">
                  <c:v>1</c:v>
                </c:pt>
                <c:pt idx="137">
                  <c:v>1.05</c:v>
                </c:pt>
                <c:pt idx="138">
                  <c:v>1.25</c:v>
                </c:pt>
                <c:pt idx="139">
                  <c:v>1.3</c:v>
                </c:pt>
                <c:pt idx="140">
                  <c:v>1.2</c:v>
                </c:pt>
                <c:pt idx="141">
                  <c:v>1.2</c:v>
                </c:pt>
                <c:pt idx="142">
                  <c:v>1.2</c:v>
                </c:pt>
                <c:pt idx="143">
                  <c:v>1.3</c:v>
                </c:pt>
                <c:pt idx="144">
                  <c:v>1.25</c:v>
                </c:pt>
              </c:numCache>
            </c:numRef>
          </c:val>
          <c:smooth val="0"/>
          <c:extLst>
            <c:ext xmlns:c16="http://schemas.microsoft.com/office/drawing/2014/chart" uri="{C3380CC4-5D6E-409C-BE32-E72D297353CC}">
              <c16:uniqueId val="{00000002-C545-4053-AAE9-8CC23E6E527F}"/>
            </c:ext>
          </c:extLst>
        </c:ser>
        <c:ser>
          <c:idx val="3"/>
          <c:order val="3"/>
          <c:tx>
            <c:strRef>
              <c:f>'Base Oil Trends'!$A$7</c:f>
              <c:strCache>
                <c:ptCount val="1"/>
                <c:pt idx="0">
                  <c:v>85% of posted G2 price</c:v>
                </c:pt>
              </c:strCache>
            </c:strRef>
          </c:tx>
          <c:marker>
            <c:symbol val="none"/>
          </c:marker>
          <c:cat>
            <c:numRef>
              <c:f>'Base Oil Trends'!$B$3:$EQ$3</c:f>
              <c:numCache>
                <c:formatCode>mmm\-yy</c:formatCode>
                <c:ptCount val="146"/>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numCache>
            </c:numRef>
          </c:cat>
          <c:val>
            <c:numRef>
              <c:f>'Base Oil Trends'!$B$7:$EQ$7</c:f>
              <c:numCache>
                <c:formatCode>_("$"* #,##0.00_);_("$"* \(#,##0.00\);_("$"* "-"??_);_(@_)</c:formatCode>
                <c:ptCount val="146"/>
                <c:pt idx="0">
                  <c:v>1.5725</c:v>
                </c:pt>
                <c:pt idx="1">
                  <c:v>1.5725</c:v>
                </c:pt>
                <c:pt idx="2">
                  <c:v>1.5725</c:v>
                </c:pt>
                <c:pt idx="3">
                  <c:v>1.5725</c:v>
                </c:pt>
                <c:pt idx="4">
                  <c:v>1.5469999999999999</c:v>
                </c:pt>
                <c:pt idx="5">
                  <c:v>1.7424999999999997</c:v>
                </c:pt>
                <c:pt idx="6">
                  <c:v>1.7424999999999997</c:v>
                </c:pt>
                <c:pt idx="7">
                  <c:v>1.7594999999999998</c:v>
                </c:pt>
                <c:pt idx="8">
                  <c:v>1.87</c:v>
                </c:pt>
                <c:pt idx="9">
                  <c:v>1.9379999999999997</c:v>
                </c:pt>
                <c:pt idx="10">
                  <c:v>2.04</c:v>
                </c:pt>
                <c:pt idx="11">
                  <c:v>2.1080000000000001</c:v>
                </c:pt>
                <c:pt idx="12">
                  <c:v>2.1675</c:v>
                </c:pt>
                <c:pt idx="13">
                  <c:v>2.1675</c:v>
                </c:pt>
                <c:pt idx="14">
                  <c:v>2.1675</c:v>
                </c:pt>
                <c:pt idx="15">
                  <c:v>2.2949999999999999</c:v>
                </c:pt>
                <c:pt idx="16">
                  <c:v>2.3459999999999996</c:v>
                </c:pt>
                <c:pt idx="17">
                  <c:v>2.3969999999999998</c:v>
                </c:pt>
                <c:pt idx="18">
                  <c:v>2.4649999999999999</c:v>
                </c:pt>
                <c:pt idx="19">
                  <c:v>2.5499999999999998</c:v>
                </c:pt>
                <c:pt idx="20">
                  <c:v>2.6774999999999998</c:v>
                </c:pt>
                <c:pt idx="21">
                  <c:v>2.6774999999999998</c:v>
                </c:pt>
                <c:pt idx="22">
                  <c:v>2.6774999999999998</c:v>
                </c:pt>
                <c:pt idx="23">
                  <c:v>2.6774999999999998</c:v>
                </c:pt>
                <c:pt idx="24">
                  <c:v>2.5499999999999998</c:v>
                </c:pt>
                <c:pt idx="25">
                  <c:v>2.5499999999999998</c:v>
                </c:pt>
                <c:pt idx="26">
                  <c:v>2.5499999999999998</c:v>
                </c:pt>
                <c:pt idx="27">
                  <c:v>2.5499999999999998</c:v>
                </c:pt>
                <c:pt idx="28">
                  <c:v>2.5499999999999998</c:v>
                </c:pt>
                <c:pt idx="29">
                  <c:v>2.5499999999999998</c:v>
                </c:pt>
                <c:pt idx="30">
                  <c:v>2.5499999999999998</c:v>
                </c:pt>
                <c:pt idx="31">
                  <c:v>2.6520000000000001</c:v>
                </c:pt>
                <c:pt idx="32">
                  <c:v>2.7454999999999998</c:v>
                </c:pt>
                <c:pt idx="33">
                  <c:v>2.7454999999999998</c:v>
                </c:pt>
                <c:pt idx="34">
                  <c:v>2.7454999999999998</c:v>
                </c:pt>
                <c:pt idx="35">
                  <c:v>2.7454999999999998</c:v>
                </c:pt>
                <c:pt idx="36">
                  <c:v>2.7454999999999998</c:v>
                </c:pt>
                <c:pt idx="37">
                  <c:v>2.8049999999999997</c:v>
                </c:pt>
                <c:pt idx="38">
                  <c:v>2.8304999999999998</c:v>
                </c:pt>
                <c:pt idx="39">
                  <c:v>2.8304999999999998</c:v>
                </c:pt>
                <c:pt idx="40">
                  <c:v>3.06</c:v>
                </c:pt>
                <c:pt idx="41">
                  <c:v>3.23</c:v>
                </c:pt>
                <c:pt idx="42">
                  <c:v>3.3574999999999999</c:v>
                </c:pt>
                <c:pt idx="43">
                  <c:v>3.57</c:v>
                </c:pt>
                <c:pt idx="44">
                  <c:v>4.165</c:v>
                </c:pt>
                <c:pt idx="45">
                  <c:v>4.2924999999999995</c:v>
                </c:pt>
                <c:pt idx="46">
                  <c:v>4.2924999999999995</c:v>
                </c:pt>
                <c:pt idx="47">
                  <c:v>4.2075000000000005</c:v>
                </c:pt>
                <c:pt idx="48">
                  <c:v>4.1224999999999996</c:v>
                </c:pt>
                <c:pt idx="49">
                  <c:v>3.1875</c:v>
                </c:pt>
                <c:pt idx="50">
                  <c:v>2.72</c:v>
                </c:pt>
                <c:pt idx="51">
                  <c:v>2.4224999999999999</c:v>
                </c:pt>
                <c:pt idx="52">
                  <c:v>2.04</c:v>
                </c:pt>
                <c:pt idx="53">
                  <c:v>1.9124999999999999</c:v>
                </c:pt>
                <c:pt idx="54">
                  <c:v>1.9124999999999999</c:v>
                </c:pt>
                <c:pt idx="55">
                  <c:v>1.9124999999999999</c:v>
                </c:pt>
                <c:pt idx="56">
                  <c:v>1.9975000000000001</c:v>
                </c:pt>
                <c:pt idx="57">
                  <c:v>2.2949999999999999</c:v>
                </c:pt>
                <c:pt idx="58">
                  <c:v>2.2949999999999999</c:v>
                </c:pt>
                <c:pt idx="59">
                  <c:v>2.2949999999999999</c:v>
                </c:pt>
                <c:pt idx="60">
                  <c:v>2.2949999999999999</c:v>
                </c:pt>
                <c:pt idx="61">
                  <c:v>2.2949999999999999</c:v>
                </c:pt>
                <c:pt idx="62">
                  <c:v>2.2949999999999999</c:v>
                </c:pt>
                <c:pt idx="63">
                  <c:v>2.5075000000000003</c:v>
                </c:pt>
                <c:pt idx="64">
                  <c:v>2.5499999999999998</c:v>
                </c:pt>
                <c:pt idx="65">
                  <c:v>2.6349999999999998</c:v>
                </c:pt>
                <c:pt idx="66">
                  <c:v>2.72</c:v>
                </c:pt>
                <c:pt idx="67">
                  <c:v>2.9750000000000001</c:v>
                </c:pt>
                <c:pt idx="68">
                  <c:v>2.9750000000000001</c:v>
                </c:pt>
                <c:pt idx="69">
                  <c:v>2.9750000000000001</c:v>
                </c:pt>
                <c:pt idx="70">
                  <c:v>2.9750000000000001</c:v>
                </c:pt>
                <c:pt idx="71">
                  <c:v>2.9750000000000001</c:v>
                </c:pt>
                <c:pt idx="72">
                  <c:v>2.9750000000000001</c:v>
                </c:pt>
                <c:pt idx="73">
                  <c:v>3.2725</c:v>
                </c:pt>
                <c:pt idx="74">
                  <c:v>3.2725</c:v>
                </c:pt>
                <c:pt idx="75">
                  <c:v>3.2725</c:v>
                </c:pt>
                <c:pt idx="76">
                  <c:v>3.6124999999999998</c:v>
                </c:pt>
                <c:pt idx="77">
                  <c:v>3.6124999999999998</c:v>
                </c:pt>
                <c:pt idx="78">
                  <c:v>4.0374999999999996</c:v>
                </c:pt>
                <c:pt idx="79">
                  <c:v>4.0374999999999996</c:v>
                </c:pt>
                <c:pt idx="80">
                  <c:v>4.2075000000000005</c:v>
                </c:pt>
                <c:pt idx="81">
                  <c:v>4.2075000000000005</c:v>
                </c:pt>
                <c:pt idx="82">
                  <c:v>4.2075000000000005</c:v>
                </c:pt>
                <c:pt idx="83">
                  <c:v>4.2075000000000005</c:v>
                </c:pt>
                <c:pt idx="84">
                  <c:v>4.2075000000000005</c:v>
                </c:pt>
                <c:pt idx="85">
                  <c:v>4.0374999999999996</c:v>
                </c:pt>
                <c:pt idx="86">
                  <c:v>4.0374999999999996</c:v>
                </c:pt>
                <c:pt idx="87">
                  <c:v>4.0374999999999996</c:v>
                </c:pt>
                <c:pt idx="88">
                  <c:v>4.0374999999999996</c:v>
                </c:pt>
                <c:pt idx="89">
                  <c:v>4.0374999999999996</c:v>
                </c:pt>
                <c:pt idx="90">
                  <c:v>4.25</c:v>
                </c:pt>
                <c:pt idx="91">
                  <c:v>4.0374999999999996</c:v>
                </c:pt>
                <c:pt idx="92">
                  <c:v>3.6549999999999998</c:v>
                </c:pt>
                <c:pt idx="93">
                  <c:v>3.6549999999999998</c:v>
                </c:pt>
                <c:pt idx="94">
                  <c:v>3.6549999999999998</c:v>
                </c:pt>
                <c:pt idx="95">
                  <c:v>3.6549999999999998</c:v>
                </c:pt>
                <c:pt idx="96">
                  <c:v>3.4</c:v>
                </c:pt>
                <c:pt idx="97">
                  <c:v>3.4</c:v>
                </c:pt>
                <c:pt idx="98">
                  <c:v>3.1875</c:v>
                </c:pt>
                <c:pt idx="99">
                  <c:v>3.1875</c:v>
                </c:pt>
                <c:pt idx="100">
                  <c:v>3.1875</c:v>
                </c:pt>
                <c:pt idx="101">
                  <c:v>3.3149999999999999</c:v>
                </c:pt>
                <c:pt idx="102">
                  <c:v>3.3149999999999999</c:v>
                </c:pt>
                <c:pt idx="103">
                  <c:v>3.3149999999999999</c:v>
                </c:pt>
                <c:pt idx="104">
                  <c:v>3.3149999999999999</c:v>
                </c:pt>
                <c:pt idx="105">
                  <c:v>3.3149999999999999</c:v>
                </c:pt>
                <c:pt idx="106">
                  <c:v>3.4</c:v>
                </c:pt>
                <c:pt idx="107">
                  <c:v>3.4</c:v>
                </c:pt>
                <c:pt idx="108">
                  <c:v>3.3149999999999999</c:v>
                </c:pt>
                <c:pt idx="109">
                  <c:v>3.3149999999999999</c:v>
                </c:pt>
                <c:pt idx="110">
                  <c:v>3.3149999999999999</c:v>
                </c:pt>
                <c:pt idx="111">
                  <c:v>3.2725</c:v>
                </c:pt>
                <c:pt idx="112">
                  <c:v>3.2725</c:v>
                </c:pt>
                <c:pt idx="113">
                  <c:v>3.3149999999999999</c:v>
                </c:pt>
                <c:pt idx="114">
                  <c:v>3.3149999999999999</c:v>
                </c:pt>
                <c:pt idx="115">
                  <c:v>3.3149999999999999</c:v>
                </c:pt>
                <c:pt idx="116">
                  <c:v>3.3149999999999999</c:v>
                </c:pt>
                <c:pt idx="117">
                  <c:v>3.145</c:v>
                </c:pt>
                <c:pt idx="118">
                  <c:v>3.145</c:v>
                </c:pt>
                <c:pt idx="119">
                  <c:v>3.0174999999999996</c:v>
                </c:pt>
                <c:pt idx="120">
                  <c:v>2.8049999999999997</c:v>
                </c:pt>
                <c:pt idx="121">
                  <c:v>2.38</c:v>
                </c:pt>
                <c:pt idx="122">
                  <c:v>2.38</c:v>
                </c:pt>
                <c:pt idx="123">
                  <c:v>2.38</c:v>
                </c:pt>
                <c:pt idx="124">
                  <c:v>2.38</c:v>
                </c:pt>
                <c:pt idx="125">
                  <c:v>2.38</c:v>
                </c:pt>
                <c:pt idx="126">
                  <c:v>2.38</c:v>
                </c:pt>
                <c:pt idx="127">
                  <c:v>2.38</c:v>
                </c:pt>
                <c:pt idx="128">
                  <c:v>2.38</c:v>
                </c:pt>
                <c:pt idx="129">
                  <c:v>2.2949999999999999</c:v>
                </c:pt>
                <c:pt idx="130">
                  <c:v>2.125</c:v>
                </c:pt>
                <c:pt idx="131">
                  <c:v>2.04</c:v>
                </c:pt>
                <c:pt idx="132">
                  <c:v>2.04</c:v>
                </c:pt>
                <c:pt idx="133">
                  <c:v>1.9549999999999998</c:v>
                </c:pt>
                <c:pt idx="134">
                  <c:v>1.7849999999999999</c:v>
                </c:pt>
                <c:pt idx="135">
                  <c:v>1.53</c:v>
                </c:pt>
                <c:pt idx="136">
                  <c:v>1.53</c:v>
                </c:pt>
                <c:pt idx="137">
                  <c:v>1.53</c:v>
                </c:pt>
                <c:pt idx="138">
                  <c:v>1.6575</c:v>
                </c:pt>
                <c:pt idx="139">
                  <c:v>1.87</c:v>
                </c:pt>
                <c:pt idx="140">
                  <c:v>1.9549999999999998</c:v>
                </c:pt>
                <c:pt idx="141">
                  <c:v>1.9549999999999998</c:v>
                </c:pt>
                <c:pt idx="142">
                  <c:v>1.9549999999999998</c:v>
                </c:pt>
                <c:pt idx="143">
                  <c:v>1.87</c:v>
                </c:pt>
                <c:pt idx="144">
                  <c:v>1.87</c:v>
                </c:pt>
                <c:pt idx="145">
                  <c:v>1.87</c:v>
                </c:pt>
              </c:numCache>
            </c:numRef>
          </c:val>
          <c:smooth val="0"/>
          <c:extLst>
            <c:ext xmlns:c16="http://schemas.microsoft.com/office/drawing/2014/chart" uri="{C3380CC4-5D6E-409C-BE32-E72D297353CC}">
              <c16:uniqueId val="{00000003-C545-4053-AAE9-8CC23E6E527F}"/>
            </c:ext>
          </c:extLst>
        </c:ser>
        <c:dLbls>
          <c:showLegendKey val="0"/>
          <c:showVal val="0"/>
          <c:showCatName val="0"/>
          <c:showSerName val="0"/>
          <c:showPercent val="0"/>
          <c:showBubbleSize val="0"/>
        </c:dLbls>
        <c:smooth val="0"/>
        <c:axId val="228536720"/>
        <c:axId val="248778944"/>
      </c:lineChart>
      <c:dateAx>
        <c:axId val="228536720"/>
        <c:scaling>
          <c:orientation val="minMax"/>
        </c:scaling>
        <c:delete val="0"/>
        <c:axPos val="b"/>
        <c:numFmt formatCode="mmm\-yy" sourceLinked="1"/>
        <c:majorTickMark val="none"/>
        <c:minorTickMark val="none"/>
        <c:tickLblPos val="nextTo"/>
        <c:crossAx val="248778944"/>
        <c:crosses val="autoZero"/>
        <c:auto val="1"/>
        <c:lblOffset val="100"/>
        <c:baseTimeUnit val="months"/>
      </c:dateAx>
      <c:valAx>
        <c:axId val="248778944"/>
        <c:scaling>
          <c:orientation val="minMax"/>
        </c:scaling>
        <c:delete val="0"/>
        <c:axPos val="l"/>
        <c:numFmt formatCode="_(&quot;$&quot;* #,##0.00_);_(&quot;$&quot;* \(#,##0.00\);_(&quot;$&quot;* &quot;-&quot;??_);_(@_)" sourceLinked="1"/>
        <c:majorTickMark val="none"/>
        <c:minorTickMark val="none"/>
        <c:tickLblPos val="nextTo"/>
        <c:crossAx val="2285367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'Base Oil Trends'!$A$4</c:f>
              <c:strCache>
                <c:ptCount val="1"/>
                <c:pt idx="0">
                  <c:v>Base Oil G1 Cost/Gal</c:v>
                </c:pt>
              </c:strCache>
            </c:strRef>
          </c:tx>
          <c:marker>
            <c:symbol val="none"/>
          </c:marker>
          <c:cat>
            <c:numRef>
              <c:f>'Base Oil Trends'!$B$3:$IU$3</c:f>
              <c:numCache>
                <c:formatCode>mmm\-yy</c:formatCode>
                <c:ptCount val="254"/>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pt idx="146">
                  <c:v>42736</c:v>
                </c:pt>
                <c:pt idx="147">
                  <c:v>42767</c:v>
                </c:pt>
                <c:pt idx="148">
                  <c:v>42795</c:v>
                </c:pt>
                <c:pt idx="149">
                  <c:v>42826</c:v>
                </c:pt>
                <c:pt idx="150">
                  <c:v>42856</c:v>
                </c:pt>
                <c:pt idx="151">
                  <c:v>42887</c:v>
                </c:pt>
                <c:pt idx="152">
                  <c:v>42917</c:v>
                </c:pt>
                <c:pt idx="153">
                  <c:v>42948</c:v>
                </c:pt>
                <c:pt idx="154">
                  <c:v>42979</c:v>
                </c:pt>
                <c:pt idx="155">
                  <c:v>43009</c:v>
                </c:pt>
                <c:pt idx="156">
                  <c:v>43040</c:v>
                </c:pt>
                <c:pt idx="157">
                  <c:v>43070</c:v>
                </c:pt>
                <c:pt idx="158">
                  <c:v>43101</c:v>
                </c:pt>
                <c:pt idx="159">
                  <c:v>43132</c:v>
                </c:pt>
                <c:pt idx="160">
                  <c:v>43160</c:v>
                </c:pt>
                <c:pt idx="161">
                  <c:v>43191</c:v>
                </c:pt>
                <c:pt idx="162">
                  <c:v>43221</c:v>
                </c:pt>
                <c:pt idx="163">
                  <c:v>43252</c:v>
                </c:pt>
                <c:pt idx="164">
                  <c:v>43282</c:v>
                </c:pt>
                <c:pt idx="165">
                  <c:v>43313</c:v>
                </c:pt>
                <c:pt idx="166">
                  <c:v>43344</c:v>
                </c:pt>
                <c:pt idx="167">
                  <c:v>43374</c:v>
                </c:pt>
                <c:pt idx="168">
                  <c:v>43405</c:v>
                </c:pt>
                <c:pt idx="169">
                  <c:v>43435</c:v>
                </c:pt>
                <c:pt idx="170">
                  <c:v>43466</c:v>
                </c:pt>
                <c:pt idx="171">
                  <c:v>43497</c:v>
                </c:pt>
                <c:pt idx="172">
                  <c:v>43525</c:v>
                </c:pt>
                <c:pt idx="173">
                  <c:v>43556</c:v>
                </c:pt>
                <c:pt idx="174">
                  <c:v>43586</c:v>
                </c:pt>
                <c:pt idx="175">
                  <c:v>43617</c:v>
                </c:pt>
                <c:pt idx="176">
                  <c:v>43647</c:v>
                </c:pt>
                <c:pt idx="177">
                  <c:v>43678</c:v>
                </c:pt>
                <c:pt idx="178">
                  <c:v>43709</c:v>
                </c:pt>
                <c:pt idx="179">
                  <c:v>43739</c:v>
                </c:pt>
                <c:pt idx="180">
                  <c:v>43770</c:v>
                </c:pt>
                <c:pt idx="181">
                  <c:v>43800</c:v>
                </c:pt>
                <c:pt idx="182">
                  <c:v>43831</c:v>
                </c:pt>
                <c:pt idx="183">
                  <c:v>43862</c:v>
                </c:pt>
                <c:pt idx="184">
                  <c:v>43891</c:v>
                </c:pt>
                <c:pt idx="185">
                  <c:v>43922</c:v>
                </c:pt>
                <c:pt idx="186">
                  <c:v>43952</c:v>
                </c:pt>
                <c:pt idx="187">
                  <c:v>43983</c:v>
                </c:pt>
                <c:pt idx="188">
                  <c:v>44013</c:v>
                </c:pt>
                <c:pt idx="189">
                  <c:v>44044</c:v>
                </c:pt>
                <c:pt idx="190">
                  <c:v>44075</c:v>
                </c:pt>
                <c:pt idx="191">
                  <c:v>44105</c:v>
                </c:pt>
                <c:pt idx="192">
                  <c:v>44136</c:v>
                </c:pt>
                <c:pt idx="193">
                  <c:v>44166</c:v>
                </c:pt>
                <c:pt idx="194">
                  <c:v>44197</c:v>
                </c:pt>
                <c:pt idx="195">
                  <c:v>44228</c:v>
                </c:pt>
                <c:pt idx="196">
                  <c:v>44256</c:v>
                </c:pt>
                <c:pt idx="197">
                  <c:v>44287</c:v>
                </c:pt>
                <c:pt idx="198">
                  <c:v>44317</c:v>
                </c:pt>
                <c:pt idx="199">
                  <c:v>44348</c:v>
                </c:pt>
                <c:pt idx="200">
                  <c:v>44378</c:v>
                </c:pt>
                <c:pt idx="201">
                  <c:v>44409</c:v>
                </c:pt>
                <c:pt idx="202">
                  <c:v>44440</c:v>
                </c:pt>
                <c:pt idx="203">
                  <c:v>44470</c:v>
                </c:pt>
                <c:pt idx="204">
                  <c:v>44501</c:v>
                </c:pt>
                <c:pt idx="205">
                  <c:v>44531</c:v>
                </c:pt>
                <c:pt idx="206">
                  <c:v>44562</c:v>
                </c:pt>
                <c:pt idx="207">
                  <c:v>44593</c:v>
                </c:pt>
                <c:pt idx="208">
                  <c:v>44621</c:v>
                </c:pt>
                <c:pt idx="209">
                  <c:v>44652</c:v>
                </c:pt>
                <c:pt idx="210">
                  <c:v>44682</c:v>
                </c:pt>
                <c:pt idx="211">
                  <c:v>44713</c:v>
                </c:pt>
                <c:pt idx="212">
                  <c:v>44743</c:v>
                </c:pt>
                <c:pt idx="213">
                  <c:v>44774</c:v>
                </c:pt>
                <c:pt idx="214">
                  <c:v>44805</c:v>
                </c:pt>
                <c:pt idx="215">
                  <c:v>44835</c:v>
                </c:pt>
                <c:pt idx="216">
                  <c:v>44866</c:v>
                </c:pt>
                <c:pt idx="217">
                  <c:v>44896</c:v>
                </c:pt>
                <c:pt idx="218">
                  <c:v>44927</c:v>
                </c:pt>
                <c:pt idx="219">
                  <c:v>44958</c:v>
                </c:pt>
                <c:pt idx="220">
                  <c:v>44986</c:v>
                </c:pt>
                <c:pt idx="221">
                  <c:v>45017</c:v>
                </c:pt>
                <c:pt idx="222">
                  <c:v>45047</c:v>
                </c:pt>
                <c:pt idx="223">
                  <c:v>45078</c:v>
                </c:pt>
                <c:pt idx="224">
                  <c:v>45108</c:v>
                </c:pt>
                <c:pt idx="225">
                  <c:v>45139</c:v>
                </c:pt>
                <c:pt idx="226">
                  <c:v>45170</c:v>
                </c:pt>
                <c:pt idx="227">
                  <c:v>45200</c:v>
                </c:pt>
                <c:pt idx="228">
                  <c:v>45231</c:v>
                </c:pt>
                <c:pt idx="229">
                  <c:v>45261</c:v>
                </c:pt>
                <c:pt idx="230">
                  <c:v>45292</c:v>
                </c:pt>
                <c:pt idx="231">
                  <c:v>45323</c:v>
                </c:pt>
                <c:pt idx="232">
                  <c:v>45352</c:v>
                </c:pt>
                <c:pt idx="233">
                  <c:v>45383</c:v>
                </c:pt>
                <c:pt idx="234">
                  <c:v>45413</c:v>
                </c:pt>
                <c:pt idx="235">
                  <c:v>45444</c:v>
                </c:pt>
                <c:pt idx="236">
                  <c:v>45474</c:v>
                </c:pt>
                <c:pt idx="237">
                  <c:v>45505</c:v>
                </c:pt>
                <c:pt idx="238">
                  <c:v>45536</c:v>
                </c:pt>
                <c:pt idx="239">
                  <c:v>45566</c:v>
                </c:pt>
                <c:pt idx="240">
                  <c:v>45597</c:v>
                </c:pt>
                <c:pt idx="241">
                  <c:v>45627</c:v>
                </c:pt>
                <c:pt idx="242">
                  <c:v>45658</c:v>
                </c:pt>
                <c:pt idx="243">
                  <c:v>45689</c:v>
                </c:pt>
                <c:pt idx="244">
                  <c:v>45717</c:v>
                </c:pt>
                <c:pt idx="245">
                  <c:v>45748</c:v>
                </c:pt>
                <c:pt idx="246">
                  <c:v>45778</c:v>
                </c:pt>
                <c:pt idx="247">
                  <c:v>45809</c:v>
                </c:pt>
                <c:pt idx="248">
                  <c:v>45839</c:v>
                </c:pt>
                <c:pt idx="249">
                  <c:v>45870</c:v>
                </c:pt>
                <c:pt idx="250">
                  <c:v>45901</c:v>
                </c:pt>
                <c:pt idx="251">
                  <c:v>45931</c:v>
                </c:pt>
                <c:pt idx="252">
                  <c:v>45962</c:v>
                </c:pt>
                <c:pt idx="253">
                  <c:v>45992</c:v>
                </c:pt>
              </c:numCache>
            </c:numRef>
          </c:cat>
          <c:val>
            <c:numRef>
              <c:f>'Base Oil Trends'!$B$4:$HF$4</c:f>
              <c:numCache>
                <c:formatCode>_("$"* #,##0.00_);_("$"* \(#,##0.00\);_("$"* "-"??_);_(@_)</c:formatCode>
                <c:ptCount val="213"/>
                <c:pt idx="0">
                  <c:v>1.78</c:v>
                </c:pt>
                <c:pt idx="1">
                  <c:v>1.78</c:v>
                </c:pt>
                <c:pt idx="2">
                  <c:v>1.78</c:v>
                </c:pt>
                <c:pt idx="3">
                  <c:v>1.78</c:v>
                </c:pt>
                <c:pt idx="4">
                  <c:v>1.8</c:v>
                </c:pt>
                <c:pt idx="5">
                  <c:v>1.9</c:v>
                </c:pt>
                <c:pt idx="6">
                  <c:v>1.9</c:v>
                </c:pt>
                <c:pt idx="7">
                  <c:v>2</c:v>
                </c:pt>
                <c:pt idx="8">
                  <c:v>2.0499999999999998</c:v>
                </c:pt>
                <c:pt idx="9">
                  <c:v>2.23</c:v>
                </c:pt>
                <c:pt idx="10">
                  <c:v>2.37</c:v>
                </c:pt>
                <c:pt idx="11">
                  <c:v>2.42</c:v>
                </c:pt>
                <c:pt idx="12">
                  <c:v>2.46</c:v>
                </c:pt>
                <c:pt idx="13">
                  <c:v>2.46</c:v>
                </c:pt>
                <c:pt idx="14">
                  <c:v>2.46</c:v>
                </c:pt>
                <c:pt idx="15">
                  <c:v>2.63</c:v>
                </c:pt>
                <c:pt idx="16">
                  <c:v>2.73</c:v>
                </c:pt>
                <c:pt idx="17">
                  <c:v>2.73</c:v>
                </c:pt>
                <c:pt idx="18">
                  <c:v>2.82</c:v>
                </c:pt>
                <c:pt idx="19">
                  <c:v>3</c:v>
                </c:pt>
                <c:pt idx="20">
                  <c:v>3</c:v>
                </c:pt>
                <c:pt idx="21">
                  <c:v>3.15</c:v>
                </c:pt>
                <c:pt idx="22">
                  <c:v>3.15</c:v>
                </c:pt>
                <c:pt idx="23">
                  <c:v>3.15</c:v>
                </c:pt>
                <c:pt idx="24">
                  <c:v>3.05</c:v>
                </c:pt>
                <c:pt idx="25">
                  <c:v>3.05</c:v>
                </c:pt>
                <c:pt idx="26">
                  <c:v>3</c:v>
                </c:pt>
                <c:pt idx="27">
                  <c:v>2.87</c:v>
                </c:pt>
                <c:pt idx="28">
                  <c:v>2.87</c:v>
                </c:pt>
                <c:pt idx="29">
                  <c:v>2.87</c:v>
                </c:pt>
                <c:pt idx="30">
                  <c:v>2.87</c:v>
                </c:pt>
                <c:pt idx="31">
                  <c:v>3</c:v>
                </c:pt>
                <c:pt idx="32">
                  <c:v>3.05</c:v>
                </c:pt>
                <c:pt idx="33">
                  <c:v>3.1</c:v>
                </c:pt>
                <c:pt idx="34">
                  <c:v>3.1</c:v>
                </c:pt>
                <c:pt idx="35">
                  <c:v>3.1</c:v>
                </c:pt>
                <c:pt idx="36">
                  <c:v>3.13</c:v>
                </c:pt>
                <c:pt idx="37">
                  <c:v>3.33</c:v>
                </c:pt>
                <c:pt idx="38">
                  <c:v>3.33</c:v>
                </c:pt>
                <c:pt idx="39">
                  <c:v>3.33</c:v>
                </c:pt>
                <c:pt idx="40">
                  <c:v>3.6</c:v>
                </c:pt>
                <c:pt idx="41">
                  <c:v>3.8</c:v>
                </c:pt>
                <c:pt idx="42">
                  <c:v>3.95</c:v>
                </c:pt>
                <c:pt idx="43">
                  <c:v>4.25</c:v>
                </c:pt>
                <c:pt idx="44">
                  <c:v>5.05</c:v>
                </c:pt>
                <c:pt idx="45">
                  <c:v>5.05</c:v>
                </c:pt>
                <c:pt idx="46">
                  <c:v>5.15</c:v>
                </c:pt>
                <c:pt idx="47">
                  <c:v>5.15</c:v>
                </c:pt>
                <c:pt idx="48">
                  <c:v>4.95</c:v>
                </c:pt>
                <c:pt idx="49">
                  <c:v>3.75</c:v>
                </c:pt>
                <c:pt idx="50">
                  <c:v>3.25</c:v>
                </c:pt>
                <c:pt idx="51">
                  <c:v>2.85</c:v>
                </c:pt>
                <c:pt idx="52">
                  <c:v>2.35</c:v>
                </c:pt>
                <c:pt idx="53">
                  <c:v>2.25</c:v>
                </c:pt>
                <c:pt idx="54">
                  <c:v>2.25</c:v>
                </c:pt>
                <c:pt idx="55">
                  <c:v>2.25</c:v>
                </c:pt>
                <c:pt idx="56">
                  <c:v>2.35</c:v>
                </c:pt>
                <c:pt idx="57">
                  <c:v>2.6</c:v>
                </c:pt>
                <c:pt idx="58">
                  <c:v>2.6</c:v>
                </c:pt>
                <c:pt idx="59">
                  <c:v>2.6</c:v>
                </c:pt>
                <c:pt idx="60">
                  <c:v>2.6</c:v>
                </c:pt>
                <c:pt idx="61">
                  <c:v>2.6</c:v>
                </c:pt>
                <c:pt idx="62">
                  <c:v>2.6</c:v>
                </c:pt>
                <c:pt idx="63">
                  <c:v>2.95</c:v>
                </c:pt>
                <c:pt idx="64">
                  <c:v>2.95</c:v>
                </c:pt>
                <c:pt idx="65">
                  <c:v>3</c:v>
                </c:pt>
                <c:pt idx="66">
                  <c:v>3.15</c:v>
                </c:pt>
                <c:pt idx="67">
                  <c:v>3.45</c:v>
                </c:pt>
                <c:pt idx="68">
                  <c:v>3.5</c:v>
                </c:pt>
                <c:pt idx="69">
                  <c:v>3.3</c:v>
                </c:pt>
                <c:pt idx="70">
                  <c:v>3.3</c:v>
                </c:pt>
                <c:pt idx="71">
                  <c:v>3.3</c:v>
                </c:pt>
                <c:pt idx="72">
                  <c:v>3.3</c:v>
                </c:pt>
                <c:pt idx="73">
                  <c:v>3.5</c:v>
                </c:pt>
                <c:pt idx="74">
                  <c:v>3.5</c:v>
                </c:pt>
                <c:pt idx="75">
                  <c:v>3.5</c:v>
                </c:pt>
                <c:pt idx="76">
                  <c:v>4</c:v>
                </c:pt>
                <c:pt idx="77">
                  <c:v>4</c:v>
                </c:pt>
                <c:pt idx="78">
                  <c:v>4.3</c:v>
                </c:pt>
                <c:pt idx="79">
                  <c:v>4.75</c:v>
                </c:pt>
                <c:pt idx="80">
                  <c:v>4.75</c:v>
                </c:pt>
                <c:pt idx="81">
                  <c:v>4.75</c:v>
                </c:pt>
                <c:pt idx="82">
                  <c:v>4.5999999999999996</c:v>
                </c:pt>
                <c:pt idx="83">
                  <c:v>4.3499999999999996</c:v>
                </c:pt>
                <c:pt idx="84">
                  <c:v>4.3499999999999996</c:v>
                </c:pt>
                <c:pt idx="85">
                  <c:v>4.1500000000000004</c:v>
                </c:pt>
                <c:pt idx="86">
                  <c:v>4.1500000000000004</c:v>
                </c:pt>
                <c:pt idx="87">
                  <c:v>4.1500000000000004</c:v>
                </c:pt>
                <c:pt idx="88">
                  <c:v>4.1500000000000004</c:v>
                </c:pt>
                <c:pt idx="89">
                  <c:v>4.45</c:v>
                </c:pt>
                <c:pt idx="90">
                  <c:v>4.45</c:v>
                </c:pt>
                <c:pt idx="91">
                  <c:v>4.3</c:v>
                </c:pt>
                <c:pt idx="92">
                  <c:v>4</c:v>
                </c:pt>
                <c:pt idx="93">
                  <c:v>4</c:v>
                </c:pt>
                <c:pt idx="94">
                  <c:v>4</c:v>
                </c:pt>
                <c:pt idx="95">
                  <c:v>4</c:v>
                </c:pt>
                <c:pt idx="96">
                  <c:v>3.9</c:v>
                </c:pt>
                <c:pt idx="97">
                  <c:v>3.85</c:v>
                </c:pt>
                <c:pt idx="98">
                  <c:v>3.75</c:v>
                </c:pt>
                <c:pt idx="99">
                  <c:v>3.75</c:v>
                </c:pt>
                <c:pt idx="100">
                  <c:v>3.75</c:v>
                </c:pt>
                <c:pt idx="101">
                  <c:v>3.8</c:v>
                </c:pt>
                <c:pt idx="102">
                  <c:v>3.8</c:v>
                </c:pt>
                <c:pt idx="103">
                  <c:v>3.8</c:v>
                </c:pt>
                <c:pt idx="104">
                  <c:v>3.8</c:v>
                </c:pt>
                <c:pt idx="105">
                  <c:v>3.8</c:v>
                </c:pt>
                <c:pt idx="106">
                  <c:v>3.9</c:v>
                </c:pt>
                <c:pt idx="107">
                  <c:v>3.9</c:v>
                </c:pt>
                <c:pt idx="108">
                  <c:v>4</c:v>
                </c:pt>
                <c:pt idx="109">
                  <c:v>4</c:v>
                </c:pt>
                <c:pt idx="110">
                  <c:v>4</c:v>
                </c:pt>
                <c:pt idx="111">
                  <c:v>3.85</c:v>
                </c:pt>
                <c:pt idx="112">
                  <c:v>3.85</c:v>
                </c:pt>
                <c:pt idx="113">
                  <c:v>3.9</c:v>
                </c:pt>
                <c:pt idx="114">
                  <c:v>3.9</c:v>
                </c:pt>
                <c:pt idx="115">
                  <c:v>4</c:v>
                </c:pt>
                <c:pt idx="116">
                  <c:v>4</c:v>
                </c:pt>
                <c:pt idx="117">
                  <c:v>3.8</c:v>
                </c:pt>
                <c:pt idx="118">
                  <c:v>3.8</c:v>
                </c:pt>
                <c:pt idx="119">
                  <c:v>3.65</c:v>
                </c:pt>
                <c:pt idx="120">
                  <c:v>3.3</c:v>
                </c:pt>
                <c:pt idx="121">
                  <c:v>2.8</c:v>
                </c:pt>
                <c:pt idx="122">
                  <c:v>2.8</c:v>
                </c:pt>
                <c:pt idx="123">
                  <c:v>2.8</c:v>
                </c:pt>
                <c:pt idx="124">
                  <c:v>2.8</c:v>
                </c:pt>
                <c:pt idx="125">
                  <c:v>2.8</c:v>
                </c:pt>
                <c:pt idx="126">
                  <c:v>2.8</c:v>
                </c:pt>
                <c:pt idx="127">
                  <c:v>2.8</c:v>
                </c:pt>
                <c:pt idx="128">
                  <c:v>2.8</c:v>
                </c:pt>
                <c:pt idx="129">
                  <c:v>2.7</c:v>
                </c:pt>
                <c:pt idx="130">
                  <c:v>2.5</c:v>
                </c:pt>
                <c:pt idx="131">
                  <c:v>2.4</c:v>
                </c:pt>
                <c:pt idx="132">
                  <c:v>2.4</c:v>
                </c:pt>
                <c:pt idx="133">
                  <c:v>2.2999999999999998</c:v>
                </c:pt>
                <c:pt idx="134">
                  <c:v>2.1</c:v>
                </c:pt>
                <c:pt idx="135">
                  <c:v>1.8</c:v>
                </c:pt>
                <c:pt idx="136">
                  <c:v>1.8</c:v>
                </c:pt>
                <c:pt idx="137">
                  <c:v>1.9</c:v>
                </c:pt>
                <c:pt idx="138">
                  <c:v>2</c:v>
                </c:pt>
                <c:pt idx="139">
                  <c:v>2.25</c:v>
                </c:pt>
                <c:pt idx="140">
                  <c:v>2.4</c:v>
                </c:pt>
                <c:pt idx="141">
                  <c:v>2.4</c:v>
                </c:pt>
                <c:pt idx="142">
                  <c:v>2.4</c:v>
                </c:pt>
                <c:pt idx="143" formatCode="General">
                  <c:v>2.4</c:v>
                </c:pt>
                <c:pt idx="144">
                  <c:v>2.4</c:v>
                </c:pt>
                <c:pt idx="145">
                  <c:v>2.4</c:v>
                </c:pt>
              </c:numCache>
            </c:numRef>
          </c:val>
          <c:smooth val="0"/>
          <c:extLst>
            <c:ext xmlns:c16="http://schemas.microsoft.com/office/drawing/2014/chart" uri="{C3380CC4-5D6E-409C-BE32-E72D297353CC}">
              <c16:uniqueId val="{00000000-65EA-45C5-A3CD-CEE94CEFCF33}"/>
            </c:ext>
          </c:extLst>
        </c:ser>
        <c:ser>
          <c:idx val="1"/>
          <c:order val="1"/>
          <c:tx>
            <c:strRef>
              <c:f>'Base Oil Trends'!$A$5</c:f>
              <c:strCache>
                <c:ptCount val="1"/>
                <c:pt idx="0">
                  <c:v>Base Oil G2 Cost/Gal</c:v>
                </c:pt>
              </c:strCache>
            </c:strRef>
          </c:tx>
          <c:marker>
            <c:symbol val="none"/>
          </c:marker>
          <c:cat>
            <c:numRef>
              <c:f>'Base Oil Trends'!$B$3:$IU$3</c:f>
              <c:numCache>
                <c:formatCode>mmm\-yy</c:formatCode>
                <c:ptCount val="254"/>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pt idx="146">
                  <c:v>42736</c:v>
                </c:pt>
                <c:pt idx="147">
                  <c:v>42767</c:v>
                </c:pt>
                <c:pt idx="148">
                  <c:v>42795</c:v>
                </c:pt>
                <c:pt idx="149">
                  <c:v>42826</c:v>
                </c:pt>
                <c:pt idx="150">
                  <c:v>42856</c:v>
                </c:pt>
                <c:pt idx="151">
                  <c:v>42887</c:v>
                </c:pt>
                <c:pt idx="152">
                  <c:v>42917</c:v>
                </c:pt>
                <c:pt idx="153">
                  <c:v>42948</c:v>
                </c:pt>
                <c:pt idx="154">
                  <c:v>42979</c:v>
                </c:pt>
                <c:pt idx="155">
                  <c:v>43009</c:v>
                </c:pt>
                <c:pt idx="156">
                  <c:v>43040</c:v>
                </c:pt>
                <c:pt idx="157">
                  <c:v>43070</c:v>
                </c:pt>
                <c:pt idx="158">
                  <c:v>43101</c:v>
                </c:pt>
                <c:pt idx="159">
                  <c:v>43132</c:v>
                </c:pt>
                <c:pt idx="160">
                  <c:v>43160</c:v>
                </c:pt>
                <c:pt idx="161">
                  <c:v>43191</c:v>
                </c:pt>
                <c:pt idx="162">
                  <c:v>43221</c:v>
                </c:pt>
                <c:pt idx="163">
                  <c:v>43252</c:v>
                </c:pt>
                <c:pt idx="164">
                  <c:v>43282</c:v>
                </c:pt>
                <c:pt idx="165">
                  <c:v>43313</c:v>
                </c:pt>
                <c:pt idx="166">
                  <c:v>43344</c:v>
                </c:pt>
                <c:pt idx="167">
                  <c:v>43374</c:v>
                </c:pt>
                <c:pt idx="168">
                  <c:v>43405</c:v>
                </c:pt>
                <c:pt idx="169">
                  <c:v>43435</c:v>
                </c:pt>
                <c:pt idx="170">
                  <c:v>43466</c:v>
                </c:pt>
                <c:pt idx="171">
                  <c:v>43497</c:v>
                </c:pt>
                <c:pt idx="172">
                  <c:v>43525</c:v>
                </c:pt>
                <c:pt idx="173">
                  <c:v>43556</c:v>
                </c:pt>
                <c:pt idx="174">
                  <c:v>43586</c:v>
                </c:pt>
                <c:pt idx="175">
                  <c:v>43617</c:v>
                </c:pt>
                <c:pt idx="176">
                  <c:v>43647</c:v>
                </c:pt>
                <c:pt idx="177">
                  <c:v>43678</c:v>
                </c:pt>
                <c:pt idx="178">
                  <c:v>43709</c:v>
                </c:pt>
                <c:pt idx="179">
                  <c:v>43739</c:v>
                </c:pt>
                <c:pt idx="180">
                  <c:v>43770</c:v>
                </c:pt>
                <c:pt idx="181">
                  <c:v>43800</c:v>
                </c:pt>
                <c:pt idx="182">
                  <c:v>43831</c:v>
                </c:pt>
                <c:pt idx="183">
                  <c:v>43862</c:v>
                </c:pt>
                <c:pt idx="184">
                  <c:v>43891</c:v>
                </c:pt>
                <c:pt idx="185">
                  <c:v>43922</c:v>
                </c:pt>
                <c:pt idx="186">
                  <c:v>43952</c:v>
                </c:pt>
                <c:pt idx="187">
                  <c:v>43983</c:v>
                </c:pt>
                <c:pt idx="188">
                  <c:v>44013</c:v>
                </c:pt>
                <c:pt idx="189">
                  <c:v>44044</c:v>
                </c:pt>
                <c:pt idx="190">
                  <c:v>44075</c:v>
                </c:pt>
                <c:pt idx="191">
                  <c:v>44105</c:v>
                </c:pt>
                <c:pt idx="192">
                  <c:v>44136</c:v>
                </c:pt>
                <c:pt idx="193">
                  <c:v>44166</c:v>
                </c:pt>
                <c:pt idx="194">
                  <c:v>44197</c:v>
                </c:pt>
                <c:pt idx="195">
                  <c:v>44228</c:v>
                </c:pt>
                <c:pt idx="196">
                  <c:v>44256</c:v>
                </c:pt>
                <c:pt idx="197">
                  <c:v>44287</c:v>
                </c:pt>
                <c:pt idx="198">
                  <c:v>44317</c:v>
                </c:pt>
                <c:pt idx="199">
                  <c:v>44348</c:v>
                </c:pt>
                <c:pt idx="200">
                  <c:v>44378</c:v>
                </c:pt>
                <c:pt idx="201">
                  <c:v>44409</c:v>
                </c:pt>
                <c:pt idx="202">
                  <c:v>44440</c:v>
                </c:pt>
                <c:pt idx="203">
                  <c:v>44470</c:v>
                </c:pt>
                <c:pt idx="204">
                  <c:v>44501</c:v>
                </c:pt>
                <c:pt idx="205">
                  <c:v>44531</c:v>
                </c:pt>
                <c:pt idx="206">
                  <c:v>44562</c:v>
                </c:pt>
                <c:pt idx="207">
                  <c:v>44593</c:v>
                </c:pt>
                <c:pt idx="208">
                  <c:v>44621</c:v>
                </c:pt>
                <c:pt idx="209">
                  <c:v>44652</c:v>
                </c:pt>
                <c:pt idx="210">
                  <c:v>44682</c:v>
                </c:pt>
                <c:pt idx="211">
                  <c:v>44713</c:v>
                </c:pt>
                <c:pt idx="212">
                  <c:v>44743</c:v>
                </c:pt>
                <c:pt idx="213">
                  <c:v>44774</c:v>
                </c:pt>
                <c:pt idx="214">
                  <c:v>44805</c:v>
                </c:pt>
                <c:pt idx="215">
                  <c:v>44835</c:v>
                </c:pt>
                <c:pt idx="216">
                  <c:v>44866</c:v>
                </c:pt>
                <c:pt idx="217">
                  <c:v>44896</c:v>
                </c:pt>
                <c:pt idx="218">
                  <c:v>44927</c:v>
                </c:pt>
                <c:pt idx="219">
                  <c:v>44958</c:v>
                </c:pt>
                <c:pt idx="220">
                  <c:v>44986</c:v>
                </c:pt>
                <c:pt idx="221">
                  <c:v>45017</c:v>
                </c:pt>
                <c:pt idx="222">
                  <c:v>45047</c:v>
                </c:pt>
                <c:pt idx="223">
                  <c:v>45078</c:v>
                </c:pt>
                <c:pt idx="224">
                  <c:v>45108</c:v>
                </c:pt>
                <c:pt idx="225">
                  <c:v>45139</c:v>
                </c:pt>
                <c:pt idx="226">
                  <c:v>45170</c:v>
                </c:pt>
                <c:pt idx="227">
                  <c:v>45200</c:v>
                </c:pt>
                <c:pt idx="228">
                  <c:v>45231</c:v>
                </c:pt>
                <c:pt idx="229">
                  <c:v>45261</c:v>
                </c:pt>
                <c:pt idx="230">
                  <c:v>45292</c:v>
                </c:pt>
                <c:pt idx="231">
                  <c:v>45323</c:v>
                </c:pt>
                <c:pt idx="232">
                  <c:v>45352</c:v>
                </c:pt>
                <c:pt idx="233">
                  <c:v>45383</c:v>
                </c:pt>
                <c:pt idx="234">
                  <c:v>45413</c:v>
                </c:pt>
                <c:pt idx="235">
                  <c:v>45444</c:v>
                </c:pt>
                <c:pt idx="236">
                  <c:v>45474</c:v>
                </c:pt>
                <c:pt idx="237">
                  <c:v>45505</c:v>
                </c:pt>
                <c:pt idx="238">
                  <c:v>45536</c:v>
                </c:pt>
                <c:pt idx="239">
                  <c:v>45566</c:v>
                </c:pt>
                <c:pt idx="240">
                  <c:v>45597</c:v>
                </c:pt>
                <c:pt idx="241">
                  <c:v>45627</c:v>
                </c:pt>
                <c:pt idx="242">
                  <c:v>45658</c:v>
                </c:pt>
                <c:pt idx="243">
                  <c:v>45689</c:v>
                </c:pt>
                <c:pt idx="244">
                  <c:v>45717</c:v>
                </c:pt>
                <c:pt idx="245">
                  <c:v>45748</c:v>
                </c:pt>
                <c:pt idx="246">
                  <c:v>45778</c:v>
                </c:pt>
                <c:pt idx="247">
                  <c:v>45809</c:v>
                </c:pt>
                <c:pt idx="248">
                  <c:v>45839</c:v>
                </c:pt>
                <c:pt idx="249">
                  <c:v>45870</c:v>
                </c:pt>
                <c:pt idx="250">
                  <c:v>45901</c:v>
                </c:pt>
                <c:pt idx="251">
                  <c:v>45931</c:v>
                </c:pt>
                <c:pt idx="252">
                  <c:v>45962</c:v>
                </c:pt>
                <c:pt idx="253">
                  <c:v>45992</c:v>
                </c:pt>
              </c:numCache>
            </c:numRef>
          </c:cat>
          <c:val>
            <c:numRef>
              <c:f>'Base Oil Trends'!$B$5:$HF$5</c:f>
              <c:numCache>
                <c:formatCode>_("$"* #,##0.00_);_("$"* \(#,##0.00\);_("$"* "-"??_);_(@_)</c:formatCode>
                <c:ptCount val="213"/>
                <c:pt idx="0">
                  <c:v>1.85</c:v>
                </c:pt>
                <c:pt idx="1">
                  <c:v>1.85</c:v>
                </c:pt>
                <c:pt idx="2">
                  <c:v>1.85</c:v>
                </c:pt>
                <c:pt idx="3">
                  <c:v>1.85</c:v>
                </c:pt>
                <c:pt idx="4">
                  <c:v>1.82</c:v>
                </c:pt>
                <c:pt idx="5">
                  <c:v>2.0499999999999998</c:v>
                </c:pt>
                <c:pt idx="6">
                  <c:v>2.0499999999999998</c:v>
                </c:pt>
                <c:pt idx="7">
                  <c:v>2.0699999999999998</c:v>
                </c:pt>
                <c:pt idx="8">
                  <c:v>2.2000000000000002</c:v>
                </c:pt>
                <c:pt idx="9">
                  <c:v>2.2799999999999998</c:v>
                </c:pt>
                <c:pt idx="10">
                  <c:v>2.4</c:v>
                </c:pt>
                <c:pt idx="11">
                  <c:v>2.48</c:v>
                </c:pt>
                <c:pt idx="12">
                  <c:v>2.5499999999999998</c:v>
                </c:pt>
                <c:pt idx="13">
                  <c:v>2.5499999999999998</c:v>
                </c:pt>
                <c:pt idx="14">
                  <c:v>2.5499999999999998</c:v>
                </c:pt>
                <c:pt idx="15">
                  <c:v>2.7</c:v>
                </c:pt>
                <c:pt idx="16">
                  <c:v>2.76</c:v>
                </c:pt>
                <c:pt idx="17">
                  <c:v>2.82</c:v>
                </c:pt>
                <c:pt idx="18">
                  <c:v>2.9</c:v>
                </c:pt>
                <c:pt idx="19">
                  <c:v>3</c:v>
                </c:pt>
                <c:pt idx="20">
                  <c:v>3.15</c:v>
                </c:pt>
                <c:pt idx="21">
                  <c:v>3.15</c:v>
                </c:pt>
                <c:pt idx="22">
                  <c:v>3.15</c:v>
                </c:pt>
                <c:pt idx="23">
                  <c:v>3.15</c:v>
                </c:pt>
                <c:pt idx="24">
                  <c:v>3</c:v>
                </c:pt>
                <c:pt idx="25">
                  <c:v>3</c:v>
                </c:pt>
                <c:pt idx="26">
                  <c:v>3</c:v>
                </c:pt>
                <c:pt idx="27">
                  <c:v>3</c:v>
                </c:pt>
                <c:pt idx="28">
                  <c:v>3</c:v>
                </c:pt>
                <c:pt idx="29">
                  <c:v>3</c:v>
                </c:pt>
                <c:pt idx="30">
                  <c:v>3</c:v>
                </c:pt>
                <c:pt idx="31">
                  <c:v>3.12</c:v>
                </c:pt>
                <c:pt idx="32">
                  <c:v>3.23</c:v>
                </c:pt>
                <c:pt idx="33">
                  <c:v>3.23</c:v>
                </c:pt>
                <c:pt idx="34">
                  <c:v>3.23</c:v>
                </c:pt>
                <c:pt idx="35">
                  <c:v>3.23</c:v>
                </c:pt>
                <c:pt idx="36">
                  <c:v>3.23</c:v>
                </c:pt>
                <c:pt idx="37">
                  <c:v>3.3</c:v>
                </c:pt>
                <c:pt idx="38">
                  <c:v>3.33</c:v>
                </c:pt>
                <c:pt idx="39">
                  <c:v>3.33</c:v>
                </c:pt>
                <c:pt idx="40">
                  <c:v>3.6</c:v>
                </c:pt>
                <c:pt idx="41">
                  <c:v>3.8</c:v>
                </c:pt>
                <c:pt idx="42">
                  <c:v>3.95</c:v>
                </c:pt>
                <c:pt idx="43">
                  <c:v>4.2</c:v>
                </c:pt>
                <c:pt idx="44">
                  <c:v>4.9000000000000004</c:v>
                </c:pt>
                <c:pt idx="45">
                  <c:v>5.05</c:v>
                </c:pt>
                <c:pt idx="46">
                  <c:v>5.05</c:v>
                </c:pt>
                <c:pt idx="47">
                  <c:v>4.95</c:v>
                </c:pt>
                <c:pt idx="48">
                  <c:v>4.8499999999999996</c:v>
                </c:pt>
                <c:pt idx="49">
                  <c:v>3.75</c:v>
                </c:pt>
                <c:pt idx="50">
                  <c:v>3.2</c:v>
                </c:pt>
                <c:pt idx="51">
                  <c:v>2.85</c:v>
                </c:pt>
                <c:pt idx="52">
                  <c:v>2.4</c:v>
                </c:pt>
                <c:pt idx="53">
                  <c:v>2.25</c:v>
                </c:pt>
                <c:pt idx="54">
                  <c:v>2.25</c:v>
                </c:pt>
                <c:pt idx="55">
                  <c:v>2.25</c:v>
                </c:pt>
                <c:pt idx="56">
                  <c:v>2.35</c:v>
                </c:pt>
                <c:pt idx="57">
                  <c:v>2.7</c:v>
                </c:pt>
                <c:pt idx="58">
                  <c:v>2.7</c:v>
                </c:pt>
                <c:pt idx="59">
                  <c:v>2.7</c:v>
                </c:pt>
                <c:pt idx="60">
                  <c:v>2.7</c:v>
                </c:pt>
                <c:pt idx="61">
                  <c:v>2.7</c:v>
                </c:pt>
                <c:pt idx="62">
                  <c:v>2.7</c:v>
                </c:pt>
                <c:pt idx="63">
                  <c:v>2.95</c:v>
                </c:pt>
                <c:pt idx="64">
                  <c:v>3</c:v>
                </c:pt>
                <c:pt idx="65">
                  <c:v>3.1</c:v>
                </c:pt>
                <c:pt idx="66">
                  <c:v>3.2</c:v>
                </c:pt>
                <c:pt idx="67">
                  <c:v>3.5</c:v>
                </c:pt>
                <c:pt idx="68">
                  <c:v>3.5</c:v>
                </c:pt>
                <c:pt idx="69">
                  <c:v>3.5</c:v>
                </c:pt>
                <c:pt idx="70">
                  <c:v>3.5</c:v>
                </c:pt>
                <c:pt idx="71">
                  <c:v>3.5</c:v>
                </c:pt>
                <c:pt idx="72">
                  <c:v>3.5</c:v>
                </c:pt>
                <c:pt idx="73">
                  <c:v>3.85</c:v>
                </c:pt>
                <c:pt idx="74">
                  <c:v>3.85</c:v>
                </c:pt>
                <c:pt idx="75">
                  <c:v>3.85</c:v>
                </c:pt>
                <c:pt idx="76">
                  <c:v>4.25</c:v>
                </c:pt>
                <c:pt idx="77">
                  <c:v>4.25</c:v>
                </c:pt>
                <c:pt idx="78">
                  <c:v>4.75</c:v>
                </c:pt>
                <c:pt idx="79">
                  <c:v>4.75</c:v>
                </c:pt>
                <c:pt idx="80">
                  <c:v>4.95</c:v>
                </c:pt>
                <c:pt idx="81">
                  <c:v>4.95</c:v>
                </c:pt>
                <c:pt idx="82">
                  <c:v>4.95</c:v>
                </c:pt>
                <c:pt idx="83">
                  <c:v>4.95</c:v>
                </c:pt>
                <c:pt idx="84">
                  <c:v>4.95</c:v>
                </c:pt>
                <c:pt idx="85">
                  <c:v>4.75</c:v>
                </c:pt>
                <c:pt idx="86">
                  <c:v>4.75</c:v>
                </c:pt>
                <c:pt idx="87">
                  <c:v>4.75</c:v>
                </c:pt>
                <c:pt idx="88">
                  <c:v>4.75</c:v>
                </c:pt>
                <c:pt idx="89">
                  <c:v>4.75</c:v>
                </c:pt>
                <c:pt idx="90">
                  <c:v>5</c:v>
                </c:pt>
                <c:pt idx="91">
                  <c:v>4.75</c:v>
                </c:pt>
                <c:pt idx="92">
                  <c:v>4.3</c:v>
                </c:pt>
                <c:pt idx="93">
                  <c:v>4.3</c:v>
                </c:pt>
                <c:pt idx="94">
                  <c:v>4.3</c:v>
                </c:pt>
                <c:pt idx="95">
                  <c:v>4.3</c:v>
                </c:pt>
                <c:pt idx="96">
                  <c:v>4</c:v>
                </c:pt>
                <c:pt idx="97">
                  <c:v>4</c:v>
                </c:pt>
                <c:pt idx="98">
                  <c:v>3.75</c:v>
                </c:pt>
                <c:pt idx="99">
                  <c:v>3.75</c:v>
                </c:pt>
                <c:pt idx="100">
                  <c:v>3.75</c:v>
                </c:pt>
                <c:pt idx="101">
                  <c:v>3.9</c:v>
                </c:pt>
                <c:pt idx="102">
                  <c:v>3.9</c:v>
                </c:pt>
                <c:pt idx="103">
                  <c:v>3.9</c:v>
                </c:pt>
                <c:pt idx="104">
                  <c:v>3.9</c:v>
                </c:pt>
                <c:pt idx="105">
                  <c:v>3.9</c:v>
                </c:pt>
                <c:pt idx="106">
                  <c:v>4</c:v>
                </c:pt>
                <c:pt idx="107">
                  <c:v>4</c:v>
                </c:pt>
                <c:pt idx="108">
                  <c:v>3.9</c:v>
                </c:pt>
                <c:pt idx="109">
                  <c:v>3.9</c:v>
                </c:pt>
                <c:pt idx="110">
                  <c:v>3.9</c:v>
                </c:pt>
                <c:pt idx="111">
                  <c:v>3.85</c:v>
                </c:pt>
                <c:pt idx="112">
                  <c:v>3.85</c:v>
                </c:pt>
                <c:pt idx="113">
                  <c:v>3.9</c:v>
                </c:pt>
                <c:pt idx="114">
                  <c:v>3.9</c:v>
                </c:pt>
                <c:pt idx="115">
                  <c:v>3.9</c:v>
                </c:pt>
                <c:pt idx="116">
                  <c:v>3.9</c:v>
                </c:pt>
                <c:pt idx="117">
                  <c:v>3.7</c:v>
                </c:pt>
                <c:pt idx="118">
                  <c:v>3.7</c:v>
                </c:pt>
                <c:pt idx="119">
                  <c:v>3.55</c:v>
                </c:pt>
                <c:pt idx="120">
                  <c:v>3.3</c:v>
                </c:pt>
                <c:pt idx="121">
                  <c:v>2.8</c:v>
                </c:pt>
                <c:pt idx="122">
                  <c:v>2.8</c:v>
                </c:pt>
                <c:pt idx="123">
                  <c:v>2.8</c:v>
                </c:pt>
                <c:pt idx="124">
                  <c:v>2.8</c:v>
                </c:pt>
                <c:pt idx="125">
                  <c:v>2.8</c:v>
                </c:pt>
                <c:pt idx="126">
                  <c:v>2.8</c:v>
                </c:pt>
                <c:pt idx="127">
                  <c:v>2.8</c:v>
                </c:pt>
                <c:pt idx="128">
                  <c:v>2.8</c:v>
                </c:pt>
                <c:pt idx="129">
                  <c:v>2.7</c:v>
                </c:pt>
                <c:pt idx="130">
                  <c:v>2.5</c:v>
                </c:pt>
                <c:pt idx="131">
                  <c:v>2.4</c:v>
                </c:pt>
                <c:pt idx="132">
                  <c:v>2.4</c:v>
                </c:pt>
                <c:pt idx="133">
                  <c:v>2.2999999999999998</c:v>
                </c:pt>
                <c:pt idx="134">
                  <c:v>2.1</c:v>
                </c:pt>
                <c:pt idx="135">
                  <c:v>1.8</c:v>
                </c:pt>
                <c:pt idx="136">
                  <c:v>1.8</c:v>
                </c:pt>
                <c:pt idx="137">
                  <c:v>1.8</c:v>
                </c:pt>
                <c:pt idx="138">
                  <c:v>1.95</c:v>
                </c:pt>
                <c:pt idx="139">
                  <c:v>2.2000000000000002</c:v>
                </c:pt>
                <c:pt idx="140">
                  <c:v>2.2999999999999998</c:v>
                </c:pt>
                <c:pt idx="141">
                  <c:v>2.2999999999999998</c:v>
                </c:pt>
                <c:pt idx="142">
                  <c:v>2.2999999999999998</c:v>
                </c:pt>
                <c:pt idx="143">
                  <c:v>2.2000000000000002</c:v>
                </c:pt>
                <c:pt idx="144">
                  <c:v>2.2000000000000002</c:v>
                </c:pt>
                <c:pt idx="145">
                  <c:v>2.2000000000000002</c:v>
                </c:pt>
              </c:numCache>
            </c:numRef>
          </c:val>
          <c:smooth val="0"/>
          <c:extLst>
            <c:ext xmlns:c16="http://schemas.microsoft.com/office/drawing/2014/chart" uri="{C3380CC4-5D6E-409C-BE32-E72D297353CC}">
              <c16:uniqueId val="{00000001-65EA-45C5-A3CD-CEE94CEFCF33}"/>
            </c:ext>
          </c:extLst>
        </c:ser>
        <c:ser>
          <c:idx val="2"/>
          <c:order val="2"/>
          <c:tx>
            <c:strRef>
              <c:f>'Base Oil Trends'!$A$6</c:f>
              <c:strCache>
                <c:ptCount val="1"/>
                <c:pt idx="0">
                  <c:v>Crude West Texas Cost/Gal</c:v>
                </c:pt>
              </c:strCache>
            </c:strRef>
          </c:tx>
          <c:marker>
            <c:symbol val="none"/>
          </c:marker>
          <c:cat>
            <c:numRef>
              <c:f>'Base Oil Trends'!$B$3:$IU$3</c:f>
              <c:numCache>
                <c:formatCode>mmm\-yy</c:formatCode>
                <c:ptCount val="254"/>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pt idx="146">
                  <c:v>42736</c:v>
                </c:pt>
                <c:pt idx="147">
                  <c:v>42767</c:v>
                </c:pt>
                <c:pt idx="148">
                  <c:v>42795</c:v>
                </c:pt>
                <c:pt idx="149">
                  <c:v>42826</c:v>
                </c:pt>
                <c:pt idx="150">
                  <c:v>42856</c:v>
                </c:pt>
                <c:pt idx="151">
                  <c:v>42887</c:v>
                </c:pt>
                <c:pt idx="152">
                  <c:v>42917</c:v>
                </c:pt>
                <c:pt idx="153">
                  <c:v>42948</c:v>
                </c:pt>
                <c:pt idx="154">
                  <c:v>42979</c:v>
                </c:pt>
                <c:pt idx="155">
                  <c:v>43009</c:v>
                </c:pt>
                <c:pt idx="156">
                  <c:v>43040</c:v>
                </c:pt>
                <c:pt idx="157">
                  <c:v>43070</c:v>
                </c:pt>
                <c:pt idx="158">
                  <c:v>43101</c:v>
                </c:pt>
                <c:pt idx="159">
                  <c:v>43132</c:v>
                </c:pt>
                <c:pt idx="160">
                  <c:v>43160</c:v>
                </c:pt>
                <c:pt idx="161">
                  <c:v>43191</c:v>
                </c:pt>
                <c:pt idx="162">
                  <c:v>43221</c:v>
                </c:pt>
                <c:pt idx="163">
                  <c:v>43252</c:v>
                </c:pt>
                <c:pt idx="164">
                  <c:v>43282</c:v>
                </c:pt>
                <c:pt idx="165">
                  <c:v>43313</c:v>
                </c:pt>
                <c:pt idx="166">
                  <c:v>43344</c:v>
                </c:pt>
                <c:pt idx="167">
                  <c:v>43374</c:v>
                </c:pt>
                <c:pt idx="168">
                  <c:v>43405</c:v>
                </c:pt>
                <c:pt idx="169">
                  <c:v>43435</c:v>
                </c:pt>
                <c:pt idx="170">
                  <c:v>43466</c:v>
                </c:pt>
                <c:pt idx="171">
                  <c:v>43497</c:v>
                </c:pt>
                <c:pt idx="172">
                  <c:v>43525</c:v>
                </c:pt>
                <c:pt idx="173">
                  <c:v>43556</c:v>
                </c:pt>
                <c:pt idx="174">
                  <c:v>43586</c:v>
                </c:pt>
                <c:pt idx="175">
                  <c:v>43617</c:v>
                </c:pt>
                <c:pt idx="176">
                  <c:v>43647</c:v>
                </c:pt>
                <c:pt idx="177">
                  <c:v>43678</c:v>
                </c:pt>
                <c:pt idx="178">
                  <c:v>43709</c:v>
                </c:pt>
                <c:pt idx="179">
                  <c:v>43739</c:v>
                </c:pt>
                <c:pt idx="180">
                  <c:v>43770</c:v>
                </c:pt>
                <c:pt idx="181">
                  <c:v>43800</c:v>
                </c:pt>
                <c:pt idx="182">
                  <c:v>43831</c:v>
                </c:pt>
                <c:pt idx="183">
                  <c:v>43862</c:v>
                </c:pt>
                <c:pt idx="184">
                  <c:v>43891</c:v>
                </c:pt>
                <c:pt idx="185">
                  <c:v>43922</c:v>
                </c:pt>
                <c:pt idx="186">
                  <c:v>43952</c:v>
                </c:pt>
                <c:pt idx="187">
                  <c:v>43983</c:v>
                </c:pt>
                <c:pt idx="188">
                  <c:v>44013</c:v>
                </c:pt>
                <c:pt idx="189">
                  <c:v>44044</c:v>
                </c:pt>
                <c:pt idx="190">
                  <c:v>44075</c:v>
                </c:pt>
                <c:pt idx="191">
                  <c:v>44105</c:v>
                </c:pt>
                <c:pt idx="192">
                  <c:v>44136</c:v>
                </c:pt>
                <c:pt idx="193">
                  <c:v>44166</c:v>
                </c:pt>
                <c:pt idx="194">
                  <c:v>44197</c:v>
                </c:pt>
                <c:pt idx="195">
                  <c:v>44228</c:v>
                </c:pt>
                <c:pt idx="196">
                  <c:v>44256</c:v>
                </c:pt>
                <c:pt idx="197">
                  <c:v>44287</c:v>
                </c:pt>
                <c:pt idx="198">
                  <c:v>44317</c:v>
                </c:pt>
                <c:pt idx="199">
                  <c:v>44348</c:v>
                </c:pt>
                <c:pt idx="200">
                  <c:v>44378</c:v>
                </c:pt>
                <c:pt idx="201">
                  <c:v>44409</c:v>
                </c:pt>
                <c:pt idx="202">
                  <c:v>44440</c:v>
                </c:pt>
                <c:pt idx="203">
                  <c:v>44470</c:v>
                </c:pt>
                <c:pt idx="204">
                  <c:v>44501</c:v>
                </c:pt>
                <c:pt idx="205">
                  <c:v>44531</c:v>
                </c:pt>
                <c:pt idx="206">
                  <c:v>44562</c:v>
                </c:pt>
                <c:pt idx="207">
                  <c:v>44593</c:v>
                </c:pt>
                <c:pt idx="208">
                  <c:v>44621</c:v>
                </c:pt>
                <c:pt idx="209">
                  <c:v>44652</c:v>
                </c:pt>
                <c:pt idx="210">
                  <c:v>44682</c:v>
                </c:pt>
                <c:pt idx="211">
                  <c:v>44713</c:v>
                </c:pt>
                <c:pt idx="212">
                  <c:v>44743</c:v>
                </c:pt>
                <c:pt idx="213">
                  <c:v>44774</c:v>
                </c:pt>
                <c:pt idx="214">
                  <c:v>44805</c:v>
                </c:pt>
                <c:pt idx="215">
                  <c:v>44835</c:v>
                </c:pt>
                <c:pt idx="216">
                  <c:v>44866</c:v>
                </c:pt>
                <c:pt idx="217">
                  <c:v>44896</c:v>
                </c:pt>
                <c:pt idx="218">
                  <c:v>44927</c:v>
                </c:pt>
                <c:pt idx="219">
                  <c:v>44958</c:v>
                </c:pt>
                <c:pt idx="220">
                  <c:v>44986</c:v>
                </c:pt>
                <c:pt idx="221">
                  <c:v>45017</c:v>
                </c:pt>
                <c:pt idx="222">
                  <c:v>45047</c:v>
                </c:pt>
                <c:pt idx="223">
                  <c:v>45078</c:v>
                </c:pt>
                <c:pt idx="224">
                  <c:v>45108</c:v>
                </c:pt>
                <c:pt idx="225">
                  <c:v>45139</c:v>
                </c:pt>
                <c:pt idx="226">
                  <c:v>45170</c:v>
                </c:pt>
                <c:pt idx="227">
                  <c:v>45200</c:v>
                </c:pt>
                <c:pt idx="228">
                  <c:v>45231</c:v>
                </c:pt>
                <c:pt idx="229">
                  <c:v>45261</c:v>
                </c:pt>
                <c:pt idx="230">
                  <c:v>45292</c:v>
                </c:pt>
                <c:pt idx="231">
                  <c:v>45323</c:v>
                </c:pt>
                <c:pt idx="232">
                  <c:v>45352</c:v>
                </c:pt>
                <c:pt idx="233">
                  <c:v>45383</c:v>
                </c:pt>
                <c:pt idx="234">
                  <c:v>45413</c:v>
                </c:pt>
                <c:pt idx="235">
                  <c:v>45444</c:v>
                </c:pt>
                <c:pt idx="236">
                  <c:v>45474</c:v>
                </c:pt>
                <c:pt idx="237">
                  <c:v>45505</c:v>
                </c:pt>
                <c:pt idx="238">
                  <c:v>45536</c:v>
                </c:pt>
                <c:pt idx="239">
                  <c:v>45566</c:v>
                </c:pt>
                <c:pt idx="240">
                  <c:v>45597</c:v>
                </c:pt>
                <c:pt idx="241">
                  <c:v>45627</c:v>
                </c:pt>
                <c:pt idx="242">
                  <c:v>45658</c:v>
                </c:pt>
                <c:pt idx="243">
                  <c:v>45689</c:v>
                </c:pt>
                <c:pt idx="244">
                  <c:v>45717</c:v>
                </c:pt>
                <c:pt idx="245">
                  <c:v>45748</c:v>
                </c:pt>
                <c:pt idx="246">
                  <c:v>45778</c:v>
                </c:pt>
                <c:pt idx="247">
                  <c:v>45809</c:v>
                </c:pt>
                <c:pt idx="248">
                  <c:v>45839</c:v>
                </c:pt>
                <c:pt idx="249">
                  <c:v>45870</c:v>
                </c:pt>
                <c:pt idx="250">
                  <c:v>45901</c:v>
                </c:pt>
                <c:pt idx="251">
                  <c:v>45931</c:v>
                </c:pt>
                <c:pt idx="252">
                  <c:v>45962</c:v>
                </c:pt>
                <c:pt idx="253">
                  <c:v>45992</c:v>
                </c:pt>
              </c:numCache>
            </c:numRef>
          </c:cat>
          <c:val>
            <c:numRef>
              <c:f>'Base Oil Trends'!$B$6:$HF$6</c:f>
              <c:numCache>
                <c:formatCode>_("$"* #,##0.00_);_("$"* \(#,##0.00\);_("$"* "-"??_);_(@_)</c:formatCode>
                <c:ptCount val="213"/>
                <c:pt idx="0">
                  <c:v>1.1499999999999999</c:v>
                </c:pt>
                <c:pt idx="1">
                  <c:v>1</c:v>
                </c:pt>
                <c:pt idx="2">
                  <c:v>1.1000000000000001</c:v>
                </c:pt>
                <c:pt idx="3">
                  <c:v>1.1499999999999999</c:v>
                </c:pt>
                <c:pt idx="4">
                  <c:v>1.28</c:v>
                </c:pt>
                <c:pt idx="5">
                  <c:v>1.26</c:v>
                </c:pt>
                <c:pt idx="6">
                  <c:v>1.18</c:v>
                </c:pt>
                <c:pt idx="7">
                  <c:v>1.3</c:v>
                </c:pt>
                <c:pt idx="8">
                  <c:v>1.4</c:v>
                </c:pt>
                <c:pt idx="9">
                  <c:v>1.53</c:v>
                </c:pt>
                <c:pt idx="10">
                  <c:v>1.53</c:v>
                </c:pt>
                <c:pt idx="11">
                  <c:v>1.5</c:v>
                </c:pt>
                <c:pt idx="12">
                  <c:v>1.4</c:v>
                </c:pt>
                <c:pt idx="13">
                  <c:v>1.43</c:v>
                </c:pt>
                <c:pt idx="14">
                  <c:v>1.53</c:v>
                </c:pt>
                <c:pt idx="15">
                  <c:v>1.48</c:v>
                </c:pt>
                <c:pt idx="16">
                  <c:v>1.5</c:v>
                </c:pt>
                <c:pt idx="17">
                  <c:v>1.65</c:v>
                </c:pt>
                <c:pt idx="18">
                  <c:v>1.7</c:v>
                </c:pt>
                <c:pt idx="19">
                  <c:v>1.7</c:v>
                </c:pt>
                <c:pt idx="20">
                  <c:v>1.75</c:v>
                </c:pt>
                <c:pt idx="21">
                  <c:v>1.72</c:v>
                </c:pt>
                <c:pt idx="22">
                  <c:v>1.5</c:v>
                </c:pt>
                <c:pt idx="23">
                  <c:v>1.45</c:v>
                </c:pt>
                <c:pt idx="24">
                  <c:v>1.45</c:v>
                </c:pt>
                <c:pt idx="25">
                  <c:v>1.5</c:v>
                </c:pt>
                <c:pt idx="26">
                  <c:v>1.3</c:v>
                </c:pt>
                <c:pt idx="27">
                  <c:v>1.4</c:v>
                </c:pt>
                <c:pt idx="28">
                  <c:v>1.44</c:v>
                </c:pt>
                <c:pt idx="29">
                  <c:v>1.5</c:v>
                </c:pt>
                <c:pt idx="30">
                  <c:v>1.5</c:v>
                </c:pt>
                <c:pt idx="31">
                  <c:v>1.6</c:v>
                </c:pt>
                <c:pt idx="32">
                  <c:v>1.75</c:v>
                </c:pt>
                <c:pt idx="33">
                  <c:v>1.7</c:v>
                </c:pt>
                <c:pt idx="34">
                  <c:v>1.92</c:v>
                </c:pt>
                <c:pt idx="35">
                  <c:v>2.0499999999999998</c:v>
                </c:pt>
                <c:pt idx="36">
                  <c:v>2.2000000000000002</c:v>
                </c:pt>
                <c:pt idx="37">
                  <c:v>2.16</c:v>
                </c:pt>
                <c:pt idx="38">
                  <c:v>2.1800000000000002</c:v>
                </c:pt>
                <c:pt idx="39">
                  <c:v>2.2000000000000002</c:v>
                </c:pt>
                <c:pt idx="40">
                  <c:v>2.5</c:v>
                </c:pt>
                <c:pt idx="41">
                  <c:v>2.75</c:v>
                </c:pt>
                <c:pt idx="42">
                  <c:v>3</c:v>
                </c:pt>
                <c:pt idx="43">
                  <c:v>3.15</c:v>
                </c:pt>
                <c:pt idx="44">
                  <c:v>3.15</c:v>
                </c:pt>
                <c:pt idx="45">
                  <c:v>2.85</c:v>
                </c:pt>
                <c:pt idx="46">
                  <c:v>2.5</c:v>
                </c:pt>
                <c:pt idx="47">
                  <c:v>1.9</c:v>
                </c:pt>
                <c:pt idx="48">
                  <c:v>1.3</c:v>
                </c:pt>
                <c:pt idx="49">
                  <c:v>1</c:v>
                </c:pt>
                <c:pt idx="50">
                  <c:v>1</c:v>
                </c:pt>
                <c:pt idx="51">
                  <c:v>0.9</c:v>
                </c:pt>
                <c:pt idx="52">
                  <c:v>1.1000000000000001</c:v>
                </c:pt>
                <c:pt idx="53">
                  <c:v>1.1200000000000001</c:v>
                </c:pt>
                <c:pt idx="54">
                  <c:v>1.4</c:v>
                </c:pt>
                <c:pt idx="55">
                  <c:v>1.75</c:v>
                </c:pt>
                <c:pt idx="56">
                  <c:v>1.7</c:v>
                </c:pt>
                <c:pt idx="57">
                  <c:v>1.85</c:v>
                </c:pt>
                <c:pt idx="58">
                  <c:v>1.8</c:v>
                </c:pt>
                <c:pt idx="59">
                  <c:v>1.88</c:v>
                </c:pt>
                <c:pt idx="60">
                  <c:v>1.9</c:v>
                </c:pt>
                <c:pt idx="61">
                  <c:v>1.85</c:v>
                </c:pt>
                <c:pt idx="62">
                  <c:v>1.9</c:v>
                </c:pt>
                <c:pt idx="63">
                  <c:v>1.85</c:v>
                </c:pt>
                <c:pt idx="64">
                  <c:v>1.95</c:v>
                </c:pt>
                <c:pt idx="65">
                  <c:v>2</c:v>
                </c:pt>
                <c:pt idx="66">
                  <c:v>1.85</c:v>
                </c:pt>
                <c:pt idx="67">
                  <c:v>1.9</c:v>
                </c:pt>
                <c:pt idx="68">
                  <c:v>1.95</c:v>
                </c:pt>
                <c:pt idx="69">
                  <c:v>1.95</c:v>
                </c:pt>
                <c:pt idx="70">
                  <c:v>1.9</c:v>
                </c:pt>
                <c:pt idx="71">
                  <c:v>2</c:v>
                </c:pt>
                <c:pt idx="72">
                  <c:v>2</c:v>
                </c:pt>
                <c:pt idx="73">
                  <c:v>2.1</c:v>
                </c:pt>
                <c:pt idx="74">
                  <c:v>2.1</c:v>
                </c:pt>
                <c:pt idx="75">
                  <c:v>2.1</c:v>
                </c:pt>
                <c:pt idx="76">
                  <c:v>2.4</c:v>
                </c:pt>
                <c:pt idx="77">
                  <c:v>2.65</c:v>
                </c:pt>
                <c:pt idx="78">
                  <c:v>2.35</c:v>
                </c:pt>
                <c:pt idx="79">
                  <c:v>2.2000000000000002</c:v>
                </c:pt>
                <c:pt idx="80">
                  <c:v>2.2000000000000002</c:v>
                </c:pt>
                <c:pt idx="81">
                  <c:v>2</c:v>
                </c:pt>
                <c:pt idx="82">
                  <c:v>2</c:v>
                </c:pt>
                <c:pt idx="83">
                  <c:v>2</c:v>
                </c:pt>
                <c:pt idx="84">
                  <c:v>2.2000000000000002</c:v>
                </c:pt>
                <c:pt idx="85">
                  <c:v>2.2999999999999998</c:v>
                </c:pt>
                <c:pt idx="86">
                  <c:v>2.35</c:v>
                </c:pt>
                <c:pt idx="87">
                  <c:v>2.4500000000000002</c:v>
                </c:pt>
                <c:pt idx="88">
                  <c:v>2.5499999999999998</c:v>
                </c:pt>
                <c:pt idx="89">
                  <c:v>2.5</c:v>
                </c:pt>
                <c:pt idx="90">
                  <c:v>2.2000000000000002</c:v>
                </c:pt>
                <c:pt idx="91">
                  <c:v>2</c:v>
                </c:pt>
                <c:pt idx="92">
                  <c:v>2.1</c:v>
                </c:pt>
                <c:pt idx="93">
                  <c:v>2.2000000000000002</c:v>
                </c:pt>
                <c:pt idx="94">
                  <c:v>2.2000000000000002</c:v>
                </c:pt>
                <c:pt idx="95">
                  <c:v>2.1</c:v>
                </c:pt>
                <c:pt idx="96">
                  <c:v>2.1</c:v>
                </c:pt>
                <c:pt idx="97">
                  <c:v>2.15</c:v>
                </c:pt>
                <c:pt idx="98">
                  <c:v>2.25</c:v>
                </c:pt>
                <c:pt idx="99">
                  <c:v>2.25</c:v>
                </c:pt>
                <c:pt idx="100">
                  <c:v>2.25</c:v>
                </c:pt>
                <c:pt idx="101">
                  <c:v>2.2000000000000002</c:v>
                </c:pt>
                <c:pt idx="102">
                  <c:v>2.2000000000000002</c:v>
                </c:pt>
                <c:pt idx="103">
                  <c:v>2.2000000000000002</c:v>
                </c:pt>
                <c:pt idx="104">
                  <c:v>2.5</c:v>
                </c:pt>
                <c:pt idx="105">
                  <c:v>2.6</c:v>
                </c:pt>
                <c:pt idx="106">
                  <c:v>2.6</c:v>
                </c:pt>
                <c:pt idx="107">
                  <c:v>2.4500000000000002</c:v>
                </c:pt>
                <c:pt idx="108">
                  <c:v>2.2999999999999998</c:v>
                </c:pt>
                <c:pt idx="109">
                  <c:v>2.35</c:v>
                </c:pt>
                <c:pt idx="110">
                  <c:v>2.2999999999999998</c:v>
                </c:pt>
                <c:pt idx="111">
                  <c:v>2.35</c:v>
                </c:pt>
                <c:pt idx="112">
                  <c:v>2.35</c:v>
                </c:pt>
                <c:pt idx="113">
                  <c:v>2.35</c:v>
                </c:pt>
                <c:pt idx="114">
                  <c:v>2.35</c:v>
                </c:pt>
                <c:pt idx="115">
                  <c:v>2.4</c:v>
                </c:pt>
                <c:pt idx="116">
                  <c:v>2.2999999999999998</c:v>
                </c:pt>
                <c:pt idx="117">
                  <c:v>2.25</c:v>
                </c:pt>
                <c:pt idx="118">
                  <c:v>2.15</c:v>
                </c:pt>
                <c:pt idx="119">
                  <c:v>2</c:v>
                </c:pt>
                <c:pt idx="120">
                  <c:v>1.85</c:v>
                </c:pt>
                <c:pt idx="121">
                  <c:v>1.35</c:v>
                </c:pt>
                <c:pt idx="122">
                  <c:v>1.1000000000000001</c:v>
                </c:pt>
                <c:pt idx="123">
                  <c:v>1.1499999999999999</c:v>
                </c:pt>
                <c:pt idx="124">
                  <c:v>1.05</c:v>
                </c:pt>
                <c:pt idx="125">
                  <c:v>1.2</c:v>
                </c:pt>
                <c:pt idx="126">
                  <c:v>1.35</c:v>
                </c:pt>
                <c:pt idx="127">
                  <c:v>1.35</c:v>
                </c:pt>
                <c:pt idx="128">
                  <c:v>1.25</c:v>
                </c:pt>
                <c:pt idx="129">
                  <c:v>1</c:v>
                </c:pt>
                <c:pt idx="130">
                  <c:v>1.05</c:v>
                </c:pt>
                <c:pt idx="131">
                  <c:v>1.05</c:v>
                </c:pt>
                <c:pt idx="132">
                  <c:v>1</c:v>
                </c:pt>
                <c:pt idx="133">
                  <c:v>0.85</c:v>
                </c:pt>
                <c:pt idx="134">
                  <c:v>0.75</c:v>
                </c:pt>
                <c:pt idx="135">
                  <c:v>0.75</c:v>
                </c:pt>
                <c:pt idx="136">
                  <c:v>1</c:v>
                </c:pt>
                <c:pt idx="137">
                  <c:v>1.05</c:v>
                </c:pt>
                <c:pt idx="138">
                  <c:v>1.25</c:v>
                </c:pt>
                <c:pt idx="139">
                  <c:v>1.3</c:v>
                </c:pt>
                <c:pt idx="140">
                  <c:v>1.2</c:v>
                </c:pt>
                <c:pt idx="141">
                  <c:v>1.2</c:v>
                </c:pt>
                <c:pt idx="142">
                  <c:v>1.2</c:v>
                </c:pt>
                <c:pt idx="143">
                  <c:v>1.3</c:v>
                </c:pt>
                <c:pt idx="144">
                  <c:v>1.25</c:v>
                </c:pt>
              </c:numCache>
            </c:numRef>
          </c:val>
          <c:smooth val="0"/>
          <c:extLst>
            <c:ext xmlns:c16="http://schemas.microsoft.com/office/drawing/2014/chart" uri="{C3380CC4-5D6E-409C-BE32-E72D297353CC}">
              <c16:uniqueId val="{00000002-65EA-45C5-A3CD-CEE94CEFCF33}"/>
            </c:ext>
          </c:extLst>
        </c:ser>
        <c:ser>
          <c:idx val="3"/>
          <c:order val="3"/>
          <c:tx>
            <c:strRef>
              <c:f>'Base Oil Trends'!$A$8</c:f>
              <c:strCache>
                <c:ptCount val="1"/>
                <c:pt idx="0">
                  <c:v>Metalub Base Oil G2 Price</c:v>
                </c:pt>
              </c:strCache>
            </c:strRef>
          </c:tx>
          <c:spPr>
            <a:ln w="38100"/>
          </c:spPr>
          <c:marker>
            <c:symbol val="none"/>
          </c:marker>
          <c:cat>
            <c:numRef>
              <c:f>'Base Oil Trends'!$B$3:$IU$3</c:f>
              <c:numCache>
                <c:formatCode>mmm\-yy</c:formatCode>
                <c:ptCount val="254"/>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pt idx="146">
                  <c:v>42736</c:v>
                </c:pt>
                <c:pt idx="147">
                  <c:v>42767</c:v>
                </c:pt>
                <c:pt idx="148">
                  <c:v>42795</c:v>
                </c:pt>
                <c:pt idx="149">
                  <c:v>42826</c:v>
                </c:pt>
                <c:pt idx="150">
                  <c:v>42856</c:v>
                </c:pt>
                <c:pt idx="151">
                  <c:v>42887</c:v>
                </c:pt>
                <c:pt idx="152">
                  <c:v>42917</c:v>
                </c:pt>
                <c:pt idx="153">
                  <c:v>42948</c:v>
                </c:pt>
                <c:pt idx="154">
                  <c:v>42979</c:v>
                </c:pt>
                <c:pt idx="155">
                  <c:v>43009</c:v>
                </c:pt>
                <c:pt idx="156">
                  <c:v>43040</c:v>
                </c:pt>
                <c:pt idx="157">
                  <c:v>43070</c:v>
                </c:pt>
                <c:pt idx="158">
                  <c:v>43101</c:v>
                </c:pt>
                <c:pt idx="159">
                  <c:v>43132</c:v>
                </c:pt>
                <c:pt idx="160">
                  <c:v>43160</c:v>
                </c:pt>
                <c:pt idx="161">
                  <c:v>43191</c:v>
                </c:pt>
                <c:pt idx="162">
                  <c:v>43221</c:v>
                </c:pt>
                <c:pt idx="163">
                  <c:v>43252</c:v>
                </c:pt>
                <c:pt idx="164">
                  <c:v>43282</c:v>
                </c:pt>
                <c:pt idx="165">
                  <c:v>43313</c:v>
                </c:pt>
                <c:pt idx="166">
                  <c:v>43344</c:v>
                </c:pt>
                <c:pt idx="167">
                  <c:v>43374</c:v>
                </c:pt>
                <c:pt idx="168">
                  <c:v>43405</c:v>
                </c:pt>
                <c:pt idx="169">
                  <c:v>43435</c:v>
                </c:pt>
                <c:pt idx="170">
                  <c:v>43466</c:v>
                </c:pt>
                <c:pt idx="171">
                  <c:v>43497</c:v>
                </c:pt>
                <c:pt idx="172">
                  <c:v>43525</c:v>
                </c:pt>
                <c:pt idx="173">
                  <c:v>43556</c:v>
                </c:pt>
                <c:pt idx="174">
                  <c:v>43586</c:v>
                </c:pt>
                <c:pt idx="175">
                  <c:v>43617</c:v>
                </c:pt>
                <c:pt idx="176">
                  <c:v>43647</c:v>
                </c:pt>
                <c:pt idx="177">
                  <c:v>43678</c:v>
                </c:pt>
                <c:pt idx="178">
                  <c:v>43709</c:v>
                </c:pt>
                <c:pt idx="179">
                  <c:v>43739</c:v>
                </c:pt>
                <c:pt idx="180">
                  <c:v>43770</c:v>
                </c:pt>
                <c:pt idx="181">
                  <c:v>43800</c:v>
                </c:pt>
                <c:pt idx="182">
                  <c:v>43831</c:v>
                </c:pt>
                <c:pt idx="183">
                  <c:v>43862</c:v>
                </c:pt>
                <c:pt idx="184">
                  <c:v>43891</c:v>
                </c:pt>
                <c:pt idx="185">
                  <c:v>43922</c:v>
                </c:pt>
                <c:pt idx="186">
                  <c:v>43952</c:v>
                </c:pt>
                <c:pt idx="187">
                  <c:v>43983</c:v>
                </c:pt>
                <c:pt idx="188">
                  <c:v>44013</c:v>
                </c:pt>
                <c:pt idx="189">
                  <c:v>44044</c:v>
                </c:pt>
                <c:pt idx="190">
                  <c:v>44075</c:v>
                </c:pt>
                <c:pt idx="191">
                  <c:v>44105</c:v>
                </c:pt>
                <c:pt idx="192">
                  <c:v>44136</c:v>
                </c:pt>
                <c:pt idx="193">
                  <c:v>44166</c:v>
                </c:pt>
                <c:pt idx="194">
                  <c:v>44197</c:v>
                </c:pt>
                <c:pt idx="195">
                  <c:v>44228</c:v>
                </c:pt>
                <c:pt idx="196">
                  <c:v>44256</c:v>
                </c:pt>
                <c:pt idx="197">
                  <c:v>44287</c:v>
                </c:pt>
                <c:pt idx="198">
                  <c:v>44317</c:v>
                </c:pt>
                <c:pt idx="199">
                  <c:v>44348</c:v>
                </c:pt>
                <c:pt idx="200">
                  <c:v>44378</c:v>
                </c:pt>
                <c:pt idx="201">
                  <c:v>44409</c:v>
                </c:pt>
                <c:pt idx="202">
                  <c:v>44440</c:v>
                </c:pt>
                <c:pt idx="203">
                  <c:v>44470</c:v>
                </c:pt>
                <c:pt idx="204">
                  <c:v>44501</c:v>
                </c:pt>
                <c:pt idx="205">
                  <c:v>44531</c:v>
                </c:pt>
                <c:pt idx="206">
                  <c:v>44562</c:v>
                </c:pt>
                <c:pt idx="207">
                  <c:v>44593</c:v>
                </c:pt>
                <c:pt idx="208">
                  <c:v>44621</c:v>
                </c:pt>
                <c:pt idx="209">
                  <c:v>44652</c:v>
                </c:pt>
                <c:pt idx="210">
                  <c:v>44682</c:v>
                </c:pt>
                <c:pt idx="211">
                  <c:v>44713</c:v>
                </c:pt>
                <c:pt idx="212">
                  <c:v>44743</c:v>
                </c:pt>
                <c:pt idx="213">
                  <c:v>44774</c:v>
                </c:pt>
                <c:pt idx="214">
                  <c:v>44805</c:v>
                </c:pt>
                <c:pt idx="215">
                  <c:v>44835</c:v>
                </c:pt>
                <c:pt idx="216">
                  <c:v>44866</c:v>
                </c:pt>
                <c:pt idx="217">
                  <c:v>44896</c:v>
                </c:pt>
                <c:pt idx="218">
                  <c:v>44927</c:v>
                </c:pt>
                <c:pt idx="219">
                  <c:v>44958</c:v>
                </c:pt>
                <c:pt idx="220">
                  <c:v>44986</c:v>
                </c:pt>
                <c:pt idx="221">
                  <c:v>45017</c:v>
                </c:pt>
                <c:pt idx="222">
                  <c:v>45047</c:v>
                </c:pt>
                <c:pt idx="223">
                  <c:v>45078</c:v>
                </c:pt>
                <c:pt idx="224">
                  <c:v>45108</c:v>
                </c:pt>
                <c:pt idx="225">
                  <c:v>45139</c:v>
                </c:pt>
                <c:pt idx="226">
                  <c:v>45170</c:v>
                </c:pt>
                <c:pt idx="227">
                  <c:v>45200</c:v>
                </c:pt>
                <c:pt idx="228">
                  <c:v>45231</c:v>
                </c:pt>
                <c:pt idx="229">
                  <c:v>45261</c:v>
                </c:pt>
                <c:pt idx="230">
                  <c:v>45292</c:v>
                </c:pt>
                <c:pt idx="231">
                  <c:v>45323</c:v>
                </c:pt>
                <c:pt idx="232">
                  <c:v>45352</c:v>
                </c:pt>
                <c:pt idx="233">
                  <c:v>45383</c:v>
                </c:pt>
                <c:pt idx="234">
                  <c:v>45413</c:v>
                </c:pt>
                <c:pt idx="235">
                  <c:v>45444</c:v>
                </c:pt>
                <c:pt idx="236">
                  <c:v>45474</c:v>
                </c:pt>
                <c:pt idx="237">
                  <c:v>45505</c:v>
                </c:pt>
                <c:pt idx="238">
                  <c:v>45536</c:v>
                </c:pt>
                <c:pt idx="239">
                  <c:v>45566</c:v>
                </c:pt>
                <c:pt idx="240">
                  <c:v>45597</c:v>
                </c:pt>
                <c:pt idx="241">
                  <c:v>45627</c:v>
                </c:pt>
                <c:pt idx="242">
                  <c:v>45658</c:v>
                </c:pt>
                <c:pt idx="243">
                  <c:v>45689</c:v>
                </c:pt>
                <c:pt idx="244">
                  <c:v>45717</c:v>
                </c:pt>
                <c:pt idx="245">
                  <c:v>45748</c:v>
                </c:pt>
                <c:pt idx="246">
                  <c:v>45778</c:v>
                </c:pt>
                <c:pt idx="247">
                  <c:v>45809</c:v>
                </c:pt>
                <c:pt idx="248">
                  <c:v>45839</c:v>
                </c:pt>
                <c:pt idx="249">
                  <c:v>45870</c:v>
                </c:pt>
                <c:pt idx="250">
                  <c:v>45901</c:v>
                </c:pt>
                <c:pt idx="251">
                  <c:v>45931</c:v>
                </c:pt>
                <c:pt idx="252">
                  <c:v>45962</c:v>
                </c:pt>
                <c:pt idx="253">
                  <c:v>45992</c:v>
                </c:pt>
              </c:numCache>
            </c:numRef>
          </c:cat>
          <c:val>
            <c:numRef>
              <c:f>'Base Oil Trends'!$B$8:$IU$8</c:f>
              <c:numCache>
                <c:formatCode>_("$"* #,##0.00_);_("$"* \(#,##0.00\);_("$"* "-"??_);_(@_)</c:formatCode>
                <c:ptCount val="254"/>
                <c:pt idx="158">
                  <c:v>2.4409010804126083</c:v>
                </c:pt>
                <c:pt idx="159">
                  <c:v>2.4409010804126083</c:v>
                </c:pt>
                <c:pt idx="160">
                  <c:v>2.4409010804126083</c:v>
                </c:pt>
                <c:pt idx="161">
                  <c:v>2.4409010804126083</c:v>
                </c:pt>
                <c:pt idx="162">
                  <c:v>2.4409010804126083</c:v>
                </c:pt>
                <c:pt idx="163">
                  <c:v>2.4409010804126083</c:v>
                </c:pt>
                <c:pt idx="164">
                  <c:v>2.4409010804126083</c:v>
                </c:pt>
                <c:pt idx="165">
                  <c:v>2.4409010804126083</c:v>
                </c:pt>
                <c:pt idx="166">
                  <c:v>2.4409010804126083</c:v>
                </c:pt>
                <c:pt idx="167">
                  <c:v>2.4409010804126083</c:v>
                </c:pt>
                <c:pt idx="168">
                  <c:v>2.4409010804126083</c:v>
                </c:pt>
                <c:pt idx="169">
                  <c:v>2.4409010804126083</c:v>
                </c:pt>
                <c:pt idx="170">
                  <c:v>2.4093111482859104</c:v>
                </c:pt>
                <c:pt idx="171">
                  <c:v>2.4093111482859104</c:v>
                </c:pt>
                <c:pt idx="172">
                  <c:v>2.4093111482859104</c:v>
                </c:pt>
                <c:pt idx="173">
                  <c:v>2.4093111482859104</c:v>
                </c:pt>
                <c:pt idx="174">
                  <c:v>2.4093111482859104</c:v>
                </c:pt>
                <c:pt idx="175">
                  <c:v>2.4093111482859104</c:v>
                </c:pt>
                <c:pt idx="176">
                  <c:v>2.4093111482859104</c:v>
                </c:pt>
                <c:pt idx="177">
                  <c:v>2.4093111482859104</c:v>
                </c:pt>
                <c:pt idx="178">
                  <c:v>2.4093111482859104</c:v>
                </c:pt>
                <c:pt idx="179">
                  <c:v>2.4093111482859104</c:v>
                </c:pt>
                <c:pt idx="180">
                  <c:v>2.4093111482859104</c:v>
                </c:pt>
                <c:pt idx="181">
                  <c:v>2.4093111482859104</c:v>
                </c:pt>
                <c:pt idx="182">
                  <c:v>2.4160485490643455</c:v>
                </c:pt>
                <c:pt idx="183">
                  <c:v>2.4160485490643455</c:v>
                </c:pt>
                <c:pt idx="184">
                  <c:v>2.4160485490643455</c:v>
                </c:pt>
                <c:pt idx="185">
                  <c:v>2.4160485490643455</c:v>
                </c:pt>
                <c:pt idx="186">
                  <c:v>2.4160485490643455</c:v>
                </c:pt>
                <c:pt idx="187">
                  <c:v>2.4160485490643455</c:v>
                </c:pt>
                <c:pt idx="188">
                  <c:v>2.4160485490643455</c:v>
                </c:pt>
                <c:pt idx="189">
                  <c:v>2.4160485490643455</c:v>
                </c:pt>
                <c:pt idx="190">
                  <c:v>2.4160485490643455</c:v>
                </c:pt>
                <c:pt idx="191">
                  <c:v>2.4160485490643455</c:v>
                </c:pt>
                <c:pt idx="192">
                  <c:v>2.4160485490643455</c:v>
                </c:pt>
                <c:pt idx="193">
                  <c:v>2.4160485490643455</c:v>
                </c:pt>
                <c:pt idx="194">
                  <c:v>2.4566960464759564</c:v>
                </c:pt>
                <c:pt idx="195">
                  <c:v>2.4566960464759564</c:v>
                </c:pt>
                <c:pt idx="196">
                  <c:v>2.4566960464759564</c:v>
                </c:pt>
                <c:pt idx="197">
                  <c:v>2.4566960464759564</c:v>
                </c:pt>
                <c:pt idx="198">
                  <c:v>2.4566960464759564</c:v>
                </c:pt>
                <c:pt idx="199">
                  <c:v>2.4566960464759564</c:v>
                </c:pt>
                <c:pt idx="200">
                  <c:v>2.4566960464759564</c:v>
                </c:pt>
                <c:pt idx="201">
                  <c:v>2.4566960464759564</c:v>
                </c:pt>
                <c:pt idx="202">
                  <c:v>2.4566960464759564</c:v>
                </c:pt>
                <c:pt idx="203">
                  <c:v>2.4566960464759564</c:v>
                </c:pt>
                <c:pt idx="204">
                  <c:v>2.4566960464759564</c:v>
                </c:pt>
                <c:pt idx="205">
                  <c:v>2.4566960464759564</c:v>
                </c:pt>
                <c:pt idx="206">
                  <c:v>2.516797230903443</c:v>
                </c:pt>
                <c:pt idx="207">
                  <c:v>2.516797230903443</c:v>
                </c:pt>
                <c:pt idx="208">
                  <c:v>2.516797230903443</c:v>
                </c:pt>
                <c:pt idx="209">
                  <c:v>2.516797230903443</c:v>
                </c:pt>
                <c:pt idx="210">
                  <c:v>2.516797230903443</c:v>
                </c:pt>
                <c:pt idx="211">
                  <c:v>2.516797230903443</c:v>
                </c:pt>
                <c:pt idx="212">
                  <c:v>2.516797230903443</c:v>
                </c:pt>
                <c:pt idx="213">
                  <c:v>2.516797230903443</c:v>
                </c:pt>
                <c:pt idx="214">
                  <c:v>2.516797230903443</c:v>
                </c:pt>
                <c:pt idx="215">
                  <c:v>2.516797230903443</c:v>
                </c:pt>
                <c:pt idx="216">
                  <c:v>2.516797230903443</c:v>
                </c:pt>
                <c:pt idx="217">
                  <c:v>2.516797230903443</c:v>
                </c:pt>
                <c:pt idx="218">
                  <c:v>2.5904624539842014</c:v>
                </c:pt>
                <c:pt idx="219">
                  <c:v>2.5904624539842014</c:v>
                </c:pt>
                <c:pt idx="220">
                  <c:v>2.5904624539842014</c:v>
                </c:pt>
                <c:pt idx="221">
                  <c:v>2.5904624539842014</c:v>
                </c:pt>
                <c:pt idx="222">
                  <c:v>2.5904624539842014</c:v>
                </c:pt>
                <c:pt idx="223">
                  <c:v>2.5904624539842014</c:v>
                </c:pt>
                <c:pt idx="224">
                  <c:v>2.5904624539842014</c:v>
                </c:pt>
                <c:pt idx="225">
                  <c:v>2.5904624539842014</c:v>
                </c:pt>
                <c:pt idx="226">
                  <c:v>2.5904624539842014</c:v>
                </c:pt>
                <c:pt idx="227">
                  <c:v>2.5904624539842014</c:v>
                </c:pt>
                <c:pt idx="228">
                  <c:v>2.5904624539842014</c:v>
                </c:pt>
                <c:pt idx="229">
                  <c:v>2.5904624539842014</c:v>
                </c:pt>
                <c:pt idx="230">
                  <c:v>2.6357056618605719</c:v>
                </c:pt>
                <c:pt idx="231">
                  <c:v>2.6357056618605719</c:v>
                </c:pt>
                <c:pt idx="232">
                  <c:v>2.6357056618605719</c:v>
                </c:pt>
                <c:pt idx="233">
                  <c:v>2.6357056618605719</c:v>
                </c:pt>
                <c:pt idx="234">
                  <c:v>2.6357056618605719</c:v>
                </c:pt>
                <c:pt idx="235">
                  <c:v>2.6357056618605719</c:v>
                </c:pt>
                <c:pt idx="236">
                  <c:v>2.6357056618605719</c:v>
                </c:pt>
                <c:pt idx="237">
                  <c:v>2.6357056618605719</c:v>
                </c:pt>
                <c:pt idx="238">
                  <c:v>2.6357056618605719</c:v>
                </c:pt>
                <c:pt idx="239">
                  <c:v>2.6357056618605719</c:v>
                </c:pt>
                <c:pt idx="240">
                  <c:v>2.6357056618605719</c:v>
                </c:pt>
                <c:pt idx="241">
                  <c:v>2.6357056618605719</c:v>
                </c:pt>
                <c:pt idx="242">
                  <c:v>2.6643507698059667</c:v>
                </c:pt>
                <c:pt idx="243">
                  <c:v>2.6643507698059667</c:v>
                </c:pt>
                <c:pt idx="244">
                  <c:v>2.6643507698059667</c:v>
                </c:pt>
                <c:pt idx="245">
                  <c:v>2.6643507698059667</c:v>
                </c:pt>
                <c:pt idx="246">
                  <c:v>2.6643507698059667</c:v>
                </c:pt>
                <c:pt idx="247">
                  <c:v>2.6643507698059667</c:v>
                </c:pt>
                <c:pt idx="248">
                  <c:v>2.6643507698059667</c:v>
                </c:pt>
                <c:pt idx="249">
                  <c:v>2.6643507698059667</c:v>
                </c:pt>
                <c:pt idx="250">
                  <c:v>2.6643507698059667</c:v>
                </c:pt>
                <c:pt idx="251">
                  <c:v>2.6643507698059667</c:v>
                </c:pt>
                <c:pt idx="252">
                  <c:v>2.6643507698059667</c:v>
                </c:pt>
                <c:pt idx="253">
                  <c:v>2.6643507698059667</c:v>
                </c:pt>
              </c:numCache>
            </c:numRef>
          </c:val>
          <c:smooth val="0"/>
          <c:extLst>
            <c:ext xmlns:c16="http://schemas.microsoft.com/office/drawing/2014/chart" uri="{C3380CC4-5D6E-409C-BE32-E72D297353CC}">
              <c16:uniqueId val="{00000003-65EA-45C5-A3CD-CEE94CEFCF33}"/>
            </c:ext>
          </c:extLst>
        </c:ser>
        <c:ser>
          <c:idx val="4"/>
          <c:order val="4"/>
          <c:tx>
            <c:strRef>
              <c:f>'Base Oil Trends'!$A$7</c:f>
              <c:strCache>
                <c:ptCount val="1"/>
                <c:pt idx="0">
                  <c:v>85% of posted G2 price</c:v>
                </c:pt>
              </c:strCache>
            </c:strRef>
          </c:tx>
          <c:marker>
            <c:symbol val="none"/>
          </c:marker>
          <c:cat>
            <c:numRef>
              <c:f>'Base Oil Trends'!$B$3:$IU$3</c:f>
              <c:numCache>
                <c:formatCode>mmm\-yy</c:formatCode>
                <c:ptCount val="254"/>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pt idx="146">
                  <c:v>42736</c:v>
                </c:pt>
                <c:pt idx="147">
                  <c:v>42767</c:v>
                </c:pt>
                <c:pt idx="148">
                  <c:v>42795</c:v>
                </c:pt>
                <c:pt idx="149">
                  <c:v>42826</c:v>
                </c:pt>
                <c:pt idx="150">
                  <c:v>42856</c:v>
                </c:pt>
                <c:pt idx="151">
                  <c:v>42887</c:v>
                </c:pt>
                <c:pt idx="152">
                  <c:v>42917</c:v>
                </c:pt>
                <c:pt idx="153">
                  <c:v>42948</c:v>
                </c:pt>
                <c:pt idx="154">
                  <c:v>42979</c:v>
                </c:pt>
                <c:pt idx="155">
                  <c:v>43009</c:v>
                </c:pt>
                <c:pt idx="156">
                  <c:v>43040</c:v>
                </c:pt>
                <c:pt idx="157">
                  <c:v>43070</c:v>
                </c:pt>
                <c:pt idx="158">
                  <c:v>43101</c:v>
                </c:pt>
                <c:pt idx="159">
                  <c:v>43132</c:v>
                </c:pt>
                <c:pt idx="160">
                  <c:v>43160</c:v>
                </c:pt>
                <c:pt idx="161">
                  <c:v>43191</c:v>
                </c:pt>
                <c:pt idx="162">
                  <c:v>43221</c:v>
                </c:pt>
                <c:pt idx="163">
                  <c:v>43252</c:v>
                </c:pt>
                <c:pt idx="164">
                  <c:v>43282</c:v>
                </c:pt>
                <c:pt idx="165">
                  <c:v>43313</c:v>
                </c:pt>
                <c:pt idx="166">
                  <c:v>43344</c:v>
                </c:pt>
                <c:pt idx="167">
                  <c:v>43374</c:v>
                </c:pt>
                <c:pt idx="168">
                  <c:v>43405</c:v>
                </c:pt>
                <c:pt idx="169">
                  <c:v>43435</c:v>
                </c:pt>
                <c:pt idx="170">
                  <c:v>43466</c:v>
                </c:pt>
                <c:pt idx="171">
                  <c:v>43497</c:v>
                </c:pt>
                <c:pt idx="172">
                  <c:v>43525</c:v>
                </c:pt>
                <c:pt idx="173">
                  <c:v>43556</c:v>
                </c:pt>
                <c:pt idx="174">
                  <c:v>43586</c:v>
                </c:pt>
                <c:pt idx="175">
                  <c:v>43617</c:v>
                </c:pt>
                <c:pt idx="176">
                  <c:v>43647</c:v>
                </c:pt>
                <c:pt idx="177">
                  <c:v>43678</c:v>
                </c:pt>
                <c:pt idx="178">
                  <c:v>43709</c:v>
                </c:pt>
                <c:pt idx="179">
                  <c:v>43739</c:v>
                </c:pt>
                <c:pt idx="180">
                  <c:v>43770</c:v>
                </c:pt>
                <c:pt idx="181">
                  <c:v>43800</c:v>
                </c:pt>
                <c:pt idx="182">
                  <c:v>43831</c:v>
                </c:pt>
                <c:pt idx="183">
                  <c:v>43862</c:v>
                </c:pt>
                <c:pt idx="184">
                  <c:v>43891</c:v>
                </c:pt>
                <c:pt idx="185">
                  <c:v>43922</c:v>
                </c:pt>
                <c:pt idx="186">
                  <c:v>43952</c:v>
                </c:pt>
                <c:pt idx="187">
                  <c:v>43983</c:v>
                </c:pt>
                <c:pt idx="188">
                  <c:v>44013</c:v>
                </c:pt>
                <c:pt idx="189">
                  <c:v>44044</c:v>
                </c:pt>
                <c:pt idx="190">
                  <c:v>44075</c:v>
                </c:pt>
                <c:pt idx="191">
                  <c:v>44105</c:v>
                </c:pt>
                <c:pt idx="192">
                  <c:v>44136</c:v>
                </c:pt>
                <c:pt idx="193">
                  <c:v>44166</c:v>
                </c:pt>
                <c:pt idx="194">
                  <c:v>44197</c:v>
                </c:pt>
                <c:pt idx="195">
                  <c:v>44228</c:v>
                </c:pt>
                <c:pt idx="196">
                  <c:v>44256</c:v>
                </c:pt>
                <c:pt idx="197">
                  <c:v>44287</c:v>
                </c:pt>
                <c:pt idx="198">
                  <c:v>44317</c:v>
                </c:pt>
                <c:pt idx="199">
                  <c:v>44348</c:v>
                </c:pt>
                <c:pt idx="200">
                  <c:v>44378</c:v>
                </c:pt>
                <c:pt idx="201">
                  <c:v>44409</c:v>
                </c:pt>
                <c:pt idx="202">
                  <c:v>44440</c:v>
                </c:pt>
                <c:pt idx="203">
                  <c:v>44470</c:v>
                </c:pt>
                <c:pt idx="204">
                  <c:v>44501</c:v>
                </c:pt>
                <c:pt idx="205">
                  <c:v>44531</c:v>
                </c:pt>
                <c:pt idx="206">
                  <c:v>44562</c:v>
                </c:pt>
                <c:pt idx="207">
                  <c:v>44593</c:v>
                </c:pt>
                <c:pt idx="208">
                  <c:v>44621</c:v>
                </c:pt>
                <c:pt idx="209">
                  <c:v>44652</c:v>
                </c:pt>
                <c:pt idx="210">
                  <c:v>44682</c:v>
                </c:pt>
                <c:pt idx="211">
                  <c:v>44713</c:v>
                </c:pt>
                <c:pt idx="212">
                  <c:v>44743</c:v>
                </c:pt>
                <c:pt idx="213">
                  <c:v>44774</c:v>
                </c:pt>
                <c:pt idx="214">
                  <c:v>44805</c:v>
                </c:pt>
                <c:pt idx="215">
                  <c:v>44835</c:v>
                </c:pt>
                <c:pt idx="216">
                  <c:v>44866</c:v>
                </c:pt>
                <c:pt idx="217">
                  <c:v>44896</c:v>
                </c:pt>
                <c:pt idx="218">
                  <c:v>44927</c:v>
                </c:pt>
                <c:pt idx="219">
                  <c:v>44958</c:v>
                </c:pt>
                <c:pt idx="220">
                  <c:v>44986</c:v>
                </c:pt>
                <c:pt idx="221">
                  <c:v>45017</c:v>
                </c:pt>
                <c:pt idx="222">
                  <c:v>45047</c:v>
                </c:pt>
                <c:pt idx="223">
                  <c:v>45078</c:v>
                </c:pt>
                <c:pt idx="224">
                  <c:v>45108</c:v>
                </c:pt>
                <c:pt idx="225">
                  <c:v>45139</c:v>
                </c:pt>
                <c:pt idx="226">
                  <c:v>45170</c:v>
                </c:pt>
                <c:pt idx="227">
                  <c:v>45200</c:v>
                </c:pt>
                <c:pt idx="228">
                  <c:v>45231</c:v>
                </c:pt>
                <c:pt idx="229">
                  <c:v>45261</c:v>
                </c:pt>
                <c:pt idx="230">
                  <c:v>45292</c:v>
                </c:pt>
                <c:pt idx="231">
                  <c:v>45323</c:v>
                </c:pt>
                <c:pt idx="232">
                  <c:v>45352</c:v>
                </c:pt>
                <c:pt idx="233">
                  <c:v>45383</c:v>
                </c:pt>
                <c:pt idx="234">
                  <c:v>45413</c:v>
                </c:pt>
                <c:pt idx="235">
                  <c:v>45444</c:v>
                </c:pt>
                <c:pt idx="236">
                  <c:v>45474</c:v>
                </c:pt>
                <c:pt idx="237">
                  <c:v>45505</c:v>
                </c:pt>
                <c:pt idx="238">
                  <c:v>45536</c:v>
                </c:pt>
                <c:pt idx="239">
                  <c:v>45566</c:v>
                </c:pt>
                <c:pt idx="240">
                  <c:v>45597</c:v>
                </c:pt>
                <c:pt idx="241">
                  <c:v>45627</c:v>
                </c:pt>
                <c:pt idx="242">
                  <c:v>45658</c:v>
                </c:pt>
                <c:pt idx="243">
                  <c:v>45689</c:v>
                </c:pt>
                <c:pt idx="244">
                  <c:v>45717</c:v>
                </c:pt>
                <c:pt idx="245">
                  <c:v>45748</c:v>
                </c:pt>
                <c:pt idx="246">
                  <c:v>45778</c:v>
                </c:pt>
                <c:pt idx="247">
                  <c:v>45809</c:v>
                </c:pt>
                <c:pt idx="248">
                  <c:v>45839</c:v>
                </c:pt>
                <c:pt idx="249">
                  <c:v>45870</c:v>
                </c:pt>
                <c:pt idx="250">
                  <c:v>45901</c:v>
                </c:pt>
                <c:pt idx="251">
                  <c:v>45931</c:v>
                </c:pt>
                <c:pt idx="252">
                  <c:v>45962</c:v>
                </c:pt>
                <c:pt idx="253">
                  <c:v>45992</c:v>
                </c:pt>
              </c:numCache>
            </c:numRef>
          </c:cat>
          <c:val>
            <c:numRef>
              <c:f>'Base Oil Trends'!$B$7:$EF$7</c:f>
              <c:numCache>
                <c:formatCode>_("$"* #,##0.00_);_("$"* \(#,##0.00\);_("$"* "-"??_);_(@_)</c:formatCode>
                <c:ptCount val="135"/>
                <c:pt idx="0">
                  <c:v>1.5725</c:v>
                </c:pt>
                <c:pt idx="1">
                  <c:v>1.5725</c:v>
                </c:pt>
                <c:pt idx="2">
                  <c:v>1.5725</c:v>
                </c:pt>
                <c:pt idx="3">
                  <c:v>1.5725</c:v>
                </c:pt>
                <c:pt idx="4">
                  <c:v>1.5469999999999999</c:v>
                </c:pt>
                <c:pt idx="5">
                  <c:v>1.7424999999999997</c:v>
                </c:pt>
                <c:pt idx="6">
                  <c:v>1.7424999999999997</c:v>
                </c:pt>
                <c:pt idx="7">
                  <c:v>1.7594999999999998</c:v>
                </c:pt>
                <c:pt idx="8">
                  <c:v>1.87</c:v>
                </c:pt>
                <c:pt idx="9">
                  <c:v>1.9379999999999997</c:v>
                </c:pt>
                <c:pt idx="10">
                  <c:v>2.04</c:v>
                </c:pt>
                <c:pt idx="11">
                  <c:v>2.1080000000000001</c:v>
                </c:pt>
                <c:pt idx="12">
                  <c:v>2.1675</c:v>
                </c:pt>
                <c:pt idx="13">
                  <c:v>2.1675</c:v>
                </c:pt>
                <c:pt idx="14">
                  <c:v>2.1675</c:v>
                </c:pt>
                <c:pt idx="15">
                  <c:v>2.2949999999999999</c:v>
                </c:pt>
                <c:pt idx="16">
                  <c:v>2.3459999999999996</c:v>
                </c:pt>
                <c:pt idx="17">
                  <c:v>2.3969999999999998</c:v>
                </c:pt>
                <c:pt idx="18">
                  <c:v>2.4649999999999999</c:v>
                </c:pt>
                <c:pt idx="19">
                  <c:v>2.5499999999999998</c:v>
                </c:pt>
                <c:pt idx="20">
                  <c:v>2.6774999999999998</c:v>
                </c:pt>
                <c:pt idx="21">
                  <c:v>2.6774999999999998</c:v>
                </c:pt>
                <c:pt idx="22">
                  <c:v>2.6774999999999998</c:v>
                </c:pt>
                <c:pt idx="23">
                  <c:v>2.6774999999999998</c:v>
                </c:pt>
                <c:pt idx="24">
                  <c:v>2.5499999999999998</c:v>
                </c:pt>
                <c:pt idx="25">
                  <c:v>2.5499999999999998</c:v>
                </c:pt>
                <c:pt idx="26">
                  <c:v>2.5499999999999998</c:v>
                </c:pt>
                <c:pt idx="27">
                  <c:v>2.5499999999999998</c:v>
                </c:pt>
                <c:pt idx="28">
                  <c:v>2.5499999999999998</c:v>
                </c:pt>
                <c:pt idx="29">
                  <c:v>2.5499999999999998</c:v>
                </c:pt>
                <c:pt idx="30">
                  <c:v>2.5499999999999998</c:v>
                </c:pt>
                <c:pt idx="31">
                  <c:v>2.6520000000000001</c:v>
                </c:pt>
                <c:pt idx="32">
                  <c:v>2.7454999999999998</c:v>
                </c:pt>
                <c:pt idx="33">
                  <c:v>2.7454999999999998</c:v>
                </c:pt>
                <c:pt idx="34">
                  <c:v>2.7454999999999998</c:v>
                </c:pt>
                <c:pt idx="35">
                  <c:v>2.7454999999999998</c:v>
                </c:pt>
                <c:pt idx="36">
                  <c:v>2.7454999999999998</c:v>
                </c:pt>
                <c:pt idx="37">
                  <c:v>2.8049999999999997</c:v>
                </c:pt>
                <c:pt idx="38">
                  <c:v>2.8304999999999998</c:v>
                </c:pt>
                <c:pt idx="39">
                  <c:v>2.8304999999999998</c:v>
                </c:pt>
                <c:pt idx="40">
                  <c:v>3.06</c:v>
                </c:pt>
                <c:pt idx="41">
                  <c:v>3.23</c:v>
                </c:pt>
                <c:pt idx="42">
                  <c:v>3.3574999999999999</c:v>
                </c:pt>
                <c:pt idx="43">
                  <c:v>3.57</c:v>
                </c:pt>
                <c:pt idx="44">
                  <c:v>4.165</c:v>
                </c:pt>
                <c:pt idx="45">
                  <c:v>4.2924999999999995</c:v>
                </c:pt>
                <c:pt idx="46">
                  <c:v>4.2924999999999995</c:v>
                </c:pt>
                <c:pt idx="47">
                  <c:v>4.2075000000000005</c:v>
                </c:pt>
                <c:pt idx="48">
                  <c:v>4.1224999999999996</c:v>
                </c:pt>
                <c:pt idx="49">
                  <c:v>3.1875</c:v>
                </c:pt>
                <c:pt idx="50">
                  <c:v>2.72</c:v>
                </c:pt>
                <c:pt idx="51">
                  <c:v>2.4224999999999999</c:v>
                </c:pt>
                <c:pt idx="52">
                  <c:v>2.04</c:v>
                </c:pt>
                <c:pt idx="53">
                  <c:v>1.9124999999999999</c:v>
                </c:pt>
                <c:pt idx="54">
                  <c:v>1.9124999999999999</c:v>
                </c:pt>
                <c:pt idx="55">
                  <c:v>1.9124999999999999</c:v>
                </c:pt>
                <c:pt idx="56">
                  <c:v>1.9975000000000001</c:v>
                </c:pt>
                <c:pt idx="57">
                  <c:v>2.2949999999999999</c:v>
                </c:pt>
                <c:pt idx="58">
                  <c:v>2.2949999999999999</c:v>
                </c:pt>
                <c:pt idx="59">
                  <c:v>2.2949999999999999</c:v>
                </c:pt>
                <c:pt idx="60">
                  <c:v>2.2949999999999999</c:v>
                </c:pt>
                <c:pt idx="61">
                  <c:v>2.2949999999999999</c:v>
                </c:pt>
                <c:pt idx="62">
                  <c:v>2.2949999999999999</c:v>
                </c:pt>
                <c:pt idx="63">
                  <c:v>2.5075000000000003</c:v>
                </c:pt>
                <c:pt idx="64">
                  <c:v>2.5499999999999998</c:v>
                </c:pt>
                <c:pt idx="65">
                  <c:v>2.6349999999999998</c:v>
                </c:pt>
                <c:pt idx="66">
                  <c:v>2.72</c:v>
                </c:pt>
                <c:pt idx="67">
                  <c:v>2.9750000000000001</c:v>
                </c:pt>
                <c:pt idx="68">
                  <c:v>2.9750000000000001</c:v>
                </c:pt>
                <c:pt idx="69">
                  <c:v>2.9750000000000001</c:v>
                </c:pt>
                <c:pt idx="70">
                  <c:v>2.9750000000000001</c:v>
                </c:pt>
                <c:pt idx="71">
                  <c:v>2.9750000000000001</c:v>
                </c:pt>
                <c:pt idx="72">
                  <c:v>2.9750000000000001</c:v>
                </c:pt>
                <c:pt idx="73">
                  <c:v>3.2725</c:v>
                </c:pt>
                <c:pt idx="74">
                  <c:v>3.2725</c:v>
                </c:pt>
                <c:pt idx="75">
                  <c:v>3.2725</c:v>
                </c:pt>
                <c:pt idx="76">
                  <c:v>3.6124999999999998</c:v>
                </c:pt>
                <c:pt idx="77">
                  <c:v>3.6124999999999998</c:v>
                </c:pt>
                <c:pt idx="78">
                  <c:v>4.0374999999999996</c:v>
                </c:pt>
                <c:pt idx="79">
                  <c:v>4.0374999999999996</c:v>
                </c:pt>
                <c:pt idx="80">
                  <c:v>4.2075000000000005</c:v>
                </c:pt>
                <c:pt idx="81">
                  <c:v>4.2075000000000005</c:v>
                </c:pt>
                <c:pt idx="82">
                  <c:v>4.2075000000000005</c:v>
                </c:pt>
                <c:pt idx="83">
                  <c:v>4.2075000000000005</c:v>
                </c:pt>
                <c:pt idx="84">
                  <c:v>4.2075000000000005</c:v>
                </c:pt>
                <c:pt idx="85">
                  <c:v>4.0374999999999996</c:v>
                </c:pt>
                <c:pt idx="86">
                  <c:v>4.0374999999999996</c:v>
                </c:pt>
                <c:pt idx="87">
                  <c:v>4.0374999999999996</c:v>
                </c:pt>
                <c:pt idx="88">
                  <c:v>4.0374999999999996</c:v>
                </c:pt>
                <c:pt idx="89">
                  <c:v>4.0374999999999996</c:v>
                </c:pt>
                <c:pt idx="90">
                  <c:v>4.25</c:v>
                </c:pt>
                <c:pt idx="91">
                  <c:v>4.0374999999999996</c:v>
                </c:pt>
                <c:pt idx="92">
                  <c:v>3.6549999999999998</c:v>
                </c:pt>
                <c:pt idx="93">
                  <c:v>3.6549999999999998</c:v>
                </c:pt>
                <c:pt idx="94">
                  <c:v>3.6549999999999998</c:v>
                </c:pt>
                <c:pt idx="95">
                  <c:v>3.6549999999999998</c:v>
                </c:pt>
                <c:pt idx="96">
                  <c:v>3.4</c:v>
                </c:pt>
                <c:pt idx="97">
                  <c:v>3.4</c:v>
                </c:pt>
                <c:pt idx="98">
                  <c:v>3.1875</c:v>
                </c:pt>
                <c:pt idx="99">
                  <c:v>3.1875</c:v>
                </c:pt>
                <c:pt idx="100">
                  <c:v>3.1875</c:v>
                </c:pt>
                <c:pt idx="101">
                  <c:v>3.3149999999999999</c:v>
                </c:pt>
                <c:pt idx="102">
                  <c:v>3.3149999999999999</c:v>
                </c:pt>
                <c:pt idx="103">
                  <c:v>3.3149999999999999</c:v>
                </c:pt>
                <c:pt idx="104">
                  <c:v>3.3149999999999999</c:v>
                </c:pt>
                <c:pt idx="105">
                  <c:v>3.3149999999999999</c:v>
                </c:pt>
                <c:pt idx="106">
                  <c:v>3.4</c:v>
                </c:pt>
                <c:pt idx="107">
                  <c:v>3.4</c:v>
                </c:pt>
                <c:pt idx="108">
                  <c:v>3.3149999999999999</c:v>
                </c:pt>
                <c:pt idx="109">
                  <c:v>3.3149999999999999</c:v>
                </c:pt>
                <c:pt idx="110">
                  <c:v>3.3149999999999999</c:v>
                </c:pt>
                <c:pt idx="111">
                  <c:v>3.2725</c:v>
                </c:pt>
                <c:pt idx="112">
                  <c:v>3.2725</c:v>
                </c:pt>
                <c:pt idx="113">
                  <c:v>3.3149999999999999</c:v>
                </c:pt>
                <c:pt idx="114">
                  <c:v>3.3149999999999999</c:v>
                </c:pt>
                <c:pt idx="115">
                  <c:v>3.3149999999999999</c:v>
                </c:pt>
                <c:pt idx="116">
                  <c:v>3.3149999999999999</c:v>
                </c:pt>
                <c:pt idx="117">
                  <c:v>3.145</c:v>
                </c:pt>
                <c:pt idx="118">
                  <c:v>3.145</c:v>
                </c:pt>
                <c:pt idx="119">
                  <c:v>3.0174999999999996</c:v>
                </c:pt>
                <c:pt idx="120">
                  <c:v>2.8049999999999997</c:v>
                </c:pt>
                <c:pt idx="121">
                  <c:v>2.38</c:v>
                </c:pt>
                <c:pt idx="122">
                  <c:v>2.38</c:v>
                </c:pt>
                <c:pt idx="123">
                  <c:v>2.38</c:v>
                </c:pt>
                <c:pt idx="124">
                  <c:v>2.38</c:v>
                </c:pt>
                <c:pt idx="125">
                  <c:v>2.38</c:v>
                </c:pt>
                <c:pt idx="126">
                  <c:v>2.38</c:v>
                </c:pt>
                <c:pt idx="127">
                  <c:v>2.38</c:v>
                </c:pt>
                <c:pt idx="128">
                  <c:v>2.38</c:v>
                </c:pt>
                <c:pt idx="129">
                  <c:v>2.2949999999999999</c:v>
                </c:pt>
                <c:pt idx="130">
                  <c:v>2.125</c:v>
                </c:pt>
                <c:pt idx="131">
                  <c:v>2.04</c:v>
                </c:pt>
                <c:pt idx="132">
                  <c:v>2.04</c:v>
                </c:pt>
                <c:pt idx="133">
                  <c:v>1.9549999999999998</c:v>
                </c:pt>
                <c:pt idx="134">
                  <c:v>1.7849999999999999</c:v>
                </c:pt>
              </c:numCache>
            </c:numRef>
          </c:val>
          <c:smooth val="0"/>
          <c:extLst>
            <c:ext xmlns:c16="http://schemas.microsoft.com/office/drawing/2014/chart" uri="{C3380CC4-5D6E-409C-BE32-E72D297353CC}">
              <c16:uniqueId val="{00000004-65EA-45C5-A3CD-CEE94CEFCF33}"/>
            </c:ext>
          </c:extLst>
        </c:ser>
        <c:dLbls>
          <c:showLegendKey val="0"/>
          <c:showVal val="0"/>
          <c:showCatName val="0"/>
          <c:showSerName val="0"/>
          <c:showPercent val="0"/>
          <c:showBubbleSize val="0"/>
        </c:dLbls>
        <c:smooth val="0"/>
        <c:axId val="224651664"/>
        <c:axId val="224725344"/>
      </c:lineChart>
      <c:dateAx>
        <c:axId val="224651664"/>
        <c:scaling>
          <c:orientation val="minMax"/>
        </c:scaling>
        <c:delete val="0"/>
        <c:axPos val="b"/>
        <c:numFmt formatCode="mmm\-yy" sourceLinked="1"/>
        <c:majorTickMark val="out"/>
        <c:minorTickMark val="none"/>
        <c:tickLblPos val="nextTo"/>
        <c:crossAx val="224725344"/>
        <c:crosses val="autoZero"/>
        <c:auto val="1"/>
        <c:lblOffset val="100"/>
        <c:baseTimeUnit val="months"/>
      </c:dateAx>
      <c:valAx>
        <c:axId val="224725344"/>
        <c:scaling>
          <c:orientation val="minMax"/>
        </c:scaling>
        <c:delete val="0"/>
        <c:axPos val="l"/>
        <c:majorGridlines/>
        <c:numFmt formatCode="_(&quot;$&quot;* #,##0.00_);_(&quot;$&quot;* \(#,##0.00\);_(&quot;$&quot;* &quot;-&quot;??_);_(@_)" sourceLinked="1"/>
        <c:majorTickMark val="out"/>
        <c:minorTickMark val="none"/>
        <c:tickLblPos val="nextTo"/>
        <c:crossAx val="22465166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238125</xdr:colOff>
      <xdr:row>2</xdr:row>
      <xdr:rowOff>47624</xdr:rowOff>
    </xdr:from>
    <xdr:to>
      <xdr:col>16</xdr:col>
      <xdr:colOff>600075</xdr:colOff>
      <xdr:row>23</xdr:row>
      <xdr:rowOff>190499</xdr:rowOff>
    </xdr:to>
    <xdr:graphicFrame macro="">
      <xdr:nvGraphicFramePr>
        <xdr:cNvPr id="2" name="Chart 1">
          <a:extLst>
            <a:ext uri="{FF2B5EF4-FFF2-40B4-BE49-F238E27FC236}">
              <a16:creationId xmlns:a16="http://schemas.microsoft.com/office/drawing/2014/main" id="{202FFDE4-01E4-4631-8D39-0517EFEF88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209551</xdr:colOff>
      <xdr:row>25</xdr:row>
      <xdr:rowOff>28575</xdr:rowOff>
    </xdr:from>
    <xdr:to>
      <xdr:col>17</xdr:col>
      <xdr:colOff>66675</xdr:colOff>
      <xdr:row>43</xdr:row>
      <xdr:rowOff>66675</xdr:rowOff>
    </xdr:to>
    <xdr:graphicFrame macro="">
      <xdr:nvGraphicFramePr>
        <xdr:cNvPr id="3" name="Chart 2">
          <a:extLst>
            <a:ext uri="{FF2B5EF4-FFF2-40B4-BE49-F238E27FC236}">
              <a16:creationId xmlns:a16="http://schemas.microsoft.com/office/drawing/2014/main" id="{15D0E39F-AEB0-4E12-BE93-C3F0C5B4A6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809625</xdr:colOff>
      <xdr:row>75</xdr:row>
      <xdr:rowOff>38100</xdr:rowOff>
    </xdr:from>
    <xdr:to>
      <xdr:col>8</xdr:col>
      <xdr:colOff>180975</xdr:colOff>
      <xdr:row>89</xdr:row>
      <xdr:rowOff>114300</xdr:rowOff>
    </xdr:to>
    <xdr:graphicFrame macro="">
      <xdr:nvGraphicFramePr>
        <xdr:cNvPr id="4" name="Chart 3">
          <a:extLst>
            <a:ext uri="{FF2B5EF4-FFF2-40B4-BE49-F238E27FC236}">
              <a16:creationId xmlns:a16="http://schemas.microsoft.com/office/drawing/2014/main" id="{1C0D3738-DAC3-4B6D-8847-A3CBD2CE1F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202405</xdr:colOff>
      <xdr:row>18</xdr:row>
      <xdr:rowOff>66674</xdr:rowOff>
    </xdr:from>
    <xdr:to>
      <xdr:col>18</xdr:col>
      <xdr:colOff>23811</xdr:colOff>
      <xdr:row>51</xdr:row>
      <xdr:rowOff>154781</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202406</xdr:colOff>
      <xdr:row>32</xdr:row>
      <xdr:rowOff>154781</xdr:rowOff>
    </xdr:from>
    <xdr:to>
      <xdr:col>16</xdr:col>
      <xdr:colOff>357187</xdr:colOff>
      <xdr:row>36</xdr:row>
      <xdr:rowOff>0</xdr:rowOff>
    </xdr:to>
    <xdr:cxnSp macro="">
      <xdr:nvCxnSpPr>
        <xdr:cNvPr id="3" name="Straight Arrow Connector 2">
          <a:extLst>
            <a:ext uri="{FF2B5EF4-FFF2-40B4-BE49-F238E27FC236}">
              <a16:creationId xmlns:a16="http://schemas.microsoft.com/office/drawing/2014/main" id="{00000000-0008-0000-1200-000003000000}"/>
            </a:ext>
          </a:extLst>
        </xdr:cNvPr>
        <xdr:cNvCxnSpPr/>
      </xdr:nvCxnSpPr>
      <xdr:spPr>
        <a:xfrm flipV="1">
          <a:off x="2031206" y="6060281"/>
          <a:ext cx="8079581" cy="607219"/>
        </a:xfrm>
        <a:prstGeom prst="straightConnector1">
          <a:avLst/>
        </a:prstGeom>
        <a:ln w="31750">
          <a:tailEnd type="arrow"/>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3</xdr:col>
      <xdr:colOff>116680</xdr:colOff>
      <xdr:row>38</xdr:row>
      <xdr:rowOff>130969</xdr:rowOff>
    </xdr:from>
    <xdr:to>
      <xdr:col>16</xdr:col>
      <xdr:colOff>488156</xdr:colOff>
      <xdr:row>41</xdr:row>
      <xdr:rowOff>142876</xdr:rowOff>
    </xdr:to>
    <xdr:cxnSp macro="">
      <xdr:nvCxnSpPr>
        <xdr:cNvPr id="4" name="Straight Arrow Connector 3">
          <a:extLst>
            <a:ext uri="{FF2B5EF4-FFF2-40B4-BE49-F238E27FC236}">
              <a16:creationId xmlns:a16="http://schemas.microsoft.com/office/drawing/2014/main" id="{00000000-0008-0000-1200-000004000000}"/>
            </a:ext>
          </a:extLst>
        </xdr:cNvPr>
        <xdr:cNvCxnSpPr/>
      </xdr:nvCxnSpPr>
      <xdr:spPr>
        <a:xfrm flipV="1">
          <a:off x="1945480" y="7179469"/>
          <a:ext cx="8296276" cy="583407"/>
        </a:xfrm>
        <a:prstGeom prst="straightConnector1">
          <a:avLst/>
        </a:prstGeom>
        <a:ln w="38100">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20</xdr:col>
      <xdr:colOff>130967</xdr:colOff>
      <xdr:row>15</xdr:row>
      <xdr:rowOff>171449</xdr:rowOff>
    </xdr:from>
    <xdr:to>
      <xdr:col>34</xdr:col>
      <xdr:colOff>226219</xdr:colOff>
      <xdr:row>41</xdr:row>
      <xdr:rowOff>178593</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92516</xdr:colOff>
      <xdr:row>59</xdr:row>
      <xdr:rowOff>83343</xdr:rowOff>
    </xdr:from>
    <xdr:ext cx="13192478" cy="7386638"/>
    <xdr:pic>
      <xdr:nvPicPr>
        <xdr:cNvPr id="10" name="Picture 9" descr="https://staticseekingalpha.a.ssl.fastly.net/uploads/2016/1/6915901_14541093716114_rId7.png">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1716" y="11132343"/>
          <a:ext cx="13192478" cy="7386638"/>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xdr:col>
      <xdr:colOff>73409</xdr:colOff>
      <xdr:row>102</xdr:row>
      <xdr:rowOff>142875</xdr:rowOff>
    </xdr:from>
    <xdr:ext cx="13580678" cy="7624761"/>
    <xdr:pic>
      <xdr:nvPicPr>
        <xdr:cNvPr id="11" name="Picture 10" descr="https://staticseekingalpha.a.ssl.fastly.net/uploads/2016/1/6915901_14541093716114_rId6.png">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92609" y="19383375"/>
          <a:ext cx="13580678" cy="7624761"/>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twoCellAnchor editAs="oneCell">
    <xdr:from>
      <xdr:col>142</xdr:col>
      <xdr:colOff>0</xdr:colOff>
      <xdr:row>13</xdr:row>
      <xdr:rowOff>0</xdr:rowOff>
    </xdr:from>
    <xdr:to>
      <xdr:col>156</xdr:col>
      <xdr:colOff>389434</xdr:colOff>
      <xdr:row>35</xdr:row>
      <xdr:rowOff>66143</xdr:rowOff>
    </xdr:to>
    <xdr:pic>
      <xdr:nvPicPr>
        <xdr:cNvPr id="9" name="Picture 8">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85617844" y="2476500"/>
          <a:ext cx="8723809" cy="42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yan/Library/Containers/com.apple.mail/Data/Library/Mail%20Downloads/Agctemp/AGC%20Shared/TEMP/c.notes.data/a%20b&#226;tons%20rompu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Bill%20Abraham/Google%20Drive/LNG/LNG/PESCO-BEAM%20Tech/Metalub%20Plant%20are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rotta/Application%20Data/Microsoft/Excel/SCO%20-%20Operating%20Assump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ocuments%20and%20Settings/David/Local%20Settings/Temporary%20Internet%20Files/OLK4/Calcium_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varor/Desktop/Pro%20forma%20-%20Myrtle%20Grove%20model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onte.bell/AppData/Local/Microsoft/Windows/Temporary%20Internet%20Files/Content.Outlook/2I81HP7V/Pro%20forma%20-%20NexLube%20Expected%20Case%20provided%20HW%20modified%20ver%201%200627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vidf/Documents/BPM%20Toolbox/bpmToolbox%206.0-Forecast%20Business%20Planning%20Model%20Example%20(Basi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Documents%20and%20Settings/ahodgkin/My%20Documents/Financial%20Instruments/LBO%20Models/Standalone98_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nergy%20Industry/Wind%20Tex%20Energy/Pro%20Forma/Pro%20forma%20-%20Wind%20Tex%20-%20Petronilla%20-%20Full%20Working%20Mode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Bill%20Abraham/Google%20Drive/LNG/Vertex/Financial%20model/Myrtle%20Grove%2045M%20gallon%20VGO%20to%20base%20oil%20plant%20r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graph"/>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Budget"/>
    </sheetNames>
    <sheetDataSet>
      <sheetData sheetId="0"/>
      <sheetData sheetId="1">
        <row r="5">
          <cell r="D5">
            <v>4787.4285714285725</v>
          </cell>
        </row>
        <row r="7">
          <cell r="D7">
            <v>517</v>
          </cell>
        </row>
        <row r="12">
          <cell r="D12">
            <v>1</v>
          </cell>
        </row>
        <row r="13">
          <cell r="D13">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tions Inputs"/>
      <sheetName val="SCO - Operating Assumptions"/>
      <sheetName val="SCO - Operating Assumptions.xls"/>
    </sheetNames>
    <definedNames>
      <definedName name="AdjustValue" refersTo="#REF!"/>
      <definedName name="desk" refersTo="#REF!"/>
      <definedName name="glad" refersTo="#REF!"/>
      <definedName name="GoBack" refersTo="#REF!"/>
      <definedName name="GoBalanceSheet" refersTo="#REF!"/>
      <definedName name="GoCashFlow" refersTo="#REF!"/>
      <definedName name="GoData" refersTo="#REF!"/>
      <definedName name="GoIncomeChart" refersTo="#REF!"/>
      <definedName name="kkk" refersTo="#REF!"/>
      <definedName name="lamp" refersTo="#REF!"/>
      <definedName name="lisahuang" refersTo="#REF!"/>
      <definedName name="mynameis" refersTo="#REF!"/>
      <definedName name="Name1" refersTo="#REF!"/>
      <definedName name="NameNew" refersTo="#REF!"/>
      <definedName name="newstuff" refersTo="#REF!"/>
      <definedName name="oldstuff" refersTo="#REF!"/>
      <definedName name="phoneNew" refersTo="#REF!"/>
      <definedName name="Print_Cover_Tabs" refersTo="#REF!"/>
      <definedName name="Print_Document" refersTo="#REF!"/>
      <definedName name="sad" refersTo="#REF!"/>
      <definedName name="sName" refersTo="#REF!"/>
      <definedName name="sName1" refersTo="#REF!"/>
    </defined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Detail"/>
      <sheetName val="Transaction Assumptions"/>
      <sheetName val="Transaction  Adjustments"/>
      <sheetName val="Income Statement"/>
      <sheetName val="Operating Assumptions"/>
      <sheetName val="Balance Sheet"/>
      <sheetName val="Cash Flow"/>
      <sheetName val="IRR Analysis"/>
      <sheetName val="Credit Statistics"/>
      <sheetName val="Seller"/>
      <sheetName val="LandCo"/>
      <sheetName val="Debt Schedule"/>
      <sheetName val="Depreciation"/>
      <sheetName val="DCF"/>
      <sheetName val="Sensitiv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tructure"/>
      <sheetName val="Case Sensitivity"/>
      <sheetName val="Yields"/>
      <sheetName val="Assumptions"/>
      <sheetName val="WTI &amp; Commodity price"/>
      <sheetName val="Financials"/>
      <sheetName val="Capex"/>
      <sheetName val="Drawdown"/>
      <sheetName val="Revenue"/>
      <sheetName val="Oper Costs"/>
      <sheetName val="Labor"/>
      <sheetName val="Plant Payroll"/>
      <sheetName val="Corp SG&amp;A"/>
    </sheetNames>
    <sheetDataSet>
      <sheetData sheetId="0">
        <row r="1">
          <cell r="B1" t="str">
            <v>Myrtle Grove development</v>
          </cell>
        </row>
      </sheetData>
      <sheetData sheetId="1"/>
      <sheetData sheetId="2"/>
      <sheetData sheetId="3"/>
      <sheetData sheetId="4">
        <row r="193">
          <cell r="Q193">
            <v>5000</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d AFE"/>
      <sheetName val="Index"/>
      <sheetName val="Assumptions"/>
      <sheetName val="Summary Output"/>
      <sheetName val="Inputs"/>
      <sheetName val="P&amp;L"/>
      <sheetName val="Rev"/>
      <sheetName val="Operating model"/>
      <sheetName val="Summary Projections - Output"/>
      <sheetName val="Summary Projections - Quarterly"/>
      <sheetName val="3 Plant Summary"/>
      <sheetName val="IRR"/>
      <sheetName val="3 Plant Allocation"/>
      <sheetName val="Graphs"/>
      <sheetName val="PLATTS"/>
      <sheetName val="WTI effect"/>
      <sheetName val="Diesel"/>
      <sheetName val="Asphalt"/>
      <sheetName val="Plant Payroll"/>
      <sheetName val="Utilities"/>
      <sheetName val="LinkingMetadata"/>
      <sheetName val="Budget 2011-2013"/>
      <sheetName val="Approved Budget 2012-2013"/>
      <sheetName val="Invoices"/>
      <sheetName val="Investor 1-Plant"/>
      <sheetName val="Investor 2-Plant"/>
      <sheetName val="Investor 3-Plant"/>
      <sheetName val="Current 1-Plant"/>
      <sheetName val="Current 2-Plant"/>
      <sheetName val="PO Schedule"/>
      <sheetName val="FCB Loan"/>
      <sheetName val="Feedstock"/>
      <sheetName val="Bonus Plan"/>
    </sheetNames>
    <sheetDataSet>
      <sheetData sheetId="0"/>
      <sheetData sheetId="1"/>
      <sheetData sheetId="2"/>
      <sheetData sheetId="3"/>
      <sheetData sheetId="4">
        <row r="42">
          <cell r="C42">
            <v>2</v>
          </cell>
        </row>
      </sheetData>
      <sheetData sheetId="5"/>
      <sheetData sheetId="6"/>
      <sheetData sheetId="7"/>
      <sheetData sheetId="8"/>
      <sheetData sheetId="9"/>
      <sheetData sheetId="10"/>
      <sheetData sheetId="11"/>
      <sheetData sheetId="12"/>
      <sheetData sheetId="13"/>
      <sheetData sheetId="14">
        <row r="37">
          <cell r="E37">
            <v>1.8561860035414584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C3">
            <v>7500000</v>
          </cell>
          <cell r="E3">
            <v>0.01</v>
          </cell>
          <cell r="F3">
            <v>5000000</v>
          </cell>
        </row>
        <row r="4">
          <cell r="C4">
            <v>12500000</v>
          </cell>
          <cell r="E4">
            <v>2.5000000000000001E-2</v>
          </cell>
          <cell r="F4">
            <v>3750000</v>
          </cell>
        </row>
        <row r="5">
          <cell r="C5">
            <v>16250000</v>
          </cell>
          <cell r="E5">
            <v>0.04</v>
          </cell>
          <cell r="F5">
            <v>2500000</v>
          </cell>
        </row>
        <row r="6">
          <cell r="C6">
            <v>18750000</v>
          </cell>
          <cell r="E6">
            <v>0.05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Overview_SC"/>
      <sheetName val="Notes_SSC"/>
      <sheetName val="Notes_BO"/>
      <sheetName val="Keys_SSC"/>
      <sheetName val="Keys_BO"/>
      <sheetName val="Assumptions_SC"/>
      <sheetName val="TS_Ass_SSC"/>
      <sheetName val="TS_BA"/>
      <sheetName val="Fcast_Ass_SSC"/>
      <sheetName val="Fcast_TA"/>
      <sheetName val="Base_OP_SC"/>
      <sheetName val="Fcast_OP_SSC"/>
      <sheetName val="Fcast_TO"/>
      <sheetName val="FS_OP_SSC"/>
      <sheetName val="IS_TO"/>
      <sheetName val="BS_TO"/>
      <sheetName val="CFS_TO"/>
      <sheetName val="Dashboards_SSC"/>
      <sheetName val="BS_Sum_P_MS"/>
      <sheetName val="Appendices_SC"/>
      <sheetName val="Checks_SSC"/>
      <sheetName val="Checks_BO"/>
      <sheetName val="LU_SSC"/>
      <sheetName val="TS_LU"/>
      <sheetName val="Capital_LU"/>
      <sheetName val="Dashboards_LU"/>
    </sheetNames>
    <sheetDataSet>
      <sheetData sheetId="0">
        <row r="10">
          <cell r="C10" t="str">
            <v>Forecast Business Planning Model 6.0 (Basic)</v>
          </cell>
        </row>
      </sheetData>
      <sheetData sheetId="1"/>
      <sheetData sheetId="2"/>
      <sheetData sheetId="3"/>
      <sheetData sheetId="4"/>
      <sheetData sheetId="5"/>
      <sheetData sheetId="6"/>
      <sheetData sheetId="7"/>
      <sheetData sheetId="8"/>
      <sheetData sheetId="9">
        <row r="12">
          <cell r="J12" t="str">
            <v>Annual</v>
          </cell>
        </row>
        <row r="13">
          <cell r="K13">
            <v>12</v>
          </cell>
        </row>
        <row r="14">
          <cell r="J14">
            <v>40179</v>
          </cell>
        </row>
        <row r="16">
          <cell r="J16" t="str">
            <v>Year</v>
          </cell>
        </row>
        <row r="17">
          <cell r="J17" t="str">
            <v>Year</v>
          </cell>
        </row>
        <row r="18">
          <cell r="J18" t="b">
            <v>1</v>
          </cell>
        </row>
        <row r="19">
          <cell r="J19">
            <v>40179</v>
          </cell>
        </row>
        <row r="20">
          <cell r="J20">
            <v>40543</v>
          </cell>
        </row>
        <row r="21">
          <cell r="J21">
            <v>1</v>
          </cell>
        </row>
        <row r="22">
          <cell r="J22">
            <v>12</v>
          </cell>
        </row>
        <row r="23">
          <cell r="J23">
            <v>1</v>
          </cell>
        </row>
        <row r="25">
          <cell r="J25">
            <v>40543</v>
          </cell>
        </row>
        <row r="26">
          <cell r="J26">
            <v>2</v>
          </cell>
        </row>
        <row r="31">
          <cell r="J31" t="b">
            <v>1</v>
          </cell>
        </row>
        <row r="32">
          <cell r="J32">
            <v>0</v>
          </cell>
        </row>
        <row r="33">
          <cell r="J33">
            <v>0</v>
          </cell>
        </row>
        <row r="34">
          <cell r="J34" t="str">
            <v>(A)</v>
          </cell>
        </row>
        <row r="35">
          <cell r="J35" t="str">
            <v>(B)</v>
          </cell>
        </row>
        <row r="36">
          <cell r="J36" t="str">
            <v>(F)</v>
          </cell>
        </row>
      </sheetData>
      <sheetData sheetId="10"/>
      <sheetData sheetId="11">
        <row r="84">
          <cell r="J84">
            <v>1</v>
          </cell>
        </row>
        <row r="90">
          <cell r="E90" t="b">
            <v>0</v>
          </cell>
        </row>
        <row r="91">
          <cell r="E91" t="b">
            <v>0</v>
          </cell>
        </row>
      </sheetData>
      <sheetData sheetId="12"/>
      <sheetData sheetId="13"/>
      <sheetData sheetId="14">
        <row r="18">
          <cell r="C18" t="str">
            <v>Revenue</v>
          </cell>
        </row>
      </sheetData>
      <sheetData sheetId="15"/>
      <sheetData sheetId="16"/>
      <sheetData sheetId="17"/>
      <sheetData sheetId="18"/>
      <sheetData sheetId="19"/>
      <sheetData sheetId="20"/>
      <sheetData sheetId="21"/>
      <sheetData sheetId="22"/>
      <sheetData sheetId="23"/>
      <sheetData sheetId="24"/>
      <sheetData sheetId="25">
        <row r="47">
          <cell r="D47" t="str">
            <v>January</v>
          </cell>
        </row>
        <row r="48">
          <cell r="D48" t="str">
            <v>February</v>
          </cell>
        </row>
        <row r="49">
          <cell r="D49" t="str">
            <v>March</v>
          </cell>
        </row>
        <row r="50">
          <cell r="D50" t="str">
            <v>April</v>
          </cell>
        </row>
        <row r="51">
          <cell r="D51" t="str">
            <v>May</v>
          </cell>
        </row>
        <row r="52">
          <cell r="D52" t="str">
            <v>June</v>
          </cell>
        </row>
        <row r="53">
          <cell r="D53" t="str">
            <v>July</v>
          </cell>
        </row>
        <row r="54">
          <cell r="D54" t="str">
            <v>August</v>
          </cell>
        </row>
        <row r="55">
          <cell r="D55" t="str">
            <v>September</v>
          </cell>
        </row>
        <row r="56">
          <cell r="D56" t="str">
            <v>October</v>
          </cell>
        </row>
        <row r="57">
          <cell r="D57" t="str">
            <v>November</v>
          </cell>
        </row>
        <row r="58">
          <cell r="D58" t="str">
            <v>December</v>
          </cell>
        </row>
        <row r="63">
          <cell r="D63" t="str">
            <v>$Billions</v>
          </cell>
        </row>
        <row r="64">
          <cell r="D64" t="str">
            <v>$Millions</v>
          </cell>
        </row>
        <row r="65">
          <cell r="D65" t="str">
            <v>$'000</v>
          </cell>
        </row>
        <row r="66">
          <cell r="D66" t="str">
            <v>$</v>
          </cell>
        </row>
        <row r="77">
          <cell r="D77" t="str">
            <v>Annual</v>
          </cell>
        </row>
        <row r="78">
          <cell r="D78" t="str">
            <v>Semi-Annual</v>
          </cell>
        </row>
        <row r="79">
          <cell r="D79" t="str">
            <v>Quarterly</v>
          </cell>
        </row>
        <row r="80">
          <cell r="D80" t="str">
            <v>Monthly</v>
          </cell>
        </row>
        <row r="85">
          <cell r="D85" t="str">
            <v>Year</v>
          </cell>
        </row>
        <row r="86">
          <cell r="D86" t="str">
            <v>Half Year</v>
          </cell>
        </row>
        <row r="87">
          <cell r="D87" t="str">
            <v>Quarter</v>
          </cell>
        </row>
        <row r="88">
          <cell r="D88" t="str">
            <v>Month</v>
          </cell>
        </row>
        <row r="93">
          <cell r="D93">
            <v>1</v>
          </cell>
        </row>
        <row r="94">
          <cell r="D94">
            <v>2</v>
          </cell>
        </row>
        <row r="95">
          <cell r="D95">
            <v>4</v>
          </cell>
        </row>
        <row r="96">
          <cell r="D96">
            <v>12</v>
          </cell>
        </row>
      </sheetData>
      <sheetData sheetId="26">
        <row r="12">
          <cell r="D12" t="str">
            <v>% of NPAT</v>
          </cell>
        </row>
        <row r="13">
          <cell r="D13" t="str">
            <v>Assume Dividend Amounts</v>
          </cell>
        </row>
      </sheetData>
      <sheetData sheetId="2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dex"/>
      <sheetName val="Sum"/>
      <sheetName val="LTM"/>
      <sheetName val="P&amp;L"/>
      <sheetName val="BS"/>
      <sheetName val="CFS"/>
      <sheetName val="Assump"/>
      <sheetName val="Depr"/>
      <sheetName val="Amort"/>
      <sheetName val="Debt"/>
      <sheetName val="Conv. Debt"/>
      <sheetName val="Preferred"/>
      <sheetName val="Conv. Pref."/>
      <sheetName val="Tax"/>
      <sheetName val="Options"/>
      <sheetName val="Shares Outstanding"/>
      <sheetName val="Firm Value"/>
      <sheetName val="Premium"/>
      <sheetName val="DCF_10"/>
      <sheetName val="DCF_5"/>
      <sheetName val="Comps"/>
      <sheetName val="LBO"/>
      <sheetName val="HighYield"/>
      <sheetName val="CitiFin"/>
      <sheetName val="EVA"/>
      <sheetName val="Check"/>
      <sheetName val="Print Controls"/>
      <sheetName val="Print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 1"/>
      <sheetName val="Assumptions"/>
      <sheetName val="Tab 2"/>
      <sheetName val="Project P&amp;L"/>
      <sheetName val="Tab 3"/>
      <sheetName val="Partnership Alloc."/>
      <sheetName val="Tab 4"/>
      <sheetName val="Rev and O&amp;M"/>
      <sheetName val="Download"/>
    </sheetNames>
    <sheetDataSet>
      <sheetData sheetId="0" refreshError="1"/>
      <sheetData sheetId="1" refreshError="1"/>
      <sheetData sheetId="2">
        <row r="54">
          <cell r="J54">
            <v>0.35</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er Summary"/>
      <sheetName val="Key Assumptions"/>
      <sheetName val="Master Trend Sheet"/>
      <sheetName val="Summary Cash Flows"/>
      <sheetName val="Investment Plan"/>
      <sheetName val="P&amp;L and Cash Flow"/>
      <sheetName val="Existing Vertex Assets and Cash"/>
      <sheetName val="Plant Ops Cost"/>
      <sheetName val="Sensitivity"/>
      <sheetName val=" CapEx forecast - Vertex "/>
      <sheetName val="MG OPEX - Vertex "/>
      <sheetName val="Vertex additional CapEx"/>
      <sheetName val="Plant OH"/>
      <sheetName val="Org-Salary Structure"/>
      <sheetName val="Debt Service"/>
      <sheetName val="Margins"/>
      <sheetName val="Lease costs"/>
      <sheetName val="WTI NYMEX Futures May 24 2017"/>
      <sheetName val="Vertex's WTI &amp; Commodity price"/>
      <sheetName val="Macrotrends-crude-oil-prices"/>
      <sheetName val="Base Oil Trends"/>
      <sheetName val="Naptha"/>
      <sheetName val="Kerosene"/>
      <sheetName val="MG Inside Tanks"/>
      <sheetName val="MG Outside Tanks"/>
      <sheetName val="Labor and Barge - vertex"/>
      <sheetName val="Paulsboro HT Equipment"/>
    </sheetNames>
    <sheetDataSet>
      <sheetData sheetId="0"/>
      <sheetData sheetId="1">
        <row r="27">
          <cell r="C27">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K20">
            <v>51.751666666666672</v>
          </cell>
        </row>
        <row r="32">
          <cell r="K32">
            <v>51.161666666666655</v>
          </cell>
        </row>
        <row r="44">
          <cell r="K44">
            <v>51.287500000000001</v>
          </cell>
        </row>
        <row r="56">
          <cell r="K56">
            <v>52.04666666666666</v>
          </cell>
        </row>
        <row r="68">
          <cell r="K68">
            <v>53.169166666666662</v>
          </cell>
        </row>
        <row r="70">
          <cell r="K70">
            <v>54.545000000000002</v>
          </cell>
        </row>
        <row r="72">
          <cell r="K72">
            <v>55.39</v>
          </cell>
        </row>
        <row r="74">
          <cell r="K74">
            <v>55.924999999999997</v>
          </cell>
        </row>
      </sheetData>
      <sheetData sheetId="18">
        <row r="18">
          <cell r="AH18">
            <v>2.7237966101694915</v>
          </cell>
          <cell r="AI18">
            <v>2.7265084745762711</v>
          </cell>
          <cell r="AJ18">
            <v>2.7400677966101692</v>
          </cell>
          <cell r="AK18">
            <v>2.7189152542372881</v>
          </cell>
          <cell r="AL18">
            <v>2.7227118644067798</v>
          </cell>
          <cell r="AM18">
            <v>2.738983050847458</v>
          </cell>
          <cell r="AN18">
            <v>2.8127457627118648</v>
          </cell>
          <cell r="AO18">
            <v>2.7042711864406783</v>
          </cell>
          <cell r="AP18">
            <v>2.865898305084746</v>
          </cell>
          <cell r="AQ18">
            <v>2.8257627118644066</v>
          </cell>
          <cell r="AR18">
            <v>2.7124067796610167</v>
          </cell>
        </row>
        <row r="19">
          <cell r="AH19">
            <v>2.7237966101694915</v>
          </cell>
          <cell r="AI19">
            <v>2.7265084745762711</v>
          </cell>
          <cell r="AJ19">
            <v>2.7400677966101692</v>
          </cell>
          <cell r="AK19">
            <v>2.7189152542372881</v>
          </cell>
          <cell r="AL19">
            <v>2.7227118644067798</v>
          </cell>
          <cell r="AM19">
            <v>2.738983050847458</v>
          </cell>
          <cell r="AN19">
            <v>2.8127457627118648</v>
          </cell>
          <cell r="AO19">
            <v>2.7042711864406783</v>
          </cell>
          <cell r="AP19">
            <v>2.865898305084746</v>
          </cell>
          <cell r="AQ19">
            <v>2.8257627118644066</v>
          </cell>
          <cell r="AR19">
            <v>2.7124067796610167</v>
          </cell>
        </row>
        <row r="20">
          <cell r="AH20">
            <v>2.8139222333000995</v>
          </cell>
          <cell r="AI20">
            <v>2.8167238285144567</v>
          </cell>
          <cell r="AJ20">
            <v>2.8307318045862409</v>
          </cell>
          <cell r="AK20">
            <v>2.8088793619142569</v>
          </cell>
          <cell r="AL20">
            <v>2.8128015952143568</v>
          </cell>
          <cell r="AM20">
            <v>2.8296111665004982</v>
          </cell>
          <cell r="AN20">
            <v>2.9058145563310065</v>
          </cell>
          <cell r="AO20">
            <v>2.7937507477567292</v>
          </cell>
          <cell r="AP20">
            <v>2.9607258225324022</v>
          </cell>
          <cell r="AQ20">
            <v>2.9192622133599193</v>
          </cell>
          <cell r="AR20">
            <v>2.8021555333997998</v>
          </cell>
        </row>
        <row r="22">
          <cell r="AH22">
            <v>429.93700000000001</v>
          </cell>
          <cell r="AI22">
            <v>428.142</v>
          </cell>
          <cell r="AJ22">
            <v>425.55599999999998</v>
          </cell>
          <cell r="AK22">
            <v>423.447</v>
          </cell>
          <cell r="AL22">
            <v>422.745</v>
          </cell>
          <cell r="AM22">
            <v>422.09699999999998</v>
          </cell>
          <cell r="AN22">
            <v>421.57900000000001</v>
          </cell>
          <cell r="AO22">
            <v>421.12799999999999</v>
          </cell>
          <cell r="AP22">
            <v>420.23099999999999</v>
          </cell>
          <cell r="AQ22">
            <v>419.815</v>
          </cell>
          <cell r="AR22">
            <v>419.279</v>
          </cell>
        </row>
      </sheetData>
      <sheetData sheetId="19">
        <row r="9">
          <cell r="AN9">
            <v>58.1</v>
          </cell>
          <cell r="AO9">
            <v>73</v>
          </cell>
          <cell r="AP9">
            <v>76</v>
          </cell>
          <cell r="AQ9">
            <v>78</v>
          </cell>
          <cell r="AR9">
            <v>81</v>
          </cell>
          <cell r="AS9">
            <v>82</v>
          </cell>
          <cell r="AT9">
            <v>83</v>
          </cell>
          <cell r="AU9">
            <v>85</v>
          </cell>
          <cell r="AV9">
            <v>85</v>
          </cell>
          <cell r="AW9">
            <v>86</v>
          </cell>
          <cell r="AX9">
            <v>88</v>
          </cell>
          <cell r="AY9">
            <v>90.5</v>
          </cell>
          <cell r="AZ9">
            <v>91</v>
          </cell>
          <cell r="BA9">
            <v>92</v>
          </cell>
          <cell r="BB9">
            <v>92.5</v>
          </cell>
          <cell r="BC9">
            <v>93</v>
          </cell>
        </row>
      </sheetData>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mylubrizol.com/" TargetMode="Externa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topLeftCell="D4" zoomScale="125" zoomScaleNormal="125" zoomScalePageLayoutView="125" workbookViewId="0">
      <selection activeCell="H4" sqref="H4:J14"/>
    </sheetView>
  </sheetViews>
  <sheetFormatPr defaultColWidth="8.85546875" defaultRowHeight="15"/>
  <cols>
    <col min="1" max="1" width="2.85546875" customWidth="1"/>
    <col min="2" max="2" width="44.5703125" customWidth="1"/>
    <col min="3" max="4" width="19.7109375" bestFit="1" customWidth="1"/>
    <col min="5" max="5" width="14.5703125" bestFit="1" customWidth="1"/>
    <col min="6" max="6" width="18.85546875" customWidth="1"/>
    <col min="8" max="8" width="61.85546875" customWidth="1"/>
    <col min="9" max="9" width="12.140625" bestFit="1" customWidth="1"/>
    <col min="10" max="10" width="14.85546875" bestFit="1" customWidth="1"/>
    <col min="11" max="11" width="15.28515625" customWidth="1"/>
    <col min="12" max="12" width="12.140625" bestFit="1" customWidth="1"/>
    <col min="13" max="13" width="33" bestFit="1" customWidth="1"/>
    <col min="14" max="14" width="11.28515625" bestFit="1" customWidth="1"/>
    <col min="15" max="15" width="23.28515625" bestFit="1" customWidth="1"/>
  </cols>
  <sheetData>
    <row r="1" spans="1:11" ht="15.75">
      <c r="A1" s="411" t="s">
        <v>447</v>
      </c>
      <c r="B1" s="82"/>
      <c r="C1" s="82"/>
      <c r="D1" s="82"/>
      <c r="E1" s="82"/>
      <c r="F1" s="82"/>
      <c r="G1" s="82"/>
      <c r="H1" s="82"/>
      <c r="I1" s="82"/>
      <c r="J1" s="82"/>
      <c r="K1" s="82"/>
    </row>
    <row r="2" spans="1:11" ht="15.75">
      <c r="A2" s="411"/>
      <c r="B2" s="82"/>
      <c r="C2" s="82"/>
      <c r="D2" s="82"/>
      <c r="E2" s="82"/>
      <c r="F2" s="82"/>
      <c r="G2" s="82"/>
      <c r="H2" s="82"/>
      <c r="I2" s="82"/>
      <c r="J2" s="82"/>
      <c r="K2" s="82"/>
    </row>
    <row r="3" spans="1:11" ht="13.5" customHeight="1">
      <c r="A3" s="82"/>
      <c r="B3" s="82"/>
      <c r="C3" s="82"/>
      <c r="D3" s="82"/>
      <c r="E3" s="82"/>
      <c r="F3" s="82"/>
      <c r="G3" s="82"/>
      <c r="H3" s="82"/>
      <c r="I3" s="82"/>
      <c r="J3" s="82"/>
      <c r="K3" s="82"/>
    </row>
    <row r="4" spans="1:11">
      <c r="A4" s="82"/>
      <c r="B4" s="709" t="s">
        <v>604</v>
      </c>
      <c r="C4" s="428" t="s">
        <v>48</v>
      </c>
      <c r="D4" s="82"/>
      <c r="E4" s="82"/>
      <c r="F4" s="82"/>
      <c r="G4" s="82"/>
      <c r="H4" s="709" t="s">
        <v>780</v>
      </c>
      <c r="I4" s="428" t="s">
        <v>756</v>
      </c>
      <c r="J4" s="428" t="s">
        <v>759</v>
      </c>
      <c r="K4" s="82"/>
    </row>
    <row r="5" spans="1:11">
      <c r="A5" s="82"/>
      <c r="B5" s="81" t="s">
        <v>655</v>
      </c>
      <c r="C5" s="248">
        <v>3400000</v>
      </c>
      <c r="D5" s="82"/>
      <c r="E5" s="82"/>
      <c r="F5" s="82"/>
      <c r="G5" s="82"/>
      <c r="H5" s="81" t="s">
        <v>768</v>
      </c>
      <c r="I5" s="248">
        <f>C5</f>
        <v>3400000</v>
      </c>
      <c r="J5" s="638">
        <f>I5*0.15</f>
        <v>510000</v>
      </c>
      <c r="K5" s="82"/>
    </row>
    <row r="6" spans="1:11">
      <c r="A6" s="82"/>
      <c r="B6" s="81" t="s">
        <v>783</v>
      </c>
      <c r="C6" s="248">
        <f>'Investment Plan'!F5+'Investment Plan'!F8+'Investment Plan'!F9+'Investment Plan'!F13+'Investment Plan'!F16+'Investment Plan'!F17+'Investment Plan'!F14</f>
        <v>7400000</v>
      </c>
      <c r="D6" s="82"/>
      <c r="E6" s="82"/>
      <c r="F6" s="82"/>
      <c r="G6" s="82"/>
      <c r="H6" s="81" t="s">
        <v>779</v>
      </c>
      <c r="I6" s="248">
        <f t="shared" ref="I6:I13" si="0">C6</f>
        <v>7400000</v>
      </c>
      <c r="J6" s="638">
        <f>I6</f>
        <v>7400000</v>
      </c>
      <c r="K6" s="82"/>
    </row>
    <row r="7" spans="1:11">
      <c r="A7" s="82"/>
      <c r="B7" s="81" t="s">
        <v>782</v>
      </c>
      <c r="C7" s="248">
        <f>'Investment Plan'!F6+'Investment Plan'!F7+'Investment Plan'!F11+'Investment Plan'!F10+'Investment Plan'!F12++'Investment Plan'!F15</f>
        <v>1485000</v>
      </c>
      <c r="D7" s="638">
        <f>C7+C6+C10+C12</f>
        <v>11411307.142857144</v>
      </c>
      <c r="E7" s="82"/>
      <c r="F7" s="82"/>
      <c r="G7" s="82"/>
      <c r="H7" s="81" t="s">
        <v>786</v>
      </c>
      <c r="I7" s="248">
        <f t="shared" si="0"/>
        <v>1485000</v>
      </c>
      <c r="J7" s="638">
        <f>I7-'Investment Plan'!F10</f>
        <v>1235000</v>
      </c>
      <c r="K7" s="82"/>
    </row>
    <row r="8" spans="1:11">
      <c r="A8" s="82"/>
      <c r="B8" s="82" t="s">
        <v>57</v>
      </c>
      <c r="C8" s="248">
        <f>'Investment Plan'!F24</f>
        <v>175000</v>
      </c>
      <c r="D8" s="82"/>
      <c r="E8" s="82"/>
      <c r="F8" s="82"/>
      <c r="G8" s="82"/>
      <c r="H8" s="82" t="s">
        <v>760</v>
      </c>
      <c r="I8" s="248">
        <f t="shared" si="0"/>
        <v>175000</v>
      </c>
      <c r="J8" s="638">
        <f>I8</f>
        <v>175000</v>
      </c>
      <c r="K8" s="82"/>
    </row>
    <row r="9" spans="1:11">
      <c r="A9" s="82"/>
      <c r="B9" s="82" t="s">
        <v>359</v>
      </c>
      <c r="C9" s="248">
        <f>'Investment Plan'!F34</f>
        <v>1415000</v>
      </c>
      <c r="D9" s="82"/>
      <c r="E9" s="638"/>
      <c r="F9" s="82"/>
      <c r="G9" s="82"/>
      <c r="H9" s="82" t="s">
        <v>787</v>
      </c>
      <c r="I9" s="248">
        <f t="shared" si="0"/>
        <v>1415000</v>
      </c>
      <c r="J9" s="412">
        <f>I9*0.25</f>
        <v>353750</v>
      </c>
      <c r="K9" s="82"/>
    </row>
    <row r="10" spans="1:11" ht="13.5" customHeight="1">
      <c r="A10" s="82"/>
      <c r="B10" s="82" t="s">
        <v>305</v>
      </c>
      <c r="C10" s="248">
        <f>'Investment Plan'!F48</f>
        <v>1916307.142857143</v>
      </c>
      <c r="D10" s="82"/>
      <c r="E10" s="82"/>
      <c r="F10" s="82"/>
      <c r="G10" s="82"/>
      <c r="H10" s="82" t="s">
        <v>761</v>
      </c>
      <c r="I10" s="248">
        <f t="shared" si="0"/>
        <v>1916307.142857143</v>
      </c>
      <c r="J10" s="638">
        <f>I10</f>
        <v>1916307.142857143</v>
      </c>
      <c r="K10" s="82"/>
    </row>
    <row r="11" spans="1:11">
      <c r="A11" s="82"/>
      <c r="B11" s="82" t="s">
        <v>60</v>
      </c>
      <c r="C11" s="248">
        <f>'Investment Plan'!F59</f>
        <v>413304.57142857148</v>
      </c>
      <c r="D11" s="82"/>
      <c r="E11" s="82"/>
      <c r="F11" s="82"/>
      <c r="G11" s="82"/>
      <c r="H11" s="82" t="s">
        <v>788</v>
      </c>
      <c r="I11" s="248">
        <f t="shared" si="0"/>
        <v>413304.57142857148</v>
      </c>
      <c r="J11" s="82"/>
      <c r="K11" s="82"/>
    </row>
    <row r="12" spans="1:11">
      <c r="A12" s="82"/>
      <c r="B12" s="85" t="s">
        <v>69</v>
      </c>
      <c r="C12" s="248">
        <f>'Investment Plan'!F66</f>
        <v>610000</v>
      </c>
      <c r="D12" s="82"/>
      <c r="E12" s="82"/>
      <c r="F12" s="82"/>
      <c r="G12" s="82"/>
      <c r="H12" s="85" t="s">
        <v>763</v>
      </c>
      <c r="I12" s="248">
        <f t="shared" si="0"/>
        <v>610000</v>
      </c>
      <c r="J12" s="710">
        <f>I12*0.5</f>
        <v>305000</v>
      </c>
      <c r="K12" s="82"/>
    </row>
    <row r="13" spans="1:11">
      <c r="A13" s="82"/>
      <c r="B13" s="642" t="s">
        <v>645</v>
      </c>
      <c r="C13" s="249">
        <f>'Disbursement Plan'!L69</f>
        <v>1470600</v>
      </c>
      <c r="D13" s="82"/>
      <c r="E13" s="82"/>
      <c r="F13" s="82"/>
      <c r="G13" s="82"/>
      <c r="H13" s="642" t="s">
        <v>762</v>
      </c>
      <c r="I13" s="249">
        <f t="shared" si="0"/>
        <v>1470600</v>
      </c>
      <c r="J13" s="419"/>
      <c r="K13" s="82"/>
    </row>
    <row r="14" spans="1:11">
      <c r="A14" s="82"/>
      <c r="B14" s="247" t="s">
        <v>605</v>
      </c>
      <c r="C14" s="250">
        <f>SUM(C5:C13)</f>
        <v>18285211.714285716</v>
      </c>
      <c r="D14" s="82"/>
      <c r="E14" s="82"/>
      <c r="F14" s="82"/>
      <c r="G14" s="82"/>
      <c r="H14" s="720" t="s">
        <v>26</v>
      </c>
      <c r="I14" s="250">
        <f>SUM(I5:I13)</f>
        <v>18285211.714285716</v>
      </c>
      <c r="J14" s="250">
        <f>SUM(J5:J13)</f>
        <v>11895057.142857144</v>
      </c>
      <c r="K14" s="82"/>
    </row>
    <row r="15" spans="1:11">
      <c r="A15" s="82"/>
      <c r="B15" s="82"/>
      <c r="C15" s="83"/>
      <c r="D15" s="82"/>
      <c r="E15" s="82"/>
      <c r="F15" s="82"/>
      <c r="G15" s="82"/>
      <c r="K15" s="82"/>
    </row>
    <row r="16" spans="1:11">
      <c r="A16" s="82"/>
      <c r="B16" s="494" t="s">
        <v>166</v>
      </c>
      <c r="C16" s="702">
        <f>C36+C37+C38</f>
        <v>2000000</v>
      </c>
      <c r="D16" s="82"/>
      <c r="E16" s="82"/>
      <c r="F16" s="82"/>
      <c r="G16" s="82"/>
      <c r="H16" s="719" t="s">
        <v>755</v>
      </c>
      <c r="I16" s="719" t="s">
        <v>756</v>
      </c>
      <c r="J16" s="719" t="s">
        <v>778</v>
      </c>
      <c r="K16" s="82"/>
    </row>
    <row r="17" spans="1:11">
      <c r="A17" s="82"/>
      <c r="B17" s="495" t="s">
        <v>643</v>
      </c>
      <c r="C17" s="592">
        <v>2000000</v>
      </c>
      <c r="D17" s="82"/>
      <c r="E17" s="82"/>
      <c r="F17" s="82"/>
      <c r="G17" s="82"/>
      <c r="H17" s="82" t="s">
        <v>789</v>
      </c>
      <c r="I17" s="84">
        <f>C5</f>
        <v>3400000</v>
      </c>
      <c r="J17" s="82"/>
      <c r="K17" s="82"/>
    </row>
    <row r="18" spans="1:11">
      <c r="A18" s="82"/>
      <c r="B18" s="496" t="s">
        <v>445</v>
      </c>
      <c r="C18" s="593">
        <f>C14-C16-C17-C5</f>
        <v>10885211.714285716</v>
      </c>
      <c r="D18" s="82"/>
      <c r="E18" s="82"/>
      <c r="F18" s="82"/>
      <c r="G18" s="82"/>
      <c r="H18" s="82" t="s">
        <v>754</v>
      </c>
      <c r="I18" s="84">
        <v>3000000</v>
      </c>
      <c r="J18" s="82"/>
      <c r="K18" s="82"/>
    </row>
    <row r="19" spans="1:11">
      <c r="A19" s="82"/>
      <c r="B19" s="82" t="s">
        <v>61</v>
      </c>
      <c r="C19" s="492">
        <f>SUM(C16:C18)</f>
        <v>14885211.714285716</v>
      </c>
      <c r="D19" s="82"/>
      <c r="E19" s="82"/>
      <c r="F19" s="82"/>
      <c r="G19" s="82"/>
      <c r="H19" s="419" t="s">
        <v>58</v>
      </c>
      <c r="I19" s="420">
        <f>C38</f>
        <v>1000000</v>
      </c>
      <c r="J19" s="419"/>
      <c r="K19" s="82"/>
    </row>
    <row r="20" spans="1:11">
      <c r="A20" s="82"/>
      <c r="B20" s="82"/>
      <c r="C20" s="84"/>
      <c r="D20" s="82"/>
      <c r="E20" s="82"/>
      <c r="F20" s="82"/>
      <c r="G20" s="82"/>
      <c r="H20" s="82" t="s">
        <v>781</v>
      </c>
      <c r="I20" s="84">
        <f>SUM(I17:I19)</f>
        <v>7400000</v>
      </c>
      <c r="J20" s="714"/>
      <c r="K20" s="82"/>
    </row>
    <row r="21" spans="1:11">
      <c r="A21" s="82"/>
      <c r="B21" s="251" t="s">
        <v>360</v>
      </c>
      <c r="C21" s="493">
        <f>C18/C14</f>
        <v>0.59530137711128661</v>
      </c>
      <c r="D21" s="82"/>
      <c r="E21" s="82"/>
      <c r="F21" s="84"/>
      <c r="G21" s="82"/>
      <c r="H21" s="82"/>
      <c r="I21" s="84"/>
      <c r="J21" s="714"/>
      <c r="K21" s="82"/>
    </row>
    <row r="22" spans="1:11">
      <c r="A22" s="82"/>
      <c r="B22" s="82"/>
      <c r="C22" s="82"/>
      <c r="D22" s="82"/>
      <c r="E22" s="82"/>
      <c r="F22" s="82"/>
      <c r="G22" s="82"/>
      <c r="H22" s="715" t="s">
        <v>784</v>
      </c>
      <c r="I22" s="716">
        <f>C18</f>
        <v>10885211.714285716</v>
      </c>
      <c r="J22" s="717">
        <f>I22/I14</f>
        <v>0.59530137711128661</v>
      </c>
      <c r="K22" s="82"/>
    </row>
    <row r="23" spans="1:11" ht="15.75" thickBot="1">
      <c r="A23" s="82"/>
      <c r="B23" s="494" t="s">
        <v>764</v>
      </c>
      <c r="C23" s="711">
        <v>0.06</v>
      </c>
      <c r="D23" s="82"/>
      <c r="E23" s="82"/>
      <c r="F23" s="82"/>
      <c r="G23" s="82"/>
      <c r="H23" s="85"/>
      <c r="I23" s="756"/>
      <c r="J23" s="714"/>
      <c r="K23" s="82"/>
    </row>
    <row r="24" spans="1:11" ht="15.75" thickBot="1">
      <c r="A24" s="82"/>
      <c r="B24" s="495" t="s">
        <v>62</v>
      </c>
      <c r="C24" s="712">
        <v>10</v>
      </c>
      <c r="D24" s="82"/>
      <c r="E24" s="82"/>
      <c r="F24" s="82"/>
      <c r="G24" s="82"/>
      <c r="H24" s="757" t="s">
        <v>1137</v>
      </c>
      <c r="I24" s="758">
        <f>I22+I20</f>
        <v>18285211.714285716</v>
      </c>
      <c r="J24" s="759"/>
      <c r="K24" s="82"/>
    </row>
    <row r="25" spans="1:11">
      <c r="A25" s="82"/>
      <c r="B25" s="496" t="s">
        <v>63</v>
      </c>
      <c r="C25" s="713">
        <v>24</v>
      </c>
      <c r="D25" s="413"/>
      <c r="E25" s="82"/>
      <c r="F25" s="82"/>
      <c r="G25" s="82"/>
      <c r="H25" s="82"/>
      <c r="I25" s="82"/>
      <c r="J25" s="82"/>
      <c r="K25" s="82"/>
    </row>
    <row r="26" spans="1:11">
      <c r="A26" s="82"/>
      <c r="B26" s="82"/>
      <c r="C26" s="82"/>
      <c r="D26" s="414"/>
      <c r="E26" s="82"/>
      <c r="F26" s="82"/>
      <c r="G26" s="82"/>
      <c r="H26" s="494" t="s">
        <v>790</v>
      </c>
      <c r="I26" s="711">
        <v>0.06</v>
      </c>
      <c r="J26" s="82"/>
      <c r="K26" s="82"/>
    </row>
    <row r="27" spans="1:11">
      <c r="A27" s="82"/>
      <c r="B27" s="494" t="s">
        <v>757</v>
      </c>
      <c r="C27" s="607">
        <f>'Summary CF '!D29</f>
        <v>0.2234699640468647</v>
      </c>
      <c r="D27" s="414"/>
      <c r="E27" s="82"/>
      <c r="F27" s="82"/>
      <c r="G27" s="82"/>
      <c r="H27" s="495" t="s">
        <v>765</v>
      </c>
      <c r="I27" s="712">
        <v>10</v>
      </c>
      <c r="J27" s="82"/>
      <c r="K27" s="82"/>
    </row>
    <row r="28" spans="1:11">
      <c r="A28" s="82"/>
      <c r="B28" s="495" t="s">
        <v>758</v>
      </c>
      <c r="C28" s="608">
        <f>'Summary CF '!D47</f>
        <v>0.27297567419381363</v>
      </c>
      <c r="D28" s="414"/>
      <c r="E28" s="82"/>
      <c r="F28" s="82"/>
      <c r="G28" s="82"/>
      <c r="H28" s="496" t="s">
        <v>766</v>
      </c>
      <c r="I28" s="713">
        <v>24</v>
      </c>
      <c r="J28" s="82"/>
      <c r="K28" s="82"/>
    </row>
    <row r="29" spans="1:11">
      <c r="A29" s="82"/>
      <c r="B29" s="496" t="s">
        <v>664</v>
      </c>
      <c r="C29" s="648">
        <f>Sensitivity!D128</f>
        <v>0.20124548937671549</v>
      </c>
      <c r="D29" s="414"/>
      <c r="E29" s="82"/>
      <c r="F29" s="82"/>
      <c r="G29" s="82"/>
      <c r="H29" s="82"/>
      <c r="I29" s="85"/>
      <c r="J29" s="84"/>
      <c r="K29" s="82"/>
    </row>
    <row r="30" spans="1:11">
      <c r="A30" s="82"/>
      <c r="B30" s="85"/>
      <c r="D30" s="415"/>
      <c r="E30" s="82"/>
      <c r="F30" s="82"/>
      <c r="G30" s="82"/>
      <c r="H30" s="82"/>
      <c r="I30" s="82"/>
      <c r="J30" s="82"/>
      <c r="K30" s="82"/>
    </row>
    <row r="31" spans="1:11">
      <c r="A31" s="82"/>
      <c r="B31" s="82"/>
      <c r="C31" s="82"/>
      <c r="G31" s="82"/>
      <c r="H31" s="82"/>
      <c r="I31" s="82"/>
      <c r="J31" s="82"/>
      <c r="K31" s="82"/>
    </row>
    <row r="32" spans="1:11" ht="45">
      <c r="A32" s="82"/>
      <c r="B32" s="430" t="s">
        <v>64</v>
      </c>
      <c r="C32" s="430" t="s">
        <v>48</v>
      </c>
      <c r="D32" s="430" t="s">
        <v>49</v>
      </c>
      <c r="E32" s="430" t="s">
        <v>608</v>
      </c>
      <c r="F32" s="431" t="s">
        <v>601</v>
      </c>
      <c r="G32" s="431" t="s">
        <v>444</v>
      </c>
      <c r="H32" s="82"/>
      <c r="I32" s="82"/>
      <c r="J32" s="82"/>
    </row>
    <row r="33" spans="1:11">
      <c r="A33" s="82"/>
      <c r="B33" s="85" t="s">
        <v>65</v>
      </c>
      <c r="C33" s="85"/>
      <c r="D33" s="416"/>
      <c r="E33" s="417">
        <v>16858</v>
      </c>
      <c r="F33" s="417">
        <f>E33</f>
        <v>16858</v>
      </c>
      <c r="G33" s="721">
        <f t="shared" ref="G33:G38" si="1">E33/$F$39</f>
        <v>0.31723748588633799</v>
      </c>
      <c r="H33" s="82"/>
      <c r="I33" s="82"/>
      <c r="J33" s="82"/>
      <c r="K33" s="82"/>
    </row>
    <row r="34" spans="1:11">
      <c r="A34" s="82"/>
      <c r="B34" s="85" t="s">
        <v>162</v>
      </c>
      <c r="C34" s="85"/>
      <c r="D34" s="416"/>
      <c r="E34" s="417">
        <v>18432</v>
      </c>
      <c r="F34" s="417">
        <f>F33+E34</f>
        <v>35290</v>
      </c>
      <c r="G34" s="721">
        <f t="shared" si="1"/>
        <v>0.34685735792246897</v>
      </c>
      <c r="H34" s="82"/>
    </row>
    <row r="35" spans="1:11">
      <c r="A35" s="82"/>
      <c r="B35" s="85" t="s">
        <v>165</v>
      </c>
      <c r="C35" s="85"/>
      <c r="D35" s="416"/>
      <c r="E35" s="417">
        <v>0</v>
      </c>
      <c r="F35" s="417">
        <f>F34+E35</f>
        <v>35290</v>
      </c>
      <c r="G35" s="721">
        <f t="shared" si="1"/>
        <v>0</v>
      </c>
      <c r="H35" s="82"/>
      <c r="I35" s="82"/>
      <c r="J35" s="82"/>
    </row>
    <row r="36" spans="1:11">
      <c r="A36" s="82"/>
      <c r="B36" s="85" t="s">
        <v>86</v>
      </c>
      <c r="C36" s="84">
        <v>0</v>
      </c>
      <c r="D36" s="418">
        <v>100</v>
      </c>
      <c r="E36" s="417">
        <f>C36/D36</f>
        <v>0</v>
      </c>
      <c r="F36" s="417">
        <f>F35+E36</f>
        <v>35290</v>
      </c>
      <c r="G36" s="721">
        <f t="shared" si="1"/>
        <v>0</v>
      </c>
      <c r="H36" s="82"/>
    </row>
    <row r="37" spans="1:11">
      <c r="A37" s="82"/>
      <c r="B37" s="82" t="s">
        <v>547</v>
      </c>
      <c r="C37" s="84">
        <v>1000000</v>
      </c>
      <c r="D37" s="418">
        <v>100</v>
      </c>
      <c r="E37" s="417">
        <f>C37/D37</f>
        <v>10000</v>
      </c>
      <c r="F37" s="417">
        <f t="shared" ref="F37:F38" si="2">F36+E37</f>
        <v>45290</v>
      </c>
      <c r="G37" s="721">
        <f t="shared" si="1"/>
        <v>0.18818216033120061</v>
      </c>
      <c r="H37" s="82"/>
    </row>
    <row r="38" spans="1:11">
      <c r="A38" s="82"/>
      <c r="B38" s="419" t="s">
        <v>59</v>
      </c>
      <c r="C38" s="420">
        <v>1000000</v>
      </c>
      <c r="D38" s="421">
        <f>C38/E38</f>
        <v>127.38853503184713</v>
      </c>
      <c r="E38" s="422">
        <v>7850</v>
      </c>
      <c r="F38" s="422">
        <f t="shared" si="2"/>
        <v>53140</v>
      </c>
      <c r="G38" s="722">
        <f t="shared" si="1"/>
        <v>0.14772299585999246</v>
      </c>
      <c r="H38" s="82"/>
    </row>
    <row r="39" spans="1:11">
      <c r="A39" s="82"/>
      <c r="B39" s="82" t="s">
        <v>26</v>
      </c>
      <c r="C39" s="84">
        <f>SUM(C36:C38)</f>
        <v>2000000</v>
      </c>
      <c r="D39" s="252"/>
      <c r="E39" s="423">
        <f>SUM(E33:E38)</f>
        <v>53140</v>
      </c>
      <c r="F39" s="423">
        <f>F38</f>
        <v>53140</v>
      </c>
      <c r="G39" s="82"/>
      <c r="H39" s="82"/>
    </row>
    <row r="40" spans="1:11">
      <c r="A40" s="82"/>
      <c r="B40" s="82"/>
      <c r="C40" s="84"/>
      <c r="D40" s="82"/>
      <c r="E40" s="82"/>
      <c r="F40" s="82"/>
      <c r="G40" s="82"/>
      <c r="H40" s="82"/>
    </row>
    <row r="41" spans="1:11" ht="30">
      <c r="A41" s="82"/>
      <c r="B41" s="82"/>
      <c r="C41" s="82"/>
      <c r="D41" s="82"/>
      <c r="E41" s="82"/>
      <c r="F41" s="429" t="s">
        <v>602</v>
      </c>
      <c r="G41" s="82"/>
      <c r="H41" s="82"/>
    </row>
    <row r="42" spans="1:11">
      <c r="A42" s="82"/>
      <c r="B42" s="432" t="s">
        <v>600</v>
      </c>
      <c r="C42" s="432" t="s">
        <v>444</v>
      </c>
      <c r="D42" s="425"/>
      <c r="E42" s="82"/>
      <c r="F42" s="423">
        <f>100000-F38</f>
        <v>46860</v>
      </c>
      <c r="G42" s="82"/>
      <c r="H42" s="82"/>
    </row>
    <row r="43" spans="1:11">
      <c r="A43" s="82"/>
      <c r="B43" s="82" t="s">
        <v>65</v>
      </c>
      <c r="C43" s="424">
        <f>G33</f>
        <v>0.31723748588633799</v>
      </c>
      <c r="D43" s="425"/>
      <c r="E43" s="82"/>
      <c r="F43" s="82"/>
      <c r="G43" s="82"/>
      <c r="H43" s="82"/>
    </row>
    <row r="44" spans="1:11">
      <c r="A44" s="82"/>
      <c r="B44" s="82" t="s">
        <v>163</v>
      </c>
      <c r="C44" s="424">
        <f>G34</f>
        <v>0.34685735792246897</v>
      </c>
      <c r="D44" s="425"/>
      <c r="E44" s="82"/>
      <c r="F44" s="82"/>
      <c r="G44" s="82"/>
      <c r="H44" s="82"/>
    </row>
    <row r="45" spans="1:11">
      <c r="A45" s="82"/>
      <c r="B45" s="82" t="s">
        <v>86</v>
      </c>
      <c r="C45" s="424">
        <f>G36</f>
        <v>0</v>
      </c>
      <c r="D45" s="425"/>
      <c r="E45" s="82"/>
      <c r="F45" s="82"/>
      <c r="G45" s="82"/>
      <c r="H45" s="82"/>
    </row>
    <row r="46" spans="1:11">
      <c r="A46" s="82"/>
      <c r="B46" s="82" t="s">
        <v>547</v>
      </c>
      <c r="C46" s="424">
        <f>G37</f>
        <v>0.18818216033120061</v>
      </c>
      <c r="D46" s="425"/>
      <c r="E46" s="82"/>
      <c r="F46" s="82"/>
      <c r="G46" s="82"/>
      <c r="H46" s="82"/>
    </row>
    <row r="47" spans="1:11">
      <c r="A47" s="82"/>
      <c r="B47" s="419" t="s">
        <v>58</v>
      </c>
      <c r="C47" s="426">
        <f>G38</f>
        <v>0.14772299585999246</v>
      </c>
      <c r="D47" s="82"/>
      <c r="E47" s="82"/>
      <c r="F47" s="82"/>
      <c r="G47" s="82"/>
      <c r="H47" s="82"/>
    </row>
    <row r="48" spans="1:11">
      <c r="B48" s="82"/>
      <c r="C48" s="427">
        <f>SUM(C43:C47)</f>
        <v>1</v>
      </c>
      <c r="D48" s="82"/>
      <c r="E48" s="82"/>
      <c r="F48" s="82"/>
      <c r="G48" s="82"/>
      <c r="H48" s="82"/>
    </row>
    <row r="49" spans="2:8">
      <c r="B49" s="82"/>
      <c r="C49" s="82"/>
      <c r="D49" s="82"/>
      <c r="E49" s="82"/>
      <c r="F49" s="82"/>
      <c r="G49" s="82"/>
      <c r="H49" s="82"/>
    </row>
    <row r="50" spans="2:8">
      <c r="B50" s="82"/>
      <c r="C50" s="82"/>
      <c r="D50" s="82"/>
      <c r="E50" s="82"/>
      <c r="F50" s="82"/>
      <c r="G50" s="82"/>
      <c r="H50" s="82"/>
    </row>
    <row r="51" spans="2:8">
      <c r="C51" s="633"/>
      <c r="H51" s="82"/>
    </row>
    <row r="52" spans="2:8">
      <c r="H52" s="82"/>
    </row>
  </sheetData>
  <phoneticPr fontId="31" type="noConversion"/>
  <printOptions horizontalCentered="1"/>
  <pageMargins left="0.19685039370078741" right="0.19685039370078741" top="0.39370078740157483" bottom="0.19685039370078741" header="0.30000000000000004" footer="0.30000000000000004"/>
  <pageSetup scale="92" orientation="portrait" horizontalDpi="4294967293" verticalDpi="4294967293"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29"/>
  <sheetViews>
    <sheetView topLeftCell="C1" zoomScale="120" zoomScaleNormal="120" zoomScalePageLayoutView="120" workbookViewId="0">
      <selection activeCell="D7" sqref="D7"/>
    </sheetView>
  </sheetViews>
  <sheetFormatPr defaultColWidth="11.42578125" defaultRowHeight="15"/>
  <cols>
    <col min="1" max="1" width="2.85546875" customWidth="1"/>
    <col min="2" max="3" width="36.85546875" customWidth="1"/>
    <col min="4" max="4" width="12" bestFit="1" customWidth="1"/>
    <col min="5" max="11" width="11" bestFit="1" customWidth="1"/>
    <col min="12" max="12" width="11.42578125" bestFit="1" customWidth="1"/>
  </cols>
  <sheetData>
    <row r="1" spans="1:14" ht="15.75">
      <c r="A1" s="411" t="s">
        <v>474</v>
      </c>
      <c r="B1" s="82"/>
      <c r="C1" s="82" t="s">
        <v>1018</v>
      </c>
      <c r="D1" s="82"/>
      <c r="E1" s="82"/>
      <c r="F1" s="82"/>
      <c r="G1" s="82"/>
      <c r="H1" s="82"/>
      <c r="I1" s="82"/>
      <c r="J1" s="82"/>
      <c r="K1" s="82"/>
      <c r="L1" s="82"/>
    </row>
    <row r="2" spans="1:14" ht="15.75">
      <c r="A2" s="411"/>
      <c r="B2" s="82"/>
      <c r="C2" s="82"/>
      <c r="D2" s="82"/>
      <c r="E2" s="82"/>
      <c r="F2" s="82"/>
      <c r="G2" s="82"/>
      <c r="H2" s="82"/>
      <c r="I2" s="82"/>
      <c r="J2" s="82"/>
      <c r="K2" s="82"/>
      <c r="L2" s="82"/>
    </row>
    <row r="3" spans="1:14" ht="15.75">
      <c r="A3" s="411"/>
      <c r="B3" s="246" t="s">
        <v>475</v>
      </c>
      <c r="C3" s="246" t="s">
        <v>1019</v>
      </c>
      <c r="D3" s="438" t="s">
        <v>36</v>
      </c>
      <c r="E3" s="438" t="s">
        <v>37</v>
      </c>
      <c r="F3" s="438" t="s">
        <v>38</v>
      </c>
      <c r="G3" s="438" t="s">
        <v>39</v>
      </c>
      <c r="H3" s="438" t="s">
        <v>40</v>
      </c>
      <c r="I3" s="438" t="s">
        <v>41</v>
      </c>
      <c r="J3" s="438" t="s">
        <v>42</v>
      </c>
      <c r="K3" s="438" t="s">
        <v>43</v>
      </c>
      <c r="L3" s="438" t="s">
        <v>168</v>
      </c>
      <c r="M3" s="438" t="s">
        <v>729</v>
      </c>
      <c r="N3" s="438" t="s">
        <v>730</v>
      </c>
    </row>
    <row r="4" spans="1:14" ht="15.75">
      <c r="A4" s="411"/>
      <c r="B4" s="498" t="s">
        <v>476</v>
      </c>
      <c r="C4" s="498" t="s">
        <v>1020</v>
      </c>
      <c r="D4" s="499">
        <v>0.1</v>
      </c>
      <c r="E4" s="499">
        <f>D4</f>
        <v>0.1</v>
      </c>
      <c r="F4" s="499">
        <f t="shared" ref="F4:N4" si="0">E4</f>
        <v>0.1</v>
      </c>
      <c r="G4" s="499">
        <f t="shared" si="0"/>
        <v>0.1</v>
      </c>
      <c r="H4" s="499">
        <f t="shared" si="0"/>
        <v>0.1</v>
      </c>
      <c r="I4" s="499">
        <f t="shared" si="0"/>
        <v>0.1</v>
      </c>
      <c r="J4" s="499">
        <f t="shared" si="0"/>
        <v>0.1</v>
      </c>
      <c r="K4" s="499">
        <f t="shared" si="0"/>
        <v>0.1</v>
      </c>
      <c r="L4" s="499">
        <f t="shared" si="0"/>
        <v>0.1</v>
      </c>
      <c r="M4" s="499">
        <f t="shared" si="0"/>
        <v>0.1</v>
      </c>
      <c r="N4" s="499">
        <f t="shared" si="0"/>
        <v>0.1</v>
      </c>
    </row>
    <row r="5" spans="1:14" ht="15.75">
      <c r="A5" s="411"/>
      <c r="B5" s="498" t="s">
        <v>477</v>
      </c>
      <c r="C5" s="498" t="s">
        <v>1022</v>
      </c>
      <c r="D5" s="499">
        <v>0.1</v>
      </c>
      <c r="E5" s="499">
        <f>D5</f>
        <v>0.1</v>
      </c>
      <c r="F5" s="499">
        <f t="shared" ref="F5:N5" si="1">E5</f>
        <v>0.1</v>
      </c>
      <c r="G5" s="499">
        <f t="shared" si="1"/>
        <v>0.1</v>
      </c>
      <c r="H5" s="499">
        <f t="shared" si="1"/>
        <v>0.1</v>
      </c>
      <c r="I5" s="499">
        <f t="shared" si="1"/>
        <v>0.1</v>
      </c>
      <c r="J5" s="499">
        <f t="shared" si="1"/>
        <v>0.1</v>
      </c>
      <c r="K5" s="499">
        <f t="shared" si="1"/>
        <v>0.1</v>
      </c>
      <c r="L5" s="499">
        <f t="shared" si="1"/>
        <v>0.1</v>
      </c>
      <c r="M5" s="499">
        <f t="shared" si="1"/>
        <v>0.1</v>
      </c>
      <c r="N5" s="499">
        <f t="shared" si="1"/>
        <v>0.1</v>
      </c>
    </row>
    <row r="6" spans="1:14" ht="15.75">
      <c r="A6" s="411"/>
      <c r="B6" s="498" t="s">
        <v>478</v>
      </c>
      <c r="C6" s="498" t="s">
        <v>1021</v>
      </c>
      <c r="D6" s="499">
        <v>0.1</v>
      </c>
      <c r="E6" s="499">
        <f>D6</f>
        <v>0.1</v>
      </c>
      <c r="F6" s="499">
        <f t="shared" ref="F6:N6" si="2">E6</f>
        <v>0.1</v>
      </c>
      <c r="G6" s="499">
        <f t="shared" si="2"/>
        <v>0.1</v>
      </c>
      <c r="H6" s="499">
        <f t="shared" si="2"/>
        <v>0.1</v>
      </c>
      <c r="I6" s="499">
        <f t="shared" si="2"/>
        <v>0.1</v>
      </c>
      <c r="J6" s="499">
        <f t="shared" si="2"/>
        <v>0.1</v>
      </c>
      <c r="K6" s="499">
        <f t="shared" si="2"/>
        <v>0.1</v>
      </c>
      <c r="L6" s="499">
        <f t="shared" si="2"/>
        <v>0.1</v>
      </c>
      <c r="M6" s="499">
        <f t="shared" si="2"/>
        <v>0.1</v>
      </c>
      <c r="N6" s="499">
        <f t="shared" si="2"/>
        <v>0.1</v>
      </c>
    </row>
    <row r="7" spans="1:14" ht="15.75">
      <c r="A7" s="411"/>
      <c r="B7" s="498" t="s">
        <v>480</v>
      </c>
      <c r="C7" s="498" t="s">
        <v>1023</v>
      </c>
      <c r="D7" s="502">
        <f t="shared" ref="D7:L7" si="3">D60</f>
        <v>0.13891716966352341</v>
      </c>
      <c r="E7" s="502">
        <f t="shared" si="3"/>
        <v>0.20791869653756301</v>
      </c>
      <c r="F7" s="502">
        <f t="shared" si="3"/>
        <v>0.28582810499276623</v>
      </c>
      <c r="G7" s="502">
        <f t="shared" si="3"/>
        <v>0.36246043244325432</v>
      </c>
      <c r="H7" s="502">
        <f t="shared" si="3"/>
        <v>0.42780591422698055</v>
      </c>
      <c r="I7" s="502">
        <f t="shared" si="3"/>
        <v>0.43782742819232384</v>
      </c>
      <c r="J7" s="502">
        <f t="shared" si="3"/>
        <v>0.4470986639693551</v>
      </c>
      <c r="K7" s="502">
        <f t="shared" si="3"/>
        <v>0.45434141999918015</v>
      </c>
      <c r="L7" s="502">
        <f t="shared" si="3"/>
        <v>0.46182227710767737</v>
      </c>
      <c r="M7" s="502">
        <f t="shared" ref="M7:N7" si="4">M60</f>
        <v>0.46922039719094366</v>
      </c>
      <c r="N7" s="502">
        <f t="shared" si="4"/>
        <v>0.47654536324395413</v>
      </c>
    </row>
    <row r="8" spans="1:14" ht="15.75">
      <c r="A8" s="411"/>
      <c r="B8" s="498" t="s">
        <v>481</v>
      </c>
      <c r="C8" s="498" t="s">
        <v>1024</v>
      </c>
      <c r="D8" s="502">
        <f>-('P&amp;L and Cash Flow'!D51-Sensitivity!D7)</f>
        <v>-8.6749120644662725E-3</v>
      </c>
      <c r="E8" s="502">
        <f>-('P&amp;L and Cash Flow'!E51-Sensitivity!E7)</f>
        <v>-9.0365491215358806E-2</v>
      </c>
      <c r="F8" s="502">
        <f>-('P&amp;L and Cash Flow'!F51-Sensitivity!F7)</f>
        <v>-8.3705434903481757E-2</v>
      </c>
      <c r="G8" s="502">
        <f>-('P&amp;L and Cash Flow'!G51-Sensitivity!G7)</f>
        <v>-8.603356089095815E-2</v>
      </c>
      <c r="H8" s="502">
        <f>-('P&amp;L and Cash Flow'!H51-Sensitivity!H7)</f>
        <v>-7.9368624376534358E-2</v>
      </c>
      <c r="I8" s="502">
        <f>-('P&amp;L and Cash Flow'!I51-Sensitivity!I7)</f>
        <v>-7.6959294279523582E-2</v>
      </c>
      <c r="J8" s="502">
        <f>-('P&amp;L and Cash Flow'!J51-Sensitivity!J7)</f>
        <v>-7.4687560770355821E-2</v>
      </c>
      <c r="K8" s="502">
        <f>-('P&amp;L and Cash Flow'!K51-Sensitivity!K7)</f>
        <v>-7.3987408363216101E-2</v>
      </c>
      <c r="L8" s="502">
        <f>-('P&amp;L and Cash Flow'!L51-Sensitivity!L7)</f>
        <v>-7.3313238052181207E-2</v>
      </c>
      <c r="M8" s="502">
        <f>-('P&amp;L and Cash Flow'!M51-Sensitivity!M7)</f>
        <v>-7.2723918419957734E-2</v>
      </c>
      <c r="N8" s="502">
        <f>-('P&amp;L and Cash Flow'!N51-Sensitivity!N7)</f>
        <v>-7.2219963642182861E-2</v>
      </c>
    </row>
    <row r="9" spans="1:14" ht="15.75">
      <c r="A9" s="411"/>
      <c r="B9" s="498" t="s">
        <v>479</v>
      </c>
      <c r="C9" s="498" t="s">
        <v>1025</v>
      </c>
      <c r="D9" s="499">
        <f>D6</f>
        <v>0.1</v>
      </c>
      <c r="E9" s="499">
        <f t="shared" ref="E9:L9" si="5">D9</f>
        <v>0.1</v>
      </c>
      <c r="F9" s="499">
        <f t="shared" si="5"/>
        <v>0.1</v>
      </c>
      <c r="G9" s="499">
        <f t="shared" si="5"/>
        <v>0.1</v>
      </c>
      <c r="H9" s="499">
        <f t="shared" si="5"/>
        <v>0.1</v>
      </c>
      <c r="I9" s="499">
        <f t="shared" si="5"/>
        <v>0.1</v>
      </c>
      <c r="J9" s="499">
        <f t="shared" si="5"/>
        <v>0.1</v>
      </c>
      <c r="K9" s="499">
        <f t="shared" si="5"/>
        <v>0.1</v>
      </c>
      <c r="L9" s="499">
        <f t="shared" si="5"/>
        <v>0.1</v>
      </c>
      <c r="M9" s="499">
        <f t="shared" ref="M9" si="6">L9</f>
        <v>0.1</v>
      </c>
      <c r="N9" s="499">
        <f t="shared" ref="N9" si="7">M9</f>
        <v>0.1</v>
      </c>
    </row>
    <row r="10" spans="1:14" ht="15.75">
      <c r="A10" s="411"/>
      <c r="B10" s="498" t="s">
        <v>482</v>
      </c>
      <c r="C10" s="498" t="s">
        <v>1027</v>
      </c>
      <c r="D10" s="502">
        <f t="shared" ref="D10:L10" si="8">D68</f>
        <v>0.13891716966352341</v>
      </c>
      <c r="E10" s="502">
        <f t="shared" si="8"/>
        <v>9.8312109941170955E-2</v>
      </c>
      <c r="F10" s="502">
        <f t="shared" si="8"/>
        <v>5.6405196457285457E-2</v>
      </c>
      <c r="G10" s="502">
        <f t="shared" si="8"/>
        <v>0.16303985184670353</v>
      </c>
      <c r="H10" s="502">
        <f t="shared" si="8"/>
        <v>0.25638756843538529</v>
      </c>
      <c r="I10" s="502">
        <f t="shared" si="8"/>
        <v>0.2732498882295108</v>
      </c>
      <c r="J10" s="502">
        <f t="shared" si="8"/>
        <v>0.28897199284422714</v>
      </c>
      <c r="K10" s="502">
        <f t="shared" si="8"/>
        <v>0.30203909167429804</v>
      </c>
      <c r="L10" s="502">
        <f t="shared" si="8"/>
        <v>0.28756706580231456</v>
      </c>
      <c r="M10" s="502">
        <f t="shared" ref="M10:N10" si="9">M68</f>
        <v>0.32829783916026162</v>
      </c>
      <c r="N10" s="502">
        <f t="shared" si="9"/>
        <v>0.39643890913234481</v>
      </c>
    </row>
    <row r="11" spans="1:14" ht="15.75">
      <c r="A11" s="411"/>
      <c r="B11" s="498" t="s">
        <v>483</v>
      </c>
      <c r="C11" s="498" t="s">
        <v>1026</v>
      </c>
      <c r="D11" s="502">
        <f>-('P&amp;L and Cash Flow'!D61-Sensitivity!D68)</f>
        <v>-8.6749120644662725E-3</v>
      </c>
      <c r="E11" s="502">
        <f>-('P&amp;L and Cash Flow'!E61-Sensitivity!E68)</f>
        <v>8.7473921091309428E-2</v>
      </c>
      <c r="F11" s="502">
        <f>-('P&amp;L and Cash Flow'!F61-Sensitivity!F68)</f>
        <v>-8.7588713290082498E-2</v>
      </c>
      <c r="G11" s="502">
        <f>-('P&amp;L and Cash Flow'!G61-Sensitivity!G68)</f>
        <v>-0.10258596503770798</v>
      </c>
      <c r="H11" s="502">
        <f>-('P&amp;L and Cash Flow'!H61-Sensitivity!H68)</f>
        <v>-0.11358912679936167</v>
      </c>
      <c r="I11" s="502">
        <f>-('P&amp;L and Cash Flow'!I61-Sensitivity!I68)</f>
        <v>-0.11647225073616385</v>
      </c>
      <c r="J11" s="502">
        <f>-('P&amp;L and Cash Flow'!J61-Sensitivity!J68)</f>
        <v>-0.10582133878881089</v>
      </c>
      <c r="K11" s="502">
        <f>-('P&amp;L and Cash Flow'!K61-Sensitivity!K68)</f>
        <v>-0.10927100939131568</v>
      </c>
      <c r="L11" s="502">
        <f>-('P&amp;L and Cash Flow'!L61-Sensitivity!L68)</f>
        <v>-0.14024366064344945</v>
      </c>
      <c r="M11" s="502">
        <f>-('P&amp;L and Cash Flow'!M61-Sensitivity!M68)</f>
        <v>-0.11576375937080047</v>
      </c>
      <c r="N11" s="502">
        <f>-('P&amp;L and Cash Flow'!N61-Sensitivity!N68)</f>
        <v>-6.0583102850231552E-2</v>
      </c>
    </row>
    <row r="12" spans="1:14" ht="15.75">
      <c r="A12" s="411"/>
      <c r="B12" s="498" t="s">
        <v>488</v>
      </c>
      <c r="C12" s="498" t="s">
        <v>1030</v>
      </c>
      <c r="D12" s="503" t="e">
        <f t="shared" ref="D12:L12" si="10">D78</f>
        <v>#DIV/0!</v>
      </c>
      <c r="E12" s="503">
        <f t="shared" si="10"/>
        <v>1.8969543983993304</v>
      </c>
      <c r="F12" s="503">
        <f t="shared" si="10"/>
        <v>1.2458568624090225</v>
      </c>
      <c r="G12" s="503">
        <f t="shared" si="10"/>
        <v>1.817567832562631</v>
      </c>
      <c r="H12" s="503">
        <f t="shared" si="10"/>
        <v>2.4956833660446871</v>
      </c>
      <c r="I12" s="503">
        <f t="shared" si="10"/>
        <v>2.6603109287649622</v>
      </c>
      <c r="J12" s="503">
        <f t="shared" si="10"/>
        <v>2.8274715504227581</v>
      </c>
      <c r="K12" s="503">
        <f t="shared" si="10"/>
        <v>2.983154788218382</v>
      </c>
      <c r="L12" s="503">
        <f t="shared" si="10"/>
        <v>2.6502637921019496</v>
      </c>
      <c r="M12" s="503">
        <f t="shared" ref="M12:N12" si="11">M78</f>
        <v>3.329634339601947</v>
      </c>
      <c r="N12" s="503">
        <f t="shared" si="11"/>
        <v>5.948910727712331</v>
      </c>
    </row>
    <row r="13" spans="1:14" ht="15.75">
      <c r="A13" s="411"/>
      <c r="B13" s="498" t="s">
        <v>484</v>
      </c>
      <c r="C13" s="498" t="s">
        <v>1031</v>
      </c>
      <c r="D13" s="82"/>
      <c r="E13" s="82"/>
      <c r="F13" s="82"/>
      <c r="G13" s="82"/>
      <c r="H13" s="82"/>
      <c r="I13" s="82"/>
      <c r="J13" s="82"/>
      <c r="K13" s="82"/>
      <c r="L13" s="82"/>
      <c r="M13" s="82"/>
      <c r="N13" s="82"/>
    </row>
    <row r="14" spans="1:14">
      <c r="A14" s="82"/>
      <c r="B14" s="82"/>
      <c r="C14" s="82"/>
      <c r="D14" s="82"/>
      <c r="E14" s="82"/>
      <c r="F14" s="82"/>
      <c r="G14" s="82"/>
      <c r="H14" s="82"/>
      <c r="I14" s="82"/>
      <c r="J14" s="82"/>
      <c r="K14" s="82"/>
      <c r="L14" s="82"/>
      <c r="M14" s="82"/>
      <c r="N14" s="82"/>
    </row>
    <row r="15" spans="1:14">
      <c r="A15" s="82"/>
      <c r="B15" s="134"/>
      <c r="C15" s="134"/>
      <c r="D15" s="438" t="s">
        <v>36</v>
      </c>
      <c r="E15" s="438" t="s">
        <v>37</v>
      </c>
      <c r="F15" s="438" t="s">
        <v>38</v>
      </c>
      <c r="G15" s="438" t="s">
        <v>39</v>
      </c>
      <c r="H15" s="438" t="s">
        <v>40</v>
      </c>
      <c r="I15" s="438" t="s">
        <v>41</v>
      </c>
      <c r="J15" s="438" t="s">
        <v>42</v>
      </c>
      <c r="K15" s="438" t="s">
        <v>43</v>
      </c>
      <c r="L15" s="438" t="s">
        <v>168</v>
      </c>
      <c r="M15" s="438" t="s">
        <v>729</v>
      </c>
      <c r="N15" s="438" t="s">
        <v>730</v>
      </c>
    </row>
    <row r="16" spans="1:14">
      <c r="A16" s="85"/>
      <c r="B16" s="456" t="s">
        <v>336</v>
      </c>
      <c r="C16" s="456" t="s">
        <v>939</v>
      </c>
      <c r="D16" s="457"/>
      <c r="E16" s="457"/>
      <c r="F16" s="457"/>
      <c r="G16" s="457"/>
      <c r="H16" s="457"/>
      <c r="I16" s="457"/>
      <c r="J16" s="457"/>
      <c r="K16" s="457"/>
      <c r="L16" s="457"/>
      <c r="M16" s="457"/>
      <c r="N16" s="457"/>
    </row>
    <row r="17" spans="1:14">
      <c r="A17" s="85"/>
      <c r="B17" s="241" t="s">
        <v>559</v>
      </c>
      <c r="C17" s="241" t="s">
        <v>940</v>
      </c>
      <c r="D17" s="237">
        <f>'P&amp;L and Cash Flow'!D5*(1-D4)</f>
        <v>166319.99999999997</v>
      </c>
      <c r="E17" s="237">
        <f>'P&amp;L and Cash Flow'!E5*(1-E3)</f>
        <v>0</v>
      </c>
      <c r="F17" s="237">
        <f>'P&amp;L and Cash Flow'!F5*(1-F4)</f>
        <v>0</v>
      </c>
      <c r="G17" s="237">
        <f>'P&amp;L and Cash Flow'!G5*(1-G3)</f>
        <v>0</v>
      </c>
      <c r="H17" s="237">
        <f>'P&amp;L and Cash Flow'!H5*(1-H3)</f>
        <v>0</v>
      </c>
      <c r="I17" s="237">
        <f>'P&amp;L and Cash Flow'!I5*(1-I3)</f>
        <v>0</v>
      </c>
      <c r="J17" s="237">
        <f>'P&amp;L and Cash Flow'!J5*(1-J3)</f>
        <v>0</v>
      </c>
      <c r="K17" s="237">
        <f>'P&amp;L and Cash Flow'!K5*(1-K3)</f>
        <v>0</v>
      </c>
      <c r="L17" s="237">
        <f>'P&amp;L and Cash Flow'!L5*(1-L3)</f>
        <v>0</v>
      </c>
      <c r="M17" s="237">
        <f>'P&amp;L and Cash Flow'!M5*(1-M3)</f>
        <v>0</v>
      </c>
      <c r="N17" s="237">
        <f>'P&amp;L and Cash Flow'!N5*(1-N3)</f>
        <v>0</v>
      </c>
    </row>
    <row r="18" spans="1:14">
      <c r="A18" s="82"/>
      <c r="B18" s="241" t="s">
        <v>67</v>
      </c>
      <c r="C18" s="241" t="s">
        <v>941</v>
      </c>
      <c r="D18" s="237">
        <f>'P&amp;L and Cash Flow'!D6*(1-D4)</f>
        <v>0</v>
      </c>
      <c r="E18" s="237">
        <f>'P&amp;L and Cash Flow'!E6*(1-E4)</f>
        <v>2062395.8046093395</v>
      </c>
      <c r="F18" s="237">
        <f>'P&amp;L and Cash Flow'!F6*(1-F4)</f>
        <v>1680382.5113373552</v>
      </c>
      <c r="G18" s="237">
        <f>'P&amp;L and Cash Flow'!G6*(1-G4)</f>
        <v>1445783.4725297736</v>
      </c>
      <c r="H18" s="237">
        <f>'P&amp;L and Cash Flow'!H6*(1-H4)</f>
        <v>1144527.6707245843</v>
      </c>
      <c r="I18" s="237">
        <f>'P&amp;L and Cash Flow'!I6*(1-I4)</f>
        <v>1129520.3361939699</v>
      </c>
      <c r="J18" s="237">
        <f>'P&amp;L and Cash Flow'!J6*(1-J4)</f>
        <v>1098342.4196953708</v>
      </c>
      <c r="K18" s="237">
        <f>'P&amp;L and Cash Flow'!K6*(1-K4)</f>
        <v>1057027.5289433282</v>
      </c>
      <c r="L18" s="237">
        <f>'P&amp;L and Cash Flow'!L6*(1-L4)</f>
        <v>1018623.2922717006</v>
      </c>
      <c r="M18" s="237">
        <f>'P&amp;L and Cash Flow'!M6*(1-M4)</f>
        <v>976206.49596736045</v>
      </c>
      <c r="N18" s="237">
        <f>'P&amp;L and Cash Flow'!N6*(1-N4)</f>
        <v>929307.77497596364</v>
      </c>
    </row>
    <row r="19" spans="1:14">
      <c r="A19" s="446"/>
      <c r="B19" s="241" t="s">
        <v>335</v>
      </c>
      <c r="C19" s="241" t="s">
        <v>1032</v>
      </c>
      <c r="D19" s="237">
        <f>'P&amp;L and Cash Flow'!D8*(1-D4)</f>
        <v>0</v>
      </c>
      <c r="E19" s="237">
        <f>'P&amp;L and Cash Flow'!E8*(1-E4)</f>
        <v>275400</v>
      </c>
      <c r="F19" s="237">
        <f>'P&amp;L and Cash Flow'!F8*(1-F4)</f>
        <v>280908</v>
      </c>
      <c r="G19" s="237">
        <f>'P&amp;L and Cash Flow'!G8*(1-G4)</f>
        <v>286526.15999999997</v>
      </c>
      <c r="H19" s="237">
        <f>'P&amp;L and Cash Flow'!H8*(1-H4)</f>
        <v>292256.68319999997</v>
      </c>
      <c r="I19" s="237">
        <f>'P&amp;L and Cash Flow'!I8*(1-I4)</f>
        <v>298101.81686400005</v>
      </c>
      <c r="J19" s="237">
        <f>'P&amp;L and Cash Flow'!J8*(1-J4)</f>
        <v>304063.85320128006</v>
      </c>
      <c r="K19" s="237">
        <f>'P&amp;L and Cash Flow'!K8*(1-K4)</f>
        <v>310145.13026530563</v>
      </c>
      <c r="L19" s="237">
        <f>'P&amp;L and Cash Flow'!L8*(1-L4)</f>
        <v>316348.03287061176</v>
      </c>
      <c r="M19" s="237">
        <f>'P&amp;L and Cash Flow'!M8*(1-M4)</f>
        <v>322674.993528024</v>
      </c>
      <c r="N19" s="237">
        <f>'P&amp;L and Cash Flow'!N8*(1-N4)</f>
        <v>329128.49339858454</v>
      </c>
    </row>
    <row r="20" spans="1:14">
      <c r="A20" s="446"/>
      <c r="B20" s="241" t="s">
        <v>337</v>
      </c>
      <c r="C20" s="241" t="s">
        <v>1033</v>
      </c>
      <c r="D20" s="237">
        <f>'P&amp;L and Cash Flow'!D9*(1-D4)</f>
        <v>0</v>
      </c>
      <c r="E20" s="237">
        <f>'P&amp;L and Cash Flow'!E9*(1-E4)</f>
        <v>2128322.4101453088</v>
      </c>
      <c r="F20" s="237">
        <f>'P&amp;L and Cash Flow'!F9*(1-F4)</f>
        <v>3920286.5395647199</v>
      </c>
      <c r="G20" s="237">
        <f>'P&amp;L and Cash Flow'!G9*(1-G4)</f>
        <v>5156841.914939425</v>
      </c>
      <c r="H20" s="237">
        <f>'P&amp;L and Cash Flow'!H9*(1-H4)</f>
        <v>6729197.3895977195</v>
      </c>
      <c r="I20" s="237">
        <f>'P&amp;L and Cash Flow'!I9*(1-I4)</f>
        <v>7012891.7644111756</v>
      </c>
      <c r="J20" s="237">
        <f>'P&amp;L and Cash Flow'!J9*(1-J4)</f>
        <v>7308183.2454624511</v>
      </c>
      <c r="K20" s="237">
        <f>'P&amp;L and Cash Flow'!K9*(1-K4)</f>
        <v>7626534.9341785694</v>
      </c>
      <c r="L20" s="237">
        <f>'P&amp;L and Cash Flow'!L9*(1-L4)</f>
        <v>7960644.8280001059</v>
      </c>
      <c r="M20" s="237">
        <f>'P&amp;L and Cash Flow'!M9*(1-M4)</f>
        <v>8312199.9492971506</v>
      </c>
      <c r="N20" s="237">
        <f>'P&amp;L and Cash Flow'!N9*(1-N4)</f>
        <v>8683082.0957632437</v>
      </c>
    </row>
    <row r="21" spans="1:14">
      <c r="A21" s="82"/>
      <c r="B21" s="241" t="s">
        <v>85</v>
      </c>
      <c r="C21" s="241" t="s">
        <v>999</v>
      </c>
      <c r="D21" s="237">
        <f>'P&amp;L and Cash Flow'!D10*(1-D4)</f>
        <v>1253683.6363636362</v>
      </c>
      <c r="E21" s="237">
        <f>'P&amp;L and Cash Flow'!E10*(1-E4)</f>
        <v>759287.11499999976</v>
      </c>
      <c r="F21" s="237">
        <f>'P&amp;L and Cash Flow'!F10*(1-F4)</f>
        <v>784814.70801845426</v>
      </c>
      <c r="G21" s="237">
        <f>'P&amp;L and Cash Flow'!G10*(1-G4)</f>
        <v>811218.15808074269</v>
      </c>
      <c r="H21" s="237">
        <f>'P&amp;L and Cash Flow'!H10*(1-H4)</f>
        <v>838528.15498846944</v>
      </c>
      <c r="I21" s="237">
        <f>'P&amp;L and Cash Flow'!I10*(1-I4)</f>
        <v>866776.48662757035</v>
      </c>
      <c r="J21" s="237">
        <f>'P&amp;L and Cash Flow'!J10*(1-J4)</f>
        <v>895996.07904905372</v>
      </c>
      <c r="K21" s="237">
        <f>'P&amp;L and Cash Flow'!K10*(1-K4)</f>
        <v>926221.03803968884</v>
      </c>
      <c r="L21" s="237">
        <f>'P&amp;L and Cash Flow'!L10*(1-L4)</f>
        <v>957486.69223893725</v>
      </c>
      <c r="M21" s="237">
        <f>'P&amp;L and Cash Flow'!M10*(1-M4)</f>
        <v>989829.63786056067</v>
      </c>
      <c r="N21" s="237">
        <f>'P&amp;L and Cash Flow'!N10*(1-N4)</f>
        <v>1023287.7850796039</v>
      </c>
    </row>
    <row r="22" spans="1:14">
      <c r="A22" s="82"/>
      <c r="B22" s="449" t="s">
        <v>338</v>
      </c>
      <c r="C22" s="449" t="s">
        <v>1034</v>
      </c>
      <c r="D22" s="200">
        <f>'P&amp;L and Cash Flow'!D11*(1-D4)</f>
        <v>266976</v>
      </c>
      <c r="E22" s="200">
        <f>'P&amp;L and Cash Flow'!E11*(1-E4)</f>
        <v>733294.08000000007</v>
      </c>
      <c r="F22" s="200">
        <f>'P&amp;L and Cash Flow'!F11*(1-F4)</f>
        <v>815716.33459200023</v>
      </c>
      <c r="G22" s="200">
        <f>'P&amp;L and Cash Flow'!G11*(1-G4)</f>
        <v>907402.8506001411</v>
      </c>
      <c r="H22" s="200">
        <f>'P&amp;L and Cash Flow'!H11*(1-H4)</f>
        <v>1009394.931007597</v>
      </c>
      <c r="I22" s="200">
        <f>'P&amp;L and Cash Flow'!I11*(1-I4)</f>
        <v>1122850.9212528511</v>
      </c>
      <c r="J22" s="200">
        <f>'P&amp;L and Cash Flow'!J11*(1-J4)</f>
        <v>1249059.3648016718</v>
      </c>
      <c r="K22" s="200">
        <f>'P&amp;L and Cash Flow'!K11*(1-K4)</f>
        <v>1350857.7030330081</v>
      </c>
      <c r="L22" s="200">
        <f>'P&amp;L and Cash Flow'!L11*(1-L4)</f>
        <v>1460952.6058301982</v>
      </c>
      <c r="M22" s="200">
        <f>'P&amp;L and Cash Flow'!M11*(1-M4)</f>
        <v>1580020.2432053594</v>
      </c>
      <c r="N22" s="200">
        <f>'P&amp;L and Cash Flow'!N11*(1-N4)</f>
        <v>1708791.8930265966</v>
      </c>
    </row>
    <row r="23" spans="1:14">
      <c r="A23" s="82"/>
      <c r="B23" s="442" t="s">
        <v>339</v>
      </c>
      <c r="C23" s="442" t="s">
        <v>1000</v>
      </c>
      <c r="D23" s="238">
        <f>SUM(D17:D22)</f>
        <v>1686979.6363636362</v>
      </c>
      <c r="E23" s="238">
        <f t="shared" ref="E23:L23" si="12">SUM(E17:E22)</f>
        <v>5958699.4097546488</v>
      </c>
      <c r="F23" s="238">
        <f t="shared" si="12"/>
        <v>7482108.0935125304</v>
      </c>
      <c r="G23" s="238">
        <f t="shared" si="12"/>
        <v>8607772.5561500825</v>
      </c>
      <c r="H23" s="238">
        <f t="shared" si="12"/>
        <v>10013904.82951837</v>
      </c>
      <c r="I23" s="238">
        <f t="shared" si="12"/>
        <v>10430141.325349566</v>
      </c>
      <c r="J23" s="238">
        <f t="shared" si="12"/>
        <v>10855644.962209828</v>
      </c>
      <c r="K23" s="238">
        <f t="shared" si="12"/>
        <v>11270786.334459899</v>
      </c>
      <c r="L23" s="238">
        <f t="shared" si="12"/>
        <v>11714055.451211555</v>
      </c>
      <c r="M23" s="238">
        <f t="shared" ref="M23:N23" si="13">SUM(M17:M22)</f>
        <v>12180931.319858454</v>
      </c>
      <c r="N23" s="238">
        <f t="shared" si="13"/>
        <v>12673598.042243991</v>
      </c>
    </row>
    <row r="24" spans="1:14" ht="3" customHeight="1">
      <c r="A24" s="82"/>
      <c r="B24" s="134"/>
      <c r="C24" s="134"/>
      <c r="D24" s="443"/>
      <c r="E24" s="443"/>
      <c r="F24" s="443"/>
      <c r="G24" s="443"/>
      <c r="H24" s="443"/>
      <c r="I24" s="443"/>
      <c r="J24" s="443"/>
      <c r="K24" s="443"/>
      <c r="L24" s="443"/>
      <c r="M24" s="443"/>
      <c r="N24" s="443"/>
    </row>
    <row r="25" spans="1:14">
      <c r="A25" s="82"/>
      <c r="B25" s="208" t="s">
        <v>340</v>
      </c>
      <c r="C25" s="208" t="s">
        <v>947</v>
      </c>
      <c r="D25" s="451"/>
      <c r="E25" s="134"/>
      <c r="F25" s="134"/>
      <c r="G25" s="134"/>
      <c r="H25" s="134"/>
      <c r="I25" s="134"/>
      <c r="J25" s="134"/>
      <c r="K25" s="134"/>
      <c r="L25" s="134"/>
      <c r="M25" s="134"/>
      <c r="N25" s="134"/>
    </row>
    <row r="26" spans="1:14">
      <c r="A26" s="82"/>
      <c r="B26" s="241" t="s">
        <v>27</v>
      </c>
      <c r="C26" s="241" t="s">
        <v>1035</v>
      </c>
      <c r="D26" s="237">
        <f>'P&amp;L and Cash Flow'!D15*(1+D5)</f>
        <v>660000</v>
      </c>
      <c r="E26" s="237">
        <f>'P&amp;L and Cash Flow'!E15*(1+E5)</f>
        <v>424875.00000000012</v>
      </c>
      <c r="F26" s="237">
        <f>'P&amp;L and Cash Flow'!F15*(1+F5)</f>
        <v>446373.67500000016</v>
      </c>
      <c r="G26" s="237">
        <f>'P&amp;L and Cash Flow'!G15*(1+G5)</f>
        <v>468960.18295500008</v>
      </c>
      <c r="H26" s="237">
        <f>'P&amp;L and Cash Flow'!H15*(1+H5)</f>
        <v>492689.56821252318</v>
      </c>
      <c r="I26" s="237">
        <f>'P&amp;L and Cash Flow'!I15*(1+I5)</f>
        <v>517619.66036407684</v>
      </c>
      <c r="J26" s="237">
        <f>'P&amp;L and Cash Flow'!J15*(1+J5)</f>
        <v>543811.21517849911</v>
      </c>
      <c r="K26" s="237">
        <f>'P&amp;L and Cash Flow'!K15*(1+K5)</f>
        <v>571328.06266653119</v>
      </c>
      <c r="L26" s="237">
        <f>'P&amp;L and Cash Flow'!L15*(1+L5)</f>
        <v>600237.26263745769</v>
      </c>
      <c r="M26" s="237">
        <f>'P&amp;L and Cash Flow'!M15*(1+M5)</f>
        <v>630609.26812691311</v>
      </c>
      <c r="N26" s="237">
        <f>'P&amp;L and Cash Flow'!N15*(1+N5)</f>
        <v>662518.09709413489</v>
      </c>
    </row>
    <row r="27" spans="1:14">
      <c r="A27" s="82"/>
      <c r="B27" s="241" t="s">
        <v>341</v>
      </c>
      <c r="C27" s="241" t="s">
        <v>949</v>
      </c>
      <c r="D27" s="237">
        <f>'P&amp;L and Cash Flow'!D16*(1+D5)</f>
        <v>54958.200000000004</v>
      </c>
      <c r="E27" s="237">
        <f>'P&amp;L and Cash Flow'!E16*(1+E5)</f>
        <v>1320000</v>
      </c>
      <c r="F27" s="237">
        <f>'P&amp;L and Cash Flow'!F16*(1+F5)</f>
        <v>1320000</v>
      </c>
      <c r="G27" s="237">
        <f>'P&amp;L and Cash Flow'!G16*(1+G5)</f>
        <v>990000.00000000012</v>
      </c>
      <c r="H27" s="237">
        <f>'P&amp;L and Cash Flow'!H16*(1+H5)</f>
        <v>660000</v>
      </c>
      <c r="I27" s="237">
        <f>'P&amp;L and Cash Flow'!I16*(1+I5)</f>
        <v>660000</v>
      </c>
      <c r="J27" s="237">
        <f>'P&amp;L and Cash Flow'!J16*(1+J5)</f>
        <v>660000</v>
      </c>
      <c r="K27" s="237">
        <f>'P&amp;L and Cash Flow'!K16*(1+K5)</f>
        <v>660000</v>
      </c>
      <c r="L27" s="237">
        <f>'P&amp;L and Cash Flow'!L16*(1+L5)</f>
        <v>660000</v>
      </c>
      <c r="M27" s="237">
        <f>'P&amp;L and Cash Flow'!M16*(1+M5)</f>
        <v>660000</v>
      </c>
      <c r="N27" s="237">
        <f>'P&amp;L and Cash Flow'!N16*(1+N5)</f>
        <v>660000</v>
      </c>
    </row>
    <row r="28" spans="1:14">
      <c r="A28" s="82"/>
      <c r="B28" s="241" t="s">
        <v>145</v>
      </c>
      <c r="C28" s="241" t="s">
        <v>1036</v>
      </c>
      <c r="D28" s="237">
        <f>'P&amp;L and Cash Flow'!D17*(1+D5)</f>
        <v>0</v>
      </c>
      <c r="E28" s="237">
        <f>'P&amp;L and Cash Flow'!E17*(1+E5)</f>
        <v>376476.03519154538</v>
      </c>
      <c r="F28" s="237">
        <f>'P&amp;L and Cash Flow'!F17*(1+F5)</f>
        <v>684316.16318520461</v>
      </c>
      <c r="G28" s="237">
        <f>'P&amp;L and Cash Flow'!G17*(1+G5)</f>
        <v>888285.2417089775</v>
      </c>
      <c r="H28" s="237">
        <f>'P&amp;L and Cash Flow'!H17*(1+H5)</f>
        <v>1143805.2403059336</v>
      </c>
      <c r="I28" s="237">
        <f>'P&amp;L and Cash Flow'!I17*(1+I5)</f>
        <v>1176241.9111156128</v>
      </c>
      <c r="J28" s="237">
        <f>'P&amp;L and Cash Flow'!J17*(1+J5)</f>
        <v>1209511.8459005028</v>
      </c>
      <c r="K28" s="237">
        <f>'P&amp;L and Cash Flow'!K17*(1+K5)</f>
        <v>1245430.7989992928</v>
      </c>
      <c r="L28" s="237">
        <f>'P&amp;L and Cash Flow'!L17*(1+L5)</f>
        <v>1282692.7848385985</v>
      </c>
      <c r="M28" s="237">
        <f>'P&amp;L and Cash Flow'!M17*(1+M5)</f>
        <v>1321486.8638414945</v>
      </c>
      <c r="N28" s="237">
        <f>'P&amp;L and Cash Flow'!N17*(1+N5)</f>
        <v>1362020.3963252651</v>
      </c>
    </row>
    <row r="29" spans="1:14">
      <c r="A29" s="82"/>
      <c r="B29" s="241" t="s">
        <v>146</v>
      </c>
      <c r="C29" s="241" t="s">
        <v>950</v>
      </c>
      <c r="D29" s="237">
        <f>'P&amp;L and Cash Flow'!D18*(1+D5)</f>
        <v>0</v>
      </c>
      <c r="E29" s="237">
        <f>'P&amp;L and Cash Flow'!E18*(1+E5)</f>
        <v>166291.14927344775</v>
      </c>
      <c r="F29" s="237">
        <f>'P&amp;L and Cash Flow'!F18*(1+F5)</f>
        <v>302265.51122853369</v>
      </c>
      <c r="G29" s="237">
        <f>'P&amp;L and Cash Flow'!G18*(1+G5)</f>
        <v>433971.19070013217</v>
      </c>
      <c r="H29" s="237">
        <f>'P&amp;L and Cash Flow'!H18*(1+H5)</f>
        <v>567641.32981347432</v>
      </c>
      <c r="I29" s="237">
        <f>'P&amp;L and Cash Flow'!I18*(1+I5)</f>
        <v>588210.4961721322</v>
      </c>
      <c r="J29" s="237">
        <f>'P&amp;L and Cash Flow'!J18*(1+J5)</f>
        <v>609771.89332957519</v>
      </c>
      <c r="K29" s="237">
        <f>'P&amp;L and Cash Flow'!K18*(1+K5)</f>
        <v>633189.96553898673</v>
      </c>
      <c r="L29" s="237">
        <f>'P&amp;L and Cash Flow'!L18*(1+L5)</f>
        <v>657956.51230999141</v>
      </c>
      <c r="M29" s="237">
        <f>'P&amp;L and Cash Flow'!M18*(1+M5)</f>
        <v>684230.56757648184</v>
      </c>
      <c r="N29" s="237">
        <f>'P&amp;L and Cash Flow'!N18*(1+N5)</f>
        <v>712186.80092741153</v>
      </c>
    </row>
    <row r="30" spans="1:14">
      <c r="A30" s="82"/>
      <c r="B30" s="241" t="s">
        <v>342</v>
      </c>
      <c r="C30" s="241" t="s">
        <v>952</v>
      </c>
      <c r="D30" s="200">
        <f>'P&amp;L and Cash Flow'!D19*(1+D5)</f>
        <v>0</v>
      </c>
      <c r="E30" s="200">
        <f>'P&amp;L and Cash Flow'!E19*(1+E5)</f>
        <v>15077.244703332526</v>
      </c>
      <c r="F30" s="200">
        <f>'P&amp;L and Cash Flow'!F19*(1+F5)</f>
        <v>12250.261321457678</v>
      </c>
      <c r="G30" s="200">
        <f>'P&amp;L and Cash Flow'!G19*(1+G5)</f>
        <v>10365.605733541111</v>
      </c>
      <c r="H30" s="200">
        <f>'P&amp;L and Cash Flow'!H19*(1+H5)</f>
        <v>8009.7862486454042</v>
      </c>
      <c r="I30" s="200">
        <f>'P&amp;L and Cash Flow'!I19*(1+I5)</f>
        <v>7679.9715207600029</v>
      </c>
      <c r="J30" s="200">
        <f>'P&amp;L and Cash Flow'!J19*(1+J5)</f>
        <v>7339.7911871410633</v>
      </c>
      <c r="K30" s="200">
        <f>'P&amp;L and Cash Flow'!K19*(1+K5)</f>
        <v>6987.7563698741269</v>
      </c>
      <c r="L30" s="200">
        <f>'P&amp;L and Cash Flow'!L19*(1+L5)</f>
        <v>6622.2383496001194</v>
      </c>
      <c r="M30" s="200">
        <f>'P&amp;L and Cash Flow'!M19*(1+M5)</f>
        <v>6241.4544004439385</v>
      </c>
      <c r="N30" s="200">
        <f>'P&amp;L and Cash Flow'!N19*(1+N5)</f>
        <v>5843.4522120544625</v>
      </c>
    </row>
    <row r="31" spans="1:14">
      <c r="A31" s="82"/>
      <c r="B31" s="442" t="s">
        <v>344</v>
      </c>
      <c r="C31" s="442" t="s">
        <v>953</v>
      </c>
      <c r="D31" s="238">
        <f t="shared" ref="D31:L31" si="14">SUM(D26:D30)</f>
        <v>714958.2</v>
      </c>
      <c r="E31" s="238">
        <f t="shared" si="14"/>
        <v>2302719.4291683254</v>
      </c>
      <c r="F31" s="238">
        <f t="shared" si="14"/>
        <v>2765205.6107351962</v>
      </c>
      <c r="G31" s="238">
        <f t="shared" si="14"/>
        <v>2791582.2210976514</v>
      </c>
      <c r="H31" s="238">
        <f t="shared" si="14"/>
        <v>2872145.9245805764</v>
      </c>
      <c r="I31" s="238">
        <f t="shared" si="14"/>
        <v>2949752.0391725823</v>
      </c>
      <c r="J31" s="238">
        <f t="shared" si="14"/>
        <v>3030434.7455957183</v>
      </c>
      <c r="K31" s="238">
        <f t="shared" si="14"/>
        <v>3116936.5835746848</v>
      </c>
      <c r="L31" s="238">
        <f t="shared" si="14"/>
        <v>3207508.7981356476</v>
      </c>
      <c r="M31" s="238">
        <f t="shared" ref="M31:N31" si="15">SUM(M26:M30)</f>
        <v>3302568.1539453338</v>
      </c>
      <c r="N31" s="238">
        <f t="shared" si="15"/>
        <v>3402568.7465588655</v>
      </c>
    </row>
    <row r="32" spans="1:14">
      <c r="A32" s="82"/>
      <c r="B32" s="442"/>
      <c r="C32" s="442"/>
      <c r="D32" s="501">
        <f t="shared" ref="D32:L32" si="16">D31/D23</f>
        <v>0.42380962080913193</v>
      </c>
      <c r="E32" s="501">
        <f t="shared" si="16"/>
        <v>0.38644665065646272</v>
      </c>
      <c r="F32" s="501">
        <f t="shared" si="16"/>
        <v>0.36957573670083804</v>
      </c>
      <c r="G32" s="501">
        <f t="shared" si="16"/>
        <v>0.32430947761312784</v>
      </c>
      <c r="H32" s="501">
        <f t="shared" si="16"/>
        <v>0.28681578000564195</v>
      </c>
      <c r="I32" s="501">
        <f t="shared" si="16"/>
        <v>0.28281036154356437</v>
      </c>
      <c r="J32" s="501">
        <f t="shared" si="16"/>
        <v>0.27915750341367357</v>
      </c>
      <c r="K32" s="501">
        <f t="shared" si="16"/>
        <v>0.27655005525610915</v>
      </c>
      <c r="L32" s="501">
        <f t="shared" si="16"/>
        <v>0.27381710898456635</v>
      </c>
      <c r="M32" s="501">
        <f t="shared" ref="M32:N32" si="17">M31/M23</f>
        <v>0.2711260795437857</v>
      </c>
      <c r="N32" s="501">
        <f t="shared" si="17"/>
        <v>0.26847693411273804</v>
      </c>
    </row>
    <row r="33" spans="1:14" ht="3" customHeight="1">
      <c r="A33" s="82"/>
      <c r="B33" s="134"/>
      <c r="C33" s="134"/>
      <c r="D33" s="443"/>
      <c r="E33" s="443"/>
      <c r="F33" s="443"/>
      <c r="G33" s="443"/>
      <c r="H33" s="443"/>
      <c r="I33" s="443"/>
      <c r="J33" s="443"/>
      <c r="K33" s="443"/>
      <c r="L33" s="443"/>
      <c r="M33" s="443"/>
      <c r="N33" s="443"/>
    </row>
    <row r="34" spans="1:14">
      <c r="A34" s="82"/>
      <c r="B34" s="208" t="s">
        <v>345</v>
      </c>
      <c r="C34" s="208" t="s">
        <v>1003</v>
      </c>
      <c r="D34" s="451"/>
      <c r="E34" s="451"/>
      <c r="F34" s="451"/>
      <c r="G34" s="451"/>
      <c r="H34" s="451"/>
      <c r="I34" s="451"/>
      <c r="J34" s="451"/>
      <c r="K34" s="451"/>
      <c r="L34" s="451"/>
      <c r="M34" s="451"/>
      <c r="N34" s="451"/>
    </row>
    <row r="35" spans="1:14">
      <c r="A35" s="82"/>
      <c r="B35" s="241" t="s">
        <v>426</v>
      </c>
      <c r="C35" s="241" t="s">
        <v>1037</v>
      </c>
      <c r="D35" s="197">
        <f>'P&amp;L and Cash Flow'!D23*(1+D6)</f>
        <v>0</v>
      </c>
      <c r="E35" s="197">
        <f>'P&amp;L and Cash Flow'!E23*(1+E6)</f>
        <v>852657.22589167778</v>
      </c>
      <c r="F35" s="197">
        <f>'P&amp;L and Cash Flow'!F23*(1+F6)</f>
        <v>633388.28723579925</v>
      </c>
      <c r="G35" s="197">
        <f>'P&amp;L and Cash Flow'!G23*(1+G6)</f>
        <v>519191.29953764862</v>
      </c>
      <c r="H35" s="197">
        <f>'P&amp;L and Cash Flow'!H23*(1+H6)</f>
        <v>375302.83974570676</v>
      </c>
      <c r="I35" s="197">
        <f>'P&amp;L and Cash Flow'!I23*(1+I6)</f>
        <v>357366.7573687252</v>
      </c>
      <c r="J35" s="197">
        <f>'P&amp;L and Cash Flow'!J23*(1+J6)</f>
        <v>339212.35493958881</v>
      </c>
      <c r="K35" s="197">
        <f>'P&amp;L and Cash Flow'!K23*(1+K6)</f>
        <v>320773.63476269151</v>
      </c>
      <c r="L35" s="197">
        <f>'P&amp;L and Cash Flow'!L23*(1+L6)</f>
        <v>301979.83580538991</v>
      </c>
      <c r="M35" s="197">
        <f>'P&amp;L and Cash Flow'!M23*(1+M6)</f>
        <v>282754.91813142592</v>
      </c>
      <c r="N35" s="197">
        <f>'P&amp;L and Cash Flow'!N23*(1+N6)</f>
        <v>263016.99941018043</v>
      </c>
    </row>
    <row r="36" spans="1:14">
      <c r="A36" s="82"/>
      <c r="B36" s="241" t="s">
        <v>427</v>
      </c>
      <c r="C36" s="241" t="s">
        <v>1038</v>
      </c>
      <c r="D36" s="197">
        <f>'P&amp;L and Cash Flow'!D25*(1+D6)</f>
        <v>0</v>
      </c>
      <c r="E36" s="197">
        <f>'P&amp;L and Cash Flow'!E25*(1+E6)</f>
        <v>212965.35312021128</v>
      </c>
      <c r="F36" s="197">
        <f>'P&amp;L and Cash Flow'!F25*(1+F6)</f>
        <v>353916.32692735799</v>
      </c>
      <c r="G36" s="197">
        <f>'P&amp;L and Cash Flow'!G25*(1+G6)</f>
        <v>445045.37482228375</v>
      </c>
      <c r="H36" s="197">
        <f>'P&amp;L and Cash Flow'!H25*(1+H6)</f>
        <v>536083.11828305211</v>
      </c>
      <c r="I36" s="197">
        <f>'P&amp;L and Cash Flow'!I25*(1+I6)</f>
        <v>547482.59491632832</v>
      </c>
      <c r="J36" s="197">
        <f>'P&amp;L and Cash Flow'!J25*(1+J6)</f>
        <v>559135.68255934864</v>
      </c>
      <c r="K36" s="197">
        <f>'P&amp;L and Cash Flow'!K25*(1+K6)</f>
        <v>571873.05871071224</v>
      </c>
      <c r="L36" s="197">
        <f>'P&amp;L and Cash Flow'!L25*(1+L6)</f>
        <v>585079.54332614515</v>
      </c>
      <c r="M36" s="197">
        <f>'P&amp;L and Cash Flow'!M25*(1+M6)</f>
        <v>598833.84969590604</v>
      </c>
      <c r="N36" s="197">
        <f>'P&amp;L and Cash Flow'!N25*(1+N6)</f>
        <v>613221.05585541308</v>
      </c>
    </row>
    <row r="37" spans="1:14">
      <c r="A37" s="82"/>
      <c r="B37" s="241" t="s">
        <v>346</v>
      </c>
      <c r="C37" s="241" t="s">
        <v>1039</v>
      </c>
      <c r="D37" s="197">
        <f>'P&amp;L and Cash Flow'!D26*(1+D6)</f>
        <v>0</v>
      </c>
      <c r="E37" s="197">
        <f>'P&amp;L and Cash Flow'!E26*(1+E6)</f>
        <v>48689.454610303801</v>
      </c>
      <c r="F37" s="197">
        <f>'P&amp;L and Cash Flow'!F26*(1+F6)</f>
        <v>154878.95879405551</v>
      </c>
      <c r="G37" s="197">
        <f>'P&amp;L and Cash Flow'!G26*(1+G6)</f>
        <v>229762.95920236726</v>
      </c>
      <c r="H37" s="197">
        <f>'P&amp;L and Cash Flow'!H26*(1+H6)</f>
        <v>369819.37842715892</v>
      </c>
      <c r="I37" s="197">
        <f>'P&amp;L and Cash Flow'!I26*(1+I6)</f>
        <v>387913.06234883907</v>
      </c>
      <c r="J37" s="197">
        <f>'P&amp;L and Cash Flow'!J26*(1+J6)</f>
        <v>406550.01311347389</v>
      </c>
      <c r="K37" s="197">
        <f>'P&amp;L and Cash Flow'!K26*(1+K6)</f>
        <v>426357.98189726629</v>
      </c>
      <c r="L37" s="197">
        <f>'P&amp;L and Cash Flow'!L26*(1+L6)</f>
        <v>446920.88379634015</v>
      </c>
      <c r="M37" s="197">
        <f>'P&amp;L and Cash Flow'!M26*(1+M6)</f>
        <v>468319.63911025191</v>
      </c>
      <c r="N37" s="197">
        <f>'P&amp;L and Cash Flow'!N26*(1+N6)</f>
        <v>490645.50917045318</v>
      </c>
    </row>
    <row r="38" spans="1:14">
      <c r="A38" s="82"/>
      <c r="B38" s="234" t="s">
        <v>343</v>
      </c>
      <c r="C38" s="234" t="s">
        <v>1040</v>
      </c>
      <c r="D38" s="197">
        <f>'P&amp;L and Cash Flow'!D29*(1+D6)</f>
        <v>378400.00000000006</v>
      </c>
      <c r="E38" s="197">
        <f>'P&amp;L and Cash Flow'!E29*(1+E6)</f>
        <v>170500</v>
      </c>
      <c r="F38" s="197">
        <f>'P&amp;L and Cash Flow'!F29*(1+F6)</f>
        <v>173910</v>
      </c>
      <c r="G38" s="197">
        <f>'P&amp;L and Cash Flow'!G29*(1+G6)</f>
        <v>177388.2</v>
      </c>
      <c r="H38" s="197">
        <f>'P&amp;L and Cash Flow'!H29*(1+H6)</f>
        <v>180935.96400000001</v>
      </c>
      <c r="I38" s="197">
        <f>'P&amp;L and Cash Flow'!I29*(1+I6)</f>
        <v>184554.68328000003</v>
      </c>
      <c r="J38" s="197">
        <f>'P&amp;L and Cash Flow'!J29*(1+J6)</f>
        <v>188245.77694560005</v>
      </c>
      <c r="K38" s="197">
        <f>'P&amp;L and Cash Flow'!K29*(1+K6)</f>
        <v>192010.69248451205</v>
      </c>
      <c r="L38" s="197">
        <f>'P&amp;L and Cash Flow'!L29*(1+L6)</f>
        <v>195850.90633420227</v>
      </c>
      <c r="M38" s="197">
        <f>'P&amp;L and Cash Flow'!M29*(1+M6)</f>
        <v>199767.92446088634</v>
      </c>
      <c r="N38" s="197">
        <f>'P&amp;L and Cash Flow'!N29*(1+N6)</f>
        <v>203763.28295010404</v>
      </c>
    </row>
    <row r="39" spans="1:14">
      <c r="A39" s="82"/>
      <c r="B39" s="449" t="s">
        <v>193</v>
      </c>
      <c r="C39" s="449" t="s">
        <v>962</v>
      </c>
      <c r="D39" s="200">
        <f>'P&amp;L and Cash Flow'!D30*(1+D6)</f>
        <v>0</v>
      </c>
      <c r="E39" s="200">
        <f>'P&amp;L and Cash Flow'!E30*(1+E6)</f>
        <v>0</v>
      </c>
      <c r="F39" s="200">
        <f>'P&amp;L and Cash Flow'!F30*(1+F6)</f>
        <v>55000.000000000007</v>
      </c>
      <c r="G39" s="200">
        <f>'P&amp;L and Cash Flow'!G30*(1+G6)</f>
        <v>56100.000000000007</v>
      </c>
      <c r="H39" s="200">
        <f>'P&amp;L and Cash Flow'!H30*(1+H6)</f>
        <v>57222.000000000007</v>
      </c>
      <c r="I39" s="200">
        <f>'P&amp;L and Cash Flow'!I30*(1+I6)</f>
        <v>58366.44000000001</v>
      </c>
      <c r="J39" s="200">
        <f>'P&amp;L and Cash Flow'!J30*(1+J6)</f>
        <v>59533.768800000005</v>
      </c>
      <c r="K39" s="200">
        <f>'P&amp;L and Cash Flow'!K30*(1+K6)</f>
        <v>60724.444176000012</v>
      </c>
      <c r="L39" s="200">
        <f>'P&amp;L and Cash Flow'!L30*(1+L6)</f>
        <v>61938.933059520008</v>
      </c>
      <c r="M39" s="200">
        <f>'P&amp;L and Cash Flow'!M30*(1+M6)</f>
        <v>63177.711720710409</v>
      </c>
      <c r="N39" s="200">
        <f>'P&amp;L and Cash Flow'!N30*(1+N6)</f>
        <v>64441.265955124618</v>
      </c>
    </row>
    <row r="40" spans="1:14">
      <c r="A40" s="82"/>
      <c r="B40" s="442" t="s">
        <v>347</v>
      </c>
      <c r="C40" s="442" t="s">
        <v>963</v>
      </c>
      <c r="D40" s="238">
        <f t="shared" ref="D40:L40" si="18">SUM(D35:D39)</f>
        <v>378400.00000000006</v>
      </c>
      <c r="E40" s="238">
        <f t="shared" si="18"/>
        <v>1284812.0336221929</v>
      </c>
      <c r="F40" s="238">
        <f t="shared" si="18"/>
        <v>1371093.5729572128</v>
      </c>
      <c r="G40" s="238">
        <f t="shared" si="18"/>
        <v>1427487.8335622996</v>
      </c>
      <c r="H40" s="238">
        <f t="shared" si="18"/>
        <v>1519363.3004559178</v>
      </c>
      <c r="I40" s="238">
        <f t="shared" si="18"/>
        <v>1535683.5379138927</v>
      </c>
      <c r="J40" s="238">
        <f t="shared" si="18"/>
        <v>1552677.5963580115</v>
      </c>
      <c r="K40" s="238">
        <f t="shared" si="18"/>
        <v>1571739.8120311822</v>
      </c>
      <c r="L40" s="238">
        <f t="shared" si="18"/>
        <v>1591770.1023215975</v>
      </c>
      <c r="M40" s="238">
        <f t="shared" ref="M40:N40" si="19">SUM(M35:M39)</f>
        <v>1612854.0431191805</v>
      </c>
      <c r="N40" s="238">
        <f t="shared" si="19"/>
        <v>1635088.1133412754</v>
      </c>
    </row>
    <row r="41" spans="1:14">
      <c r="A41" s="82"/>
      <c r="B41" s="442"/>
      <c r="C41" s="442"/>
      <c r="D41" s="501">
        <f t="shared" ref="D41:L41" si="20">D40/D23</f>
        <v>0.22430620491404332</v>
      </c>
      <c r="E41" s="501">
        <f t="shared" si="20"/>
        <v>0.21561954132455483</v>
      </c>
      <c r="F41" s="501">
        <f t="shared" si="20"/>
        <v>0.18324963443739062</v>
      </c>
      <c r="G41" s="501">
        <f t="shared" si="20"/>
        <v>0.1658370762297138</v>
      </c>
      <c r="H41" s="501">
        <f t="shared" si="20"/>
        <v>0.15172535852120669</v>
      </c>
      <c r="I41" s="501">
        <f t="shared" si="20"/>
        <v>0.14723516105975912</v>
      </c>
      <c r="J41" s="501">
        <f t="shared" si="20"/>
        <v>0.14302951153645144</v>
      </c>
      <c r="K41" s="501">
        <f t="shared" si="20"/>
        <v>0.13945254265229584</v>
      </c>
      <c r="L41" s="501">
        <f t="shared" si="20"/>
        <v>0.13588548465996589</v>
      </c>
      <c r="M41" s="501">
        <f t="shared" ref="M41:N41" si="21">M40/M23</f>
        <v>0.13240810581451684</v>
      </c>
      <c r="N41" s="501">
        <f t="shared" si="21"/>
        <v>0.1290153047217652</v>
      </c>
    </row>
    <row r="42" spans="1:14" ht="3" customHeight="1">
      <c r="A42" s="82"/>
      <c r="B42" s="134"/>
      <c r="C42" s="134"/>
      <c r="D42" s="444"/>
      <c r="E42" s="444"/>
      <c r="F42" s="444"/>
      <c r="G42" s="444"/>
      <c r="H42" s="444"/>
      <c r="I42" s="444"/>
      <c r="J42" s="444"/>
      <c r="K42" s="444"/>
      <c r="L42" s="444"/>
      <c r="M42" s="444"/>
      <c r="N42" s="444"/>
    </row>
    <row r="43" spans="1:14">
      <c r="A43" s="419"/>
      <c r="B43" s="450" t="s">
        <v>428</v>
      </c>
      <c r="C43" s="450" t="s">
        <v>1041</v>
      </c>
      <c r="D43" s="454">
        <f t="shared" ref="D43:L43" si="22">D31+D40</f>
        <v>1093358.2</v>
      </c>
      <c r="E43" s="454">
        <f t="shared" si="22"/>
        <v>3587531.4627905181</v>
      </c>
      <c r="F43" s="454">
        <f t="shared" si="22"/>
        <v>4136299.1836924087</v>
      </c>
      <c r="G43" s="454">
        <f t="shared" si="22"/>
        <v>4219070.0546599515</v>
      </c>
      <c r="H43" s="454">
        <f t="shared" si="22"/>
        <v>4391509.2250364944</v>
      </c>
      <c r="I43" s="454">
        <f t="shared" si="22"/>
        <v>4485435.5770864747</v>
      </c>
      <c r="J43" s="454">
        <f t="shared" si="22"/>
        <v>4583112.3419537302</v>
      </c>
      <c r="K43" s="454">
        <f t="shared" si="22"/>
        <v>4688676.3956058668</v>
      </c>
      <c r="L43" s="454">
        <f t="shared" si="22"/>
        <v>4799278.9004572453</v>
      </c>
      <c r="M43" s="454">
        <f t="shared" ref="M43:N43" si="23">M31+M40</f>
        <v>4915422.1970645143</v>
      </c>
      <c r="N43" s="454">
        <f t="shared" si="23"/>
        <v>5037656.8599001411</v>
      </c>
    </row>
    <row r="44" spans="1:14" ht="3" customHeight="1">
      <c r="A44" s="82"/>
      <c r="B44" s="134"/>
      <c r="C44" s="134"/>
      <c r="D44" s="443"/>
      <c r="E44" s="443"/>
      <c r="F44" s="443"/>
      <c r="G44" s="443"/>
      <c r="H44" s="443"/>
      <c r="I44" s="443"/>
      <c r="J44" s="443"/>
      <c r="K44" s="443"/>
      <c r="L44" s="443"/>
      <c r="M44" s="443"/>
      <c r="N44" s="443"/>
    </row>
    <row r="45" spans="1:14">
      <c r="A45" s="82"/>
      <c r="B45" s="224" t="s">
        <v>348</v>
      </c>
      <c r="C45" s="224" t="s">
        <v>965</v>
      </c>
      <c r="D45" s="455">
        <f t="shared" ref="D45:L45" si="24">D23-D43</f>
        <v>593621.43636363628</v>
      </c>
      <c r="E45" s="455">
        <f t="shared" si="24"/>
        <v>2371167.9469641307</v>
      </c>
      <c r="F45" s="455">
        <f t="shared" si="24"/>
        <v>3345808.9098201217</v>
      </c>
      <c r="G45" s="455">
        <f t="shared" si="24"/>
        <v>4388702.501490131</v>
      </c>
      <c r="H45" s="455">
        <f t="shared" si="24"/>
        <v>5622395.6044818759</v>
      </c>
      <c r="I45" s="455">
        <f t="shared" si="24"/>
        <v>5944705.7482630908</v>
      </c>
      <c r="J45" s="455">
        <f t="shared" si="24"/>
        <v>6272532.620256098</v>
      </c>
      <c r="K45" s="455">
        <f t="shared" si="24"/>
        <v>6582109.9388540322</v>
      </c>
      <c r="L45" s="455">
        <f t="shared" si="24"/>
        <v>6914776.5507543096</v>
      </c>
      <c r="M45" s="455">
        <f t="shared" ref="M45:N45" si="25">M23-M43</f>
        <v>7265509.1227939399</v>
      </c>
      <c r="N45" s="455">
        <f t="shared" si="25"/>
        <v>7635941.1823438499</v>
      </c>
    </row>
    <row r="46" spans="1:14">
      <c r="A46" s="82"/>
      <c r="B46" s="224"/>
      <c r="C46" s="224"/>
      <c r="D46" s="501">
        <f t="shared" ref="D46:L46" si="26">D45/D23</f>
        <v>0.35188417427682478</v>
      </c>
      <c r="E46" s="501">
        <f t="shared" si="26"/>
        <v>0.39793380801898248</v>
      </c>
      <c r="F46" s="501">
        <f t="shared" si="26"/>
        <v>0.44717462886177139</v>
      </c>
      <c r="G46" s="501">
        <f t="shared" si="26"/>
        <v>0.50985344615715833</v>
      </c>
      <c r="H46" s="501">
        <f t="shared" si="26"/>
        <v>0.56145886147315138</v>
      </c>
      <c r="I46" s="501">
        <f t="shared" si="26"/>
        <v>0.56995447739667648</v>
      </c>
      <c r="J46" s="501">
        <f t="shared" si="26"/>
        <v>0.57781298504987499</v>
      </c>
      <c r="K46" s="501">
        <f t="shared" si="26"/>
        <v>0.58399740209159501</v>
      </c>
      <c r="L46" s="501">
        <f t="shared" si="26"/>
        <v>0.59029740635546779</v>
      </c>
      <c r="M46" s="501">
        <f t="shared" ref="M46:N46" si="27">M45/M23</f>
        <v>0.59646581464169746</v>
      </c>
      <c r="N46" s="501">
        <f t="shared" si="27"/>
        <v>0.60250776116549676</v>
      </c>
    </row>
    <row r="47" spans="1:14" ht="3" customHeight="1">
      <c r="A47" s="82"/>
      <c r="B47" s="224"/>
      <c r="C47" s="224"/>
      <c r="D47" s="455"/>
      <c r="E47" s="455"/>
      <c r="F47" s="455"/>
      <c r="G47" s="455"/>
      <c r="H47" s="455"/>
      <c r="I47" s="455"/>
      <c r="J47" s="455"/>
      <c r="K47" s="455"/>
      <c r="L47" s="455"/>
      <c r="M47" s="455"/>
      <c r="N47" s="455"/>
    </row>
    <row r="48" spans="1:14">
      <c r="A48" s="82"/>
      <c r="B48" s="134"/>
      <c r="C48" s="134"/>
      <c r="D48" s="439" t="s">
        <v>36</v>
      </c>
      <c r="E48" s="439" t="s">
        <v>37</v>
      </c>
      <c r="F48" s="439" t="s">
        <v>38</v>
      </c>
      <c r="G48" s="439" t="s">
        <v>39</v>
      </c>
      <c r="H48" s="439" t="s">
        <v>40</v>
      </c>
      <c r="I48" s="439" t="s">
        <v>41</v>
      </c>
      <c r="J48" s="439" t="s">
        <v>42</v>
      </c>
      <c r="K48" s="439" t="s">
        <v>43</v>
      </c>
      <c r="L48" s="439" t="s">
        <v>168</v>
      </c>
      <c r="M48" s="439" t="s">
        <v>729</v>
      </c>
      <c r="N48" s="439" t="s">
        <v>730</v>
      </c>
    </row>
    <row r="49" spans="1:14">
      <c r="A49" s="82"/>
      <c r="B49" s="208" t="s">
        <v>349</v>
      </c>
      <c r="C49" s="208" t="s">
        <v>1042</v>
      </c>
      <c r="D49" s="134"/>
      <c r="E49" s="134"/>
      <c r="F49" s="134"/>
      <c r="G49" s="134"/>
      <c r="H49" s="134"/>
      <c r="I49" s="134"/>
      <c r="J49" s="134"/>
      <c r="K49" s="134"/>
      <c r="L49" s="134"/>
      <c r="M49" s="134"/>
      <c r="N49" s="134"/>
    </row>
    <row r="50" spans="1:14">
      <c r="A50" s="82"/>
      <c r="B50" s="241" t="s">
        <v>350</v>
      </c>
      <c r="C50" s="241" t="s">
        <v>967</v>
      </c>
      <c r="D50" s="237">
        <f>'P&amp;L and Cash Flow'!D41*(1+D9)</f>
        <v>16500</v>
      </c>
      <c r="E50" s="237">
        <f>'P&amp;L and Cash Flow'!E41*(1+E9)</f>
        <v>16995</v>
      </c>
      <c r="F50" s="237">
        <f>'P&amp;L and Cash Flow'!F41*(1+F9)</f>
        <v>17504.850000000002</v>
      </c>
      <c r="G50" s="237">
        <f>'P&amp;L and Cash Flow'!G41*(1+G9)</f>
        <v>18029.995500000001</v>
      </c>
      <c r="H50" s="237">
        <f>'P&amp;L and Cash Flow'!H41*(1+H9)</f>
        <v>18570.895365</v>
      </c>
      <c r="I50" s="237">
        <f>'P&amp;L and Cash Flow'!I41*(1+I9)</f>
        <v>19128.022225950001</v>
      </c>
      <c r="J50" s="237">
        <f>'P&amp;L and Cash Flow'!J41*(1+J9)</f>
        <v>19701.862892728499</v>
      </c>
      <c r="K50" s="237">
        <f>'P&amp;L and Cash Flow'!K41*(1+K9)</f>
        <v>20292.918779510357</v>
      </c>
      <c r="L50" s="237">
        <f>'P&amp;L and Cash Flow'!L41*(1+L9)</f>
        <v>20901.706342895668</v>
      </c>
      <c r="M50" s="237">
        <f>'P&amp;L and Cash Flow'!M41*(1+M9)</f>
        <v>21528.757533182539</v>
      </c>
      <c r="N50" s="237">
        <f>'P&amp;L and Cash Flow'!N41*(1+N9)</f>
        <v>22174.620259178017</v>
      </c>
    </row>
    <row r="51" spans="1:14">
      <c r="A51" s="82"/>
      <c r="B51" s="241" t="s">
        <v>300</v>
      </c>
      <c r="C51" s="241" t="s">
        <v>905</v>
      </c>
      <c r="D51" s="237">
        <f>'P&amp;L and Cash Flow'!D42*(1+D9)</f>
        <v>33000</v>
      </c>
      <c r="E51" s="237">
        <f>'P&amp;L and Cash Flow'!E42*(1+E9)</f>
        <v>110000.00000000001</v>
      </c>
      <c r="F51" s="237">
        <f>'P&amp;L and Cash Flow'!F42*(1+F9)</f>
        <v>113300.00000000001</v>
      </c>
      <c r="G51" s="237">
        <f>'P&amp;L and Cash Flow'!G42*(1+G9)</f>
        <v>116699.00000000001</v>
      </c>
      <c r="H51" s="237">
        <f>'P&amp;L and Cash Flow'!H42*(1+H9)</f>
        <v>120199.97</v>
      </c>
      <c r="I51" s="237">
        <f>'P&amp;L and Cash Flow'!I42*(1+I9)</f>
        <v>123805.9691</v>
      </c>
      <c r="J51" s="237">
        <f>'P&amp;L and Cash Flow'!J42*(1+J9)</f>
        <v>127520.14817300001</v>
      </c>
      <c r="K51" s="237">
        <f>'P&amp;L and Cash Flow'!K42*(1+K9)</f>
        <v>131345.75261819002</v>
      </c>
      <c r="L51" s="237">
        <f>'P&amp;L and Cash Flow'!L42*(1+L9)</f>
        <v>135286.12519673572</v>
      </c>
      <c r="M51" s="237">
        <f>'P&amp;L and Cash Flow'!M42*(1+M9)</f>
        <v>139344.70895263777</v>
      </c>
      <c r="N51" s="237">
        <f>'P&amp;L and Cash Flow'!N42*(1+N9)</f>
        <v>143525.05022121692</v>
      </c>
    </row>
    <row r="52" spans="1:14">
      <c r="A52" s="82"/>
      <c r="B52" s="241" t="s">
        <v>351</v>
      </c>
      <c r="C52" s="241" t="s">
        <v>1043</v>
      </c>
      <c r="D52" s="237">
        <f>'P&amp;L and Cash Flow'!D43*(1+D9)</f>
        <v>38500</v>
      </c>
      <c r="E52" s="237">
        <f>'P&amp;L and Cash Flow'!E43*(1+E9)</f>
        <v>39655</v>
      </c>
      <c r="F52" s="237">
        <f>'P&amp;L and Cash Flow'!F43*(1+F9)</f>
        <v>40844.65</v>
      </c>
      <c r="G52" s="237">
        <f>'P&amp;L and Cash Flow'!G43*(1+G9)</f>
        <v>42069.989500000003</v>
      </c>
      <c r="H52" s="237">
        <f>'P&amp;L and Cash Flow'!H43*(1+H9)</f>
        <v>43332.089185000004</v>
      </c>
      <c r="I52" s="237">
        <f>'P&amp;L and Cash Flow'!I43*(1+I9)</f>
        <v>44632.051860550004</v>
      </c>
      <c r="J52" s="237">
        <f>'P&amp;L and Cash Flow'!J43*(1+J9)</f>
        <v>45971.013416366499</v>
      </c>
      <c r="K52" s="237">
        <f>'P&amp;L and Cash Flow'!K43*(1+K9)</f>
        <v>47350.143818857498</v>
      </c>
      <c r="L52" s="237">
        <f>'P&amp;L and Cash Flow'!L43*(1+L9)</f>
        <v>48770.648133423223</v>
      </c>
      <c r="M52" s="237">
        <f>'P&amp;L and Cash Flow'!M43*(1+M9)</f>
        <v>50233.767577425926</v>
      </c>
      <c r="N52" s="237">
        <f>'P&amp;L and Cash Flow'!N43*(1+N9)</f>
        <v>51740.780604748703</v>
      </c>
    </row>
    <row r="53" spans="1:14">
      <c r="A53" s="82"/>
      <c r="B53" s="241" t="s">
        <v>173</v>
      </c>
      <c r="C53" s="241" t="s">
        <v>969</v>
      </c>
      <c r="D53" s="237">
        <f>'P&amp;L and Cash Flow'!D44*(1+D9)</f>
        <v>82500</v>
      </c>
      <c r="E53" s="237">
        <f>'P&amp;L and Cash Flow'!E44*(1+E9)</f>
        <v>84975</v>
      </c>
      <c r="F53" s="237">
        <f>'P&amp;L and Cash Flow'!F44*(1+F9)</f>
        <v>87524.25</v>
      </c>
      <c r="G53" s="237">
        <f>'P&amp;L and Cash Flow'!G44*(1+G9)</f>
        <v>90149.977500000023</v>
      </c>
      <c r="H53" s="237">
        <f>'P&amp;L and Cash Flow'!H44*(1+H9)</f>
        <v>92854.47682500002</v>
      </c>
      <c r="I53" s="237">
        <f>'P&amp;L and Cash Flow'!I44*(1+I9)</f>
        <v>95640.111129750032</v>
      </c>
      <c r="J53" s="237">
        <f>'P&amp;L and Cash Flow'!J44*(1+J9)</f>
        <v>98509.314463642528</v>
      </c>
      <c r="K53" s="237">
        <f>'P&amp;L and Cash Flow'!K44*(1+K9)</f>
        <v>101464.59389755179</v>
      </c>
      <c r="L53" s="237">
        <f>'P&amp;L and Cash Flow'!L44*(1+L9)</f>
        <v>104508.53171447835</v>
      </c>
      <c r="M53" s="237">
        <f>'P&amp;L and Cash Flow'!M44*(1+M9)</f>
        <v>107643.78766591271</v>
      </c>
      <c r="N53" s="237">
        <f>'P&amp;L and Cash Flow'!N44*(1+N9)</f>
        <v>110873.1012958901</v>
      </c>
    </row>
    <row r="54" spans="1:14">
      <c r="A54" s="82"/>
      <c r="B54" s="241" t="s">
        <v>46</v>
      </c>
      <c r="C54" s="241" t="s">
        <v>970</v>
      </c>
      <c r="D54" s="237">
        <f>'P&amp;L and Cash Flow'!D45*(1+D9)</f>
        <v>26400.000000000004</v>
      </c>
      <c r="E54" s="237">
        <f>'P&amp;L and Cash Flow'!E45*(1+E9)</f>
        <v>68762.932628797877</v>
      </c>
      <c r="F54" s="237">
        <f>'P&amp;L and Cash Flow'!F45*(1+F9)</f>
        <v>111827.7321003963</v>
      </c>
      <c r="G54" s="237">
        <f>'P&amp;L and Cash Flow'!G45*(1+G9)</f>
        <v>140479.60641479527</v>
      </c>
      <c r="H54" s="237">
        <f>'P&amp;L and Cash Flow'!H45*(1+H9)</f>
        <v>176294.58394779396</v>
      </c>
      <c r="I54" s="237">
        <f>'P&amp;L and Cash Flow'!I45*(1+I9)</f>
        <v>181147.68684401378</v>
      </c>
      <c r="J54" s="237">
        <f>'P&amp;L and Cash Flow'!J45*(1+J9)</f>
        <v>186123.46858985882</v>
      </c>
      <c r="K54" s="237">
        <f>'P&amp;L and Cash Flow'!K45*(1+K9)</f>
        <v>191474.13483550621</v>
      </c>
      <c r="L54" s="237">
        <f>'P&amp;L and Cash Flow'!L45*(1+L9)</f>
        <v>197018.5297081474</v>
      </c>
      <c r="M54" s="237">
        <f>'P&amp;L and Cash Flow'!M45*(1+M9)</f>
        <v>202783.04458024801</v>
      </c>
      <c r="N54" s="237">
        <f>'P&amp;L and Cash Flow'!N45*(1+N9)</f>
        <v>208796.61415609549</v>
      </c>
    </row>
    <row r="55" spans="1:14">
      <c r="A55" s="82"/>
      <c r="B55" s="449" t="s">
        <v>76</v>
      </c>
      <c r="C55" s="449" t="s">
        <v>1044</v>
      </c>
      <c r="D55" s="200">
        <f>'P&amp;L and Cash Flow'!D46*(1+D9)</f>
        <v>162371</v>
      </c>
      <c r="E55" s="200">
        <f>'P&amp;L and Cash Flow'!E46*(1+E9)</f>
        <v>811855.00000000012</v>
      </c>
      <c r="F55" s="200">
        <f>'P&amp;L and Cash Flow'!F46*(1+F9)</f>
        <v>836210.65</v>
      </c>
      <c r="G55" s="200">
        <f>'P&amp;L and Cash Flow'!G46*(1+G9)</f>
        <v>861296.96950000001</v>
      </c>
      <c r="H55" s="200">
        <f>'P&amp;L and Cash Flow'!H46*(1+H9)</f>
        <v>887135.87858500006</v>
      </c>
      <c r="I55" s="200">
        <f>'P&amp;L and Cash Flow'!I46*(1+I9)</f>
        <v>913749.95494255016</v>
      </c>
      <c r="J55" s="200">
        <f>'P&amp;L and Cash Flow'!J46*(1+J9)</f>
        <v>941162.45359082671</v>
      </c>
      <c r="K55" s="200">
        <f>'P&amp;L and Cash Flow'!K46*(1+K9)</f>
        <v>969397.3271985515</v>
      </c>
      <c r="L55" s="200">
        <f>'P&amp;L and Cash Flow'!L46*(1+L9)</f>
        <v>998479.24701450812</v>
      </c>
      <c r="M55" s="200">
        <f>'P&amp;L and Cash Flow'!M46*(1+M9)</f>
        <v>1028433.6244249435</v>
      </c>
      <c r="N55" s="200">
        <f>'P&amp;L and Cash Flow'!N46*(1+N9)</f>
        <v>1059286.6331576919</v>
      </c>
    </row>
    <row r="56" spans="1:14">
      <c r="A56" s="82"/>
      <c r="B56" s="442" t="s">
        <v>352</v>
      </c>
      <c r="C56" s="442" t="s">
        <v>1045</v>
      </c>
      <c r="D56" s="453">
        <f t="shared" ref="D56:L56" si="28">SUM(D50:D55)</f>
        <v>359271</v>
      </c>
      <c r="E56" s="453">
        <f t="shared" si="28"/>
        <v>1132242.9326287981</v>
      </c>
      <c r="F56" s="238">
        <f t="shared" si="28"/>
        <v>1207212.1321003963</v>
      </c>
      <c r="G56" s="238">
        <f t="shared" si="28"/>
        <v>1268725.5384147954</v>
      </c>
      <c r="H56" s="238">
        <f t="shared" si="28"/>
        <v>1338387.893907794</v>
      </c>
      <c r="I56" s="238">
        <f t="shared" si="28"/>
        <v>1378103.7961028139</v>
      </c>
      <c r="J56" s="238">
        <f t="shared" si="28"/>
        <v>1418988.261126423</v>
      </c>
      <c r="K56" s="238">
        <f t="shared" si="28"/>
        <v>1461324.8711481674</v>
      </c>
      <c r="L56" s="238">
        <f t="shared" si="28"/>
        <v>1504964.7881101884</v>
      </c>
      <c r="M56" s="238">
        <f t="shared" ref="M56:N56" si="29">SUM(M50:M55)</f>
        <v>1549967.6907343504</v>
      </c>
      <c r="N56" s="238">
        <f t="shared" si="29"/>
        <v>1596396.7996948212</v>
      </c>
    </row>
    <row r="57" spans="1:14">
      <c r="A57" s="82"/>
      <c r="B57" s="442"/>
      <c r="C57" s="442"/>
      <c r="D57" s="501">
        <f t="shared" ref="D57:L57" si="30">D56/D23</f>
        <v>0.21296700461330137</v>
      </c>
      <c r="E57" s="501">
        <f t="shared" si="30"/>
        <v>0.19001511148141947</v>
      </c>
      <c r="F57" s="501">
        <f t="shared" si="30"/>
        <v>0.16134652386900517</v>
      </c>
      <c r="G57" s="501">
        <f t="shared" si="30"/>
        <v>0.14739301371390398</v>
      </c>
      <c r="H57" s="501">
        <f t="shared" si="30"/>
        <v>0.13365294724617083</v>
      </c>
      <c r="I57" s="501">
        <f t="shared" si="30"/>
        <v>0.13212704920435264</v>
      </c>
      <c r="J57" s="501">
        <f t="shared" si="30"/>
        <v>0.13071432108051984</v>
      </c>
      <c r="K57" s="501">
        <f t="shared" si="30"/>
        <v>0.12965598209241491</v>
      </c>
      <c r="L57" s="501">
        <f t="shared" si="30"/>
        <v>0.12847512924779042</v>
      </c>
      <c r="M57" s="501">
        <f t="shared" ref="M57:N57" si="31">M56/M23</f>
        <v>0.12724541745075379</v>
      </c>
      <c r="N57" s="501">
        <f t="shared" si="31"/>
        <v>0.12596239792154262</v>
      </c>
    </row>
    <row r="58" spans="1:14" ht="3" customHeight="1">
      <c r="A58" s="82"/>
      <c r="B58" s="134"/>
      <c r="C58" s="134"/>
      <c r="D58" s="451"/>
      <c r="E58" s="451"/>
      <c r="F58" s="451"/>
      <c r="G58" s="451"/>
      <c r="H58" s="451"/>
      <c r="I58" s="451"/>
      <c r="J58" s="451"/>
      <c r="K58" s="451"/>
      <c r="L58" s="451"/>
      <c r="M58" s="451"/>
      <c r="N58" s="451"/>
    </row>
    <row r="59" spans="1:14">
      <c r="A59" s="82"/>
      <c r="B59" s="442" t="s">
        <v>28</v>
      </c>
      <c r="C59" s="442" t="s">
        <v>28</v>
      </c>
      <c r="D59" s="238">
        <f t="shared" ref="D59:L59" si="32">D45-D56</f>
        <v>234350.43636363628</v>
      </c>
      <c r="E59" s="238">
        <f t="shared" si="32"/>
        <v>1238925.0143353327</v>
      </c>
      <c r="F59" s="238">
        <f t="shared" si="32"/>
        <v>2138596.7777197254</v>
      </c>
      <c r="G59" s="238">
        <f t="shared" si="32"/>
        <v>3119976.9630753356</v>
      </c>
      <c r="H59" s="238">
        <f t="shared" si="32"/>
        <v>4284007.7105740821</v>
      </c>
      <c r="I59" s="238">
        <f t="shared" si="32"/>
        <v>4566601.9521602765</v>
      </c>
      <c r="J59" s="238">
        <f t="shared" si="32"/>
        <v>4853544.3591296747</v>
      </c>
      <c r="K59" s="238">
        <f t="shared" si="32"/>
        <v>5120785.067705865</v>
      </c>
      <c r="L59" s="238">
        <f t="shared" si="32"/>
        <v>5409811.7626441214</v>
      </c>
      <c r="M59" s="238">
        <f t="shared" ref="M59:N59" si="33">M45-M56</f>
        <v>5715541.4320595898</v>
      </c>
      <c r="N59" s="238">
        <f t="shared" si="33"/>
        <v>6039544.3826490287</v>
      </c>
    </row>
    <row r="60" spans="1:14">
      <c r="A60" s="82"/>
      <c r="B60" s="442"/>
      <c r="C60" s="442"/>
      <c r="D60" s="501">
        <f t="shared" ref="D60:L60" si="34">D59/D23</f>
        <v>0.13891716966352341</v>
      </c>
      <c r="E60" s="501">
        <f t="shared" si="34"/>
        <v>0.20791869653756301</v>
      </c>
      <c r="F60" s="501">
        <f t="shared" si="34"/>
        <v>0.28582810499276623</v>
      </c>
      <c r="G60" s="501">
        <f t="shared" si="34"/>
        <v>0.36246043244325432</v>
      </c>
      <c r="H60" s="501">
        <f t="shared" si="34"/>
        <v>0.42780591422698055</v>
      </c>
      <c r="I60" s="501">
        <f t="shared" si="34"/>
        <v>0.43782742819232384</v>
      </c>
      <c r="J60" s="501">
        <f t="shared" si="34"/>
        <v>0.4470986639693551</v>
      </c>
      <c r="K60" s="501">
        <f t="shared" si="34"/>
        <v>0.45434141999918015</v>
      </c>
      <c r="L60" s="501">
        <f t="shared" si="34"/>
        <v>0.46182227710767737</v>
      </c>
      <c r="M60" s="501">
        <f t="shared" ref="M60:N60" si="35">M59/M23</f>
        <v>0.46922039719094366</v>
      </c>
      <c r="N60" s="501">
        <f t="shared" si="35"/>
        <v>0.47654536324395413</v>
      </c>
    </row>
    <row r="61" spans="1:14" ht="3" customHeight="1">
      <c r="A61" s="82"/>
      <c r="B61" s="134"/>
      <c r="C61" s="134"/>
      <c r="D61" s="134"/>
      <c r="E61" s="134"/>
      <c r="F61" s="134"/>
      <c r="G61" s="134"/>
      <c r="H61" s="134"/>
      <c r="I61" s="134"/>
      <c r="J61" s="134"/>
      <c r="K61" s="134"/>
      <c r="L61" s="134"/>
      <c r="M61" s="134"/>
      <c r="N61" s="134"/>
    </row>
    <row r="62" spans="1:14">
      <c r="A62" s="82"/>
      <c r="B62" s="241" t="s">
        <v>353</v>
      </c>
      <c r="C62" s="241" t="s">
        <v>1046</v>
      </c>
      <c r="D62" s="200">
        <f>'P&amp;L and Cash Flow'!D53</f>
        <v>0</v>
      </c>
      <c r="E62" s="200">
        <f>'P&amp;L and Cash Flow'!E66</f>
        <v>0</v>
      </c>
      <c r="F62" s="200">
        <f>'P&amp;L and Cash Flow'!F66</f>
        <v>1091556.9777725209</v>
      </c>
      <c r="G62" s="200">
        <f>'P&amp;L and Cash Flow'!G66</f>
        <v>1160747.9698742963</v>
      </c>
      <c r="H62" s="200">
        <f>'P&amp;L and Cash Flow'!H66</f>
        <v>1232340.2177688875</v>
      </c>
      <c r="I62" s="200">
        <f>'P&amp;L and Cash Flow'!I66</f>
        <v>1308348.1097926311</v>
      </c>
      <c r="J62" s="200">
        <f>'P&amp;L and Cash Flow'!J66</f>
        <v>1388010.360230267</v>
      </c>
      <c r="K62" s="200">
        <f>'P&amp;L and Cash Flow'!K66</f>
        <v>1474653.2587212697</v>
      </c>
      <c r="L62" s="200">
        <f>'P&amp;L and Cash Flow'!L66</f>
        <v>1890274.6653103649</v>
      </c>
      <c r="M62" s="200">
        <f>'P&amp;L and Cash Flow'!M66</f>
        <v>1662169.4405000401</v>
      </c>
      <c r="N62" s="200">
        <f>'P&amp;L and Cash Flow'!N66</f>
        <v>1015235</v>
      </c>
    </row>
    <row r="63" spans="1:14">
      <c r="A63" s="82"/>
      <c r="B63" s="442" t="s">
        <v>354</v>
      </c>
      <c r="C63" s="442" t="s">
        <v>354</v>
      </c>
      <c r="D63" s="238">
        <f t="shared" ref="D63:L63" si="36">D59-D62</f>
        <v>234350.43636363628</v>
      </c>
      <c r="E63" s="238">
        <f t="shared" si="36"/>
        <v>1238925.0143353327</v>
      </c>
      <c r="F63" s="238">
        <f t="shared" si="36"/>
        <v>1047039.7999472045</v>
      </c>
      <c r="G63" s="238">
        <f t="shared" si="36"/>
        <v>1959228.9932010393</v>
      </c>
      <c r="H63" s="238">
        <f t="shared" si="36"/>
        <v>3051667.4928051946</v>
      </c>
      <c r="I63" s="238">
        <f t="shared" si="36"/>
        <v>3258253.8423676454</v>
      </c>
      <c r="J63" s="238">
        <f t="shared" si="36"/>
        <v>3465533.9988994077</v>
      </c>
      <c r="K63" s="238">
        <f t="shared" si="36"/>
        <v>3646131.8089845954</v>
      </c>
      <c r="L63" s="238">
        <f t="shared" si="36"/>
        <v>3519537.0973337563</v>
      </c>
      <c r="M63" s="238">
        <f t="shared" ref="M63:N63" si="37">M59-M62</f>
        <v>4053371.9915595497</v>
      </c>
      <c r="N63" s="238">
        <f t="shared" si="37"/>
        <v>5024309.3826490287</v>
      </c>
    </row>
    <row r="64" spans="1:14">
      <c r="A64" s="82"/>
      <c r="B64" s="241" t="s">
        <v>355</v>
      </c>
      <c r="C64" s="241" t="s">
        <v>974</v>
      </c>
      <c r="D64" s="200">
        <f>'P&amp;L and Cash Flow'!D55</f>
        <v>0</v>
      </c>
      <c r="E64" s="200">
        <f>'P&amp;L and Cash Flow'!E55</f>
        <v>653112.70285714313</v>
      </c>
      <c r="F64" s="200">
        <f>'P&amp;L and Cash Flow'!F55</f>
        <v>625010.0230179847</v>
      </c>
      <c r="G64" s="200">
        <f>'P&amp;L and Cash Flow'!G55</f>
        <v>555819.03091620945</v>
      </c>
      <c r="H64" s="200">
        <f>'P&amp;L and Cash Flow'!H55</f>
        <v>484226.78302161809</v>
      </c>
      <c r="I64" s="200">
        <f>'P&amp;L and Cash Flow'!I55</f>
        <v>408218.89099787484</v>
      </c>
      <c r="J64" s="200">
        <f>'P&amp;L and Cash Flow'!J55</f>
        <v>328556.64056023862</v>
      </c>
      <c r="K64" s="200">
        <f>'P&amp;L and Cash Flow'!K55</f>
        <v>241913.74206923618</v>
      </c>
      <c r="L64" s="200">
        <f>'P&amp;L and Cash Flow'!L55</f>
        <v>150960.5425832418</v>
      </c>
      <c r="M64" s="200">
        <f>'P&amp;L and Cash Flow'!M55</f>
        <v>54397.56029046583</v>
      </c>
      <c r="N64" s="200">
        <f>'P&amp;L and Cash Flow'!N55</f>
        <v>0</v>
      </c>
    </row>
    <row r="65" spans="1:14">
      <c r="A65" s="82"/>
      <c r="B65" s="442" t="s">
        <v>369</v>
      </c>
      <c r="C65" s="442" t="s">
        <v>369</v>
      </c>
      <c r="D65" s="237">
        <f t="shared" ref="D65:L65" si="38">D63-D64</f>
        <v>234350.43636363628</v>
      </c>
      <c r="E65" s="237">
        <f t="shared" si="38"/>
        <v>585812.31147818954</v>
      </c>
      <c r="F65" s="237">
        <f t="shared" si="38"/>
        <v>422029.77692921984</v>
      </c>
      <c r="G65" s="237">
        <f t="shared" si="38"/>
        <v>1403409.9622848299</v>
      </c>
      <c r="H65" s="237">
        <f t="shared" si="38"/>
        <v>2567440.7097835764</v>
      </c>
      <c r="I65" s="237">
        <f t="shared" si="38"/>
        <v>2850034.9513697703</v>
      </c>
      <c r="J65" s="237">
        <f t="shared" si="38"/>
        <v>3136977.3583391691</v>
      </c>
      <c r="K65" s="237">
        <f t="shared" si="38"/>
        <v>3404218.0669153593</v>
      </c>
      <c r="L65" s="237">
        <f t="shared" si="38"/>
        <v>3368576.5547505147</v>
      </c>
      <c r="M65" s="237">
        <f t="shared" ref="M65:N65" si="39">M63-M64</f>
        <v>3998974.4312690841</v>
      </c>
      <c r="N65" s="237">
        <f t="shared" si="39"/>
        <v>5024309.3826490287</v>
      </c>
    </row>
    <row r="66" spans="1:14">
      <c r="A66" s="82"/>
      <c r="B66" s="241" t="s">
        <v>425</v>
      </c>
      <c r="C66" s="241" t="s">
        <v>1047</v>
      </c>
      <c r="D66" s="200">
        <v>0</v>
      </c>
      <c r="E66" s="200">
        <v>0</v>
      </c>
      <c r="F66" s="200">
        <v>0</v>
      </c>
      <c r="G66" s="200">
        <v>0</v>
      </c>
      <c r="H66" s="200">
        <v>0</v>
      </c>
      <c r="I66" s="200">
        <v>0</v>
      </c>
      <c r="J66" s="200">
        <v>0</v>
      </c>
      <c r="K66" s="200">
        <v>0</v>
      </c>
      <c r="L66" s="200">
        <v>0</v>
      </c>
      <c r="M66" s="200">
        <v>1</v>
      </c>
      <c r="N66" s="200">
        <v>2</v>
      </c>
    </row>
    <row r="67" spans="1:14">
      <c r="A67" s="447"/>
      <c r="B67" s="442" t="s">
        <v>371</v>
      </c>
      <c r="C67" s="442" t="s">
        <v>1048</v>
      </c>
      <c r="D67" s="238">
        <f t="shared" ref="D67:L67" si="40">D65-D66</f>
        <v>234350.43636363628</v>
      </c>
      <c r="E67" s="238">
        <f t="shared" si="40"/>
        <v>585812.31147818954</v>
      </c>
      <c r="F67" s="238">
        <f t="shared" si="40"/>
        <v>422029.77692921984</v>
      </c>
      <c r="G67" s="238">
        <f t="shared" si="40"/>
        <v>1403409.9622848299</v>
      </c>
      <c r="H67" s="238">
        <f t="shared" si="40"/>
        <v>2567440.7097835764</v>
      </c>
      <c r="I67" s="238">
        <f t="shared" si="40"/>
        <v>2850034.9513697703</v>
      </c>
      <c r="J67" s="238">
        <f t="shared" si="40"/>
        <v>3136977.3583391691</v>
      </c>
      <c r="K67" s="238">
        <f t="shared" si="40"/>
        <v>3404218.0669153593</v>
      </c>
      <c r="L67" s="238">
        <f t="shared" si="40"/>
        <v>3368576.5547505147</v>
      </c>
      <c r="M67" s="238">
        <f t="shared" ref="M67:N67" si="41">M65-M66</f>
        <v>3998973.4312690841</v>
      </c>
      <c r="N67" s="238">
        <f t="shared" si="41"/>
        <v>5024307.3826490287</v>
      </c>
    </row>
    <row r="68" spans="1:14">
      <c r="A68" s="447"/>
      <c r="B68" s="442"/>
      <c r="C68" s="442"/>
      <c r="D68" s="501">
        <f t="shared" ref="D68:L68" si="42">D67/D23</f>
        <v>0.13891716966352341</v>
      </c>
      <c r="E68" s="501">
        <f t="shared" si="42"/>
        <v>9.8312109941170955E-2</v>
      </c>
      <c r="F68" s="501">
        <f t="shared" si="42"/>
        <v>5.6405196457285457E-2</v>
      </c>
      <c r="G68" s="501">
        <f t="shared" si="42"/>
        <v>0.16303985184670353</v>
      </c>
      <c r="H68" s="501">
        <f t="shared" si="42"/>
        <v>0.25638756843538529</v>
      </c>
      <c r="I68" s="501">
        <f t="shared" si="42"/>
        <v>0.2732498882295108</v>
      </c>
      <c r="J68" s="501">
        <f t="shared" si="42"/>
        <v>0.28897199284422714</v>
      </c>
      <c r="K68" s="501">
        <f t="shared" si="42"/>
        <v>0.30203909167429804</v>
      </c>
      <c r="L68" s="501">
        <f t="shared" si="42"/>
        <v>0.28756706580231456</v>
      </c>
      <c r="M68" s="501">
        <f t="shared" ref="M68:N68" si="43">M67/M23</f>
        <v>0.32829783916026162</v>
      </c>
      <c r="N68" s="501">
        <f t="shared" si="43"/>
        <v>0.39643890913234481</v>
      </c>
    </row>
    <row r="69" spans="1:14" ht="3" customHeight="1">
      <c r="A69" s="82"/>
      <c r="B69" s="134"/>
      <c r="C69" s="134"/>
      <c r="D69" s="237"/>
      <c r="E69" s="237"/>
      <c r="F69" s="237"/>
      <c r="G69" s="237"/>
      <c r="H69" s="237"/>
      <c r="I69" s="237"/>
      <c r="J69" s="237"/>
      <c r="K69" s="237"/>
      <c r="L69" s="237"/>
      <c r="M69" s="237"/>
      <c r="N69" s="237"/>
    </row>
    <row r="70" spans="1:14">
      <c r="A70" s="82"/>
      <c r="B70" s="409" t="s">
        <v>370</v>
      </c>
      <c r="C70" s="409" t="s">
        <v>1049</v>
      </c>
      <c r="D70" s="439" t="s">
        <v>36</v>
      </c>
      <c r="E70" s="439" t="s">
        <v>37</v>
      </c>
      <c r="F70" s="439" t="s">
        <v>38</v>
      </c>
      <c r="G70" s="439" t="s">
        <v>39</v>
      </c>
      <c r="H70" s="439" t="s">
        <v>40</v>
      </c>
      <c r="I70" s="439" t="s">
        <v>41</v>
      </c>
      <c r="J70" s="439" t="s">
        <v>42</v>
      </c>
      <c r="K70" s="439" t="s">
        <v>43</v>
      </c>
      <c r="L70" s="439" t="s">
        <v>168</v>
      </c>
      <c r="M70" s="439" t="s">
        <v>729</v>
      </c>
      <c r="N70" s="439" t="s">
        <v>730</v>
      </c>
    </row>
    <row r="71" spans="1:14">
      <c r="A71" s="448"/>
      <c r="B71" s="241" t="s">
        <v>371</v>
      </c>
      <c r="C71" s="241" t="s">
        <v>1048</v>
      </c>
      <c r="D71" s="440">
        <f t="shared" ref="D71:L71" si="44">D67</f>
        <v>234350.43636363628</v>
      </c>
      <c r="E71" s="440">
        <f t="shared" si="44"/>
        <v>585812.31147818954</v>
      </c>
      <c r="F71" s="440">
        <f t="shared" si="44"/>
        <v>422029.77692921984</v>
      </c>
      <c r="G71" s="440">
        <f t="shared" si="44"/>
        <v>1403409.9622848299</v>
      </c>
      <c r="H71" s="440">
        <f t="shared" si="44"/>
        <v>2567440.7097835764</v>
      </c>
      <c r="I71" s="440">
        <f t="shared" si="44"/>
        <v>2850034.9513697703</v>
      </c>
      <c r="J71" s="440">
        <f t="shared" si="44"/>
        <v>3136977.3583391691</v>
      </c>
      <c r="K71" s="440">
        <f t="shared" si="44"/>
        <v>3404218.0669153593</v>
      </c>
      <c r="L71" s="440">
        <f t="shared" si="44"/>
        <v>3368576.5547505147</v>
      </c>
      <c r="M71" s="440">
        <f t="shared" ref="M71:N71" si="45">M67</f>
        <v>3998973.4312690841</v>
      </c>
      <c r="N71" s="440">
        <f t="shared" si="45"/>
        <v>5024307.3826490287</v>
      </c>
    </row>
    <row r="72" spans="1:14">
      <c r="A72" s="73"/>
      <c r="B72" s="241" t="s">
        <v>375</v>
      </c>
      <c r="C72" s="241" t="s">
        <v>1050</v>
      </c>
      <c r="D72" s="440">
        <f t="shared" ref="D72:L72" si="46">D62</f>
        <v>0</v>
      </c>
      <c r="E72" s="440">
        <f t="shared" si="46"/>
        <v>0</v>
      </c>
      <c r="F72" s="440">
        <f t="shared" si="46"/>
        <v>1091556.9777725209</v>
      </c>
      <c r="G72" s="440">
        <f t="shared" si="46"/>
        <v>1160747.9698742963</v>
      </c>
      <c r="H72" s="440">
        <f t="shared" si="46"/>
        <v>1232340.2177688875</v>
      </c>
      <c r="I72" s="440">
        <f t="shared" si="46"/>
        <v>1308348.1097926311</v>
      </c>
      <c r="J72" s="440">
        <f t="shared" si="46"/>
        <v>1388010.360230267</v>
      </c>
      <c r="K72" s="440">
        <f t="shared" si="46"/>
        <v>1474653.2587212697</v>
      </c>
      <c r="L72" s="440">
        <f t="shared" si="46"/>
        <v>1890274.6653103649</v>
      </c>
      <c r="M72" s="440">
        <f t="shared" ref="M72:N72" si="47">M62</f>
        <v>1662169.4405000401</v>
      </c>
      <c r="N72" s="440">
        <f t="shared" si="47"/>
        <v>1015235</v>
      </c>
    </row>
    <row r="73" spans="1:14">
      <c r="A73" s="73"/>
      <c r="B73" s="241" t="s">
        <v>373</v>
      </c>
      <c r="C73" s="241" t="s">
        <v>983</v>
      </c>
      <c r="D73" s="441">
        <f t="shared" ref="D73:L73" si="48">D64</f>
        <v>0</v>
      </c>
      <c r="E73" s="441">
        <f t="shared" si="48"/>
        <v>653112.70285714313</v>
      </c>
      <c r="F73" s="441">
        <f t="shared" si="48"/>
        <v>625010.0230179847</v>
      </c>
      <c r="G73" s="441">
        <f t="shared" si="48"/>
        <v>555819.03091620945</v>
      </c>
      <c r="H73" s="441">
        <f t="shared" si="48"/>
        <v>484226.78302161809</v>
      </c>
      <c r="I73" s="441">
        <f t="shared" si="48"/>
        <v>408218.89099787484</v>
      </c>
      <c r="J73" s="441">
        <f t="shared" si="48"/>
        <v>328556.64056023862</v>
      </c>
      <c r="K73" s="441">
        <f t="shared" si="48"/>
        <v>241913.74206923618</v>
      </c>
      <c r="L73" s="441">
        <f t="shared" si="48"/>
        <v>150960.5425832418</v>
      </c>
      <c r="M73" s="441">
        <f t="shared" ref="M73:N73" si="49">M64</f>
        <v>54397.56029046583</v>
      </c>
      <c r="N73" s="441">
        <f t="shared" si="49"/>
        <v>0</v>
      </c>
    </row>
    <row r="74" spans="1:14">
      <c r="A74" s="82"/>
      <c r="B74" s="442" t="s">
        <v>374</v>
      </c>
      <c r="C74" s="442" t="s">
        <v>1052</v>
      </c>
      <c r="D74" s="440">
        <f t="shared" ref="D74:L74" si="50">SUM(D71:D73)</f>
        <v>234350.43636363628</v>
      </c>
      <c r="E74" s="440">
        <f t="shared" si="50"/>
        <v>1238925.0143353327</v>
      </c>
      <c r="F74" s="440">
        <f t="shared" si="50"/>
        <v>2138596.7777197254</v>
      </c>
      <c r="G74" s="440">
        <f t="shared" si="50"/>
        <v>3119976.9630753356</v>
      </c>
      <c r="H74" s="440">
        <f t="shared" si="50"/>
        <v>4284007.7105740821</v>
      </c>
      <c r="I74" s="440">
        <f t="shared" si="50"/>
        <v>4566601.9521602765</v>
      </c>
      <c r="J74" s="440">
        <f t="shared" si="50"/>
        <v>4853544.3591296747</v>
      </c>
      <c r="K74" s="440">
        <f t="shared" si="50"/>
        <v>5120785.067705865</v>
      </c>
      <c r="L74" s="440">
        <f t="shared" si="50"/>
        <v>5409811.7626441214</v>
      </c>
      <c r="M74" s="440">
        <f t="shared" ref="M74:N74" si="51">SUM(M71:M73)</f>
        <v>5715540.4320595907</v>
      </c>
      <c r="N74" s="440">
        <f t="shared" si="51"/>
        <v>6039542.3826490287</v>
      </c>
    </row>
    <row r="75" spans="1:14">
      <c r="A75" s="82"/>
      <c r="B75" s="208"/>
      <c r="C75" s="208"/>
      <c r="D75" s="443"/>
      <c r="E75" s="443"/>
      <c r="F75" s="443"/>
      <c r="G75" s="443"/>
      <c r="H75" s="443"/>
      <c r="I75" s="443"/>
      <c r="J75" s="443"/>
      <c r="K75" s="443"/>
      <c r="L75" s="443"/>
      <c r="M75" s="443"/>
      <c r="N75" s="443"/>
    </row>
    <row r="76" spans="1:14">
      <c r="A76" s="82"/>
      <c r="B76" s="442" t="s">
        <v>485</v>
      </c>
      <c r="C76" s="442" t="s">
        <v>1051</v>
      </c>
      <c r="D76" s="440">
        <f>'P&amp;L and Cash Flow'!D70</f>
        <v>0</v>
      </c>
      <c r="E76" s="440">
        <f>'P&amp;L and Cash Flow'!E70</f>
        <v>653112.70285714313</v>
      </c>
      <c r="F76" s="440">
        <f>'P&amp;L and Cash Flow'!F70</f>
        <v>1716567.0007905057</v>
      </c>
      <c r="G76" s="440">
        <f>'P&amp;L and Cash Flow'!G70</f>
        <v>1716567.0007905057</v>
      </c>
      <c r="H76" s="440">
        <f>'P&amp;L and Cash Flow'!H70</f>
        <v>1716567.0007905057</v>
      </c>
      <c r="I76" s="440">
        <f>'P&amp;L and Cash Flow'!I70</f>
        <v>1716567.0007905059</v>
      </c>
      <c r="J76" s="440">
        <f>'P&amp;L and Cash Flow'!J70</f>
        <v>1716567.0007905057</v>
      </c>
      <c r="K76" s="440">
        <f>'P&amp;L and Cash Flow'!K70</f>
        <v>1716567.0007905059</v>
      </c>
      <c r="L76" s="440">
        <f>'P&amp;L and Cash Flow'!L70</f>
        <v>2041235.2078936067</v>
      </c>
      <c r="M76" s="440">
        <f>'P&amp;L and Cash Flow'!M70</f>
        <v>1716567.0007905059</v>
      </c>
      <c r="N76" s="440">
        <f>'P&amp;L and Cash Flow'!N70</f>
        <v>1015235</v>
      </c>
    </row>
    <row r="77" spans="1:14">
      <c r="A77" s="82"/>
      <c r="B77" s="208"/>
      <c r="C77" s="208"/>
      <c r="D77" s="443"/>
      <c r="E77" s="443"/>
      <c r="F77" s="443"/>
      <c r="G77" s="443"/>
      <c r="H77" s="443"/>
      <c r="I77" s="443"/>
      <c r="J77" s="443"/>
      <c r="K77" s="443"/>
      <c r="L77" s="443"/>
      <c r="M77" s="443"/>
      <c r="N77" s="443"/>
    </row>
    <row r="78" spans="1:14">
      <c r="A78" s="82"/>
      <c r="B78" s="442" t="s">
        <v>486</v>
      </c>
      <c r="C78" s="442" t="s">
        <v>1015</v>
      </c>
      <c r="D78" s="445" t="e">
        <f t="shared" ref="D78:L78" si="52">D74/D76</f>
        <v>#DIV/0!</v>
      </c>
      <c r="E78" s="445">
        <f t="shared" si="52"/>
        <v>1.8969543983993304</v>
      </c>
      <c r="F78" s="445">
        <f t="shared" si="52"/>
        <v>1.2458568624090225</v>
      </c>
      <c r="G78" s="445">
        <f t="shared" si="52"/>
        <v>1.817567832562631</v>
      </c>
      <c r="H78" s="445">
        <f t="shared" si="52"/>
        <v>2.4956833660446871</v>
      </c>
      <c r="I78" s="445">
        <f t="shared" si="52"/>
        <v>2.6603109287649622</v>
      </c>
      <c r="J78" s="445">
        <f t="shared" si="52"/>
        <v>2.8274715504227581</v>
      </c>
      <c r="K78" s="445">
        <f t="shared" si="52"/>
        <v>2.983154788218382</v>
      </c>
      <c r="L78" s="445">
        <f t="shared" si="52"/>
        <v>2.6502637921019496</v>
      </c>
      <c r="M78" s="445">
        <f t="shared" ref="M78:N78" si="53">M74/M76</f>
        <v>3.329634339601947</v>
      </c>
      <c r="N78" s="445">
        <f t="shared" si="53"/>
        <v>5.948910727712331</v>
      </c>
    </row>
    <row r="79" spans="1:14">
      <c r="A79" s="82"/>
      <c r="B79" s="208"/>
      <c r="C79" s="208"/>
      <c r="D79" s="443"/>
      <c r="E79" s="443"/>
      <c r="F79" s="443"/>
      <c r="G79" s="443"/>
      <c r="H79" s="443"/>
      <c r="I79" s="443"/>
      <c r="J79" s="443"/>
      <c r="K79" s="443"/>
      <c r="L79" s="443"/>
      <c r="M79" s="443"/>
      <c r="N79" s="443"/>
    </row>
    <row r="80" spans="1:14">
      <c r="A80" s="82"/>
      <c r="B80" s="241" t="s">
        <v>374</v>
      </c>
      <c r="C80" s="241" t="s">
        <v>1052</v>
      </c>
      <c r="D80" s="237">
        <f t="shared" ref="D80:L80" si="54">D74</f>
        <v>234350.43636363628</v>
      </c>
      <c r="E80" s="237">
        <f t="shared" si="54"/>
        <v>1238925.0143353327</v>
      </c>
      <c r="F80" s="237">
        <f t="shared" si="54"/>
        <v>2138596.7777197254</v>
      </c>
      <c r="G80" s="237">
        <f t="shared" si="54"/>
        <v>3119976.9630753356</v>
      </c>
      <c r="H80" s="237">
        <f t="shared" si="54"/>
        <v>4284007.7105740821</v>
      </c>
      <c r="I80" s="237">
        <f t="shared" si="54"/>
        <v>4566601.9521602765</v>
      </c>
      <c r="J80" s="237">
        <f t="shared" si="54"/>
        <v>4853544.3591296747</v>
      </c>
      <c r="K80" s="237">
        <f t="shared" si="54"/>
        <v>5120785.067705865</v>
      </c>
      <c r="L80" s="237">
        <f t="shared" si="54"/>
        <v>5409811.7626441214</v>
      </c>
      <c r="M80" s="237">
        <f t="shared" ref="M80:N80" si="55">M74</f>
        <v>5715540.4320595907</v>
      </c>
      <c r="N80" s="237">
        <f t="shared" si="55"/>
        <v>6039542.3826490287</v>
      </c>
    </row>
    <row r="81" spans="1:14">
      <c r="A81" s="82"/>
      <c r="B81" s="241" t="s">
        <v>376</v>
      </c>
      <c r="C81" s="241" t="s">
        <v>1053</v>
      </c>
      <c r="D81" s="197">
        <f t="shared" ref="D81:L81" si="56">D76</f>
        <v>0</v>
      </c>
      <c r="E81" s="197">
        <f t="shared" si="56"/>
        <v>653112.70285714313</v>
      </c>
      <c r="F81" s="197">
        <f t="shared" si="56"/>
        <v>1716567.0007905057</v>
      </c>
      <c r="G81" s="197">
        <f t="shared" si="56"/>
        <v>1716567.0007905057</v>
      </c>
      <c r="H81" s="197">
        <f t="shared" si="56"/>
        <v>1716567.0007905057</v>
      </c>
      <c r="I81" s="197">
        <f t="shared" si="56"/>
        <v>1716567.0007905059</v>
      </c>
      <c r="J81" s="197">
        <f t="shared" si="56"/>
        <v>1716567.0007905057</v>
      </c>
      <c r="K81" s="197">
        <f t="shared" si="56"/>
        <v>1716567.0007905059</v>
      </c>
      <c r="L81" s="197">
        <f t="shared" si="56"/>
        <v>2041235.2078936067</v>
      </c>
      <c r="M81" s="197">
        <f t="shared" ref="M81:N81" si="57">M76</f>
        <v>1716567.0007905059</v>
      </c>
      <c r="N81" s="197">
        <f t="shared" si="57"/>
        <v>1015235</v>
      </c>
    </row>
    <row r="82" spans="1:14">
      <c r="A82" s="82"/>
      <c r="B82" s="241" t="s">
        <v>430</v>
      </c>
      <c r="C82" s="241" t="s">
        <v>989</v>
      </c>
      <c r="D82" s="197">
        <v>50000</v>
      </c>
      <c r="E82" s="197">
        <f>D82</f>
        <v>50000</v>
      </c>
      <c r="F82" s="197">
        <f t="shared" ref="F82:L82" si="58">E82</f>
        <v>50000</v>
      </c>
      <c r="G82" s="197">
        <f t="shared" si="58"/>
        <v>50000</v>
      </c>
      <c r="H82" s="197">
        <f t="shared" si="58"/>
        <v>50000</v>
      </c>
      <c r="I82" s="197">
        <f t="shared" si="58"/>
        <v>50000</v>
      </c>
      <c r="J82" s="197">
        <f t="shared" si="58"/>
        <v>50000</v>
      </c>
      <c r="K82" s="197">
        <f t="shared" si="58"/>
        <v>50000</v>
      </c>
      <c r="L82" s="197">
        <f t="shared" si="58"/>
        <v>50000</v>
      </c>
      <c r="M82" s="197">
        <f t="shared" ref="M82" si="59">L82</f>
        <v>50000</v>
      </c>
      <c r="N82" s="197">
        <f t="shared" ref="N82" si="60">M82</f>
        <v>50000</v>
      </c>
    </row>
    <row r="83" spans="1:14">
      <c r="A83" s="82"/>
      <c r="B83" s="241" t="s">
        <v>378</v>
      </c>
      <c r="C83" s="241" t="s">
        <v>1060</v>
      </c>
      <c r="D83" s="200">
        <f>'P&amp;L and Cash Flow'!D77</f>
        <v>0</v>
      </c>
      <c r="E83" s="200">
        <f>'P&amp;L and Cash Flow'!E77</f>
        <v>240000.00000000003</v>
      </c>
      <c r="F83" s="200">
        <f>'P&amp;L and Cash Flow'!F77</f>
        <v>240000.00000000003</v>
      </c>
      <c r="G83" s="200"/>
      <c r="H83" s="200"/>
      <c r="I83" s="200"/>
      <c r="J83" s="200"/>
      <c r="K83" s="200"/>
      <c r="L83" s="200"/>
      <c r="M83" s="200"/>
      <c r="N83" s="200"/>
    </row>
    <row r="84" spans="1:14">
      <c r="A84" s="82"/>
      <c r="B84" s="241" t="s">
        <v>372</v>
      </c>
      <c r="C84" s="241" t="s">
        <v>1012</v>
      </c>
      <c r="D84" s="237">
        <f t="shared" ref="D84:L84" si="61">D80-D81--D82-D83</f>
        <v>284350.43636363628</v>
      </c>
      <c r="E84" s="237">
        <f t="shared" si="61"/>
        <v>395812.31147818954</v>
      </c>
      <c r="F84" s="237">
        <f t="shared" si="61"/>
        <v>232029.77692921969</v>
      </c>
      <c r="G84" s="237">
        <f t="shared" si="61"/>
        <v>1453409.9622848299</v>
      </c>
      <c r="H84" s="237">
        <f t="shared" si="61"/>
        <v>2617440.7097835764</v>
      </c>
      <c r="I84" s="237">
        <f t="shared" si="61"/>
        <v>2900034.9513697708</v>
      </c>
      <c r="J84" s="237">
        <f t="shared" si="61"/>
        <v>3186977.3583391691</v>
      </c>
      <c r="K84" s="237">
        <f t="shared" si="61"/>
        <v>3454218.0669153593</v>
      </c>
      <c r="L84" s="237">
        <f t="shared" si="61"/>
        <v>3418576.5547505147</v>
      </c>
      <c r="M84" s="237">
        <f t="shared" ref="M84:N84" si="62">M80-M81--M82-M83</f>
        <v>4048973.431269085</v>
      </c>
      <c r="N84" s="237">
        <f t="shared" si="62"/>
        <v>5074307.3826490287</v>
      </c>
    </row>
    <row r="85" spans="1:14">
      <c r="A85" s="82"/>
      <c r="B85" s="134"/>
      <c r="C85" s="134"/>
      <c r="D85" s="134"/>
      <c r="E85" s="134"/>
      <c r="F85" s="134"/>
      <c r="G85" s="134"/>
      <c r="H85" s="134"/>
      <c r="I85" s="134"/>
      <c r="J85" s="134"/>
      <c r="K85" s="134"/>
      <c r="L85" s="134"/>
      <c r="M85" s="134"/>
      <c r="N85" s="134"/>
    </row>
    <row r="86" spans="1:14">
      <c r="A86" s="82"/>
      <c r="B86" s="442" t="s">
        <v>377</v>
      </c>
      <c r="C86" s="442" t="s">
        <v>993</v>
      </c>
      <c r="D86" s="238">
        <f>D84-Offering!C16-Offering!C17</f>
        <v>-3715649.5636363635</v>
      </c>
      <c r="E86" s="238">
        <f t="shared" ref="E86:L86" si="63">E84</f>
        <v>395812.31147818954</v>
      </c>
      <c r="F86" s="238">
        <f t="shared" si="63"/>
        <v>232029.77692921969</v>
      </c>
      <c r="G86" s="238">
        <f t="shared" si="63"/>
        <v>1453409.9622848299</v>
      </c>
      <c r="H86" s="238">
        <f t="shared" si="63"/>
        <v>2617440.7097835764</v>
      </c>
      <c r="I86" s="238">
        <f t="shared" si="63"/>
        <v>2900034.9513697708</v>
      </c>
      <c r="J86" s="238">
        <f t="shared" si="63"/>
        <v>3186977.3583391691</v>
      </c>
      <c r="K86" s="238">
        <f t="shared" si="63"/>
        <v>3454218.0669153593</v>
      </c>
      <c r="L86" s="238">
        <f t="shared" si="63"/>
        <v>3418576.5547505147</v>
      </c>
      <c r="M86" s="238">
        <f t="shared" ref="M86:N86" si="64">M84</f>
        <v>4048973.431269085</v>
      </c>
      <c r="N86" s="238">
        <f t="shared" si="64"/>
        <v>5074307.3826490287</v>
      </c>
    </row>
    <row r="87" spans="1:14">
      <c r="A87" s="82"/>
      <c r="B87" s="241"/>
      <c r="C87" s="241"/>
      <c r="D87" s="237"/>
      <c r="E87" s="237"/>
      <c r="F87" s="237"/>
      <c r="G87" s="237"/>
      <c r="H87" s="237"/>
      <c r="I87" s="237"/>
      <c r="J87" s="237"/>
      <c r="K87" s="237"/>
      <c r="L87" s="237"/>
      <c r="M87" s="237"/>
      <c r="N87" s="237"/>
    </row>
    <row r="88" spans="1:14">
      <c r="A88" s="82"/>
      <c r="B88" s="82"/>
      <c r="C88" s="82"/>
      <c r="D88" s="82"/>
      <c r="E88" s="82"/>
      <c r="F88" s="82"/>
      <c r="G88" s="82"/>
      <c r="H88" s="82"/>
      <c r="I88" s="82"/>
      <c r="J88" s="82"/>
      <c r="K88" s="82"/>
      <c r="L88" s="82"/>
      <c r="M88" s="82"/>
      <c r="N88" s="82"/>
    </row>
    <row r="89" spans="1:14">
      <c r="A89" s="82"/>
      <c r="B89" s="504" t="s">
        <v>72</v>
      </c>
      <c r="C89" s="504" t="s">
        <v>1054</v>
      </c>
      <c r="D89" s="82"/>
      <c r="E89" s="82"/>
      <c r="F89" s="82"/>
      <c r="G89" s="82"/>
      <c r="H89" s="82"/>
      <c r="I89" s="82"/>
      <c r="J89" s="82"/>
      <c r="K89" s="82"/>
      <c r="L89" s="82"/>
      <c r="M89" s="82"/>
      <c r="N89" s="82"/>
    </row>
    <row r="90" spans="1:14">
      <c r="A90" s="82"/>
      <c r="B90" s="82"/>
      <c r="C90" s="82"/>
      <c r="D90" s="82"/>
      <c r="E90" s="82"/>
      <c r="F90" s="82"/>
      <c r="G90" s="82"/>
      <c r="H90" s="82"/>
      <c r="I90" s="82"/>
      <c r="J90" s="82"/>
      <c r="K90" s="82"/>
      <c r="L90" s="82"/>
      <c r="M90" s="82"/>
      <c r="N90" s="82"/>
    </row>
    <row r="91" spans="1:14">
      <c r="A91" s="82"/>
      <c r="B91" s="505" t="s">
        <v>66</v>
      </c>
      <c r="C91" s="505" t="s">
        <v>996</v>
      </c>
      <c r="D91" s="439" t="s">
        <v>36</v>
      </c>
      <c r="E91" s="458" t="s">
        <v>37</v>
      </c>
      <c r="F91" s="458" t="s">
        <v>38</v>
      </c>
      <c r="G91" s="458" t="s">
        <v>39</v>
      </c>
      <c r="H91" s="458" t="s">
        <v>40</v>
      </c>
      <c r="I91" s="458" t="s">
        <v>41</v>
      </c>
      <c r="J91" s="458" t="s">
        <v>42</v>
      </c>
      <c r="K91" s="458" t="s">
        <v>43</v>
      </c>
      <c r="L91" s="458" t="s">
        <v>168</v>
      </c>
      <c r="M91" s="458" t="s">
        <v>729</v>
      </c>
      <c r="N91" s="458" t="s">
        <v>730</v>
      </c>
    </row>
    <row r="92" spans="1:14">
      <c r="A92" s="82"/>
      <c r="B92" s="506" t="s">
        <v>67</v>
      </c>
      <c r="C92" s="506" t="s">
        <v>941</v>
      </c>
      <c r="D92" s="601">
        <f t="shared" ref="D92:L92" si="65">D18</f>
        <v>0</v>
      </c>
      <c r="E92" s="515">
        <f t="shared" si="65"/>
        <v>2062395.8046093395</v>
      </c>
      <c r="F92" s="515">
        <f t="shared" si="65"/>
        <v>1680382.5113373552</v>
      </c>
      <c r="G92" s="515">
        <f t="shared" si="65"/>
        <v>1445783.4725297736</v>
      </c>
      <c r="H92" s="515">
        <f t="shared" si="65"/>
        <v>1144527.6707245843</v>
      </c>
      <c r="I92" s="515">
        <f t="shared" si="65"/>
        <v>1129520.3361939699</v>
      </c>
      <c r="J92" s="515">
        <f t="shared" si="65"/>
        <v>1098342.4196953708</v>
      </c>
      <c r="K92" s="515">
        <f t="shared" si="65"/>
        <v>1057027.5289433282</v>
      </c>
      <c r="L92" s="515">
        <f t="shared" si="65"/>
        <v>1018623.2922717006</v>
      </c>
      <c r="M92" s="515">
        <f t="shared" ref="M92:N92" si="66">M18</f>
        <v>976206.49596736045</v>
      </c>
      <c r="N92" s="515">
        <f t="shared" si="66"/>
        <v>929307.77497596364</v>
      </c>
    </row>
    <row r="93" spans="1:14">
      <c r="A93" s="82"/>
      <c r="B93" s="506" t="s">
        <v>96</v>
      </c>
      <c r="C93" s="506" t="s">
        <v>997</v>
      </c>
      <c r="D93" s="601">
        <f t="shared" ref="D93:D96" si="67">D19</f>
        <v>0</v>
      </c>
      <c r="E93" s="515">
        <f t="shared" ref="E93:L96" si="68">E19</f>
        <v>275400</v>
      </c>
      <c r="F93" s="515">
        <f t="shared" si="68"/>
        <v>280908</v>
      </c>
      <c r="G93" s="515">
        <f t="shared" si="68"/>
        <v>286526.15999999997</v>
      </c>
      <c r="H93" s="515">
        <f t="shared" si="68"/>
        <v>292256.68319999997</v>
      </c>
      <c r="I93" s="515">
        <f t="shared" si="68"/>
        <v>298101.81686400005</v>
      </c>
      <c r="J93" s="515">
        <f t="shared" si="68"/>
        <v>304063.85320128006</v>
      </c>
      <c r="K93" s="515">
        <f t="shared" si="68"/>
        <v>310145.13026530563</v>
      </c>
      <c r="L93" s="515">
        <f t="shared" si="68"/>
        <v>316348.03287061176</v>
      </c>
      <c r="M93" s="515">
        <f t="shared" ref="M93:N93" si="69">M19</f>
        <v>322674.993528024</v>
      </c>
      <c r="N93" s="515">
        <f t="shared" si="69"/>
        <v>329128.49339858454</v>
      </c>
    </row>
    <row r="94" spans="1:14">
      <c r="A94" s="82"/>
      <c r="B94" s="506" t="s">
        <v>94</v>
      </c>
      <c r="C94" s="506" t="s">
        <v>998</v>
      </c>
      <c r="D94" s="601">
        <f t="shared" si="67"/>
        <v>0</v>
      </c>
      <c r="E94" s="515">
        <f t="shared" si="68"/>
        <v>2128322.4101453088</v>
      </c>
      <c r="F94" s="515">
        <f t="shared" si="68"/>
        <v>3920286.5395647199</v>
      </c>
      <c r="G94" s="515">
        <f t="shared" si="68"/>
        <v>5156841.914939425</v>
      </c>
      <c r="H94" s="515">
        <f t="shared" si="68"/>
        <v>6729197.3895977195</v>
      </c>
      <c r="I94" s="515">
        <f t="shared" si="68"/>
        <v>7012891.7644111756</v>
      </c>
      <c r="J94" s="515">
        <f t="shared" si="68"/>
        <v>7308183.2454624511</v>
      </c>
      <c r="K94" s="515">
        <f t="shared" si="68"/>
        <v>7626534.9341785694</v>
      </c>
      <c r="L94" s="515">
        <f t="shared" si="68"/>
        <v>7960644.8280001059</v>
      </c>
      <c r="M94" s="515">
        <f t="shared" ref="M94:N94" si="70">M20</f>
        <v>8312199.9492971506</v>
      </c>
      <c r="N94" s="515">
        <f t="shared" si="70"/>
        <v>8683082.0957632437</v>
      </c>
    </row>
    <row r="95" spans="1:14">
      <c r="A95" s="82"/>
      <c r="B95" s="506" t="s">
        <v>68</v>
      </c>
      <c r="C95" s="506" t="s">
        <v>999</v>
      </c>
      <c r="D95" s="601">
        <f t="shared" si="67"/>
        <v>1253683.6363636362</v>
      </c>
      <c r="E95" s="515">
        <f t="shared" si="68"/>
        <v>759287.11499999976</v>
      </c>
      <c r="F95" s="515">
        <f t="shared" si="68"/>
        <v>784814.70801845426</v>
      </c>
      <c r="G95" s="515">
        <f t="shared" si="68"/>
        <v>811218.15808074269</v>
      </c>
      <c r="H95" s="515">
        <f t="shared" si="68"/>
        <v>838528.15498846944</v>
      </c>
      <c r="I95" s="515">
        <f t="shared" si="68"/>
        <v>866776.48662757035</v>
      </c>
      <c r="J95" s="515">
        <f t="shared" si="68"/>
        <v>895996.07904905372</v>
      </c>
      <c r="K95" s="515">
        <f t="shared" si="68"/>
        <v>926221.03803968884</v>
      </c>
      <c r="L95" s="515">
        <f t="shared" si="68"/>
        <v>957486.69223893725</v>
      </c>
      <c r="M95" s="515">
        <f t="shared" ref="M95:N95" si="71">M21</f>
        <v>989829.63786056067</v>
      </c>
      <c r="N95" s="515">
        <f t="shared" si="71"/>
        <v>1023287.7850796039</v>
      </c>
    </row>
    <row r="96" spans="1:14">
      <c r="A96" s="82"/>
      <c r="B96" s="507" t="s">
        <v>69</v>
      </c>
      <c r="C96" s="507" t="s">
        <v>763</v>
      </c>
      <c r="D96" s="602">
        <f t="shared" si="67"/>
        <v>266976</v>
      </c>
      <c r="E96" s="516">
        <f t="shared" si="68"/>
        <v>733294.08000000007</v>
      </c>
      <c r="F96" s="516">
        <f t="shared" si="68"/>
        <v>815716.33459200023</v>
      </c>
      <c r="G96" s="516">
        <f t="shared" si="68"/>
        <v>907402.8506001411</v>
      </c>
      <c r="H96" s="516">
        <f t="shared" si="68"/>
        <v>1009394.931007597</v>
      </c>
      <c r="I96" s="516">
        <f t="shared" si="68"/>
        <v>1122850.9212528511</v>
      </c>
      <c r="J96" s="516">
        <f t="shared" si="68"/>
        <v>1249059.3648016718</v>
      </c>
      <c r="K96" s="516">
        <f t="shared" si="68"/>
        <v>1350857.7030330081</v>
      </c>
      <c r="L96" s="516">
        <f t="shared" si="68"/>
        <v>1460952.6058301982</v>
      </c>
      <c r="M96" s="516">
        <f t="shared" ref="M96:N96" si="72">M22</f>
        <v>1580020.2432053594</v>
      </c>
      <c r="N96" s="516">
        <f t="shared" si="72"/>
        <v>1708791.8930265966</v>
      </c>
    </row>
    <row r="97" spans="1:14">
      <c r="A97" s="82"/>
      <c r="B97" s="508" t="s">
        <v>339</v>
      </c>
      <c r="C97" s="508" t="s">
        <v>1000</v>
      </c>
      <c r="D97" s="517">
        <f t="shared" ref="D97:L97" si="73">SUM(D92:D96)</f>
        <v>1520659.6363636362</v>
      </c>
      <c r="E97" s="517">
        <f t="shared" si="73"/>
        <v>5958699.4097546488</v>
      </c>
      <c r="F97" s="517">
        <f t="shared" si="73"/>
        <v>7482108.0935125304</v>
      </c>
      <c r="G97" s="517">
        <f t="shared" si="73"/>
        <v>8607772.5561500825</v>
      </c>
      <c r="H97" s="517">
        <f t="shared" si="73"/>
        <v>10013904.82951837</v>
      </c>
      <c r="I97" s="517">
        <f t="shared" si="73"/>
        <v>10430141.325349566</v>
      </c>
      <c r="J97" s="518">
        <f t="shared" si="73"/>
        <v>10855644.962209828</v>
      </c>
      <c r="K97" s="518">
        <f t="shared" si="73"/>
        <v>11270786.334459899</v>
      </c>
      <c r="L97" s="518">
        <f t="shared" si="73"/>
        <v>11714055.451211555</v>
      </c>
      <c r="M97" s="518">
        <f t="shared" ref="M97:N97" si="74">SUM(M92:M96)</f>
        <v>12180931.319858454</v>
      </c>
      <c r="N97" s="518">
        <f t="shared" si="74"/>
        <v>12673598.042243991</v>
      </c>
    </row>
    <row r="98" spans="1:14">
      <c r="A98" s="82"/>
      <c r="B98" s="509"/>
      <c r="C98" s="509"/>
      <c r="D98" s="509"/>
      <c r="E98" s="515"/>
      <c r="F98" s="515"/>
      <c r="G98" s="515"/>
      <c r="H98" s="515"/>
      <c r="I98" s="515"/>
      <c r="J98" s="519"/>
      <c r="K98" s="519"/>
      <c r="L98" s="519"/>
      <c r="M98" s="519"/>
      <c r="N98" s="519"/>
    </row>
    <row r="99" spans="1:14">
      <c r="A99" s="82"/>
      <c r="B99" s="510" t="s">
        <v>434</v>
      </c>
      <c r="C99" s="510" t="s">
        <v>1001</v>
      </c>
      <c r="D99" s="510"/>
      <c r="E99" s="516"/>
      <c r="F99" s="516"/>
      <c r="G99" s="516"/>
      <c r="H99" s="516"/>
      <c r="I99" s="516"/>
      <c r="J99" s="520"/>
      <c r="K99" s="520"/>
      <c r="L99" s="520"/>
      <c r="M99" s="520"/>
      <c r="N99" s="520"/>
    </row>
    <row r="100" spans="1:14">
      <c r="A100" s="82"/>
      <c r="B100" s="506" t="s">
        <v>431</v>
      </c>
      <c r="C100" s="506" t="s">
        <v>1055</v>
      </c>
      <c r="D100" s="601">
        <f t="shared" ref="D100:L100" si="75">D31</f>
        <v>714958.2</v>
      </c>
      <c r="E100" s="515">
        <f t="shared" si="75"/>
        <v>2302719.4291683254</v>
      </c>
      <c r="F100" s="515">
        <f t="shared" si="75"/>
        <v>2765205.6107351962</v>
      </c>
      <c r="G100" s="515">
        <f t="shared" si="75"/>
        <v>2791582.2210976514</v>
      </c>
      <c r="H100" s="515">
        <f t="shared" si="75"/>
        <v>2872145.9245805764</v>
      </c>
      <c r="I100" s="515">
        <f t="shared" si="75"/>
        <v>2949752.0391725823</v>
      </c>
      <c r="J100" s="515">
        <f t="shared" si="75"/>
        <v>3030434.7455957183</v>
      </c>
      <c r="K100" s="515">
        <f t="shared" si="75"/>
        <v>3116936.5835746848</v>
      </c>
      <c r="L100" s="515">
        <f t="shared" si="75"/>
        <v>3207508.7981356476</v>
      </c>
      <c r="M100" s="515">
        <f t="shared" ref="M100:N100" si="76">M31</f>
        <v>3302568.1539453338</v>
      </c>
      <c r="N100" s="515">
        <f t="shared" si="76"/>
        <v>3402568.7465588655</v>
      </c>
    </row>
    <row r="101" spans="1:14">
      <c r="A101" s="82"/>
      <c r="B101" s="506" t="s">
        <v>432</v>
      </c>
      <c r="C101" s="506" t="s">
        <v>1056</v>
      </c>
      <c r="D101" s="601">
        <f t="shared" ref="D101:L101" si="77">D40</f>
        <v>378400.00000000006</v>
      </c>
      <c r="E101" s="515">
        <f t="shared" si="77"/>
        <v>1284812.0336221929</v>
      </c>
      <c r="F101" s="515">
        <f t="shared" si="77"/>
        <v>1371093.5729572128</v>
      </c>
      <c r="G101" s="515">
        <f t="shared" si="77"/>
        <v>1427487.8335622996</v>
      </c>
      <c r="H101" s="515">
        <f t="shared" si="77"/>
        <v>1519363.3004559178</v>
      </c>
      <c r="I101" s="515">
        <f t="shared" si="77"/>
        <v>1535683.5379138927</v>
      </c>
      <c r="J101" s="515">
        <f t="shared" si="77"/>
        <v>1552677.5963580115</v>
      </c>
      <c r="K101" s="515">
        <f t="shared" si="77"/>
        <v>1571739.8120311822</v>
      </c>
      <c r="L101" s="515">
        <f t="shared" si="77"/>
        <v>1591770.1023215975</v>
      </c>
      <c r="M101" s="515">
        <f t="shared" ref="M101:N101" si="78">M40</f>
        <v>1612854.0431191805</v>
      </c>
      <c r="N101" s="515">
        <f t="shared" si="78"/>
        <v>1635088.1133412754</v>
      </c>
    </row>
    <row r="102" spans="1:14">
      <c r="A102" s="82"/>
      <c r="B102" s="507" t="s">
        <v>433</v>
      </c>
      <c r="C102" s="507" t="s">
        <v>1004</v>
      </c>
      <c r="D102" s="603">
        <f t="shared" ref="D102:L102" si="79">D56</f>
        <v>359271</v>
      </c>
      <c r="E102" s="521">
        <f t="shared" si="79"/>
        <v>1132242.9326287981</v>
      </c>
      <c r="F102" s="521">
        <f t="shared" si="79"/>
        <v>1207212.1321003963</v>
      </c>
      <c r="G102" s="521">
        <f t="shared" si="79"/>
        <v>1268725.5384147954</v>
      </c>
      <c r="H102" s="521">
        <f t="shared" si="79"/>
        <v>1338387.893907794</v>
      </c>
      <c r="I102" s="521">
        <f t="shared" si="79"/>
        <v>1378103.7961028139</v>
      </c>
      <c r="J102" s="521">
        <f t="shared" si="79"/>
        <v>1418988.261126423</v>
      </c>
      <c r="K102" s="521">
        <f t="shared" si="79"/>
        <v>1461324.8711481674</v>
      </c>
      <c r="L102" s="521">
        <f t="shared" si="79"/>
        <v>1504964.7881101884</v>
      </c>
      <c r="M102" s="521">
        <f t="shared" ref="M102:N102" si="80">M56</f>
        <v>1549967.6907343504</v>
      </c>
      <c r="N102" s="521">
        <f t="shared" si="80"/>
        <v>1596396.7996948212</v>
      </c>
    </row>
    <row r="103" spans="1:14">
      <c r="A103" s="82"/>
      <c r="B103" s="511" t="s">
        <v>435</v>
      </c>
      <c r="C103" s="511" t="s">
        <v>1005</v>
      </c>
      <c r="D103" s="517">
        <f t="shared" ref="D103:L103" si="81">D100+D101+D102</f>
        <v>1452629.2</v>
      </c>
      <c r="E103" s="517">
        <f t="shared" si="81"/>
        <v>4719774.3954193164</v>
      </c>
      <c r="F103" s="517">
        <f t="shared" si="81"/>
        <v>5343511.3157928046</v>
      </c>
      <c r="G103" s="517">
        <f t="shared" si="81"/>
        <v>5487795.5930747464</v>
      </c>
      <c r="H103" s="517">
        <f t="shared" si="81"/>
        <v>5729897.1189442882</v>
      </c>
      <c r="I103" s="517">
        <f t="shared" si="81"/>
        <v>5863539.3731892891</v>
      </c>
      <c r="J103" s="518">
        <f t="shared" si="81"/>
        <v>6002100.6030801535</v>
      </c>
      <c r="K103" s="518">
        <f t="shared" si="81"/>
        <v>6150001.266754034</v>
      </c>
      <c r="L103" s="518">
        <f t="shared" si="81"/>
        <v>6304243.6885674335</v>
      </c>
      <c r="M103" s="518">
        <f t="shared" ref="M103:N103" si="82">M100+M101+M102</f>
        <v>6465389.8877988644</v>
      </c>
      <c r="N103" s="518">
        <f t="shared" si="82"/>
        <v>6634053.6595949624</v>
      </c>
    </row>
    <row r="104" spans="1:14">
      <c r="A104" s="82"/>
      <c r="B104" s="512"/>
      <c r="C104" s="512"/>
      <c r="D104" s="512"/>
      <c r="E104" s="515"/>
      <c r="F104" s="515"/>
      <c r="G104" s="515"/>
      <c r="H104" s="515"/>
      <c r="I104" s="515"/>
      <c r="J104" s="519"/>
      <c r="K104" s="519"/>
      <c r="L104" s="519"/>
      <c r="M104" s="519"/>
      <c r="N104" s="519"/>
    </row>
    <row r="105" spans="1:14">
      <c r="A105" s="82"/>
      <c r="B105" s="511" t="s">
        <v>28</v>
      </c>
      <c r="C105" s="511" t="s">
        <v>28</v>
      </c>
      <c r="D105" s="517">
        <f t="shared" ref="D105:L105" si="83">D97-D103</f>
        <v>68030.436363636283</v>
      </c>
      <c r="E105" s="517">
        <f t="shared" si="83"/>
        <v>1238925.0143353324</v>
      </c>
      <c r="F105" s="517">
        <f t="shared" si="83"/>
        <v>2138596.7777197259</v>
      </c>
      <c r="G105" s="517">
        <f t="shared" si="83"/>
        <v>3119976.9630753361</v>
      </c>
      <c r="H105" s="517">
        <f t="shared" si="83"/>
        <v>4284007.7105740821</v>
      </c>
      <c r="I105" s="517">
        <f t="shared" si="83"/>
        <v>4566601.9521602765</v>
      </c>
      <c r="J105" s="517">
        <f t="shared" si="83"/>
        <v>4853544.3591296747</v>
      </c>
      <c r="K105" s="517">
        <f t="shared" si="83"/>
        <v>5120785.067705865</v>
      </c>
      <c r="L105" s="517">
        <f t="shared" si="83"/>
        <v>5409811.7626441214</v>
      </c>
      <c r="M105" s="517">
        <f t="shared" ref="M105:N105" si="84">M97-M103</f>
        <v>5715541.4320595898</v>
      </c>
      <c r="N105" s="517">
        <f t="shared" si="84"/>
        <v>6039544.3826490287</v>
      </c>
    </row>
    <row r="106" spans="1:14">
      <c r="A106" s="82"/>
      <c r="B106" s="512"/>
      <c r="C106" s="512"/>
      <c r="D106" s="512"/>
      <c r="E106" s="515"/>
      <c r="F106" s="515"/>
      <c r="G106" s="515"/>
      <c r="H106" s="515"/>
      <c r="I106" s="515"/>
      <c r="J106" s="519"/>
      <c r="K106" s="519"/>
      <c r="L106" s="519"/>
      <c r="M106" s="519"/>
      <c r="N106" s="519"/>
    </row>
    <row r="107" spans="1:14">
      <c r="A107" s="82"/>
      <c r="B107" s="512" t="s">
        <v>436</v>
      </c>
      <c r="C107" s="512" t="s">
        <v>1057</v>
      </c>
      <c r="D107" s="512"/>
      <c r="E107" s="522">
        <f>'Summary Cash Flows'!D23</f>
        <v>0</v>
      </c>
      <c r="F107" s="522">
        <f>'Summary Cash Flows'!E23</f>
        <v>0</v>
      </c>
      <c r="G107" s="522">
        <f>'Summary Cash Flows'!F23</f>
        <v>0</v>
      </c>
      <c r="H107" s="522">
        <f>'Summary Cash Flows'!G23</f>
        <v>0</v>
      </c>
      <c r="I107" s="522">
        <f>'Summary Cash Flows'!H23</f>
        <v>0</v>
      </c>
      <c r="J107" s="522">
        <f>'Summary Cash Flows'!I23</f>
        <v>262884.61170909967</v>
      </c>
      <c r="K107" s="522">
        <f>'Summary Cash Flows'!J23</f>
        <v>285355.9218403679</v>
      </c>
      <c r="L107" s="522">
        <f>'Summary Cash Flows'!K23</f>
        <v>309620.99221820547</v>
      </c>
      <c r="M107" s="522">
        <f>'Summary Cash Flows'!L23</f>
        <v>335508.49809987354</v>
      </c>
      <c r="N107" s="522">
        <f>'Summary Cash Flows'!M23</f>
        <v>360768.51874825387</v>
      </c>
    </row>
    <row r="108" spans="1:14">
      <c r="A108" s="82"/>
      <c r="B108" s="513" t="s">
        <v>430</v>
      </c>
      <c r="C108" s="513" t="s">
        <v>989</v>
      </c>
      <c r="D108" s="513"/>
      <c r="E108" s="516">
        <f>'Summary Cash Flows'!D24</f>
        <v>35000</v>
      </c>
      <c r="F108" s="516">
        <f>'Summary Cash Flows'!E24</f>
        <v>36750</v>
      </c>
      <c r="G108" s="516">
        <f>'Summary Cash Flows'!F24</f>
        <v>38587.5</v>
      </c>
      <c r="H108" s="516">
        <f>'Summary Cash Flows'!G24</f>
        <v>40516.875</v>
      </c>
      <c r="I108" s="516">
        <f>'Summary Cash Flows'!H24</f>
        <v>42542.71875</v>
      </c>
      <c r="J108" s="516">
        <f>'Summary Cash Flows'!I24</f>
        <v>44669.854687500003</v>
      </c>
      <c r="K108" s="516">
        <f>'Summary Cash Flows'!J24</f>
        <v>46903.347421875005</v>
      </c>
      <c r="L108" s="516">
        <f>'Summary Cash Flows'!K24</f>
        <v>49248.514792968759</v>
      </c>
      <c r="M108" s="516">
        <f>'Summary Cash Flows'!L24</f>
        <v>51710.940532617198</v>
      </c>
      <c r="N108" s="516">
        <f>'Summary Cash Flows'!M24</f>
        <v>54296.48755924806</v>
      </c>
    </row>
    <row r="109" spans="1:14">
      <c r="A109" s="82"/>
      <c r="B109" s="512" t="s">
        <v>440</v>
      </c>
      <c r="C109" s="512" t="s">
        <v>1012</v>
      </c>
      <c r="D109" s="515">
        <f t="shared" ref="D109:L109" si="85">D105-D107-D108</f>
        <v>68030.436363636283</v>
      </c>
      <c r="E109" s="515">
        <f t="shared" si="85"/>
        <v>1203925.0143353324</v>
      </c>
      <c r="F109" s="515">
        <f t="shared" si="85"/>
        <v>2101846.7777197259</v>
      </c>
      <c r="G109" s="515">
        <f t="shared" si="85"/>
        <v>3081389.4630753361</v>
      </c>
      <c r="H109" s="515">
        <f t="shared" si="85"/>
        <v>4243490.8355740821</v>
      </c>
      <c r="I109" s="515">
        <f t="shared" si="85"/>
        <v>4524059.2334102765</v>
      </c>
      <c r="J109" s="515">
        <f t="shared" si="85"/>
        <v>4545989.8927330757</v>
      </c>
      <c r="K109" s="515">
        <f t="shared" si="85"/>
        <v>4788525.798443622</v>
      </c>
      <c r="L109" s="515">
        <f t="shared" si="85"/>
        <v>5050942.2556329472</v>
      </c>
      <c r="M109" s="515">
        <f t="shared" ref="M109:N109" si="86">M105-M107-M108</f>
        <v>5328321.9934270987</v>
      </c>
      <c r="N109" s="515">
        <f t="shared" si="86"/>
        <v>5624479.3763415273</v>
      </c>
    </row>
    <row r="110" spans="1:14">
      <c r="A110" s="82"/>
      <c r="B110" s="512"/>
      <c r="C110" s="512"/>
      <c r="D110" s="512"/>
      <c r="E110" s="515"/>
      <c r="F110" s="515"/>
      <c r="G110" s="515"/>
      <c r="H110" s="515"/>
      <c r="I110" s="515"/>
      <c r="J110" s="515"/>
      <c r="K110" s="515"/>
      <c r="L110" s="515"/>
      <c r="M110" s="515"/>
      <c r="N110" s="515"/>
    </row>
    <row r="111" spans="1:14">
      <c r="A111" s="82"/>
      <c r="B111" s="512" t="s">
        <v>437</v>
      </c>
      <c r="C111" s="512" t="s">
        <v>1058</v>
      </c>
      <c r="D111" s="439" t="s">
        <v>36</v>
      </c>
      <c r="E111" s="458" t="s">
        <v>37</v>
      </c>
      <c r="F111" s="458" t="s">
        <v>38</v>
      </c>
      <c r="G111" s="458" t="s">
        <v>39</v>
      </c>
      <c r="H111" s="458" t="s">
        <v>40</v>
      </c>
      <c r="I111" s="458" t="s">
        <v>41</v>
      </c>
      <c r="J111" s="458" t="s">
        <v>42</v>
      </c>
      <c r="K111" s="458" t="s">
        <v>43</v>
      </c>
      <c r="L111" s="458" t="s">
        <v>168</v>
      </c>
      <c r="M111" s="458" t="s">
        <v>729</v>
      </c>
      <c r="N111" s="458" t="s">
        <v>730</v>
      </c>
    </row>
    <row r="112" spans="1:14">
      <c r="A112" s="82"/>
      <c r="B112" s="509"/>
      <c r="C112" s="509"/>
      <c r="D112" s="519">
        <f>D109-Offering!C14</f>
        <v>-18217181.277922079</v>
      </c>
      <c r="E112" s="515">
        <f t="shared" ref="E112:L112" si="87">E109</f>
        <v>1203925.0143353324</v>
      </c>
      <c r="F112" s="515">
        <f t="shared" si="87"/>
        <v>2101846.7777197259</v>
      </c>
      <c r="G112" s="515">
        <f t="shared" si="87"/>
        <v>3081389.4630753361</v>
      </c>
      <c r="H112" s="515">
        <f t="shared" si="87"/>
        <v>4243490.8355740821</v>
      </c>
      <c r="I112" s="515">
        <f t="shared" si="87"/>
        <v>4524059.2334102765</v>
      </c>
      <c r="J112" s="515">
        <f t="shared" si="87"/>
        <v>4545989.8927330757</v>
      </c>
      <c r="K112" s="515">
        <f t="shared" si="87"/>
        <v>4788525.798443622</v>
      </c>
      <c r="L112" s="515">
        <f t="shared" si="87"/>
        <v>5050942.2556329472</v>
      </c>
      <c r="M112" s="515">
        <f t="shared" ref="M112:N112" si="88">M109</f>
        <v>5328321.9934270987</v>
      </c>
      <c r="N112" s="515">
        <f t="shared" si="88"/>
        <v>5624479.3763415273</v>
      </c>
    </row>
    <row r="113" spans="1:14">
      <c r="A113" s="82"/>
      <c r="B113" s="506" t="s">
        <v>438</v>
      </c>
      <c r="C113" s="506" t="s">
        <v>1009</v>
      </c>
      <c r="D113" s="604">
        <f>IRR(D112:N112)</f>
        <v>0.14348976849652906</v>
      </c>
      <c r="F113" s="519"/>
      <c r="G113" s="519"/>
      <c r="H113" s="519"/>
      <c r="I113" s="519"/>
      <c r="J113" s="519"/>
      <c r="K113" s="519"/>
      <c r="L113" s="519"/>
      <c r="M113" s="519"/>
      <c r="N113" s="519"/>
    </row>
    <row r="114" spans="1:14">
      <c r="A114" s="82"/>
      <c r="B114" s="506" t="s">
        <v>439</v>
      </c>
      <c r="D114" s="506"/>
      <c r="E114" s="509"/>
      <c r="F114" s="509"/>
      <c r="G114" s="509"/>
      <c r="H114" s="509"/>
      <c r="I114" s="509"/>
      <c r="J114" s="509"/>
      <c r="K114" s="509"/>
      <c r="L114" s="509"/>
      <c r="M114" s="509"/>
      <c r="N114" s="509"/>
    </row>
    <row r="115" spans="1:14">
      <c r="A115" s="82"/>
      <c r="B115" s="82"/>
      <c r="C115" s="82"/>
      <c r="D115" s="82"/>
      <c r="E115" s="82"/>
      <c r="F115" s="82"/>
      <c r="G115" s="82"/>
      <c r="H115" s="82"/>
      <c r="I115" s="82"/>
      <c r="J115" s="82"/>
      <c r="K115" s="82"/>
      <c r="L115" s="82"/>
      <c r="M115" s="82"/>
      <c r="N115" s="82"/>
    </row>
    <row r="116" spans="1:14">
      <c r="A116" s="82"/>
      <c r="B116" s="82"/>
      <c r="C116" s="82"/>
      <c r="D116" s="82"/>
      <c r="E116" s="82"/>
      <c r="F116" s="82"/>
      <c r="G116" s="82"/>
      <c r="H116" s="82"/>
      <c r="I116" s="82"/>
      <c r="J116" s="82"/>
      <c r="K116" s="82"/>
      <c r="L116" s="82"/>
      <c r="M116" s="82"/>
      <c r="N116" s="82"/>
    </row>
    <row r="117" spans="1:14">
      <c r="A117" s="82"/>
      <c r="B117" s="504" t="s">
        <v>71</v>
      </c>
      <c r="C117" s="504" t="s">
        <v>1011</v>
      </c>
      <c r="D117" s="504"/>
      <c r="E117" s="82"/>
      <c r="F117" s="82"/>
      <c r="G117" s="82"/>
      <c r="H117" s="82"/>
      <c r="I117" s="82"/>
      <c r="J117" s="82"/>
      <c r="K117" s="82"/>
      <c r="L117" s="82"/>
      <c r="M117" s="82"/>
      <c r="N117" s="82"/>
    </row>
    <row r="118" spans="1:14">
      <c r="A118" s="82"/>
      <c r="B118" s="514"/>
      <c r="C118" s="514"/>
      <c r="D118" s="439" t="s">
        <v>36</v>
      </c>
      <c r="E118" s="459" t="s">
        <v>37</v>
      </c>
      <c r="F118" s="459" t="s">
        <v>38</v>
      </c>
      <c r="G118" s="459" t="s">
        <v>39</v>
      </c>
      <c r="H118" s="459" t="s">
        <v>40</v>
      </c>
      <c r="I118" s="459" t="s">
        <v>41</v>
      </c>
      <c r="J118" s="459" t="s">
        <v>42</v>
      </c>
      <c r="K118" s="459" t="s">
        <v>43</v>
      </c>
      <c r="L118" s="459" t="s">
        <v>168</v>
      </c>
      <c r="M118" s="459" t="s">
        <v>729</v>
      </c>
      <c r="N118" s="459" t="s">
        <v>730</v>
      </c>
    </row>
    <row r="119" spans="1:14">
      <c r="A119" s="82"/>
      <c r="B119" s="135" t="s">
        <v>440</v>
      </c>
      <c r="C119" s="135" t="s">
        <v>1012</v>
      </c>
      <c r="D119" s="197">
        <f>D109</f>
        <v>68030.436363636283</v>
      </c>
      <c r="E119" s="552">
        <f t="shared" ref="E119:L119" si="89">E109</f>
        <v>1203925.0143353324</v>
      </c>
      <c r="F119" s="552">
        <f t="shared" si="89"/>
        <v>2101846.7777197259</v>
      </c>
      <c r="G119" s="552">
        <f t="shared" si="89"/>
        <v>3081389.4630753361</v>
      </c>
      <c r="H119" s="552">
        <f t="shared" si="89"/>
        <v>4243490.8355740821</v>
      </c>
      <c r="I119" s="552">
        <f t="shared" si="89"/>
        <v>4524059.2334102765</v>
      </c>
      <c r="J119" s="552">
        <f t="shared" si="89"/>
        <v>4545989.8927330757</v>
      </c>
      <c r="K119" s="552">
        <f t="shared" si="89"/>
        <v>4788525.798443622</v>
      </c>
      <c r="L119" s="552">
        <f t="shared" si="89"/>
        <v>5050942.2556329472</v>
      </c>
      <c r="M119" s="552">
        <f t="shared" ref="M119:N119" si="90">M109</f>
        <v>5328321.9934270987</v>
      </c>
      <c r="N119" s="552">
        <f t="shared" si="90"/>
        <v>5624479.3763415273</v>
      </c>
    </row>
    <row r="120" spans="1:14">
      <c r="A120" s="82"/>
      <c r="B120" s="282" t="s">
        <v>376</v>
      </c>
      <c r="C120" s="282" t="s">
        <v>1013</v>
      </c>
      <c r="D120" s="529">
        <f>'Summary Cash Flows'!C37</f>
        <v>0</v>
      </c>
      <c r="E120" s="529">
        <f>'Summary Cash Flows'!D37</f>
        <v>653112.70285714313</v>
      </c>
      <c r="F120" s="529">
        <f>'Summary Cash Flows'!E37</f>
        <v>1716567.0007905057</v>
      </c>
      <c r="G120" s="529">
        <f>'Summary Cash Flows'!F37</f>
        <v>1716567.0007905057</v>
      </c>
      <c r="H120" s="529">
        <f>'Summary Cash Flows'!G37</f>
        <v>1716567.0007905057</v>
      </c>
      <c r="I120" s="529">
        <f>'Summary Cash Flows'!H37</f>
        <v>1716567.0007905059</v>
      </c>
      <c r="J120" s="529">
        <f>'Summary Cash Flows'!I37</f>
        <v>1716567.0007905057</v>
      </c>
      <c r="K120" s="529">
        <f>'Summary Cash Flows'!J37</f>
        <v>1716567.0007905059</v>
      </c>
      <c r="L120" s="529">
        <f>'Summary Cash Flows'!K37</f>
        <v>2041235.2078936067</v>
      </c>
      <c r="M120" s="529">
        <f>'Summary Cash Flows'!L37</f>
        <v>1716567.0007905059</v>
      </c>
      <c r="N120" s="529">
        <f>'Summary Cash Flows'!M37</f>
        <v>1015235</v>
      </c>
    </row>
    <row r="121" spans="1:14">
      <c r="A121" s="82"/>
      <c r="B121" s="282" t="s">
        <v>441</v>
      </c>
      <c r="C121" s="282" t="s">
        <v>1059</v>
      </c>
      <c r="D121" s="530">
        <f>'Summary Cash Flows'!C39</f>
        <v>0</v>
      </c>
      <c r="E121" s="530">
        <f>'Summary Cash Flows'!D39</f>
        <v>240000.00000000003</v>
      </c>
      <c r="F121" s="530">
        <f>'Summary Cash Flows'!E39</f>
        <v>240000.00000000003</v>
      </c>
      <c r="G121" s="530"/>
      <c r="H121" s="530"/>
      <c r="I121" s="530"/>
      <c r="J121" s="530"/>
      <c r="K121" s="530"/>
      <c r="L121" s="530"/>
      <c r="M121" s="530"/>
      <c r="N121" s="530"/>
    </row>
    <row r="122" spans="1:14">
      <c r="A122" s="82"/>
      <c r="B122" s="282" t="s">
        <v>442</v>
      </c>
      <c r="C122" s="282" t="s">
        <v>1061</v>
      </c>
      <c r="D122" s="531">
        <f t="shared" ref="D122:L122" si="91">D119-D120-D121</f>
        <v>68030.436363636283</v>
      </c>
      <c r="E122" s="531">
        <f t="shared" si="91"/>
        <v>310812.31147818931</v>
      </c>
      <c r="F122" s="531">
        <f t="shared" si="91"/>
        <v>145279.77692922016</v>
      </c>
      <c r="G122" s="531">
        <f t="shared" si="91"/>
        <v>1364822.4622848304</v>
      </c>
      <c r="H122" s="531">
        <f t="shared" si="91"/>
        <v>2526923.8347835764</v>
      </c>
      <c r="I122" s="531">
        <f t="shared" si="91"/>
        <v>2807492.2326197708</v>
      </c>
      <c r="J122" s="531">
        <f t="shared" si="91"/>
        <v>2829422.89194257</v>
      </c>
      <c r="K122" s="531">
        <f t="shared" si="91"/>
        <v>3071958.7976531163</v>
      </c>
      <c r="L122" s="531">
        <f t="shared" si="91"/>
        <v>3009707.0477393405</v>
      </c>
      <c r="M122" s="531">
        <f t="shared" ref="M122:N122" si="92">M119-M120-M121</f>
        <v>3611754.9926365931</v>
      </c>
      <c r="N122" s="531">
        <f t="shared" si="92"/>
        <v>4609244.3763415273</v>
      </c>
    </row>
    <row r="123" spans="1:14">
      <c r="A123" s="82"/>
      <c r="B123" s="282"/>
      <c r="C123" s="282"/>
      <c r="D123" s="282"/>
      <c r="E123" s="524"/>
      <c r="F123" s="524"/>
      <c r="G123" s="524"/>
      <c r="H123" s="524"/>
      <c r="I123" s="524"/>
      <c r="J123" s="524"/>
      <c r="K123" s="524"/>
      <c r="L123" s="524"/>
      <c r="M123" s="524"/>
      <c r="N123" s="524"/>
    </row>
    <row r="124" spans="1:14">
      <c r="A124" s="82"/>
      <c r="B124" s="135" t="s">
        <v>487</v>
      </c>
      <c r="C124" s="135" t="s">
        <v>1062</v>
      </c>
      <c r="D124" s="135"/>
      <c r="E124" s="532">
        <f t="shared" ref="E124:L124" si="93">E119/(E120+E121)</f>
        <v>1.3480101788765007</v>
      </c>
      <c r="F124" s="532">
        <f t="shared" si="93"/>
        <v>1.0742523904729677</v>
      </c>
      <c r="G124" s="532">
        <f t="shared" si="93"/>
        <v>1.795088372114988</v>
      </c>
      <c r="H124" s="532">
        <f t="shared" si="93"/>
        <v>2.4720799325746614</v>
      </c>
      <c r="I124" s="532">
        <f t="shared" si="93"/>
        <v>2.6355273236214356</v>
      </c>
      <c r="J124" s="532">
        <f t="shared" si="93"/>
        <v>2.6483032067140853</v>
      </c>
      <c r="K124" s="532">
        <f t="shared" si="93"/>
        <v>2.7895944616425874</v>
      </c>
      <c r="L124" s="532">
        <f t="shared" si="93"/>
        <v>2.4744538189918446</v>
      </c>
      <c r="M124" s="532">
        <f t="shared" ref="M124:N124" si="94">M119/(M120+M121)</f>
        <v>3.1040571040765221</v>
      </c>
      <c r="N124" s="532">
        <f t="shared" si="94"/>
        <v>5.540076313702273</v>
      </c>
    </row>
    <row r="125" spans="1:14">
      <c r="A125" s="82"/>
      <c r="B125" s="135"/>
      <c r="C125" s="135"/>
      <c r="D125" s="135"/>
      <c r="E125" s="525"/>
      <c r="F125" s="525"/>
      <c r="G125" s="525"/>
      <c r="H125" s="525"/>
      <c r="I125" s="525"/>
      <c r="J125" s="525"/>
      <c r="K125" s="525"/>
      <c r="L125" s="525"/>
      <c r="M125" s="525"/>
      <c r="N125" s="525"/>
    </row>
    <row r="126" spans="1:14">
      <c r="A126" s="82"/>
      <c r="B126" s="512" t="s">
        <v>443</v>
      </c>
      <c r="C126" s="512" t="s">
        <v>1016</v>
      </c>
      <c r="D126" s="439" t="s">
        <v>36</v>
      </c>
      <c r="E126" s="458" t="s">
        <v>37</v>
      </c>
      <c r="F126" s="458" t="s">
        <v>38</v>
      </c>
      <c r="G126" s="458" t="s">
        <v>39</v>
      </c>
      <c r="H126" s="458" t="s">
        <v>40</v>
      </c>
      <c r="I126" s="458" t="s">
        <v>41</v>
      </c>
      <c r="J126" s="458" t="s">
        <v>42</v>
      </c>
      <c r="K126" s="458" t="s">
        <v>43</v>
      </c>
      <c r="L126" s="458" t="s">
        <v>168</v>
      </c>
      <c r="M126" s="458" t="s">
        <v>729</v>
      </c>
      <c r="N126" s="458" t="s">
        <v>730</v>
      </c>
    </row>
    <row r="127" spans="1:14">
      <c r="A127" s="82"/>
      <c r="B127" s="509"/>
      <c r="C127" s="509"/>
      <c r="D127" s="519">
        <f>'Summary Cash Flows'!C47</f>
        <v>-7400000</v>
      </c>
      <c r="E127" s="515">
        <f t="shared" ref="E127:L127" si="95">E122</f>
        <v>310812.31147818931</v>
      </c>
      <c r="F127" s="515">
        <f t="shared" si="95"/>
        <v>145279.77692922016</v>
      </c>
      <c r="G127" s="515">
        <f t="shared" si="95"/>
        <v>1364822.4622848304</v>
      </c>
      <c r="H127" s="515">
        <f t="shared" si="95"/>
        <v>2526923.8347835764</v>
      </c>
      <c r="I127" s="515">
        <f t="shared" si="95"/>
        <v>2807492.2326197708</v>
      </c>
      <c r="J127" s="515">
        <f t="shared" si="95"/>
        <v>2829422.89194257</v>
      </c>
      <c r="K127" s="515">
        <f t="shared" si="95"/>
        <v>3071958.7976531163</v>
      </c>
      <c r="L127" s="515">
        <f t="shared" si="95"/>
        <v>3009707.0477393405</v>
      </c>
      <c r="M127" s="515">
        <f t="shared" ref="M127:N127" si="96">M122</f>
        <v>3611754.9926365931</v>
      </c>
      <c r="N127" s="515">
        <f t="shared" si="96"/>
        <v>4609244.3763415273</v>
      </c>
    </row>
    <row r="128" spans="1:14">
      <c r="A128" s="82"/>
      <c r="B128" s="498" t="s">
        <v>438</v>
      </c>
      <c r="C128" s="498" t="s">
        <v>1009</v>
      </c>
      <c r="D128" s="604">
        <f>IRR(D127:N127)</f>
        <v>0.20124548937671549</v>
      </c>
      <c r="G128" s="82"/>
      <c r="H128" s="82"/>
      <c r="I128" s="82"/>
      <c r="J128" s="82"/>
      <c r="K128" s="82"/>
      <c r="L128" s="523"/>
      <c r="M128" s="82"/>
    </row>
    <row r="129" spans="1:13">
      <c r="A129" s="82"/>
      <c r="B129" s="498" t="s">
        <v>439</v>
      </c>
      <c r="D129" s="498"/>
      <c r="E129" s="82"/>
      <c r="F129" s="82"/>
      <c r="G129" s="82"/>
      <c r="H129" s="82"/>
      <c r="I129" s="82"/>
      <c r="J129" s="82"/>
      <c r="K129" s="82"/>
      <c r="L129" s="82"/>
      <c r="M129" s="82"/>
    </row>
  </sheetData>
  <phoneticPr fontId="31" type="noConversion"/>
  <printOptions horizontalCentered="1"/>
  <pageMargins left="0.2" right="0.2" top="0.59" bottom="0.2" header="0.5" footer="0.5"/>
  <pageSetup scale="80" orientation="landscape" horizontalDpi="4294967292" verticalDpi="4294967292"/>
  <rowBreaks count="2" manualBreakCount="2">
    <brk id="47" max="16383" man="1"/>
    <brk id="88" max="16383" man="1"/>
  </row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48"/>
  <sheetViews>
    <sheetView topLeftCell="A2" zoomScale="125" zoomScaleNormal="125" zoomScalePageLayoutView="125" workbookViewId="0">
      <selection activeCell="A12" sqref="A12:C17"/>
    </sheetView>
  </sheetViews>
  <sheetFormatPr defaultColWidth="11.42578125" defaultRowHeight="15"/>
  <cols>
    <col min="1" max="1" width="34.85546875" bestFit="1" customWidth="1"/>
    <col min="3" max="3" width="11.85546875" bestFit="1" customWidth="1"/>
    <col min="4" max="4" width="1.85546875" customWidth="1"/>
    <col min="5" max="5" width="6.85546875" customWidth="1"/>
    <col min="7" max="7" width="11.85546875" bestFit="1" customWidth="1"/>
    <col min="10" max="10" width="11.85546875" bestFit="1" customWidth="1"/>
  </cols>
  <sheetData>
    <row r="1" spans="1:10" ht="15.75">
      <c r="A1" s="411" t="s">
        <v>449</v>
      </c>
      <c r="B1" s="82"/>
      <c r="C1" s="82"/>
      <c r="D1" s="82"/>
      <c r="E1" s="82"/>
      <c r="F1" s="82"/>
      <c r="G1" s="82"/>
      <c r="H1" s="82"/>
      <c r="I1" s="82"/>
      <c r="J1" s="82"/>
    </row>
    <row r="2" spans="1:10" ht="15.75">
      <c r="A2" s="411"/>
      <c r="B2" s="82"/>
      <c r="C2" s="82"/>
      <c r="D2" s="82"/>
      <c r="E2" s="82"/>
      <c r="F2" s="82"/>
      <c r="G2" s="82"/>
      <c r="H2" s="82"/>
      <c r="I2" s="82"/>
      <c r="J2" s="82"/>
    </row>
    <row r="3" spans="1:10" ht="16.5" thickBot="1">
      <c r="A3" s="411"/>
      <c r="B3" s="82"/>
      <c r="C3" s="82"/>
      <c r="D3" s="82"/>
      <c r="E3" s="82"/>
      <c r="F3" s="82"/>
      <c r="G3" s="82"/>
      <c r="H3" s="82"/>
      <c r="I3" s="82"/>
      <c r="J3" s="82"/>
    </row>
    <row r="4" spans="1:10" ht="15.75">
      <c r="A4" s="461" t="s">
        <v>665</v>
      </c>
      <c r="B4" s="462"/>
      <c r="C4" s="463">
        <f>Offering!C18</f>
        <v>10885211.714285716</v>
      </c>
      <c r="D4" s="82"/>
      <c r="E4" s="246" t="s">
        <v>364</v>
      </c>
      <c r="F4" s="246" t="s">
        <v>365</v>
      </c>
      <c r="G4" s="246" t="s">
        <v>367</v>
      </c>
      <c r="H4" s="246" t="s">
        <v>356</v>
      </c>
      <c r="I4" s="246" t="s">
        <v>366</v>
      </c>
      <c r="J4" s="246" t="s">
        <v>368</v>
      </c>
    </row>
    <row r="5" spans="1:10" ht="15" customHeight="1">
      <c r="A5" s="464" t="s">
        <v>361</v>
      </c>
      <c r="B5" s="85"/>
      <c r="C5" s="465">
        <f>Offering!C24*12</f>
        <v>120</v>
      </c>
      <c r="D5" s="82"/>
      <c r="E5" s="254">
        <v>1</v>
      </c>
      <c r="F5" s="255">
        <v>43131</v>
      </c>
      <c r="G5" s="4">
        <f>C4</f>
        <v>10885211.714285716</v>
      </c>
      <c r="H5" s="4">
        <f>(G5*$C$9)*(F6-F5)/365</f>
        <v>50101.796383561654</v>
      </c>
      <c r="I5" s="595"/>
      <c r="J5" s="598">
        <f>G5-I5</f>
        <v>10885211.714285716</v>
      </c>
    </row>
    <row r="6" spans="1:10" ht="15.75">
      <c r="A6" s="466" t="s">
        <v>362</v>
      </c>
      <c r="B6" s="85"/>
      <c r="C6" s="465">
        <f>Offering!C25</f>
        <v>24</v>
      </c>
      <c r="D6" s="82"/>
      <c r="E6" s="254">
        <v>2</v>
      </c>
      <c r="F6" s="255">
        <v>43159</v>
      </c>
      <c r="G6" s="598">
        <f>J5</f>
        <v>10885211.714285716</v>
      </c>
      <c r="H6" s="4">
        <f t="shared" ref="H6" si="0">(G6*$C$9)*(F7-F6)/365</f>
        <v>55469.845996086115</v>
      </c>
      <c r="I6" s="595"/>
      <c r="J6" s="598">
        <f t="shared" ref="J6" si="1">G6-I6</f>
        <v>10885211.714285716</v>
      </c>
    </row>
    <row r="7" spans="1:10" ht="15.75">
      <c r="A7" s="466" t="s">
        <v>363</v>
      </c>
      <c r="B7" s="85"/>
      <c r="C7" s="465">
        <f>C5-C6</f>
        <v>96</v>
      </c>
      <c r="D7" s="82"/>
      <c r="E7" s="254">
        <v>3</v>
      </c>
      <c r="F7" s="255">
        <v>43190</v>
      </c>
      <c r="G7" s="598">
        <f t="shared" ref="G7:G16" si="2">J6</f>
        <v>10885211.714285716</v>
      </c>
      <c r="H7" s="4">
        <f t="shared" ref="H7:H16" si="3">(G7*$C$9)*(F8-F7)/365</f>
        <v>53680.496125244637</v>
      </c>
      <c r="I7" s="595"/>
      <c r="J7" s="598">
        <f t="shared" ref="J7:J16" si="4">G7-I7</f>
        <v>10885211.714285716</v>
      </c>
    </row>
    <row r="8" spans="1:10" ht="15.75">
      <c r="A8" s="466" t="s">
        <v>357</v>
      </c>
      <c r="B8" s="85"/>
      <c r="C8" s="467">
        <f>PMT(C9/12,C7,-C4)</f>
        <v>143047.25006587547</v>
      </c>
      <c r="D8" s="82"/>
      <c r="E8" s="254">
        <v>4</v>
      </c>
      <c r="F8" s="255">
        <v>43220</v>
      </c>
      <c r="G8" s="598">
        <f t="shared" si="2"/>
        <v>10885211.714285716</v>
      </c>
      <c r="H8" s="4">
        <f t="shared" si="3"/>
        <v>55469.845996086115</v>
      </c>
      <c r="I8" s="595"/>
      <c r="J8" s="598">
        <f t="shared" si="4"/>
        <v>10885211.714285716</v>
      </c>
    </row>
    <row r="9" spans="1:10" ht="16.5" thickBot="1">
      <c r="A9" s="468" t="s">
        <v>358</v>
      </c>
      <c r="B9" s="86"/>
      <c r="C9" s="469">
        <f>Offering!C23</f>
        <v>0.06</v>
      </c>
      <c r="D9" s="82"/>
      <c r="E9" s="254">
        <v>5</v>
      </c>
      <c r="F9" s="255">
        <v>43251</v>
      </c>
      <c r="G9" s="598">
        <f t="shared" si="2"/>
        <v>10885211.714285716</v>
      </c>
      <c r="H9" s="4">
        <f t="shared" si="3"/>
        <v>53680.496125244637</v>
      </c>
      <c r="I9" s="595"/>
      <c r="J9" s="598">
        <f t="shared" si="4"/>
        <v>10885211.714285716</v>
      </c>
    </row>
    <row r="10" spans="1:10" ht="15.75">
      <c r="A10" s="411"/>
      <c r="B10" s="82"/>
      <c r="C10" s="82"/>
      <c r="D10" s="82"/>
      <c r="E10" s="254">
        <v>6</v>
      </c>
      <c r="F10" s="255">
        <v>43281</v>
      </c>
      <c r="G10" s="598">
        <f t="shared" si="2"/>
        <v>10885211.714285716</v>
      </c>
      <c r="H10" s="4">
        <f t="shared" si="3"/>
        <v>55469.845996086115</v>
      </c>
      <c r="I10" s="595"/>
      <c r="J10" s="598">
        <f t="shared" si="4"/>
        <v>10885211.714285716</v>
      </c>
    </row>
    <row r="11" spans="1:10" ht="15.75" thickBot="1">
      <c r="A11" s="82"/>
      <c r="B11" s="82"/>
      <c r="C11" s="82"/>
      <c r="D11" s="82"/>
      <c r="E11" s="254">
        <v>7</v>
      </c>
      <c r="F11" s="255">
        <v>43312</v>
      </c>
      <c r="G11" s="598">
        <f t="shared" si="2"/>
        <v>10885211.714285716</v>
      </c>
      <c r="H11" s="4">
        <f t="shared" si="3"/>
        <v>55469.845996086115</v>
      </c>
      <c r="I11" s="595"/>
      <c r="J11" s="598">
        <f t="shared" si="4"/>
        <v>10885211.714285716</v>
      </c>
    </row>
    <row r="12" spans="1:10" ht="15.75">
      <c r="A12" s="461" t="s">
        <v>1063</v>
      </c>
      <c r="B12" s="462"/>
      <c r="C12" s="463">
        <f>C4</f>
        <v>10885211.714285716</v>
      </c>
      <c r="D12" s="82"/>
      <c r="E12" s="254">
        <v>8</v>
      </c>
      <c r="F12" s="255">
        <v>43343</v>
      </c>
      <c r="G12" s="598">
        <f t="shared" si="2"/>
        <v>10885211.714285716</v>
      </c>
      <c r="H12" s="4">
        <f t="shared" si="3"/>
        <v>53680.496125244637</v>
      </c>
      <c r="I12" s="595"/>
      <c r="J12" s="598">
        <f t="shared" si="4"/>
        <v>10885211.714285716</v>
      </c>
    </row>
    <row r="13" spans="1:10">
      <c r="A13" s="464" t="s">
        <v>1064</v>
      </c>
      <c r="B13" s="85"/>
      <c r="C13" s="465">
        <f t="shared" ref="C13:C17" si="5">C5</f>
        <v>120</v>
      </c>
      <c r="D13" s="82"/>
      <c r="E13" s="254">
        <v>9</v>
      </c>
      <c r="F13" s="255">
        <v>43373</v>
      </c>
      <c r="G13" s="598">
        <f t="shared" si="2"/>
        <v>10885211.714285716</v>
      </c>
      <c r="H13" s="4">
        <f t="shared" si="3"/>
        <v>55469.845996086115</v>
      </c>
      <c r="I13" s="595"/>
      <c r="J13" s="598">
        <f t="shared" si="4"/>
        <v>10885211.714285716</v>
      </c>
    </row>
    <row r="14" spans="1:10" ht="15.75">
      <c r="A14" s="466" t="s">
        <v>1065</v>
      </c>
      <c r="B14" s="85"/>
      <c r="C14" s="465">
        <f t="shared" si="5"/>
        <v>24</v>
      </c>
      <c r="D14" s="82"/>
      <c r="E14" s="254">
        <v>10</v>
      </c>
      <c r="F14" s="255">
        <v>43404</v>
      </c>
      <c r="G14" s="598">
        <f t="shared" si="2"/>
        <v>10885211.714285716</v>
      </c>
      <c r="H14" s="4">
        <f t="shared" si="3"/>
        <v>53680.496125244637</v>
      </c>
      <c r="I14" s="595"/>
      <c r="J14" s="598">
        <f t="shared" si="4"/>
        <v>10885211.714285716</v>
      </c>
    </row>
    <row r="15" spans="1:10" ht="15.75">
      <c r="A15" s="466" t="s">
        <v>1066</v>
      </c>
      <c r="B15" s="85"/>
      <c r="C15" s="465">
        <f t="shared" si="5"/>
        <v>96</v>
      </c>
      <c r="D15" s="82"/>
      <c r="E15" s="254">
        <v>11</v>
      </c>
      <c r="F15" s="255">
        <v>43434</v>
      </c>
      <c r="G15" s="598">
        <f t="shared" si="2"/>
        <v>10885211.714285716</v>
      </c>
      <c r="H15" s="4">
        <f t="shared" si="3"/>
        <v>55469.845996086115</v>
      </c>
      <c r="I15" s="595"/>
      <c r="J15" s="598">
        <f t="shared" si="4"/>
        <v>10885211.714285716</v>
      </c>
    </row>
    <row r="16" spans="1:10" ht="15.75">
      <c r="A16" s="466" t="s">
        <v>357</v>
      </c>
      <c r="B16" s="85"/>
      <c r="C16" s="467">
        <f t="shared" si="5"/>
        <v>143047.25006587547</v>
      </c>
      <c r="D16" s="82"/>
      <c r="E16" s="254">
        <v>12</v>
      </c>
      <c r="F16" s="255">
        <v>43465</v>
      </c>
      <c r="G16" s="598">
        <f t="shared" si="2"/>
        <v>10885211.714285716</v>
      </c>
      <c r="H16" s="4">
        <f t="shared" si="3"/>
        <v>55469.845996086115</v>
      </c>
      <c r="I16" s="595"/>
      <c r="J16" s="598">
        <f t="shared" si="4"/>
        <v>10885211.714285716</v>
      </c>
    </row>
    <row r="17" spans="1:12" ht="16.5" thickBot="1">
      <c r="A17" s="468" t="s">
        <v>1067</v>
      </c>
      <c r="B17" s="86"/>
      <c r="C17" s="469">
        <f t="shared" si="5"/>
        <v>0.06</v>
      </c>
      <c r="D17" s="82"/>
      <c r="E17" s="7">
        <v>13</v>
      </c>
      <c r="F17" s="253">
        <v>43496</v>
      </c>
      <c r="G17" s="4">
        <f>C4</f>
        <v>10885211.714285716</v>
      </c>
      <c r="H17" s="4">
        <f>(G17*$C$9)*(F17-F16)/365</f>
        <v>55469.845996086115</v>
      </c>
      <c r="I17" s="4">
        <v>0</v>
      </c>
      <c r="J17" s="4">
        <f>G17-I17</f>
        <v>10885211.714285716</v>
      </c>
    </row>
    <row r="18" spans="1:12">
      <c r="A18" s="82"/>
      <c r="B18" s="82"/>
      <c r="C18" s="82"/>
      <c r="D18" s="82"/>
      <c r="E18" s="7">
        <v>14</v>
      </c>
      <c r="F18" s="253">
        <v>43524</v>
      </c>
      <c r="G18" s="4">
        <f>J17</f>
        <v>10885211.714285716</v>
      </c>
      <c r="H18" s="4">
        <f>(G18*$C$9)*(F18-F17)/365</f>
        <v>50101.796383561654</v>
      </c>
      <c r="I18" s="4">
        <v>0</v>
      </c>
      <c r="J18" s="4">
        <f t="shared" ref="J18:J81" si="6">G18-I18</f>
        <v>10885211.714285716</v>
      </c>
    </row>
    <row r="19" spans="1:12">
      <c r="A19" s="82"/>
      <c r="B19" s="82"/>
      <c r="C19" s="82"/>
      <c r="D19" s="82"/>
      <c r="E19" s="7">
        <v>15</v>
      </c>
      <c r="F19" s="253">
        <v>43555</v>
      </c>
      <c r="G19" s="4">
        <f t="shared" ref="G19:G82" si="7">J18</f>
        <v>10885211.714285716</v>
      </c>
      <c r="H19" s="4">
        <f t="shared" ref="H19:H27" si="8">(G19*$C$9)*(F19-F18)/365</f>
        <v>55469.845996086115</v>
      </c>
      <c r="I19" s="4">
        <v>0</v>
      </c>
      <c r="J19" s="4">
        <f t="shared" si="6"/>
        <v>10885211.714285716</v>
      </c>
    </row>
    <row r="20" spans="1:12">
      <c r="A20" s="82"/>
      <c r="B20" s="82"/>
      <c r="C20" s="82"/>
      <c r="D20" s="82"/>
      <c r="E20" s="7">
        <v>16</v>
      </c>
      <c r="F20" s="253">
        <v>43585</v>
      </c>
      <c r="G20" s="4">
        <f t="shared" si="7"/>
        <v>10885211.714285716</v>
      </c>
      <c r="H20" s="4">
        <f t="shared" si="8"/>
        <v>53680.496125244637</v>
      </c>
      <c r="I20" s="4">
        <v>0</v>
      </c>
      <c r="J20" s="4">
        <f t="shared" si="6"/>
        <v>10885211.714285716</v>
      </c>
    </row>
    <row r="21" spans="1:12">
      <c r="A21" s="82"/>
      <c r="B21" s="82"/>
      <c r="C21" s="82"/>
      <c r="D21" s="82"/>
      <c r="E21" s="7">
        <v>17</v>
      </c>
      <c r="F21" s="253">
        <v>43616</v>
      </c>
      <c r="G21" s="4">
        <f t="shared" si="7"/>
        <v>10885211.714285716</v>
      </c>
      <c r="H21" s="4">
        <f t="shared" si="8"/>
        <v>55469.845996086115</v>
      </c>
      <c r="I21" s="4">
        <v>0</v>
      </c>
      <c r="J21" s="4">
        <f t="shared" si="6"/>
        <v>10885211.714285716</v>
      </c>
    </row>
    <row r="22" spans="1:12">
      <c r="A22" s="82"/>
      <c r="B22" s="82"/>
      <c r="C22" s="82"/>
      <c r="D22" s="82"/>
      <c r="E22" s="7">
        <v>18</v>
      </c>
      <c r="F22" s="599">
        <v>43646</v>
      </c>
      <c r="G22" s="4">
        <f t="shared" si="7"/>
        <v>10885211.714285716</v>
      </c>
      <c r="H22" s="4">
        <f t="shared" si="8"/>
        <v>53680.496125244637</v>
      </c>
      <c r="I22" s="4">
        <v>0</v>
      </c>
      <c r="J22" s="4">
        <f t="shared" si="6"/>
        <v>10885211.714285716</v>
      </c>
    </row>
    <row r="23" spans="1:12">
      <c r="A23" s="82"/>
      <c r="B23" s="82"/>
      <c r="C23" s="82"/>
      <c r="D23" s="82"/>
      <c r="E23" s="7">
        <v>19</v>
      </c>
      <c r="F23" s="253">
        <v>43677</v>
      </c>
      <c r="G23" s="4">
        <f t="shared" si="7"/>
        <v>10885211.714285716</v>
      </c>
      <c r="H23" s="4">
        <f t="shared" si="8"/>
        <v>55469.845996086115</v>
      </c>
      <c r="I23" s="4">
        <v>0</v>
      </c>
      <c r="J23" s="4">
        <f t="shared" si="6"/>
        <v>10885211.714285716</v>
      </c>
      <c r="L23" s="4">
        <f>SUM(H23:H34)</f>
        <v>648217.76111407974</v>
      </c>
    </row>
    <row r="24" spans="1:12">
      <c r="A24" s="82"/>
      <c r="B24" s="82"/>
      <c r="C24" s="82"/>
      <c r="D24" s="82"/>
      <c r="E24" s="7">
        <v>20</v>
      </c>
      <c r="F24" s="253">
        <v>43708</v>
      </c>
      <c r="G24" s="4">
        <f t="shared" si="7"/>
        <v>10885211.714285716</v>
      </c>
      <c r="H24" s="4">
        <f t="shared" si="8"/>
        <v>55469.845996086115</v>
      </c>
      <c r="I24" s="4">
        <v>0</v>
      </c>
      <c r="J24" s="4">
        <f t="shared" si="6"/>
        <v>10885211.714285716</v>
      </c>
    </row>
    <row r="25" spans="1:12">
      <c r="A25" s="82"/>
      <c r="B25" s="82"/>
      <c r="C25" s="82"/>
      <c r="D25" s="82"/>
      <c r="E25" s="7">
        <v>21</v>
      </c>
      <c r="F25" s="253">
        <v>43738</v>
      </c>
      <c r="G25" s="4">
        <f t="shared" si="7"/>
        <v>10885211.714285716</v>
      </c>
      <c r="H25" s="4">
        <f t="shared" si="8"/>
        <v>53680.496125244637</v>
      </c>
      <c r="I25" s="4">
        <v>0</v>
      </c>
      <c r="J25" s="4">
        <f t="shared" si="6"/>
        <v>10885211.714285716</v>
      </c>
    </row>
    <row r="26" spans="1:12">
      <c r="A26" s="82"/>
      <c r="B26" s="82"/>
      <c r="C26" s="82"/>
      <c r="D26" s="82"/>
      <c r="E26" s="7">
        <v>22</v>
      </c>
      <c r="F26" s="253">
        <v>43769</v>
      </c>
      <c r="G26" s="4">
        <f t="shared" si="7"/>
        <v>10885211.714285716</v>
      </c>
      <c r="H26" s="4">
        <f t="shared" si="8"/>
        <v>55469.845996086115</v>
      </c>
      <c r="I26" s="4">
        <v>0</v>
      </c>
      <c r="J26" s="4">
        <f t="shared" si="6"/>
        <v>10885211.714285716</v>
      </c>
    </row>
    <row r="27" spans="1:12">
      <c r="A27" s="82"/>
      <c r="B27" s="82"/>
      <c r="C27" s="82"/>
      <c r="D27" s="82"/>
      <c r="E27" s="7">
        <v>23</v>
      </c>
      <c r="F27" s="253">
        <v>43799</v>
      </c>
      <c r="G27" s="4">
        <f t="shared" si="7"/>
        <v>10885211.714285716</v>
      </c>
      <c r="H27" s="4">
        <f t="shared" si="8"/>
        <v>53680.496125244637</v>
      </c>
      <c r="I27" s="4">
        <v>0</v>
      </c>
      <c r="J27" s="4">
        <f t="shared" si="6"/>
        <v>10885211.714285716</v>
      </c>
    </row>
    <row r="28" spans="1:12">
      <c r="A28" s="82"/>
      <c r="B28" s="82"/>
      <c r="C28" s="82"/>
      <c r="D28" s="82"/>
      <c r="E28" s="10">
        <v>24</v>
      </c>
      <c r="F28" s="256">
        <v>43830</v>
      </c>
      <c r="G28" s="243">
        <f t="shared" si="7"/>
        <v>10885211.714285716</v>
      </c>
      <c r="H28" s="243">
        <f>(G28*$C$9)*(F28-F27)/365</f>
        <v>55469.845996086115</v>
      </c>
      <c r="I28" s="243">
        <v>0</v>
      </c>
      <c r="J28" s="243">
        <f t="shared" si="6"/>
        <v>10885211.714285716</v>
      </c>
    </row>
    <row r="29" spans="1:12">
      <c r="A29" s="82"/>
      <c r="B29" s="82"/>
      <c r="C29" s="82"/>
      <c r="D29" s="82"/>
      <c r="E29" s="7">
        <v>25</v>
      </c>
      <c r="F29" s="253">
        <v>43861</v>
      </c>
      <c r="G29" s="4">
        <f t="shared" si="7"/>
        <v>10885211.714285716</v>
      </c>
      <c r="H29" s="4">
        <f>(G29*$C$9)*(F29-F28)/365</f>
        <v>55469.845996086115</v>
      </c>
      <c r="I29" s="4">
        <f>$C$8-H29</f>
        <v>87577.404069789365</v>
      </c>
      <c r="J29" s="641">
        <f>G29-I29</f>
        <v>10797634.310215928</v>
      </c>
    </row>
    <row r="30" spans="1:12">
      <c r="A30" s="82"/>
      <c r="B30" s="82"/>
      <c r="C30" s="82"/>
      <c r="D30" s="82"/>
      <c r="E30" s="7">
        <v>26</v>
      </c>
      <c r="F30" s="253">
        <v>43890</v>
      </c>
      <c r="G30" s="4">
        <f t="shared" si="7"/>
        <v>10797634.310215928</v>
      </c>
      <c r="H30" s="4">
        <f t="shared" ref="H30:H93" si="9">(G30*$C$9)*(F30-F29)/365</f>
        <v>51473.653971988257</v>
      </c>
      <c r="I30" s="4">
        <f t="shared" ref="I30:I81" si="10">$C$8-H30</f>
        <v>91573.596093887216</v>
      </c>
      <c r="J30" s="4">
        <f t="shared" si="6"/>
        <v>10706060.71412204</v>
      </c>
    </row>
    <row r="31" spans="1:12">
      <c r="A31" s="82"/>
      <c r="B31" s="82"/>
      <c r="C31" s="82"/>
      <c r="D31" s="82"/>
      <c r="E31" s="7">
        <v>27</v>
      </c>
      <c r="F31" s="253">
        <v>43921</v>
      </c>
      <c r="G31" s="4">
        <f t="shared" si="7"/>
        <v>10706060.71412204</v>
      </c>
      <c r="H31" s="4">
        <f t="shared" si="9"/>
        <v>54556.912132238343</v>
      </c>
      <c r="I31" s="4">
        <f t="shared" si="10"/>
        <v>88490.337933637129</v>
      </c>
      <c r="J31" s="4">
        <f t="shared" si="6"/>
        <v>10617570.376188403</v>
      </c>
    </row>
    <row r="32" spans="1:12">
      <c r="A32" s="82"/>
      <c r="B32" s="82"/>
      <c r="C32" s="82"/>
      <c r="D32" s="82"/>
      <c r="E32" s="7">
        <v>28</v>
      </c>
      <c r="F32" s="253">
        <v>43951</v>
      </c>
      <c r="G32" s="4">
        <f t="shared" si="7"/>
        <v>10617570.376188403</v>
      </c>
      <c r="H32" s="4">
        <f t="shared" si="9"/>
        <v>52360.621033257878</v>
      </c>
      <c r="I32" s="4">
        <f t="shared" si="10"/>
        <v>90686.629032617595</v>
      </c>
      <c r="J32" s="4">
        <f t="shared" si="6"/>
        <v>10526883.747155786</v>
      </c>
    </row>
    <row r="33" spans="1:12">
      <c r="A33" s="82"/>
      <c r="B33" s="82"/>
      <c r="C33" s="82"/>
      <c r="D33" s="82"/>
      <c r="E33" s="7">
        <v>29</v>
      </c>
      <c r="F33" s="253">
        <v>43982</v>
      </c>
      <c r="G33" s="4">
        <f t="shared" si="7"/>
        <v>10526883.747155786</v>
      </c>
      <c r="H33" s="4">
        <f t="shared" si="9"/>
        <v>53643.845944410306</v>
      </c>
      <c r="I33" s="4">
        <f t="shared" si="10"/>
        <v>89403.404121465166</v>
      </c>
      <c r="J33" s="4">
        <f t="shared" si="6"/>
        <v>10437480.34303432</v>
      </c>
    </row>
    <row r="34" spans="1:12">
      <c r="A34" s="82"/>
      <c r="B34" s="82"/>
      <c r="C34" s="82"/>
      <c r="D34" s="82"/>
      <c r="E34" s="7">
        <v>30</v>
      </c>
      <c r="F34" s="599">
        <v>44012</v>
      </c>
      <c r="G34" s="4">
        <f t="shared" si="7"/>
        <v>10437480.34303432</v>
      </c>
      <c r="H34" s="4">
        <f t="shared" si="9"/>
        <v>51472.505801265135</v>
      </c>
      <c r="I34" s="4">
        <f t="shared" si="10"/>
        <v>91574.744264610345</v>
      </c>
      <c r="J34" s="4">
        <f t="shared" si="6"/>
        <v>10345905.598769709</v>
      </c>
    </row>
    <row r="35" spans="1:12">
      <c r="A35" s="82"/>
      <c r="B35" s="82"/>
      <c r="C35" s="82"/>
      <c r="D35" s="82"/>
      <c r="E35" s="7">
        <v>31</v>
      </c>
      <c r="F35" s="253">
        <v>44043</v>
      </c>
      <c r="G35" s="4">
        <f t="shared" si="7"/>
        <v>10345905.598769709</v>
      </c>
      <c r="H35" s="4">
        <f t="shared" si="9"/>
        <v>52721.601133456599</v>
      </c>
      <c r="I35" s="4">
        <f t="shared" si="10"/>
        <v>90325.648932418873</v>
      </c>
      <c r="J35" s="4">
        <f t="shared" si="6"/>
        <v>10255579.94983729</v>
      </c>
      <c r="L35" s="4">
        <f>SUM(H35:H46)+SUM(I35:I46)</f>
        <v>1716567.0007905059</v>
      </c>
    </row>
    <row r="36" spans="1:12">
      <c r="A36" s="82"/>
      <c r="B36" s="82"/>
      <c r="C36" s="82"/>
      <c r="D36" s="82"/>
      <c r="E36" s="7">
        <v>32</v>
      </c>
      <c r="F36" s="253">
        <v>44074</v>
      </c>
      <c r="G36" s="4">
        <f t="shared" si="7"/>
        <v>10255579.94983729</v>
      </c>
      <c r="H36" s="4">
        <f t="shared" si="9"/>
        <v>52261.311525198238</v>
      </c>
      <c r="I36" s="4">
        <f t="shared" si="10"/>
        <v>90785.938540677234</v>
      </c>
      <c r="J36" s="4">
        <f t="shared" si="6"/>
        <v>10164794.011296613</v>
      </c>
    </row>
    <row r="37" spans="1:12">
      <c r="A37" s="82"/>
      <c r="B37" s="82"/>
      <c r="C37" s="82"/>
      <c r="D37" s="82"/>
      <c r="E37" s="7">
        <v>33</v>
      </c>
      <c r="F37" s="253">
        <v>44104</v>
      </c>
      <c r="G37" s="4">
        <f t="shared" si="7"/>
        <v>10164794.011296613</v>
      </c>
      <c r="H37" s="4">
        <f t="shared" si="9"/>
        <v>50127.751288586041</v>
      </c>
      <c r="I37" s="4">
        <f t="shared" si="10"/>
        <v>92919.498777289438</v>
      </c>
      <c r="J37" s="4">
        <f t="shared" si="6"/>
        <v>10071874.512519324</v>
      </c>
    </row>
    <row r="38" spans="1:12">
      <c r="A38" s="82"/>
      <c r="B38" s="82"/>
      <c r="C38" s="82"/>
      <c r="D38" s="82"/>
      <c r="E38" s="7">
        <v>34</v>
      </c>
      <c r="F38" s="253">
        <v>44135</v>
      </c>
      <c r="G38" s="4">
        <f t="shared" si="7"/>
        <v>10071874.512519324</v>
      </c>
      <c r="H38" s="4">
        <f t="shared" si="9"/>
        <v>51325.168748728618</v>
      </c>
      <c r="I38" s="4">
        <f t="shared" si="10"/>
        <v>91722.081317146862</v>
      </c>
      <c r="J38" s="4">
        <f t="shared" si="6"/>
        <v>9980152.431202177</v>
      </c>
    </row>
    <row r="39" spans="1:12">
      <c r="A39" s="82"/>
      <c r="B39" s="82"/>
      <c r="C39" s="82"/>
      <c r="D39" s="82"/>
      <c r="E39" s="7">
        <v>35</v>
      </c>
      <c r="F39" s="253">
        <v>44165</v>
      </c>
      <c r="G39" s="4">
        <f t="shared" si="7"/>
        <v>9980152.431202177</v>
      </c>
      <c r="H39" s="4">
        <f t="shared" si="9"/>
        <v>49217.190071681965</v>
      </c>
      <c r="I39" s="4">
        <f t="shared" si="10"/>
        <v>93830.059994193507</v>
      </c>
      <c r="J39" s="4">
        <f t="shared" si="6"/>
        <v>9886322.3712079842</v>
      </c>
    </row>
    <row r="40" spans="1:12">
      <c r="A40" s="82"/>
      <c r="B40" s="82"/>
      <c r="C40" s="82"/>
      <c r="D40" s="82"/>
      <c r="E40" s="10">
        <v>36</v>
      </c>
      <c r="F40" s="256">
        <v>44196</v>
      </c>
      <c r="G40" s="243">
        <f t="shared" si="7"/>
        <v>9886322.3712079842</v>
      </c>
      <c r="H40" s="243">
        <f t="shared" si="9"/>
        <v>50379.615371087253</v>
      </c>
      <c r="I40" s="243">
        <f t="shared" si="10"/>
        <v>92667.634694788227</v>
      </c>
      <c r="J40" s="243">
        <f t="shared" si="6"/>
        <v>9793654.7365131956</v>
      </c>
    </row>
    <row r="41" spans="1:12">
      <c r="A41" s="82"/>
      <c r="B41" s="82"/>
      <c r="C41" s="82"/>
      <c r="D41" s="82"/>
      <c r="E41" s="7">
        <v>37</v>
      </c>
      <c r="F41" s="253">
        <v>44227</v>
      </c>
      <c r="G41" s="4">
        <f t="shared" si="7"/>
        <v>9793654.7365131956</v>
      </c>
      <c r="H41" s="4">
        <f>(G41*$C$9)*(F41-F40)/365</f>
        <v>49907.39126003984</v>
      </c>
      <c r="I41" s="4">
        <f t="shared" si="10"/>
        <v>93139.858805835625</v>
      </c>
      <c r="J41" s="4">
        <f t="shared" si="6"/>
        <v>9700514.8777073603</v>
      </c>
    </row>
    <row r="42" spans="1:12">
      <c r="A42" s="82"/>
      <c r="B42" s="82"/>
      <c r="C42" s="82"/>
      <c r="D42" s="82"/>
      <c r="E42" s="7">
        <v>38</v>
      </c>
      <c r="F42" s="253">
        <v>44255</v>
      </c>
      <c r="G42" s="4">
        <f t="shared" si="7"/>
        <v>9700514.8777073603</v>
      </c>
      <c r="H42" s="4">
        <f>(G42*$C$9)*(F42-F41)/365</f>
        <v>44648.945190543469</v>
      </c>
      <c r="I42" s="4">
        <f t="shared" si="10"/>
        <v>98398.304875332004</v>
      </c>
      <c r="J42" s="4">
        <f t="shared" si="6"/>
        <v>9602116.5728320275</v>
      </c>
    </row>
    <row r="43" spans="1:12">
      <c r="A43" s="82"/>
      <c r="B43" s="82"/>
      <c r="C43" s="82"/>
      <c r="D43" s="82"/>
      <c r="E43" s="7">
        <v>39</v>
      </c>
      <c r="F43" s="253">
        <v>44286</v>
      </c>
      <c r="G43" s="4">
        <f t="shared" si="7"/>
        <v>9602116.5728320275</v>
      </c>
      <c r="H43" s="4">
        <f>(G43*$C$9)*(F43-F42)/365</f>
        <v>48931.333768404307</v>
      </c>
      <c r="I43" s="4">
        <f t="shared" si="10"/>
        <v>94115.916297471165</v>
      </c>
      <c r="J43" s="4">
        <f t="shared" si="6"/>
        <v>9508000.6565345563</v>
      </c>
    </row>
    <row r="44" spans="1:12">
      <c r="A44" s="82"/>
      <c r="B44" s="82"/>
      <c r="C44" s="82"/>
      <c r="D44" s="82"/>
      <c r="E44" s="7">
        <v>40</v>
      </c>
      <c r="F44" s="253">
        <v>44316</v>
      </c>
      <c r="G44" s="4">
        <f t="shared" si="7"/>
        <v>9508000.6565345563</v>
      </c>
      <c r="H44" s="4">
        <f>(G44*$C$9)*(F44-F43)/365</f>
        <v>46888.770360992341</v>
      </c>
      <c r="I44" s="4">
        <f t="shared" si="10"/>
        <v>96158.479704883124</v>
      </c>
      <c r="J44" s="4">
        <f t="shared" si="6"/>
        <v>9411842.1768296733</v>
      </c>
    </row>
    <row r="45" spans="1:12">
      <c r="A45" s="82"/>
      <c r="B45" s="82"/>
      <c r="C45" s="82"/>
      <c r="D45" s="82"/>
      <c r="E45" s="7">
        <v>41</v>
      </c>
      <c r="F45" s="253">
        <v>44347</v>
      </c>
      <c r="G45" s="4">
        <f t="shared" si="7"/>
        <v>9411842.1768296733</v>
      </c>
      <c r="H45" s="4">
        <f t="shared" si="9"/>
        <v>47961.71629836491</v>
      </c>
      <c r="I45" s="4">
        <f t="shared" si="10"/>
        <v>95085.533767510555</v>
      </c>
      <c r="J45" s="4">
        <f t="shared" si="6"/>
        <v>9316756.6430621631</v>
      </c>
    </row>
    <row r="46" spans="1:12">
      <c r="A46" s="82"/>
      <c r="B46" s="82"/>
      <c r="C46" s="82"/>
      <c r="D46" s="82"/>
      <c r="E46" s="7">
        <v>42</v>
      </c>
      <c r="F46" s="599">
        <v>44377</v>
      </c>
      <c r="G46" s="4">
        <f t="shared" si="7"/>
        <v>9316756.6430621631</v>
      </c>
      <c r="H46" s="4">
        <f t="shared" si="9"/>
        <v>45945.649198662722</v>
      </c>
      <c r="I46" s="4">
        <f t="shared" si="10"/>
        <v>97101.60086721275</v>
      </c>
      <c r="J46" s="4">
        <f t="shared" si="6"/>
        <v>9219655.0421949513</v>
      </c>
    </row>
    <row r="47" spans="1:12">
      <c r="A47" s="82"/>
      <c r="B47" s="82"/>
      <c r="C47" s="82"/>
      <c r="D47" s="82"/>
      <c r="E47" s="7">
        <v>43</v>
      </c>
      <c r="F47" s="253">
        <v>44408</v>
      </c>
      <c r="G47" s="4">
        <f t="shared" si="7"/>
        <v>9219655.0421949513</v>
      </c>
      <c r="H47" s="4">
        <f t="shared" si="9"/>
        <v>46982.351721870167</v>
      </c>
      <c r="I47" s="4">
        <f t="shared" si="10"/>
        <v>96064.898344005313</v>
      </c>
      <c r="J47" s="4">
        <f t="shared" si="6"/>
        <v>9123590.1438509468</v>
      </c>
    </row>
    <row r="48" spans="1:12">
      <c r="A48" s="82"/>
      <c r="B48" s="82"/>
      <c r="C48" s="82"/>
      <c r="D48" s="82"/>
      <c r="E48" s="7">
        <v>44</v>
      </c>
      <c r="F48" s="253">
        <v>44439</v>
      </c>
      <c r="G48" s="4">
        <f t="shared" si="7"/>
        <v>9123590.1438509468</v>
      </c>
      <c r="H48" s="4">
        <f t="shared" si="9"/>
        <v>46492.815527569204</v>
      </c>
      <c r="I48" s="4">
        <f t="shared" si="10"/>
        <v>96554.434538306261</v>
      </c>
      <c r="J48" s="4">
        <f t="shared" si="6"/>
        <v>9027035.7093126401</v>
      </c>
    </row>
    <row r="49" spans="1:10">
      <c r="A49" s="82"/>
      <c r="B49" s="82"/>
      <c r="C49" s="82"/>
      <c r="D49" s="82"/>
      <c r="E49" s="7">
        <v>45</v>
      </c>
      <c r="F49" s="253">
        <v>44469</v>
      </c>
      <c r="G49" s="4">
        <f t="shared" si="7"/>
        <v>9027035.7093126401</v>
      </c>
      <c r="H49" s="4">
        <f t="shared" si="9"/>
        <v>44516.888429486993</v>
      </c>
      <c r="I49" s="4">
        <f t="shared" si="10"/>
        <v>98530.361636388479</v>
      </c>
      <c r="J49" s="4">
        <f t="shared" si="6"/>
        <v>8928505.3476762511</v>
      </c>
    </row>
    <row r="50" spans="1:10">
      <c r="A50" s="82"/>
      <c r="B50" s="82"/>
      <c r="C50" s="82"/>
      <c r="D50" s="82"/>
      <c r="E50" s="7">
        <v>46</v>
      </c>
      <c r="F50" s="253">
        <v>44500</v>
      </c>
      <c r="G50" s="4">
        <f t="shared" si="7"/>
        <v>8928505.3476762511</v>
      </c>
      <c r="H50" s="4">
        <f t="shared" si="9"/>
        <v>45498.6847854187</v>
      </c>
      <c r="I50" s="4">
        <f t="shared" si="10"/>
        <v>97548.565280456765</v>
      </c>
      <c r="J50" s="4">
        <f t="shared" si="6"/>
        <v>8830956.782395795</v>
      </c>
    </row>
    <row r="51" spans="1:10">
      <c r="A51" s="82"/>
      <c r="B51" s="82"/>
      <c r="C51" s="82"/>
      <c r="D51" s="82"/>
      <c r="E51" s="7">
        <v>47</v>
      </c>
      <c r="F51" s="253">
        <v>44530</v>
      </c>
      <c r="G51" s="4">
        <f t="shared" si="7"/>
        <v>8830956.782395795</v>
      </c>
      <c r="H51" s="4">
        <f t="shared" si="9"/>
        <v>43549.923858390219</v>
      </c>
      <c r="I51" s="4">
        <f t="shared" si="10"/>
        <v>99497.326207485254</v>
      </c>
      <c r="J51" s="4">
        <f t="shared" si="6"/>
        <v>8731459.4561883099</v>
      </c>
    </row>
    <row r="52" spans="1:10">
      <c r="A52" s="82"/>
      <c r="B52" s="82"/>
      <c r="C52" s="82"/>
      <c r="D52" s="82"/>
      <c r="E52" s="10">
        <v>48</v>
      </c>
      <c r="F52" s="253">
        <v>44561</v>
      </c>
      <c r="G52" s="243">
        <f t="shared" si="7"/>
        <v>8731459.4561883099</v>
      </c>
      <c r="H52" s="243">
        <f t="shared" si="9"/>
        <v>44494.560516466452</v>
      </c>
      <c r="I52" s="243">
        <f t="shared" si="10"/>
        <v>98552.689549409028</v>
      </c>
      <c r="J52" s="243">
        <f t="shared" si="6"/>
        <v>8632906.7666389011</v>
      </c>
    </row>
    <row r="53" spans="1:10">
      <c r="A53" s="82"/>
      <c r="B53" s="82"/>
      <c r="C53" s="82"/>
      <c r="D53" s="82"/>
      <c r="E53" s="7">
        <v>49</v>
      </c>
      <c r="F53" s="253">
        <v>44592</v>
      </c>
      <c r="G53" s="4">
        <f t="shared" si="7"/>
        <v>8632906.7666389011</v>
      </c>
      <c r="H53" s="4">
        <f t="shared" si="9"/>
        <v>43992.346810817413</v>
      </c>
      <c r="I53" s="4">
        <f t="shared" si="10"/>
        <v>99054.90325505806</v>
      </c>
      <c r="J53" s="4">
        <f t="shared" si="6"/>
        <v>8533851.8633838426</v>
      </c>
    </row>
    <row r="54" spans="1:10">
      <c r="A54" s="82"/>
      <c r="B54" s="82"/>
      <c r="C54" s="82"/>
      <c r="D54" s="82"/>
      <c r="E54" s="7">
        <v>50</v>
      </c>
      <c r="F54" s="253">
        <v>44620</v>
      </c>
      <c r="G54" s="4">
        <f t="shared" si="7"/>
        <v>8533851.8633838426</v>
      </c>
      <c r="H54" s="4">
        <f t="shared" si="9"/>
        <v>39279.098987629739</v>
      </c>
      <c r="I54" s="4">
        <f t="shared" si="10"/>
        <v>103768.15107824573</v>
      </c>
      <c r="J54" s="4">
        <f t="shared" si="6"/>
        <v>8430083.7123055961</v>
      </c>
    </row>
    <row r="55" spans="1:10">
      <c r="A55" s="82"/>
      <c r="B55" s="82"/>
      <c r="C55" s="82"/>
      <c r="D55" s="82"/>
      <c r="E55" s="7">
        <v>51</v>
      </c>
      <c r="F55" s="253">
        <v>44651</v>
      </c>
      <c r="G55" s="4">
        <f t="shared" si="7"/>
        <v>8430083.7123055961</v>
      </c>
      <c r="H55" s="4">
        <f t="shared" si="9"/>
        <v>42958.782753118932</v>
      </c>
      <c r="I55" s="4">
        <f t="shared" si="10"/>
        <v>100088.46731275655</v>
      </c>
      <c r="J55" s="4">
        <f t="shared" si="6"/>
        <v>8329995.2449928392</v>
      </c>
    </row>
    <row r="56" spans="1:10">
      <c r="A56" s="82"/>
      <c r="B56" s="82"/>
      <c r="C56" s="82"/>
      <c r="D56" s="82"/>
      <c r="E56" s="7">
        <v>52</v>
      </c>
      <c r="F56" s="253">
        <v>44681</v>
      </c>
      <c r="G56" s="4">
        <f t="shared" si="7"/>
        <v>8329995.2449928392</v>
      </c>
      <c r="H56" s="4">
        <f t="shared" si="9"/>
        <v>41079.42860544414</v>
      </c>
      <c r="I56" s="4">
        <f t="shared" si="10"/>
        <v>101967.82146043133</v>
      </c>
      <c r="J56" s="4">
        <f t="shared" si="6"/>
        <v>8228027.4235324077</v>
      </c>
    </row>
    <row r="57" spans="1:10">
      <c r="A57" s="82"/>
      <c r="B57" s="82"/>
      <c r="C57" s="82"/>
      <c r="D57" s="82"/>
      <c r="E57" s="7">
        <v>53</v>
      </c>
      <c r="F57" s="253">
        <v>44712</v>
      </c>
      <c r="G57" s="4">
        <f t="shared" si="7"/>
        <v>8228027.4235324077</v>
      </c>
      <c r="H57" s="4">
        <f t="shared" si="9"/>
        <v>41929.126048685692</v>
      </c>
      <c r="I57" s="4">
        <f t="shared" si="10"/>
        <v>101118.12401718978</v>
      </c>
      <c r="J57" s="4">
        <f t="shared" si="6"/>
        <v>8126909.2995152175</v>
      </c>
    </row>
    <row r="58" spans="1:10">
      <c r="A58" s="82"/>
      <c r="B58" s="82"/>
      <c r="C58" s="82"/>
      <c r="D58" s="82"/>
      <c r="E58" s="7">
        <v>54</v>
      </c>
      <c r="F58" s="599">
        <v>44742</v>
      </c>
      <c r="G58" s="4">
        <f t="shared" si="7"/>
        <v>8126909.2995152175</v>
      </c>
      <c r="H58" s="4">
        <f t="shared" si="9"/>
        <v>40077.90887432162</v>
      </c>
      <c r="I58" s="4">
        <f t="shared" si="10"/>
        <v>102969.34119155386</v>
      </c>
      <c r="J58" s="4">
        <f t="shared" si="6"/>
        <v>8023939.958323664</v>
      </c>
    </row>
    <row r="59" spans="1:10">
      <c r="A59" s="82"/>
      <c r="B59" s="82"/>
      <c r="C59" s="82"/>
      <c r="D59" s="82"/>
      <c r="E59" s="7">
        <v>55</v>
      </c>
      <c r="F59" s="253">
        <v>44773</v>
      </c>
      <c r="G59" s="4">
        <f t="shared" si="7"/>
        <v>8023939.958323664</v>
      </c>
      <c r="H59" s="4">
        <f t="shared" si="9"/>
        <v>40889.118691731543</v>
      </c>
      <c r="I59" s="4">
        <f t="shared" si="10"/>
        <v>102158.13137414394</v>
      </c>
      <c r="J59" s="4">
        <f t="shared" si="6"/>
        <v>7921781.82694952</v>
      </c>
    </row>
    <row r="60" spans="1:10">
      <c r="A60" s="82"/>
      <c r="B60" s="82"/>
      <c r="C60" s="82"/>
      <c r="D60" s="82"/>
      <c r="E60" s="7">
        <v>56</v>
      </c>
      <c r="F60" s="253">
        <v>44804</v>
      </c>
      <c r="G60" s="4">
        <f t="shared" si="7"/>
        <v>7921781.82694952</v>
      </c>
      <c r="H60" s="4">
        <f t="shared" si="9"/>
        <v>40368.532049660564</v>
      </c>
      <c r="I60" s="4">
        <f t="shared" si="10"/>
        <v>102678.7180162149</v>
      </c>
      <c r="J60" s="4">
        <f t="shared" si="6"/>
        <v>7819103.1089333054</v>
      </c>
    </row>
    <row r="61" spans="1:10">
      <c r="A61" s="82"/>
      <c r="B61" s="82"/>
      <c r="C61" s="82"/>
      <c r="D61" s="82"/>
      <c r="E61" s="7">
        <v>57</v>
      </c>
      <c r="F61" s="253">
        <v>44834</v>
      </c>
      <c r="G61" s="4">
        <f t="shared" si="7"/>
        <v>7819103.1089333054</v>
      </c>
      <c r="H61" s="4">
        <f t="shared" si="9"/>
        <v>38559.960537205341</v>
      </c>
      <c r="I61" s="4">
        <f t="shared" si="10"/>
        <v>104487.28952867014</v>
      </c>
      <c r="J61" s="4">
        <f t="shared" si="6"/>
        <v>7714615.8194046356</v>
      </c>
    </row>
    <row r="62" spans="1:10">
      <c r="A62" s="82"/>
      <c r="B62" s="82"/>
      <c r="C62" s="82"/>
      <c r="D62" s="82"/>
      <c r="E62" s="7">
        <v>58</v>
      </c>
      <c r="F62" s="253">
        <v>44865</v>
      </c>
      <c r="G62" s="4">
        <f t="shared" si="7"/>
        <v>7714615.8194046356</v>
      </c>
      <c r="H62" s="4">
        <f t="shared" si="9"/>
        <v>39312.83677833595</v>
      </c>
      <c r="I62" s="4">
        <f t="shared" si="10"/>
        <v>103734.41328753953</v>
      </c>
      <c r="J62" s="4">
        <f t="shared" si="6"/>
        <v>7610881.4061170956</v>
      </c>
    </row>
    <row r="63" spans="1:10">
      <c r="A63" s="82"/>
      <c r="B63" s="82"/>
      <c r="C63" s="82"/>
      <c r="D63" s="82"/>
      <c r="E63" s="7">
        <v>59</v>
      </c>
      <c r="F63" s="253">
        <v>44895</v>
      </c>
      <c r="G63" s="4">
        <f t="shared" si="7"/>
        <v>7610881.4061170956</v>
      </c>
      <c r="H63" s="4">
        <f t="shared" si="9"/>
        <v>37533.113783591158</v>
      </c>
      <c r="I63" s="4">
        <f t="shared" si="10"/>
        <v>105514.13628228431</v>
      </c>
      <c r="J63" s="4">
        <f t="shared" si="6"/>
        <v>7505367.2698348109</v>
      </c>
    </row>
    <row r="64" spans="1:10">
      <c r="A64" s="82"/>
      <c r="B64" s="82"/>
      <c r="C64" s="82"/>
      <c r="D64" s="82"/>
      <c r="E64" s="10">
        <v>60</v>
      </c>
      <c r="F64" s="253">
        <v>44926</v>
      </c>
      <c r="G64" s="243">
        <f t="shared" si="7"/>
        <v>7505367.2698348109</v>
      </c>
      <c r="H64" s="243">
        <f t="shared" si="9"/>
        <v>38246.529101076027</v>
      </c>
      <c r="I64" s="243">
        <f t="shared" si="10"/>
        <v>104800.72096479945</v>
      </c>
      <c r="J64" s="243">
        <f t="shared" si="6"/>
        <v>7400566.5488700112</v>
      </c>
    </row>
    <row r="65" spans="1:10">
      <c r="A65" s="82"/>
      <c r="B65" s="82"/>
      <c r="C65" s="82"/>
      <c r="D65" s="82"/>
      <c r="E65" s="7">
        <v>61</v>
      </c>
      <c r="F65" s="253">
        <v>44957</v>
      </c>
      <c r="G65" s="4">
        <f t="shared" si="7"/>
        <v>7400566.5488700112</v>
      </c>
      <c r="H65" s="4">
        <f t="shared" si="9"/>
        <v>37712.476112049917</v>
      </c>
      <c r="I65" s="4">
        <f t="shared" si="10"/>
        <v>105334.77395382556</v>
      </c>
      <c r="J65" s="4">
        <f t="shared" si="6"/>
        <v>7295231.774916186</v>
      </c>
    </row>
    <row r="66" spans="1:10">
      <c r="A66" s="82"/>
      <c r="B66" s="82"/>
      <c r="C66" s="82"/>
      <c r="D66" s="82"/>
      <c r="E66" s="7">
        <v>62</v>
      </c>
      <c r="F66" s="253">
        <v>44985</v>
      </c>
      <c r="G66" s="4">
        <f t="shared" si="7"/>
        <v>7295231.774916186</v>
      </c>
      <c r="H66" s="4">
        <f t="shared" si="9"/>
        <v>33578.053100984085</v>
      </c>
      <c r="I66" s="4">
        <f t="shared" si="10"/>
        <v>109469.19696489139</v>
      </c>
      <c r="J66" s="4">
        <f t="shared" si="6"/>
        <v>7185762.5779512944</v>
      </c>
    </row>
    <row r="67" spans="1:10">
      <c r="A67" s="82"/>
      <c r="B67" s="82"/>
      <c r="C67" s="82"/>
      <c r="D67" s="82"/>
      <c r="E67" s="7">
        <v>63</v>
      </c>
      <c r="F67" s="253">
        <v>45016</v>
      </c>
      <c r="G67" s="4">
        <f t="shared" si="7"/>
        <v>7185762.5779512944</v>
      </c>
      <c r="H67" s="4">
        <f t="shared" si="9"/>
        <v>36617.858616409336</v>
      </c>
      <c r="I67" s="4">
        <f t="shared" si="10"/>
        <v>106429.39144946614</v>
      </c>
      <c r="J67" s="4">
        <f t="shared" si="6"/>
        <v>7079333.186501828</v>
      </c>
    </row>
    <row r="68" spans="1:10">
      <c r="A68" s="82"/>
      <c r="B68" s="82"/>
      <c r="C68" s="82"/>
      <c r="D68" s="82"/>
      <c r="E68" s="7">
        <v>64</v>
      </c>
      <c r="F68" s="253">
        <v>45046</v>
      </c>
      <c r="G68" s="4">
        <f t="shared" si="7"/>
        <v>7079333.186501828</v>
      </c>
      <c r="H68" s="4">
        <f t="shared" si="9"/>
        <v>34911.780097817238</v>
      </c>
      <c r="I68" s="4">
        <f t="shared" si="10"/>
        <v>108135.46996805823</v>
      </c>
      <c r="J68" s="4">
        <f t="shared" si="6"/>
        <v>6971197.7165337699</v>
      </c>
    </row>
    <row r="69" spans="1:10">
      <c r="A69" s="82"/>
      <c r="B69" s="82"/>
      <c r="C69" s="82"/>
      <c r="D69" s="82"/>
      <c r="E69" s="7">
        <v>65</v>
      </c>
      <c r="F69" s="253">
        <v>45077</v>
      </c>
      <c r="G69" s="4">
        <f t="shared" si="7"/>
        <v>6971197.7165337699</v>
      </c>
      <c r="H69" s="4">
        <f t="shared" si="9"/>
        <v>35524.459596583045</v>
      </c>
      <c r="I69" s="4">
        <f t="shared" si="10"/>
        <v>107522.79046929243</v>
      </c>
      <c r="J69" s="4">
        <f t="shared" si="6"/>
        <v>6863674.9260644773</v>
      </c>
    </row>
    <row r="70" spans="1:10">
      <c r="A70" s="82"/>
      <c r="B70" s="82"/>
      <c r="C70" s="82"/>
      <c r="D70" s="82"/>
      <c r="E70" s="7">
        <v>66</v>
      </c>
      <c r="F70" s="599">
        <v>45107</v>
      </c>
      <c r="G70" s="4">
        <f t="shared" si="7"/>
        <v>6863674.9260644773</v>
      </c>
      <c r="H70" s="4">
        <f t="shared" si="9"/>
        <v>33848.259909359062</v>
      </c>
      <c r="I70" s="4">
        <f t="shared" si="10"/>
        <v>109198.9901565164</v>
      </c>
      <c r="J70" s="4">
        <f t="shared" si="6"/>
        <v>6754475.9359079609</v>
      </c>
    </row>
    <row r="71" spans="1:10">
      <c r="A71" s="82"/>
      <c r="B71" s="82"/>
      <c r="C71" s="82"/>
      <c r="D71" s="82"/>
      <c r="E71" s="7">
        <v>67</v>
      </c>
      <c r="F71" s="253">
        <v>45138</v>
      </c>
      <c r="G71" s="4">
        <f t="shared" si="7"/>
        <v>6754475.9359079609</v>
      </c>
      <c r="H71" s="4">
        <f t="shared" si="9"/>
        <v>34420.069152846045</v>
      </c>
      <c r="I71" s="4">
        <f t="shared" si="10"/>
        <v>108627.18091302943</v>
      </c>
      <c r="J71" s="4">
        <f t="shared" si="6"/>
        <v>6645848.7549949316</v>
      </c>
    </row>
    <row r="72" spans="1:10">
      <c r="A72" s="82"/>
      <c r="B72" s="82"/>
      <c r="C72" s="82"/>
      <c r="D72" s="82"/>
      <c r="E72" s="7">
        <v>68</v>
      </c>
      <c r="F72" s="253">
        <v>45169</v>
      </c>
      <c r="G72" s="4">
        <f t="shared" si="7"/>
        <v>6645848.7549949316</v>
      </c>
      <c r="H72" s="4">
        <f t="shared" si="9"/>
        <v>33866.516943261842</v>
      </c>
      <c r="I72" s="4">
        <f t="shared" si="10"/>
        <v>109180.73312261363</v>
      </c>
      <c r="J72" s="4">
        <f t="shared" si="6"/>
        <v>6536668.0218723183</v>
      </c>
    </row>
    <row r="73" spans="1:10">
      <c r="A73" s="82"/>
      <c r="B73" s="82"/>
      <c r="C73" s="82"/>
      <c r="D73" s="82"/>
      <c r="E73" s="7">
        <v>69</v>
      </c>
      <c r="F73" s="253">
        <v>45199</v>
      </c>
      <c r="G73" s="4">
        <f t="shared" si="7"/>
        <v>6536668.0218723183</v>
      </c>
      <c r="H73" s="4">
        <f t="shared" si="9"/>
        <v>32235.623121562119</v>
      </c>
      <c r="I73" s="4">
        <f t="shared" si="10"/>
        <v>110811.62694431335</v>
      </c>
      <c r="J73" s="4">
        <f t="shared" si="6"/>
        <v>6425856.3949280046</v>
      </c>
    </row>
    <row r="74" spans="1:10">
      <c r="A74" s="82"/>
      <c r="B74" s="82"/>
      <c r="C74" s="82"/>
      <c r="D74" s="82"/>
      <c r="E74" s="7">
        <v>70</v>
      </c>
      <c r="F74" s="253">
        <v>45230</v>
      </c>
      <c r="G74" s="4">
        <f t="shared" si="7"/>
        <v>6425856.3949280046</v>
      </c>
      <c r="H74" s="4">
        <f t="shared" si="9"/>
        <v>32745.459985112568</v>
      </c>
      <c r="I74" s="4">
        <f t="shared" si="10"/>
        <v>110301.7900807629</v>
      </c>
      <c r="J74" s="4">
        <f t="shared" si="6"/>
        <v>6315554.6048472421</v>
      </c>
    </row>
    <row r="75" spans="1:10">
      <c r="A75" s="82"/>
      <c r="B75" s="82"/>
      <c r="C75" s="82"/>
      <c r="D75" s="82"/>
      <c r="E75" s="7">
        <v>71</v>
      </c>
      <c r="F75" s="253">
        <v>45260</v>
      </c>
      <c r="G75" s="4">
        <f t="shared" si="7"/>
        <v>6315554.6048472421</v>
      </c>
      <c r="H75" s="4">
        <f t="shared" si="9"/>
        <v>31145.200791027495</v>
      </c>
      <c r="I75" s="4">
        <f t="shared" si="10"/>
        <v>111902.04927484797</v>
      </c>
      <c r="J75" s="4">
        <f t="shared" si="6"/>
        <v>6203652.5555723943</v>
      </c>
    </row>
    <row r="76" spans="1:10">
      <c r="A76" s="82"/>
      <c r="B76" s="82"/>
      <c r="C76" s="82"/>
      <c r="D76" s="82"/>
      <c r="E76" s="10">
        <v>72</v>
      </c>
      <c r="F76" s="253">
        <v>45291</v>
      </c>
      <c r="G76" s="243">
        <f t="shared" si="7"/>
        <v>6203652.5555723943</v>
      </c>
      <c r="H76" s="243">
        <f t="shared" si="9"/>
        <v>31613.133570862061</v>
      </c>
      <c r="I76" s="243">
        <f t="shared" si="10"/>
        <v>111434.11649501341</v>
      </c>
      <c r="J76" s="243">
        <f t="shared" si="6"/>
        <v>6092218.439077381</v>
      </c>
    </row>
    <row r="77" spans="1:10">
      <c r="A77" s="82"/>
      <c r="B77" s="82"/>
      <c r="C77" s="82"/>
      <c r="D77" s="82"/>
      <c r="E77" s="7">
        <v>73</v>
      </c>
      <c r="F77" s="253">
        <v>45322</v>
      </c>
      <c r="G77" s="4">
        <f t="shared" si="7"/>
        <v>6092218.439077381</v>
      </c>
      <c r="H77" s="4">
        <f t="shared" si="9"/>
        <v>31045.277525161451</v>
      </c>
      <c r="I77" s="4">
        <f t="shared" si="10"/>
        <v>112001.97254071402</v>
      </c>
      <c r="J77" s="4">
        <f t="shared" si="6"/>
        <v>5980216.4665366672</v>
      </c>
    </row>
    <row r="78" spans="1:10">
      <c r="A78" s="82"/>
      <c r="B78" s="82"/>
      <c r="C78" s="82"/>
      <c r="D78" s="82"/>
      <c r="E78" s="7">
        <v>74</v>
      </c>
      <c r="F78" s="253">
        <v>45351</v>
      </c>
      <c r="G78" s="4">
        <f t="shared" si="7"/>
        <v>5980216.4665366672</v>
      </c>
      <c r="H78" s="4">
        <f t="shared" si="9"/>
        <v>28508.42918294192</v>
      </c>
      <c r="I78" s="4">
        <f t="shared" si="10"/>
        <v>114538.82088293355</v>
      </c>
      <c r="J78" s="4">
        <f t="shared" si="6"/>
        <v>5865677.645653734</v>
      </c>
    </row>
    <row r="79" spans="1:10">
      <c r="A79" s="82"/>
      <c r="B79" s="82"/>
      <c r="C79" s="82"/>
      <c r="D79" s="82"/>
      <c r="E79" s="7">
        <v>75</v>
      </c>
      <c r="F79" s="253">
        <v>45382</v>
      </c>
      <c r="G79" s="4">
        <f t="shared" si="7"/>
        <v>5865677.645653734</v>
      </c>
      <c r="H79" s="4">
        <f t="shared" si="9"/>
        <v>29890.850468262863</v>
      </c>
      <c r="I79" s="4">
        <f t="shared" si="10"/>
        <v>113156.39959761262</v>
      </c>
      <c r="J79" s="4">
        <f t="shared" si="6"/>
        <v>5752521.2460561218</v>
      </c>
    </row>
    <row r="80" spans="1:10">
      <c r="A80" s="82"/>
      <c r="B80" s="82"/>
      <c r="C80" s="82"/>
      <c r="D80" s="82"/>
      <c r="E80" s="7">
        <v>76</v>
      </c>
      <c r="F80" s="253">
        <v>45412</v>
      </c>
      <c r="G80" s="4">
        <f t="shared" si="7"/>
        <v>5752521.2460561218</v>
      </c>
      <c r="H80" s="4">
        <f t="shared" si="9"/>
        <v>28368.597925756218</v>
      </c>
      <c r="I80" s="4">
        <f t="shared" si="10"/>
        <v>114678.65214011926</v>
      </c>
      <c r="J80" s="4">
        <f t="shared" si="6"/>
        <v>5637842.5939160027</v>
      </c>
    </row>
    <row r="81" spans="1:10">
      <c r="A81" s="82"/>
      <c r="B81" s="82"/>
      <c r="C81" s="82"/>
      <c r="D81" s="82"/>
      <c r="E81" s="7">
        <v>77</v>
      </c>
      <c r="F81" s="253">
        <v>45443</v>
      </c>
      <c r="G81" s="4">
        <f t="shared" si="7"/>
        <v>5637842.5939160027</v>
      </c>
      <c r="H81" s="4">
        <f t="shared" si="9"/>
        <v>28729.828012832229</v>
      </c>
      <c r="I81" s="4">
        <f t="shared" si="10"/>
        <v>114317.42205304324</v>
      </c>
      <c r="J81" s="4">
        <f t="shared" si="6"/>
        <v>5523525.1718629599</v>
      </c>
    </row>
    <row r="82" spans="1:10">
      <c r="A82" s="82"/>
      <c r="B82" s="82"/>
      <c r="C82" s="82"/>
      <c r="D82" s="82"/>
      <c r="E82" s="7">
        <v>78</v>
      </c>
      <c r="F82" s="599">
        <v>45473</v>
      </c>
      <c r="G82" s="4">
        <f t="shared" si="7"/>
        <v>5523525.1718629599</v>
      </c>
      <c r="H82" s="4">
        <f t="shared" si="9"/>
        <v>27239.302217406377</v>
      </c>
      <c r="I82" s="4">
        <f t="shared" ref="I82:I145" si="11">$C$8-H82</f>
        <v>115807.94784846909</v>
      </c>
      <c r="J82" s="4">
        <f t="shared" ref="J82:J145" si="12">G82-I82</f>
        <v>5407717.2240144908</v>
      </c>
    </row>
    <row r="83" spans="1:10">
      <c r="A83" s="82"/>
      <c r="B83" s="82"/>
      <c r="C83" s="82"/>
      <c r="D83" s="82"/>
      <c r="E83" s="7">
        <v>79</v>
      </c>
      <c r="F83" s="253">
        <v>45504</v>
      </c>
      <c r="G83" s="4">
        <f t="shared" ref="G83:G146" si="13">J82</f>
        <v>5407717.2240144908</v>
      </c>
      <c r="H83" s="4">
        <f t="shared" si="9"/>
        <v>27557.134347032745</v>
      </c>
      <c r="I83" s="4">
        <f t="shared" si="11"/>
        <v>115490.11571884273</v>
      </c>
      <c r="J83" s="4">
        <f t="shared" si="12"/>
        <v>5292227.1082956484</v>
      </c>
    </row>
    <row r="84" spans="1:10">
      <c r="A84" s="82"/>
      <c r="B84" s="82"/>
      <c r="C84" s="82"/>
      <c r="D84" s="82"/>
      <c r="E84" s="7">
        <v>80</v>
      </c>
      <c r="F84" s="253">
        <v>45535</v>
      </c>
      <c r="G84" s="4">
        <f t="shared" si="13"/>
        <v>5292227.1082956484</v>
      </c>
      <c r="H84" s="4">
        <f t="shared" si="9"/>
        <v>26968.609373780564</v>
      </c>
      <c r="I84" s="4">
        <f t="shared" si="11"/>
        <v>116078.64069209491</v>
      </c>
      <c r="J84" s="4">
        <f t="shared" si="12"/>
        <v>5176148.4676035531</v>
      </c>
    </row>
    <row r="85" spans="1:10">
      <c r="A85" s="82"/>
      <c r="B85" s="82"/>
      <c r="C85" s="82"/>
      <c r="D85" s="82"/>
      <c r="E85" s="7">
        <v>81</v>
      </c>
      <c r="F85" s="253">
        <v>45565</v>
      </c>
      <c r="G85" s="4">
        <f t="shared" si="13"/>
        <v>5176148.4676035531</v>
      </c>
      <c r="H85" s="4">
        <f t="shared" si="9"/>
        <v>25526.211621058614</v>
      </c>
      <c r="I85" s="4">
        <f t="shared" si="11"/>
        <v>117521.03844481686</v>
      </c>
      <c r="J85" s="4">
        <f t="shared" si="12"/>
        <v>5058627.429158736</v>
      </c>
    </row>
    <row r="86" spans="1:10">
      <c r="A86" s="82"/>
      <c r="B86" s="82"/>
      <c r="C86" s="82"/>
      <c r="D86" s="82"/>
      <c r="E86" s="7">
        <v>82</v>
      </c>
      <c r="F86" s="253">
        <v>45596</v>
      </c>
      <c r="G86" s="4">
        <f t="shared" si="13"/>
        <v>5058627.429158736</v>
      </c>
      <c r="H86" s="4">
        <f t="shared" si="9"/>
        <v>25778.211008863698</v>
      </c>
      <c r="I86" s="4">
        <f t="shared" si="11"/>
        <v>117269.03905701177</v>
      </c>
      <c r="J86" s="4">
        <f t="shared" si="12"/>
        <v>4941358.3901017243</v>
      </c>
    </row>
    <row r="87" spans="1:10">
      <c r="A87" s="82"/>
      <c r="B87" s="82"/>
      <c r="C87" s="82"/>
      <c r="D87" s="82"/>
      <c r="E87" s="7">
        <v>83</v>
      </c>
      <c r="F87" s="253">
        <v>45626</v>
      </c>
      <c r="G87" s="4">
        <f t="shared" si="13"/>
        <v>4941358.3901017243</v>
      </c>
      <c r="H87" s="4">
        <f t="shared" si="9"/>
        <v>24368.342745707134</v>
      </c>
      <c r="I87" s="4">
        <f t="shared" si="11"/>
        <v>118678.90732016833</v>
      </c>
      <c r="J87" s="4">
        <f t="shared" si="12"/>
        <v>4822679.4827815555</v>
      </c>
    </row>
    <row r="88" spans="1:10">
      <c r="A88" s="82"/>
      <c r="B88" s="82"/>
      <c r="C88" s="82"/>
      <c r="D88" s="82"/>
      <c r="E88" s="10">
        <v>84</v>
      </c>
      <c r="F88" s="253">
        <v>45657</v>
      </c>
      <c r="G88" s="243">
        <f t="shared" si="13"/>
        <v>4822679.4827815555</v>
      </c>
      <c r="H88" s="243">
        <f t="shared" si="9"/>
        <v>24575.846131434777</v>
      </c>
      <c r="I88" s="243">
        <f t="shared" si="11"/>
        <v>118471.40393444069</v>
      </c>
      <c r="J88" s="243">
        <f t="shared" si="12"/>
        <v>4704208.0788471149</v>
      </c>
    </row>
    <row r="89" spans="1:10">
      <c r="A89" s="82"/>
      <c r="B89" s="82"/>
      <c r="C89" s="82"/>
      <c r="D89" s="82"/>
      <c r="E89" s="7">
        <v>85</v>
      </c>
      <c r="F89" s="253">
        <v>45688</v>
      </c>
      <c r="G89" s="4">
        <f t="shared" si="13"/>
        <v>4704208.0788471149</v>
      </c>
      <c r="H89" s="4">
        <f t="shared" si="9"/>
        <v>23972.128840152418</v>
      </c>
      <c r="I89" s="4">
        <f t="shared" si="11"/>
        <v>119075.12122572305</v>
      </c>
      <c r="J89" s="4">
        <f t="shared" si="12"/>
        <v>4585132.9576213919</v>
      </c>
    </row>
    <row r="90" spans="1:10">
      <c r="A90" s="82"/>
      <c r="B90" s="82"/>
      <c r="C90" s="82"/>
      <c r="D90" s="82"/>
      <c r="E90" s="7">
        <v>86</v>
      </c>
      <c r="F90" s="253">
        <v>45716</v>
      </c>
      <c r="G90" s="4">
        <f t="shared" si="13"/>
        <v>4585132.9576213919</v>
      </c>
      <c r="H90" s="4">
        <f t="shared" si="9"/>
        <v>21104.173613161478</v>
      </c>
      <c r="I90" s="4">
        <f t="shared" si="11"/>
        <v>121943.076452714</v>
      </c>
      <c r="J90" s="4">
        <f t="shared" si="12"/>
        <v>4463189.8811686775</v>
      </c>
    </row>
    <row r="91" spans="1:10">
      <c r="A91" s="82"/>
      <c r="B91" s="82"/>
      <c r="C91" s="82"/>
      <c r="D91" s="82"/>
      <c r="E91" s="7">
        <v>87</v>
      </c>
      <c r="F91" s="253">
        <v>45747</v>
      </c>
      <c r="G91" s="4">
        <f t="shared" si="13"/>
        <v>4463189.8811686775</v>
      </c>
      <c r="H91" s="4">
        <f t="shared" si="9"/>
        <v>22743.926517736272</v>
      </c>
      <c r="I91" s="4">
        <f t="shared" si="11"/>
        <v>120303.3235481392</v>
      </c>
      <c r="J91" s="4">
        <f t="shared" si="12"/>
        <v>4342886.5576205384</v>
      </c>
    </row>
    <row r="92" spans="1:10">
      <c r="A92" s="82"/>
      <c r="B92" s="82"/>
      <c r="C92" s="82"/>
      <c r="D92" s="82"/>
      <c r="E92" s="7">
        <v>88</v>
      </c>
      <c r="F92" s="253">
        <v>45777</v>
      </c>
      <c r="G92" s="4">
        <f t="shared" si="13"/>
        <v>4342886.5576205384</v>
      </c>
      <c r="H92" s="4">
        <f t="shared" si="9"/>
        <v>21416.974804704023</v>
      </c>
      <c r="I92" s="4">
        <f t="shared" si="11"/>
        <v>121630.27526117145</v>
      </c>
      <c r="J92" s="4">
        <f t="shared" si="12"/>
        <v>4221256.2823593672</v>
      </c>
    </row>
    <row r="93" spans="1:10">
      <c r="A93" s="82"/>
      <c r="B93" s="82"/>
      <c r="C93" s="82"/>
      <c r="D93" s="82"/>
      <c r="E93" s="7">
        <v>89</v>
      </c>
      <c r="F93" s="253">
        <v>45808</v>
      </c>
      <c r="G93" s="4">
        <f t="shared" si="13"/>
        <v>4221256.2823593672</v>
      </c>
      <c r="H93" s="4">
        <f t="shared" si="9"/>
        <v>21511.059411475133</v>
      </c>
      <c r="I93" s="4">
        <f t="shared" si="11"/>
        <v>121536.19065440034</v>
      </c>
      <c r="J93" s="4">
        <f t="shared" si="12"/>
        <v>4099720.091704967</v>
      </c>
    </row>
    <row r="94" spans="1:10">
      <c r="A94" s="82"/>
      <c r="B94" s="82"/>
      <c r="C94" s="82"/>
      <c r="D94" s="82"/>
      <c r="E94" s="7">
        <v>90</v>
      </c>
      <c r="F94" s="599">
        <v>45838</v>
      </c>
      <c r="G94" s="4">
        <f t="shared" si="13"/>
        <v>4099720.091704967</v>
      </c>
      <c r="H94" s="4">
        <f t="shared" ref="H94:H148" si="14">(G94*$C$9)*(F94-F93)/365</f>
        <v>20217.797712517644</v>
      </c>
      <c r="I94" s="4">
        <f t="shared" si="11"/>
        <v>122829.45235335783</v>
      </c>
      <c r="J94" s="4">
        <f t="shared" si="12"/>
        <v>3976890.6393516092</v>
      </c>
    </row>
    <row r="95" spans="1:10">
      <c r="A95" s="82"/>
      <c r="B95" s="82"/>
      <c r="C95" s="82"/>
      <c r="D95" s="82"/>
      <c r="E95" s="7">
        <v>91</v>
      </c>
      <c r="F95" s="253">
        <v>45869</v>
      </c>
      <c r="G95" s="4">
        <f t="shared" si="13"/>
        <v>3976890.6393516092</v>
      </c>
      <c r="H95" s="4">
        <f t="shared" si="14"/>
        <v>20265.798874504089</v>
      </c>
      <c r="I95" s="4">
        <f t="shared" si="11"/>
        <v>122781.45119137138</v>
      </c>
      <c r="J95" s="4">
        <f t="shared" si="12"/>
        <v>3854109.1881602379</v>
      </c>
    </row>
    <row r="96" spans="1:10">
      <c r="A96" s="82"/>
      <c r="B96" s="82"/>
      <c r="C96" s="82"/>
      <c r="D96" s="82"/>
      <c r="E96" s="7">
        <v>92</v>
      </c>
      <c r="F96" s="253">
        <v>45900</v>
      </c>
      <c r="G96" s="4">
        <f t="shared" si="13"/>
        <v>3854109.1881602379</v>
      </c>
      <c r="H96" s="4">
        <f t="shared" si="14"/>
        <v>19640.118054734361</v>
      </c>
      <c r="I96" s="4">
        <f t="shared" si="11"/>
        <v>123407.1320111411</v>
      </c>
      <c r="J96" s="4">
        <f t="shared" si="12"/>
        <v>3730702.0561490967</v>
      </c>
    </row>
    <row r="97" spans="1:10">
      <c r="A97" s="82"/>
      <c r="B97" s="82"/>
      <c r="C97" s="82"/>
      <c r="D97" s="82"/>
      <c r="E97" s="7">
        <v>93</v>
      </c>
      <c r="F97" s="253">
        <v>45930</v>
      </c>
      <c r="G97" s="4">
        <f t="shared" si="13"/>
        <v>3730702.0561490967</v>
      </c>
      <c r="H97" s="4">
        <f t="shared" si="14"/>
        <v>18397.982742653079</v>
      </c>
      <c r="I97" s="4">
        <f t="shared" si="11"/>
        <v>124649.26732322239</v>
      </c>
      <c r="J97" s="4">
        <f t="shared" si="12"/>
        <v>3606052.7888258742</v>
      </c>
    </row>
    <row r="98" spans="1:10">
      <c r="A98" s="82"/>
      <c r="B98" s="82"/>
      <c r="C98" s="82"/>
      <c r="D98" s="82"/>
      <c r="E98" s="7">
        <v>94</v>
      </c>
      <c r="F98" s="253">
        <v>45961</v>
      </c>
      <c r="G98" s="4">
        <f t="shared" si="13"/>
        <v>3606052.7888258742</v>
      </c>
      <c r="H98" s="4">
        <f t="shared" si="14"/>
        <v>18376.049827989384</v>
      </c>
      <c r="I98" s="4">
        <f t="shared" si="11"/>
        <v>124671.20023788609</v>
      </c>
      <c r="J98" s="4">
        <f t="shared" si="12"/>
        <v>3481381.5885879882</v>
      </c>
    </row>
    <row r="99" spans="1:10">
      <c r="A99" s="82"/>
      <c r="B99" s="82"/>
      <c r="C99" s="82"/>
      <c r="D99" s="82"/>
      <c r="E99" s="7">
        <v>95</v>
      </c>
      <c r="F99" s="253">
        <v>45991</v>
      </c>
      <c r="G99" s="4">
        <f t="shared" si="13"/>
        <v>3481381.5885879882</v>
      </c>
      <c r="H99" s="4">
        <f t="shared" si="14"/>
        <v>17168.457149201036</v>
      </c>
      <c r="I99" s="4">
        <f t="shared" si="11"/>
        <v>125878.79291667443</v>
      </c>
      <c r="J99" s="4">
        <f t="shared" si="12"/>
        <v>3355502.7956713135</v>
      </c>
    </row>
    <row r="100" spans="1:10">
      <c r="A100" s="82"/>
      <c r="B100" s="82"/>
      <c r="C100" s="82"/>
      <c r="D100" s="82"/>
      <c r="E100" s="10">
        <v>96</v>
      </c>
      <c r="F100" s="253">
        <v>46022</v>
      </c>
      <c r="G100" s="243">
        <f t="shared" si="13"/>
        <v>3355502.7956713135</v>
      </c>
      <c r="H100" s="243">
        <f t="shared" si="14"/>
        <v>17099.274520407242</v>
      </c>
      <c r="I100" s="243">
        <f t="shared" si="11"/>
        <v>125947.97554546823</v>
      </c>
      <c r="J100" s="243">
        <f t="shared" si="12"/>
        <v>3229554.8201258453</v>
      </c>
    </row>
    <row r="101" spans="1:10">
      <c r="A101" s="82"/>
      <c r="B101" s="82"/>
      <c r="C101" s="82"/>
      <c r="D101" s="82"/>
      <c r="E101" s="7">
        <v>97</v>
      </c>
      <c r="F101" s="253">
        <v>46053</v>
      </c>
      <c r="G101" s="4">
        <f t="shared" si="13"/>
        <v>3229554.8201258453</v>
      </c>
      <c r="H101" s="4">
        <f t="shared" si="14"/>
        <v>16457.4574395454</v>
      </c>
      <c r="I101" s="4">
        <f t="shared" si="11"/>
        <v>126589.79262633008</v>
      </c>
      <c r="J101" s="4">
        <f t="shared" si="12"/>
        <v>3102965.0274995151</v>
      </c>
    </row>
    <row r="102" spans="1:10">
      <c r="A102" s="82"/>
      <c r="B102" s="82"/>
      <c r="C102" s="82"/>
      <c r="D102" s="82"/>
      <c r="E102" s="7">
        <v>98</v>
      </c>
      <c r="F102" s="253">
        <v>46081</v>
      </c>
      <c r="G102" s="4">
        <f t="shared" si="13"/>
        <v>3102965.0274995151</v>
      </c>
      <c r="H102" s="4">
        <f t="shared" si="14"/>
        <v>14282.140400545712</v>
      </c>
      <c r="I102" s="4">
        <f t="shared" si="11"/>
        <v>128765.10966532976</v>
      </c>
      <c r="J102" s="4">
        <f t="shared" si="12"/>
        <v>2974199.9178341855</v>
      </c>
    </row>
    <row r="103" spans="1:10">
      <c r="A103" s="82"/>
      <c r="B103" s="82"/>
      <c r="C103" s="82"/>
      <c r="D103" s="82"/>
      <c r="E103" s="7">
        <v>99</v>
      </c>
      <c r="F103" s="253">
        <v>46112</v>
      </c>
      <c r="G103" s="4">
        <f t="shared" si="13"/>
        <v>2974199.9178341855</v>
      </c>
      <c r="H103" s="4">
        <f t="shared" si="14"/>
        <v>15156.196841565983</v>
      </c>
      <c r="I103" s="4">
        <f t="shared" si="11"/>
        <v>127891.05322430949</v>
      </c>
      <c r="J103" s="4">
        <f t="shared" si="12"/>
        <v>2846308.8646098762</v>
      </c>
    </row>
    <row r="104" spans="1:10">
      <c r="A104" s="82"/>
      <c r="B104" s="82"/>
      <c r="C104" s="82"/>
      <c r="D104" s="82"/>
      <c r="E104" s="7">
        <v>100</v>
      </c>
      <c r="F104" s="253">
        <v>46142</v>
      </c>
      <c r="G104" s="4">
        <f t="shared" si="13"/>
        <v>2846308.8646098762</v>
      </c>
      <c r="H104" s="4">
        <f t="shared" si="14"/>
        <v>14036.591661089802</v>
      </c>
      <c r="I104" s="4">
        <f t="shared" si="11"/>
        <v>129010.65840478567</v>
      </c>
      <c r="J104" s="4">
        <f t="shared" si="12"/>
        <v>2717298.2062050905</v>
      </c>
    </row>
    <row r="105" spans="1:10">
      <c r="A105" s="82"/>
      <c r="B105" s="82"/>
      <c r="C105" s="82"/>
      <c r="D105" s="82"/>
      <c r="E105" s="7">
        <v>101</v>
      </c>
      <c r="F105" s="253">
        <v>46173</v>
      </c>
      <c r="G105" s="4">
        <f t="shared" si="13"/>
        <v>2717298.2062050905</v>
      </c>
      <c r="H105" s="4">
        <f t="shared" si="14"/>
        <v>13847.053872716351</v>
      </c>
      <c r="I105" s="4">
        <f t="shared" si="11"/>
        <v>129200.19619315912</v>
      </c>
      <c r="J105" s="4">
        <f t="shared" si="12"/>
        <v>2588098.0100119314</v>
      </c>
    </row>
    <row r="106" spans="1:10">
      <c r="A106" s="82"/>
      <c r="B106" s="82"/>
      <c r="C106" s="82"/>
      <c r="D106" s="82"/>
      <c r="E106" s="7">
        <v>102</v>
      </c>
      <c r="F106" s="599">
        <v>46203</v>
      </c>
      <c r="G106" s="4">
        <f t="shared" si="13"/>
        <v>2588098.0100119314</v>
      </c>
      <c r="H106" s="4">
        <f t="shared" si="14"/>
        <v>12763.223063072537</v>
      </c>
      <c r="I106" s="4">
        <f t="shared" si="11"/>
        <v>130284.02700280293</v>
      </c>
      <c r="J106" s="4">
        <f t="shared" si="12"/>
        <v>2457813.9830091284</v>
      </c>
    </row>
    <row r="107" spans="1:10">
      <c r="A107" s="82"/>
      <c r="B107" s="82"/>
      <c r="C107" s="82"/>
      <c r="D107" s="82"/>
      <c r="E107" s="7">
        <v>103</v>
      </c>
      <c r="F107" s="253">
        <v>46234</v>
      </c>
      <c r="G107" s="4">
        <f t="shared" si="13"/>
        <v>2457813.9830091284</v>
      </c>
      <c r="H107" s="4">
        <f t="shared" si="14"/>
        <v>12524.750707936928</v>
      </c>
      <c r="I107" s="4">
        <f t="shared" si="11"/>
        <v>130522.49935793855</v>
      </c>
      <c r="J107" s="4">
        <f t="shared" si="12"/>
        <v>2327291.4836511896</v>
      </c>
    </row>
    <row r="108" spans="1:10">
      <c r="A108" s="82"/>
      <c r="B108" s="82"/>
      <c r="C108" s="82"/>
      <c r="D108" s="82"/>
      <c r="E108" s="7">
        <v>104</v>
      </c>
      <c r="F108" s="253">
        <v>46265</v>
      </c>
      <c r="G108" s="4">
        <f t="shared" si="13"/>
        <v>2327291.4836511896</v>
      </c>
      <c r="H108" s="4">
        <f t="shared" si="14"/>
        <v>11859.622355044416</v>
      </c>
      <c r="I108" s="4">
        <f t="shared" si="11"/>
        <v>131187.62771083106</v>
      </c>
      <c r="J108" s="4">
        <f t="shared" si="12"/>
        <v>2196103.8559403587</v>
      </c>
    </row>
    <row r="109" spans="1:10">
      <c r="A109" s="82"/>
      <c r="B109" s="82"/>
      <c r="C109" s="82"/>
      <c r="D109" s="82"/>
      <c r="E109" s="7">
        <v>105</v>
      </c>
      <c r="F109" s="253">
        <v>46295</v>
      </c>
      <c r="G109" s="4">
        <f t="shared" si="13"/>
        <v>2196103.8559403587</v>
      </c>
      <c r="H109" s="4">
        <f t="shared" si="14"/>
        <v>10830.101207377111</v>
      </c>
      <c r="I109" s="4">
        <f t="shared" si="11"/>
        <v>132217.14885849837</v>
      </c>
      <c r="J109" s="4">
        <f t="shared" si="12"/>
        <v>2063886.7070818604</v>
      </c>
    </row>
    <row r="110" spans="1:10">
      <c r="A110" s="82"/>
      <c r="B110" s="82"/>
      <c r="C110" s="82"/>
      <c r="D110" s="82"/>
      <c r="E110" s="7">
        <v>106</v>
      </c>
      <c r="F110" s="253">
        <v>46326</v>
      </c>
      <c r="G110" s="4">
        <f t="shared" si="13"/>
        <v>2063886.7070818604</v>
      </c>
      <c r="H110" s="4">
        <f t="shared" si="14"/>
        <v>10517.340479924</v>
      </c>
      <c r="I110" s="4">
        <f t="shared" si="11"/>
        <v>132529.90958595148</v>
      </c>
      <c r="J110" s="4">
        <f t="shared" si="12"/>
        <v>1931356.797495909</v>
      </c>
    </row>
    <row r="111" spans="1:10">
      <c r="A111" s="82"/>
      <c r="B111" s="82"/>
      <c r="C111" s="82"/>
      <c r="D111" s="82"/>
      <c r="E111" s="7">
        <v>107</v>
      </c>
      <c r="F111" s="253">
        <v>46356</v>
      </c>
      <c r="G111" s="4">
        <f t="shared" si="13"/>
        <v>1931356.797495909</v>
      </c>
      <c r="H111" s="4">
        <f t="shared" si="14"/>
        <v>9524.4992753222923</v>
      </c>
      <c r="I111" s="4">
        <f t="shared" si="11"/>
        <v>133522.75079055317</v>
      </c>
      <c r="J111" s="4">
        <f t="shared" si="12"/>
        <v>1797834.0467053559</v>
      </c>
    </row>
    <row r="112" spans="1:10">
      <c r="A112" s="82"/>
      <c r="B112" s="82"/>
      <c r="C112" s="82"/>
      <c r="D112" s="82"/>
      <c r="E112" s="10">
        <v>108</v>
      </c>
      <c r="F112" s="253">
        <v>46387</v>
      </c>
      <c r="G112" s="243">
        <f t="shared" si="13"/>
        <v>1797834.0467053559</v>
      </c>
      <c r="H112" s="243">
        <f t="shared" si="14"/>
        <v>9161.5652791012653</v>
      </c>
      <c r="I112" s="243">
        <f t="shared" si="11"/>
        <v>133885.68478677422</v>
      </c>
      <c r="J112" s="243">
        <f t="shared" si="12"/>
        <v>1663948.3619185816</v>
      </c>
    </row>
    <row r="113" spans="1:10">
      <c r="A113" s="82"/>
      <c r="B113" s="82"/>
      <c r="C113" s="82"/>
      <c r="D113" s="82"/>
      <c r="E113" s="7">
        <v>109</v>
      </c>
      <c r="F113" s="253">
        <v>46418</v>
      </c>
      <c r="G113" s="4">
        <f t="shared" si="13"/>
        <v>1663948.3619185816</v>
      </c>
      <c r="H113" s="4">
        <f t="shared" si="14"/>
        <v>8479.2985018316776</v>
      </c>
      <c r="I113" s="4">
        <f t="shared" si="11"/>
        <v>134567.95156404379</v>
      </c>
      <c r="J113" s="4">
        <f t="shared" si="12"/>
        <v>1529380.4103545379</v>
      </c>
    </row>
    <row r="114" spans="1:10">
      <c r="A114" s="82"/>
      <c r="B114" s="82"/>
      <c r="C114" s="82"/>
      <c r="D114" s="82"/>
      <c r="E114" s="7">
        <v>110</v>
      </c>
      <c r="F114" s="253">
        <v>46446</v>
      </c>
      <c r="G114" s="4">
        <f t="shared" si="13"/>
        <v>1529380.4103545379</v>
      </c>
      <c r="H114" s="4">
        <f t="shared" si="14"/>
        <v>7039.339970946914</v>
      </c>
      <c r="I114" s="4">
        <f t="shared" si="11"/>
        <v>136007.91009492855</v>
      </c>
      <c r="J114" s="4">
        <f t="shared" si="12"/>
        <v>1393372.5002596094</v>
      </c>
    </row>
    <row r="115" spans="1:10">
      <c r="A115" s="82"/>
      <c r="B115" s="82"/>
      <c r="C115" s="82"/>
      <c r="D115" s="82"/>
      <c r="E115" s="7">
        <v>111</v>
      </c>
      <c r="F115" s="253">
        <v>46477</v>
      </c>
      <c r="G115" s="4">
        <f t="shared" si="13"/>
        <v>1393372.5002596094</v>
      </c>
      <c r="H115" s="4">
        <f t="shared" si="14"/>
        <v>7100.4735629667766</v>
      </c>
      <c r="I115" s="4">
        <f t="shared" si="11"/>
        <v>135946.7765029087</v>
      </c>
      <c r="J115" s="4">
        <f t="shared" si="12"/>
        <v>1257425.7237567008</v>
      </c>
    </row>
    <row r="116" spans="1:10">
      <c r="A116" s="82"/>
      <c r="B116" s="82"/>
      <c r="C116" s="82"/>
      <c r="D116" s="82"/>
      <c r="E116" s="7">
        <v>112</v>
      </c>
      <c r="F116" s="253">
        <v>46507</v>
      </c>
      <c r="G116" s="4">
        <f t="shared" si="13"/>
        <v>1257425.7237567008</v>
      </c>
      <c r="H116" s="4">
        <f t="shared" si="14"/>
        <v>6201.003569211126</v>
      </c>
      <c r="I116" s="4">
        <f t="shared" si="11"/>
        <v>136846.24649666436</v>
      </c>
      <c r="J116" s="4">
        <f t="shared" si="12"/>
        <v>1120579.4772600364</v>
      </c>
    </row>
    <row r="117" spans="1:10">
      <c r="A117" s="82"/>
      <c r="B117" s="82"/>
      <c r="C117" s="82"/>
      <c r="D117" s="82"/>
      <c r="E117" s="7">
        <v>113</v>
      </c>
      <c r="F117" s="253">
        <v>46538</v>
      </c>
      <c r="G117" s="4">
        <f t="shared" si="13"/>
        <v>1120579.4772600364</v>
      </c>
      <c r="H117" s="4">
        <f t="shared" si="14"/>
        <v>5710.3502128867613</v>
      </c>
      <c r="I117" s="4">
        <f t="shared" si="11"/>
        <v>137336.89985298872</v>
      </c>
      <c r="J117" s="4">
        <f t="shared" si="12"/>
        <v>983242.57740704762</v>
      </c>
    </row>
    <row r="118" spans="1:10">
      <c r="A118" s="82"/>
      <c r="B118" s="82"/>
      <c r="C118" s="82"/>
      <c r="D118" s="82"/>
      <c r="E118" s="7">
        <v>114</v>
      </c>
      <c r="F118" s="599">
        <v>46568</v>
      </c>
      <c r="G118" s="4">
        <f t="shared" si="13"/>
        <v>983242.57740704762</v>
      </c>
      <c r="H118" s="4">
        <f t="shared" si="14"/>
        <v>4848.8675050210568</v>
      </c>
      <c r="I118" s="4">
        <f t="shared" si="11"/>
        <v>138198.38256085443</v>
      </c>
      <c r="J118" s="4">
        <f t="shared" si="12"/>
        <v>845044.19484619319</v>
      </c>
    </row>
    <row r="119" spans="1:10">
      <c r="A119" s="82"/>
      <c r="B119" s="82"/>
      <c r="C119" s="82"/>
      <c r="D119" s="82"/>
      <c r="E119" s="7">
        <v>115</v>
      </c>
      <c r="F119" s="253">
        <v>46599</v>
      </c>
      <c r="G119" s="4">
        <f t="shared" si="13"/>
        <v>845044.19484619319</v>
      </c>
      <c r="H119" s="4">
        <f t="shared" si="14"/>
        <v>4306.2526093532042</v>
      </c>
      <c r="I119" s="4">
        <f t="shared" si="11"/>
        <v>138740.99745652228</v>
      </c>
      <c r="J119" s="4">
        <f t="shared" si="12"/>
        <v>706303.19738967088</v>
      </c>
    </row>
    <row r="120" spans="1:10">
      <c r="A120" s="82"/>
      <c r="B120" s="82"/>
      <c r="C120" s="82"/>
      <c r="D120" s="82"/>
      <c r="E120" s="7">
        <v>116</v>
      </c>
      <c r="F120" s="253">
        <v>46630</v>
      </c>
      <c r="G120" s="4">
        <f t="shared" si="13"/>
        <v>706303.19738967088</v>
      </c>
      <c r="H120" s="4">
        <f t="shared" si="14"/>
        <v>3599.2436908076379</v>
      </c>
      <c r="I120" s="4">
        <f t="shared" si="11"/>
        <v>139448.00637506784</v>
      </c>
      <c r="J120" s="4">
        <f t="shared" si="12"/>
        <v>566855.19101460301</v>
      </c>
    </row>
    <row r="121" spans="1:10">
      <c r="A121" s="82"/>
      <c r="B121" s="82"/>
      <c r="C121" s="82"/>
      <c r="D121" s="82"/>
      <c r="E121" s="7">
        <v>117</v>
      </c>
      <c r="F121" s="253">
        <v>46660</v>
      </c>
      <c r="G121" s="4">
        <f t="shared" si="13"/>
        <v>566855.19101460301</v>
      </c>
      <c r="H121" s="4">
        <f t="shared" si="14"/>
        <v>2795.4502570583163</v>
      </c>
      <c r="I121" s="4">
        <f t="shared" si="11"/>
        <v>140251.79980881716</v>
      </c>
      <c r="J121" s="4">
        <f t="shared" si="12"/>
        <v>426603.39120578585</v>
      </c>
    </row>
    <row r="122" spans="1:10">
      <c r="A122" s="82"/>
      <c r="B122" s="82"/>
      <c r="C122" s="82"/>
      <c r="D122" s="82"/>
      <c r="E122" s="7">
        <v>118</v>
      </c>
      <c r="F122" s="253">
        <v>46691</v>
      </c>
      <c r="G122" s="4">
        <f t="shared" si="13"/>
        <v>426603.39120578585</v>
      </c>
      <c r="H122" s="4">
        <f t="shared" si="14"/>
        <v>2173.9241305281143</v>
      </c>
      <c r="I122" s="4">
        <f t="shared" si="11"/>
        <v>140873.32593534735</v>
      </c>
      <c r="J122" s="4">
        <f t="shared" si="12"/>
        <v>285730.0652704385</v>
      </c>
    </row>
    <row r="123" spans="1:10">
      <c r="A123" s="82"/>
      <c r="B123" s="82"/>
      <c r="C123" s="82"/>
      <c r="D123" s="82"/>
      <c r="E123" s="7">
        <v>119</v>
      </c>
      <c r="F123" s="253">
        <v>46721</v>
      </c>
      <c r="G123" s="4">
        <f t="shared" si="13"/>
        <v>285730.0652704385</v>
      </c>
      <c r="H123" s="4">
        <f t="shared" si="14"/>
        <v>1409.0797739364089</v>
      </c>
      <c r="I123" s="4">
        <f t="shared" si="11"/>
        <v>141638.17029193905</v>
      </c>
      <c r="J123" s="4">
        <f t="shared" si="12"/>
        <v>144091.89497849945</v>
      </c>
    </row>
    <row r="124" spans="1:10">
      <c r="A124" s="82"/>
      <c r="B124" s="82"/>
      <c r="C124" s="82"/>
      <c r="D124" s="82"/>
      <c r="E124" s="10">
        <v>120</v>
      </c>
      <c r="F124" s="256">
        <v>46752</v>
      </c>
      <c r="G124" s="243">
        <f t="shared" si="13"/>
        <v>144091.89497849945</v>
      </c>
      <c r="H124" s="243">
        <f t="shared" si="14"/>
        <v>734.27650591783288</v>
      </c>
      <c r="I124" s="243">
        <f t="shared" si="11"/>
        <v>142312.97355995764</v>
      </c>
      <c r="J124" s="243">
        <f t="shared" si="12"/>
        <v>1778.9214185418095</v>
      </c>
    </row>
    <row r="125" spans="1:10">
      <c r="A125" s="82"/>
      <c r="B125" s="82"/>
      <c r="C125" s="82"/>
      <c r="D125" s="82"/>
      <c r="E125" s="7">
        <v>121</v>
      </c>
      <c r="F125" s="253">
        <v>46783</v>
      </c>
      <c r="G125" s="4">
        <f t="shared" si="13"/>
        <v>1778.9214185418095</v>
      </c>
      <c r="H125" s="4">
        <f t="shared" si="14"/>
        <v>9.0651885985966167</v>
      </c>
      <c r="I125" s="4">
        <f t="shared" si="11"/>
        <v>143038.18487727689</v>
      </c>
      <c r="J125" s="4">
        <f t="shared" si="12"/>
        <v>-141259.26345873508</v>
      </c>
    </row>
    <row r="126" spans="1:10">
      <c r="A126" s="82"/>
      <c r="B126" s="82"/>
      <c r="C126" s="82"/>
      <c r="D126" s="82"/>
      <c r="E126" s="7">
        <v>122</v>
      </c>
      <c r="F126" s="253">
        <v>46812</v>
      </c>
      <c r="G126" s="4">
        <f t="shared" si="13"/>
        <v>-141259.26345873508</v>
      </c>
      <c r="H126" s="4">
        <f t="shared" si="14"/>
        <v>-673.40032443342193</v>
      </c>
      <c r="I126" s="4">
        <f t="shared" si="11"/>
        <v>143720.6503903089</v>
      </c>
      <c r="J126" s="4">
        <f t="shared" si="12"/>
        <v>-284979.91384904401</v>
      </c>
    </row>
    <row r="127" spans="1:10">
      <c r="A127" s="82"/>
      <c r="B127" s="82"/>
      <c r="C127" s="82"/>
      <c r="D127" s="82"/>
      <c r="E127" s="7">
        <v>123</v>
      </c>
      <c r="F127" s="253">
        <v>46843</v>
      </c>
      <c r="G127" s="4">
        <f t="shared" si="13"/>
        <v>-284979.91384904401</v>
      </c>
      <c r="H127" s="4">
        <f t="shared" si="14"/>
        <v>-1452.2264102992378</v>
      </c>
      <c r="I127" s="4">
        <f t="shared" si="11"/>
        <v>144499.47647617472</v>
      </c>
      <c r="J127" s="4">
        <f t="shared" si="12"/>
        <v>-429479.39032521873</v>
      </c>
    </row>
    <row r="128" spans="1:10">
      <c r="A128" s="82"/>
      <c r="B128" s="82"/>
      <c r="C128" s="82"/>
      <c r="D128" s="82"/>
      <c r="E128" s="7">
        <v>124</v>
      </c>
      <c r="F128" s="253">
        <v>46873</v>
      </c>
      <c r="G128" s="4">
        <f t="shared" si="13"/>
        <v>-429479.39032521873</v>
      </c>
      <c r="H128" s="4">
        <f t="shared" si="14"/>
        <v>-2117.9805550284759</v>
      </c>
      <c r="I128" s="4">
        <f t="shared" si="11"/>
        <v>145165.23062090395</v>
      </c>
      <c r="J128" s="4">
        <f t="shared" si="12"/>
        <v>-574644.62094612268</v>
      </c>
    </row>
    <row r="129" spans="1:10">
      <c r="A129" s="82"/>
      <c r="B129" s="82"/>
      <c r="C129" s="82"/>
      <c r="D129" s="82"/>
      <c r="E129" s="7">
        <v>125</v>
      </c>
      <c r="F129" s="253">
        <v>46904</v>
      </c>
      <c r="G129" s="4">
        <f t="shared" si="13"/>
        <v>-574644.62094612268</v>
      </c>
      <c r="H129" s="4">
        <f t="shared" si="14"/>
        <v>-2928.3260135884607</v>
      </c>
      <c r="I129" s="4">
        <f t="shared" si="11"/>
        <v>145975.57607946394</v>
      </c>
      <c r="J129" s="4">
        <f t="shared" si="12"/>
        <v>-720620.19702558662</v>
      </c>
    </row>
    <row r="130" spans="1:10">
      <c r="A130" s="82"/>
      <c r="B130" s="82"/>
      <c r="C130" s="82"/>
      <c r="D130" s="82"/>
      <c r="E130" s="7">
        <v>126</v>
      </c>
      <c r="F130" s="599">
        <v>46934</v>
      </c>
      <c r="G130" s="4">
        <f t="shared" si="13"/>
        <v>-720620.19702558662</v>
      </c>
      <c r="H130" s="4">
        <f t="shared" si="14"/>
        <v>-3553.7434373864548</v>
      </c>
      <c r="I130" s="4">
        <f t="shared" si="11"/>
        <v>146600.99350326194</v>
      </c>
      <c r="J130" s="4">
        <f t="shared" si="12"/>
        <v>-867221.19052884856</v>
      </c>
    </row>
    <row r="131" spans="1:10">
      <c r="A131" s="82"/>
      <c r="B131" s="82"/>
      <c r="C131" s="82"/>
      <c r="D131" s="82"/>
      <c r="E131" s="7">
        <v>127</v>
      </c>
      <c r="F131" s="253">
        <v>46965</v>
      </c>
      <c r="G131" s="4">
        <f t="shared" si="13"/>
        <v>-867221.19052884856</v>
      </c>
      <c r="H131" s="4">
        <f t="shared" si="14"/>
        <v>-4419.2641489963244</v>
      </c>
      <c r="I131" s="4">
        <f t="shared" si="11"/>
        <v>147466.5142148718</v>
      </c>
      <c r="J131" s="4">
        <f t="shared" si="12"/>
        <v>-1014687.7047437204</v>
      </c>
    </row>
    <row r="132" spans="1:10">
      <c r="A132" s="82"/>
      <c r="B132" s="82"/>
      <c r="C132" s="82"/>
      <c r="D132" s="82"/>
      <c r="E132" s="7">
        <v>128</v>
      </c>
      <c r="F132" s="253">
        <v>46996</v>
      </c>
      <c r="G132" s="4">
        <f t="shared" si="13"/>
        <v>-1014687.7047437204</v>
      </c>
      <c r="H132" s="4">
        <f t="shared" si="14"/>
        <v>-5170.7373447214241</v>
      </c>
      <c r="I132" s="4">
        <f t="shared" si="11"/>
        <v>148217.98741059689</v>
      </c>
      <c r="J132" s="4">
        <f t="shared" si="12"/>
        <v>-1162905.6921543172</v>
      </c>
    </row>
    <row r="133" spans="1:10">
      <c r="A133" s="82"/>
      <c r="B133" s="82"/>
      <c r="C133" s="82"/>
      <c r="D133" s="82"/>
      <c r="E133" s="7">
        <v>129</v>
      </c>
      <c r="F133" s="253">
        <v>47026</v>
      </c>
      <c r="G133" s="4">
        <f t="shared" si="13"/>
        <v>-1162905.6921543172</v>
      </c>
      <c r="H133" s="4">
        <f t="shared" si="14"/>
        <v>-5734.8773859664952</v>
      </c>
      <c r="I133" s="4">
        <f t="shared" si="11"/>
        <v>148782.12745184198</v>
      </c>
      <c r="J133" s="4">
        <f t="shared" si="12"/>
        <v>-1311687.8196061591</v>
      </c>
    </row>
    <row r="134" spans="1:10">
      <c r="A134" s="82"/>
      <c r="B134" s="82"/>
      <c r="C134" s="82"/>
      <c r="D134" s="82"/>
      <c r="E134" s="7">
        <v>130</v>
      </c>
      <c r="F134" s="253">
        <v>47057</v>
      </c>
      <c r="G134" s="4">
        <f t="shared" si="13"/>
        <v>-1311687.8196061591</v>
      </c>
      <c r="H134" s="4">
        <f t="shared" si="14"/>
        <v>-6684.217382102619</v>
      </c>
      <c r="I134" s="4">
        <f t="shared" si="11"/>
        <v>149731.4674479781</v>
      </c>
      <c r="J134" s="4">
        <f t="shared" si="12"/>
        <v>-1461419.2870541373</v>
      </c>
    </row>
    <row r="135" spans="1:10">
      <c r="A135" s="82"/>
      <c r="B135" s="82"/>
      <c r="C135" s="82"/>
      <c r="D135" s="82"/>
      <c r="E135" s="7">
        <v>131</v>
      </c>
      <c r="F135" s="253">
        <v>47087</v>
      </c>
      <c r="G135" s="4">
        <f t="shared" si="13"/>
        <v>-1461419.2870541373</v>
      </c>
      <c r="H135" s="4">
        <f t="shared" si="14"/>
        <v>-7206.9992238286231</v>
      </c>
      <c r="I135" s="4">
        <f t="shared" si="11"/>
        <v>150254.24928970411</v>
      </c>
      <c r="J135" s="4">
        <f t="shared" si="12"/>
        <v>-1611673.5363438413</v>
      </c>
    </row>
    <row r="136" spans="1:10">
      <c r="A136" s="82"/>
      <c r="B136" s="82"/>
      <c r="C136" s="82"/>
      <c r="D136" s="82"/>
      <c r="E136" s="10">
        <v>132</v>
      </c>
      <c r="F136" s="253">
        <v>47118</v>
      </c>
      <c r="G136" s="243">
        <f t="shared" si="13"/>
        <v>-1611673.5363438413</v>
      </c>
      <c r="H136" s="243">
        <f t="shared" si="14"/>
        <v>-8212.9117194508071</v>
      </c>
      <c r="I136" s="243">
        <f t="shared" si="11"/>
        <v>151260.16178532629</v>
      </c>
      <c r="J136" s="243">
        <f t="shared" si="12"/>
        <v>-1762933.6981291675</v>
      </c>
    </row>
    <row r="137" spans="1:10">
      <c r="A137" s="82"/>
      <c r="B137" s="82"/>
      <c r="C137" s="82"/>
      <c r="D137" s="82"/>
      <c r="E137" s="7">
        <v>133</v>
      </c>
      <c r="F137" s="253">
        <v>47149</v>
      </c>
      <c r="G137" s="4">
        <f t="shared" si="13"/>
        <v>-1762933.6981291675</v>
      </c>
      <c r="H137" s="4">
        <f t="shared" si="14"/>
        <v>-8983.7169274527441</v>
      </c>
      <c r="I137" s="4">
        <f t="shared" si="11"/>
        <v>152030.96699332821</v>
      </c>
      <c r="J137" s="4">
        <f t="shared" si="12"/>
        <v>-1914964.6651224957</v>
      </c>
    </row>
    <row r="138" spans="1:10">
      <c r="A138" s="82"/>
      <c r="B138" s="82"/>
      <c r="C138" s="82"/>
      <c r="D138" s="82"/>
      <c r="E138" s="7">
        <v>134</v>
      </c>
      <c r="F138" s="253">
        <v>47177</v>
      </c>
      <c r="G138" s="4">
        <f t="shared" si="13"/>
        <v>-1914964.6651224957</v>
      </c>
      <c r="H138" s="4">
        <f t="shared" si="14"/>
        <v>-8814.0839380980615</v>
      </c>
      <c r="I138" s="4">
        <f t="shared" si="11"/>
        <v>151861.33400397352</v>
      </c>
      <c r="J138" s="4">
        <f t="shared" si="12"/>
        <v>-2066825.9991264693</v>
      </c>
    </row>
    <row r="139" spans="1:10">
      <c r="A139" s="82"/>
      <c r="B139" s="82"/>
      <c r="C139" s="82"/>
      <c r="D139" s="82"/>
      <c r="E139" s="7">
        <v>135</v>
      </c>
      <c r="F139" s="253">
        <v>47208</v>
      </c>
      <c r="G139" s="4">
        <f t="shared" si="13"/>
        <v>-2066825.9991264693</v>
      </c>
      <c r="H139" s="4">
        <f t="shared" si="14"/>
        <v>-10532.31879006913</v>
      </c>
      <c r="I139" s="4">
        <f t="shared" si="11"/>
        <v>153579.56885594461</v>
      </c>
      <c r="J139" s="4">
        <f t="shared" si="12"/>
        <v>-2220405.5679824138</v>
      </c>
    </row>
    <row r="140" spans="1:10">
      <c r="A140" s="82"/>
      <c r="B140" s="82"/>
      <c r="C140" s="82"/>
      <c r="D140" s="82"/>
      <c r="E140" s="7">
        <v>136</v>
      </c>
      <c r="F140" s="253">
        <v>47238</v>
      </c>
      <c r="G140" s="4">
        <f t="shared" si="13"/>
        <v>-2220405.5679824138</v>
      </c>
      <c r="H140" s="4">
        <f t="shared" si="14"/>
        <v>-10949.945266762588</v>
      </c>
      <c r="I140" s="4">
        <f t="shared" si="11"/>
        <v>153997.19533263805</v>
      </c>
      <c r="J140" s="4">
        <f t="shared" si="12"/>
        <v>-2374402.7633150518</v>
      </c>
    </row>
    <row r="141" spans="1:10">
      <c r="A141" s="82"/>
      <c r="B141" s="82"/>
      <c r="C141" s="82"/>
      <c r="D141" s="82"/>
      <c r="E141" s="7">
        <v>137</v>
      </c>
      <c r="F141" s="253">
        <v>47269</v>
      </c>
      <c r="G141" s="4">
        <f t="shared" si="13"/>
        <v>-2374402.7633150518</v>
      </c>
      <c r="H141" s="4">
        <f t="shared" si="14"/>
        <v>-12099.696273331494</v>
      </c>
      <c r="I141" s="4">
        <f t="shared" si="11"/>
        <v>155146.94633920697</v>
      </c>
      <c r="J141" s="4">
        <f t="shared" si="12"/>
        <v>-2529549.7096542586</v>
      </c>
    </row>
    <row r="142" spans="1:10">
      <c r="A142" s="82"/>
      <c r="B142" s="82"/>
      <c r="C142" s="82"/>
      <c r="D142" s="82"/>
      <c r="E142" s="7">
        <v>138</v>
      </c>
      <c r="F142" s="599">
        <v>47299</v>
      </c>
      <c r="G142" s="4">
        <f t="shared" si="13"/>
        <v>-2529549.7096542586</v>
      </c>
      <c r="H142" s="4">
        <f t="shared" si="14"/>
        <v>-12474.491718842919</v>
      </c>
      <c r="I142" s="4">
        <f t="shared" si="11"/>
        <v>155521.74178471838</v>
      </c>
      <c r="J142" s="4">
        <f t="shared" si="12"/>
        <v>-2685071.4514389769</v>
      </c>
    </row>
    <row r="143" spans="1:10">
      <c r="A143" s="82"/>
      <c r="B143" s="82"/>
      <c r="C143" s="82"/>
      <c r="D143" s="82"/>
      <c r="E143" s="7">
        <v>139</v>
      </c>
      <c r="G143" s="4">
        <f t="shared" si="13"/>
        <v>-2685071.4514389769</v>
      </c>
      <c r="H143" s="4">
        <f t="shared" si="14"/>
        <v>20876908.698347207</v>
      </c>
      <c r="I143" s="4">
        <f t="shared" si="11"/>
        <v>-20733861.448281333</v>
      </c>
      <c r="J143" s="4">
        <f t="shared" si="12"/>
        <v>18048789.996842355</v>
      </c>
    </row>
    <row r="144" spans="1:10">
      <c r="A144" s="82"/>
      <c r="B144" s="82"/>
      <c r="C144" s="82"/>
      <c r="D144" s="82"/>
      <c r="E144" s="7">
        <v>140</v>
      </c>
      <c r="G144" s="4">
        <f t="shared" si="13"/>
        <v>18048789.996842355</v>
      </c>
      <c r="H144" s="4">
        <f t="shared" si="14"/>
        <v>0</v>
      </c>
      <c r="I144" s="4">
        <f t="shared" si="11"/>
        <v>143047.25006587547</v>
      </c>
      <c r="J144" s="4">
        <f t="shared" si="12"/>
        <v>17905742.74677648</v>
      </c>
    </row>
    <row r="145" spans="1:10">
      <c r="A145" s="82"/>
      <c r="B145" s="82"/>
      <c r="C145" s="82"/>
      <c r="D145" s="82"/>
      <c r="E145" s="7">
        <v>141</v>
      </c>
      <c r="G145" s="4">
        <f t="shared" si="13"/>
        <v>17905742.74677648</v>
      </c>
      <c r="H145" s="4">
        <f t="shared" si="14"/>
        <v>0</v>
      </c>
      <c r="I145" s="4">
        <f t="shared" si="11"/>
        <v>143047.25006587547</v>
      </c>
      <c r="J145" s="4">
        <f t="shared" si="12"/>
        <v>17762695.496710606</v>
      </c>
    </row>
    <row r="146" spans="1:10">
      <c r="A146" s="82"/>
      <c r="B146" s="82"/>
      <c r="C146" s="82"/>
      <c r="D146" s="82"/>
      <c r="E146" s="7">
        <v>142</v>
      </c>
      <c r="G146" s="4">
        <f t="shared" si="13"/>
        <v>17762695.496710606</v>
      </c>
      <c r="H146" s="4">
        <f t="shared" si="14"/>
        <v>0</v>
      </c>
      <c r="I146" s="4">
        <f t="shared" ref="I146:I148" si="15">$C$8-H146</f>
        <v>143047.25006587547</v>
      </c>
      <c r="J146" s="4">
        <f t="shared" ref="J146:J148" si="16">G146-I146</f>
        <v>17619648.246644732</v>
      </c>
    </row>
    <row r="147" spans="1:10">
      <c r="A147" s="82"/>
      <c r="B147" s="82"/>
      <c r="C147" s="82"/>
      <c r="D147" s="82"/>
      <c r="E147" s="7">
        <v>143</v>
      </c>
      <c r="G147" s="4">
        <f t="shared" ref="G147:G148" si="17">J146</f>
        <v>17619648.246644732</v>
      </c>
      <c r="H147" s="4">
        <f t="shared" si="14"/>
        <v>0</v>
      </c>
      <c r="I147" s="4">
        <f t="shared" si="15"/>
        <v>143047.25006587547</v>
      </c>
      <c r="J147" s="4">
        <f t="shared" si="16"/>
        <v>17476600.996578857</v>
      </c>
    </row>
    <row r="148" spans="1:10">
      <c r="A148" s="82"/>
      <c r="B148" s="82"/>
      <c r="C148" s="82"/>
      <c r="D148" s="82"/>
      <c r="E148" s="10">
        <v>144</v>
      </c>
      <c r="G148" s="243">
        <f t="shared" si="17"/>
        <v>17476600.996578857</v>
      </c>
      <c r="H148" s="243">
        <f t="shared" si="14"/>
        <v>0</v>
      </c>
      <c r="I148" s="243">
        <f t="shared" si="15"/>
        <v>143047.25006587547</v>
      </c>
      <c r="J148" s="243">
        <f t="shared" si="16"/>
        <v>17333553.746512983</v>
      </c>
    </row>
  </sheetData>
  <phoneticPr fontId="31" type="noConversion"/>
  <printOptions horizontalCentered="1"/>
  <pageMargins left="0.2" right="0.2" top="0.39000000000000007" bottom="0.2" header="0.5" footer="0.5"/>
  <pageSetup scale="90"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48"/>
  <sheetViews>
    <sheetView topLeftCell="A13" zoomScale="125" zoomScaleNormal="125" zoomScalePageLayoutView="125" workbookViewId="0">
      <selection activeCell="A13" sqref="A13:A17"/>
    </sheetView>
  </sheetViews>
  <sheetFormatPr defaultColWidth="11.42578125" defaultRowHeight="15"/>
  <cols>
    <col min="1" max="1" width="34.85546875" customWidth="1"/>
    <col min="3" max="3" width="11.85546875" customWidth="1"/>
    <col min="4" max="4" width="1.85546875" customWidth="1"/>
    <col min="5" max="5" width="6.85546875" customWidth="1"/>
    <col min="7" max="7" width="11.85546875" customWidth="1"/>
    <col min="10" max="10" width="11.85546875" customWidth="1"/>
  </cols>
  <sheetData>
    <row r="1" spans="1:10" ht="15.75">
      <c r="A1" s="411" t="s">
        <v>449</v>
      </c>
      <c r="B1" s="82"/>
      <c r="C1" s="82"/>
      <c r="D1" s="82"/>
      <c r="E1" s="82"/>
      <c r="F1" s="82"/>
      <c r="G1" s="82"/>
      <c r="H1" s="82"/>
      <c r="I1" s="82"/>
      <c r="J1" s="82"/>
    </row>
    <row r="2" spans="1:10" ht="15.75">
      <c r="A2" s="411"/>
      <c r="B2" s="82"/>
      <c r="C2" s="82"/>
      <c r="D2" s="82"/>
      <c r="E2" s="82"/>
      <c r="F2" s="82"/>
      <c r="G2" s="82"/>
      <c r="H2" s="82"/>
      <c r="I2" s="82"/>
      <c r="J2" s="82"/>
    </row>
    <row r="3" spans="1:10" ht="16.5" thickBot="1">
      <c r="A3" s="411"/>
      <c r="B3" s="82"/>
      <c r="C3" s="82"/>
      <c r="D3" s="82"/>
      <c r="E3" s="82"/>
      <c r="F3" s="253">
        <v>43830</v>
      </c>
      <c r="G3" s="82"/>
      <c r="H3" s="82"/>
      <c r="I3" s="82"/>
      <c r="J3" s="82"/>
    </row>
    <row r="4" spans="1:10" ht="15.75">
      <c r="A4" s="461" t="s">
        <v>663</v>
      </c>
      <c r="B4" s="462"/>
      <c r="C4" s="463">
        <f>Offering!D17</f>
        <v>0</v>
      </c>
      <c r="D4" s="82"/>
      <c r="E4" s="246" t="s">
        <v>364</v>
      </c>
      <c r="F4" s="246" t="s">
        <v>365</v>
      </c>
      <c r="G4" s="246" t="s">
        <v>367</v>
      </c>
      <c r="H4" s="246" t="s">
        <v>356</v>
      </c>
      <c r="I4" s="246" t="s">
        <v>366</v>
      </c>
      <c r="J4" s="246" t="s">
        <v>368</v>
      </c>
    </row>
    <row r="5" spans="1:10" ht="15" customHeight="1">
      <c r="A5" s="464" t="s">
        <v>361</v>
      </c>
      <c r="B5" s="85"/>
      <c r="C5" s="465">
        <v>120</v>
      </c>
      <c r="D5" s="82"/>
      <c r="E5" s="254">
        <v>1</v>
      </c>
      <c r="F5" s="253">
        <v>43861</v>
      </c>
      <c r="G5" s="4">
        <f>C4</f>
        <v>0</v>
      </c>
      <c r="H5" s="4">
        <f>(G5*$C$9)*(F5-F3)/365</f>
        <v>0</v>
      </c>
      <c r="I5" s="595"/>
      <c r="J5" s="598">
        <f>G5-I5</f>
        <v>0</v>
      </c>
    </row>
    <row r="6" spans="1:10" ht="15.75">
      <c r="A6" s="466" t="s">
        <v>362</v>
      </c>
      <c r="B6" s="85"/>
      <c r="C6" s="465">
        <f>Offering!C25</f>
        <v>24</v>
      </c>
      <c r="D6" s="82"/>
      <c r="E6" s="254">
        <v>2</v>
      </c>
      <c r="F6" s="253">
        <v>43890</v>
      </c>
      <c r="G6" s="598">
        <f>J5</f>
        <v>0</v>
      </c>
      <c r="H6" s="4">
        <f>(G6*$C$9)*(F6-F5)/365</f>
        <v>0</v>
      </c>
      <c r="I6" s="595"/>
      <c r="J6" s="598">
        <f t="shared" ref="J6:J16" si="0">G6-I6</f>
        <v>0</v>
      </c>
    </row>
    <row r="7" spans="1:10" ht="15.75">
      <c r="A7" s="466" t="s">
        <v>363</v>
      </c>
      <c r="B7" s="85"/>
      <c r="C7" s="465">
        <f>C5-C6</f>
        <v>96</v>
      </c>
      <c r="D7" s="82"/>
      <c r="E7" s="254">
        <v>3</v>
      </c>
      <c r="F7" s="253">
        <v>43921</v>
      </c>
      <c r="G7" s="598">
        <f t="shared" ref="G7:G16" si="1">J6</f>
        <v>0</v>
      </c>
      <c r="H7" s="4">
        <f t="shared" ref="H7:H70" si="2">(G7*$C$9)*(F7-F6)/365</f>
        <v>0</v>
      </c>
      <c r="I7" s="595"/>
      <c r="J7" s="598">
        <f t="shared" si="0"/>
        <v>0</v>
      </c>
    </row>
    <row r="8" spans="1:10" ht="15.75">
      <c r="A8" s="466" t="s">
        <v>357</v>
      </c>
      <c r="B8" s="85"/>
      <c r="C8" s="467">
        <f>PMT(C9/12,C7,-C4)</f>
        <v>0</v>
      </c>
      <c r="D8" s="82"/>
      <c r="E8" s="254">
        <v>4</v>
      </c>
      <c r="F8" s="253">
        <v>43951</v>
      </c>
      <c r="G8" s="598">
        <f t="shared" si="1"/>
        <v>0</v>
      </c>
      <c r="H8" s="4">
        <f t="shared" si="2"/>
        <v>0</v>
      </c>
      <c r="I8" s="595"/>
      <c r="J8" s="598">
        <f t="shared" si="0"/>
        <v>0</v>
      </c>
    </row>
    <row r="9" spans="1:10" ht="16.5" thickBot="1">
      <c r="A9" s="468" t="s">
        <v>358</v>
      </c>
      <c r="B9" s="86"/>
      <c r="C9" s="469">
        <f>Offering!C23</f>
        <v>0.06</v>
      </c>
      <c r="D9" s="82"/>
      <c r="E9" s="254">
        <v>5</v>
      </c>
      <c r="F9" s="253">
        <v>43982</v>
      </c>
      <c r="G9" s="598">
        <f t="shared" si="1"/>
        <v>0</v>
      </c>
      <c r="H9" s="4">
        <f t="shared" si="2"/>
        <v>0</v>
      </c>
      <c r="I9" s="595"/>
      <c r="J9" s="598">
        <f t="shared" si="0"/>
        <v>0</v>
      </c>
    </row>
    <row r="10" spans="1:10" ht="15.75">
      <c r="A10" s="411"/>
      <c r="B10" s="82"/>
      <c r="C10" s="82"/>
      <c r="D10" s="82"/>
      <c r="E10" s="254">
        <v>6</v>
      </c>
      <c r="F10" s="599">
        <v>44012</v>
      </c>
      <c r="G10" s="598">
        <f t="shared" si="1"/>
        <v>0</v>
      </c>
      <c r="H10" s="4">
        <f t="shared" si="2"/>
        <v>0</v>
      </c>
      <c r="I10" s="595"/>
      <c r="J10" s="598">
        <f t="shared" si="0"/>
        <v>0</v>
      </c>
    </row>
    <row r="11" spans="1:10" ht="15.75" thickBot="1">
      <c r="A11" s="82"/>
      <c r="B11" s="82"/>
      <c r="C11" s="82"/>
      <c r="D11" s="82"/>
      <c r="E11" s="254">
        <v>7</v>
      </c>
      <c r="F11" s="253">
        <v>44043</v>
      </c>
      <c r="G11" s="598">
        <f t="shared" si="1"/>
        <v>0</v>
      </c>
      <c r="H11" s="4">
        <f t="shared" si="2"/>
        <v>0</v>
      </c>
      <c r="I11" s="595"/>
      <c r="J11" s="598">
        <f t="shared" si="0"/>
        <v>0</v>
      </c>
    </row>
    <row r="12" spans="1:10" ht="15.75">
      <c r="A12" s="461" t="s">
        <v>1068</v>
      </c>
      <c r="B12" s="462"/>
      <c r="C12" s="463">
        <f>C4</f>
        <v>0</v>
      </c>
      <c r="D12" s="82"/>
      <c r="E12" s="254">
        <v>8</v>
      </c>
      <c r="F12" s="253">
        <v>44074</v>
      </c>
      <c r="G12" s="598">
        <f t="shared" si="1"/>
        <v>0</v>
      </c>
      <c r="H12" s="4">
        <f t="shared" si="2"/>
        <v>0</v>
      </c>
      <c r="I12" s="595"/>
      <c r="J12" s="598">
        <f t="shared" si="0"/>
        <v>0</v>
      </c>
    </row>
    <row r="13" spans="1:10">
      <c r="A13" s="464" t="s">
        <v>1064</v>
      </c>
      <c r="B13" s="85"/>
      <c r="C13" s="465">
        <f t="shared" ref="C13:C17" si="3">C5</f>
        <v>120</v>
      </c>
      <c r="D13" s="82"/>
      <c r="E13" s="254">
        <v>9</v>
      </c>
      <c r="F13" s="253">
        <v>44104</v>
      </c>
      <c r="G13" s="598">
        <f t="shared" si="1"/>
        <v>0</v>
      </c>
      <c r="H13" s="4">
        <f t="shared" si="2"/>
        <v>0</v>
      </c>
      <c r="I13" s="595"/>
      <c r="J13" s="598">
        <f t="shared" si="0"/>
        <v>0</v>
      </c>
    </row>
    <row r="14" spans="1:10" ht="15.75">
      <c r="A14" s="466" t="s">
        <v>1065</v>
      </c>
      <c r="B14" s="85"/>
      <c r="C14" s="465">
        <f t="shared" si="3"/>
        <v>24</v>
      </c>
      <c r="D14" s="82"/>
      <c r="E14" s="254">
        <v>10</v>
      </c>
      <c r="F14" s="253">
        <v>44135</v>
      </c>
      <c r="G14" s="598">
        <f t="shared" si="1"/>
        <v>0</v>
      </c>
      <c r="H14" s="4">
        <f t="shared" si="2"/>
        <v>0</v>
      </c>
      <c r="I14" s="595"/>
      <c r="J14" s="598">
        <f t="shared" si="0"/>
        <v>0</v>
      </c>
    </row>
    <row r="15" spans="1:10" ht="15.75">
      <c r="A15" s="466" t="s">
        <v>1066</v>
      </c>
      <c r="B15" s="85"/>
      <c r="C15" s="465">
        <f t="shared" si="3"/>
        <v>96</v>
      </c>
      <c r="D15" s="82"/>
      <c r="E15" s="254">
        <v>11</v>
      </c>
      <c r="F15" s="253">
        <v>44165</v>
      </c>
      <c r="G15" s="598">
        <f t="shared" si="1"/>
        <v>0</v>
      </c>
      <c r="H15" s="4">
        <f t="shared" si="2"/>
        <v>0</v>
      </c>
      <c r="I15" s="595"/>
      <c r="J15" s="598">
        <f t="shared" si="0"/>
        <v>0</v>
      </c>
    </row>
    <row r="16" spans="1:10" ht="15.75">
      <c r="A16" s="466" t="s">
        <v>357</v>
      </c>
      <c r="B16" s="85"/>
      <c r="C16" s="467">
        <f t="shared" si="3"/>
        <v>0</v>
      </c>
      <c r="D16" s="82"/>
      <c r="E16" s="647">
        <v>12</v>
      </c>
      <c r="F16" s="256">
        <v>44196</v>
      </c>
      <c r="G16" s="645">
        <f t="shared" si="1"/>
        <v>0</v>
      </c>
      <c r="H16" s="243">
        <f t="shared" si="2"/>
        <v>0</v>
      </c>
      <c r="I16" s="646"/>
      <c r="J16" s="645">
        <f t="shared" si="0"/>
        <v>0</v>
      </c>
    </row>
    <row r="17" spans="1:12" ht="16.5" thickBot="1">
      <c r="A17" s="468" t="s">
        <v>1067</v>
      </c>
      <c r="B17" s="86"/>
      <c r="C17" s="469">
        <f t="shared" si="3"/>
        <v>0.06</v>
      </c>
      <c r="D17" s="82"/>
      <c r="E17" s="7">
        <v>13</v>
      </c>
      <c r="F17" s="253">
        <v>44227</v>
      </c>
      <c r="G17" s="4">
        <f>C4</f>
        <v>0</v>
      </c>
      <c r="H17" s="4">
        <f t="shared" si="2"/>
        <v>0</v>
      </c>
      <c r="I17" s="4">
        <v>0</v>
      </c>
      <c r="J17" s="4">
        <f>G17-I17</f>
        <v>0</v>
      </c>
    </row>
    <row r="18" spans="1:12">
      <c r="A18" s="82"/>
      <c r="B18" s="82"/>
      <c r="C18" s="82"/>
      <c r="D18" s="82"/>
      <c r="E18" s="7">
        <v>14</v>
      </c>
      <c r="F18" s="253">
        <v>44255</v>
      </c>
      <c r="G18" s="4">
        <f>J17</f>
        <v>0</v>
      </c>
      <c r="H18" s="4">
        <f t="shared" si="2"/>
        <v>0</v>
      </c>
      <c r="I18" s="4">
        <v>0</v>
      </c>
      <c r="J18" s="4">
        <f t="shared" ref="J18:J81" si="4">G18-I18</f>
        <v>0</v>
      </c>
    </row>
    <row r="19" spans="1:12">
      <c r="A19" s="82"/>
      <c r="B19" s="82"/>
      <c r="C19" s="82"/>
      <c r="D19" s="82"/>
      <c r="E19" s="7">
        <v>15</v>
      </c>
      <c r="F19" s="253">
        <v>44286</v>
      </c>
      <c r="G19" s="4">
        <f t="shared" ref="G19:G82" si="5">J18</f>
        <v>0</v>
      </c>
      <c r="H19" s="4">
        <f t="shared" si="2"/>
        <v>0</v>
      </c>
      <c r="I19" s="4">
        <v>0</v>
      </c>
      <c r="J19" s="4">
        <f t="shared" si="4"/>
        <v>0</v>
      </c>
    </row>
    <row r="20" spans="1:12">
      <c r="A20" s="82"/>
      <c r="B20" s="82"/>
      <c r="C20" s="82"/>
      <c r="D20" s="82"/>
      <c r="E20" s="7">
        <v>16</v>
      </c>
      <c r="F20" s="253">
        <v>44316</v>
      </c>
      <c r="G20" s="4">
        <f t="shared" si="5"/>
        <v>0</v>
      </c>
      <c r="H20" s="4">
        <f t="shared" si="2"/>
        <v>0</v>
      </c>
      <c r="I20" s="4">
        <v>0</v>
      </c>
      <c r="J20" s="4">
        <f t="shared" si="4"/>
        <v>0</v>
      </c>
    </row>
    <row r="21" spans="1:12">
      <c r="A21" s="82"/>
      <c r="B21" s="82"/>
      <c r="C21" s="82"/>
      <c r="D21" s="82"/>
      <c r="E21" s="7">
        <v>17</v>
      </c>
      <c r="F21" s="253">
        <v>44347</v>
      </c>
      <c r="G21" s="4">
        <f t="shared" si="5"/>
        <v>0</v>
      </c>
      <c r="H21" s="4">
        <f t="shared" si="2"/>
        <v>0</v>
      </c>
      <c r="I21" s="4">
        <v>0</v>
      </c>
      <c r="J21" s="4">
        <f t="shared" si="4"/>
        <v>0</v>
      </c>
    </row>
    <row r="22" spans="1:12">
      <c r="A22" s="82"/>
      <c r="B22" s="82"/>
      <c r="C22" s="82"/>
      <c r="D22" s="82"/>
      <c r="E22" s="7">
        <v>18</v>
      </c>
      <c r="F22" s="599">
        <v>44377</v>
      </c>
      <c r="G22" s="4">
        <f t="shared" si="5"/>
        <v>0</v>
      </c>
      <c r="H22" s="4">
        <f t="shared" si="2"/>
        <v>0</v>
      </c>
      <c r="I22" s="4">
        <v>0</v>
      </c>
      <c r="J22" s="4">
        <f t="shared" si="4"/>
        <v>0</v>
      </c>
    </row>
    <row r="23" spans="1:12">
      <c r="A23" s="82"/>
      <c r="B23" s="82"/>
      <c r="C23" s="82"/>
      <c r="D23" s="82"/>
      <c r="E23" s="7">
        <v>19</v>
      </c>
      <c r="F23" s="253">
        <v>44408</v>
      </c>
      <c r="G23" s="4">
        <f t="shared" si="5"/>
        <v>0</v>
      </c>
      <c r="H23" s="4">
        <f t="shared" si="2"/>
        <v>0</v>
      </c>
      <c r="I23" s="4">
        <v>0</v>
      </c>
      <c r="J23" s="4">
        <f t="shared" si="4"/>
        <v>0</v>
      </c>
      <c r="L23" s="4">
        <f>SUM(H23:H34)</f>
        <v>0</v>
      </c>
    </row>
    <row r="24" spans="1:12">
      <c r="A24" s="82"/>
      <c r="B24" s="82"/>
      <c r="C24" s="82"/>
      <c r="D24" s="82"/>
      <c r="E24" s="7">
        <v>20</v>
      </c>
      <c r="F24" s="253">
        <v>44439</v>
      </c>
      <c r="G24" s="4">
        <f t="shared" si="5"/>
        <v>0</v>
      </c>
      <c r="H24" s="4">
        <f t="shared" si="2"/>
        <v>0</v>
      </c>
      <c r="I24" s="4">
        <v>0</v>
      </c>
      <c r="J24" s="4">
        <f t="shared" si="4"/>
        <v>0</v>
      </c>
    </row>
    <row r="25" spans="1:12">
      <c r="A25" s="82"/>
      <c r="B25" s="82"/>
      <c r="C25" s="82"/>
      <c r="D25" s="82"/>
      <c r="E25" s="7">
        <v>21</v>
      </c>
      <c r="F25" s="253">
        <v>44469</v>
      </c>
      <c r="G25" s="4">
        <f t="shared" si="5"/>
        <v>0</v>
      </c>
      <c r="H25" s="4">
        <f t="shared" si="2"/>
        <v>0</v>
      </c>
      <c r="I25" s="4">
        <v>0</v>
      </c>
      <c r="J25" s="4">
        <f t="shared" si="4"/>
        <v>0</v>
      </c>
    </row>
    <row r="26" spans="1:12">
      <c r="A26" s="82"/>
      <c r="B26" s="82"/>
      <c r="C26" s="82"/>
      <c r="D26" s="82"/>
      <c r="E26" s="7">
        <v>22</v>
      </c>
      <c r="F26" s="253">
        <v>44500</v>
      </c>
      <c r="G26" s="4">
        <f t="shared" si="5"/>
        <v>0</v>
      </c>
      <c r="H26" s="4">
        <f t="shared" si="2"/>
        <v>0</v>
      </c>
      <c r="I26" s="4">
        <v>0</v>
      </c>
      <c r="J26" s="4">
        <f t="shared" si="4"/>
        <v>0</v>
      </c>
    </row>
    <row r="27" spans="1:12">
      <c r="A27" s="82"/>
      <c r="B27" s="82"/>
      <c r="C27" s="82"/>
      <c r="D27" s="82"/>
      <c r="E27" s="7">
        <v>23</v>
      </c>
      <c r="F27" s="253">
        <v>44530</v>
      </c>
      <c r="G27" s="4">
        <f t="shared" si="5"/>
        <v>0</v>
      </c>
      <c r="H27" s="4">
        <f t="shared" si="2"/>
        <v>0</v>
      </c>
      <c r="I27" s="4">
        <v>0</v>
      </c>
      <c r="J27" s="4">
        <f t="shared" si="4"/>
        <v>0</v>
      </c>
    </row>
    <row r="28" spans="1:12">
      <c r="A28" s="82"/>
      <c r="B28" s="82"/>
      <c r="C28" s="82"/>
      <c r="D28" s="82"/>
      <c r="E28" s="10">
        <v>24</v>
      </c>
      <c r="F28" s="256">
        <v>44561</v>
      </c>
      <c r="G28" s="243">
        <f t="shared" si="5"/>
        <v>0</v>
      </c>
      <c r="H28" s="243">
        <f t="shared" si="2"/>
        <v>0</v>
      </c>
      <c r="I28" s="243">
        <v>0</v>
      </c>
      <c r="J28" s="243">
        <f t="shared" si="4"/>
        <v>0</v>
      </c>
    </row>
    <row r="29" spans="1:12">
      <c r="A29" s="82"/>
      <c r="B29" s="82"/>
      <c r="C29" s="82"/>
      <c r="D29" s="82"/>
      <c r="E29" s="7">
        <v>25</v>
      </c>
      <c r="F29" s="253">
        <v>44592</v>
      </c>
      <c r="G29" s="4">
        <f t="shared" si="5"/>
        <v>0</v>
      </c>
      <c r="H29" s="4">
        <f t="shared" si="2"/>
        <v>0</v>
      </c>
      <c r="I29" s="4">
        <f>$C$8-H29</f>
        <v>0</v>
      </c>
      <c r="J29" s="641">
        <f>G29-I29</f>
        <v>0</v>
      </c>
    </row>
    <row r="30" spans="1:12">
      <c r="A30" s="82"/>
      <c r="B30" s="82"/>
      <c r="C30" s="82"/>
      <c r="D30" s="82"/>
      <c r="E30" s="7">
        <v>26</v>
      </c>
      <c r="F30" s="253">
        <v>44620</v>
      </c>
      <c r="G30" s="4">
        <f t="shared" si="5"/>
        <v>0</v>
      </c>
      <c r="H30" s="4">
        <f t="shared" si="2"/>
        <v>0</v>
      </c>
      <c r="I30" s="4">
        <f t="shared" ref="I30:I93" si="6">$C$8-H30</f>
        <v>0</v>
      </c>
      <c r="J30" s="4">
        <f t="shared" si="4"/>
        <v>0</v>
      </c>
    </row>
    <row r="31" spans="1:12">
      <c r="A31" s="82"/>
      <c r="B31" s="82"/>
      <c r="C31" s="82"/>
      <c r="D31" s="82"/>
      <c r="E31" s="7">
        <v>27</v>
      </c>
      <c r="F31" s="253">
        <v>44651</v>
      </c>
      <c r="G31" s="4">
        <f t="shared" si="5"/>
        <v>0</v>
      </c>
      <c r="H31" s="4">
        <f t="shared" si="2"/>
        <v>0</v>
      </c>
      <c r="I31" s="4">
        <f t="shared" si="6"/>
        <v>0</v>
      </c>
      <c r="J31" s="4">
        <f t="shared" si="4"/>
        <v>0</v>
      </c>
    </row>
    <row r="32" spans="1:12">
      <c r="A32" s="82"/>
      <c r="B32" s="82"/>
      <c r="C32" s="82"/>
      <c r="D32" s="82"/>
      <c r="E32" s="7">
        <v>28</v>
      </c>
      <c r="F32" s="253">
        <v>44681</v>
      </c>
      <c r="G32" s="4">
        <f t="shared" si="5"/>
        <v>0</v>
      </c>
      <c r="H32" s="4">
        <f t="shared" si="2"/>
        <v>0</v>
      </c>
      <c r="I32" s="4">
        <f t="shared" si="6"/>
        <v>0</v>
      </c>
      <c r="J32" s="4">
        <f t="shared" si="4"/>
        <v>0</v>
      </c>
    </row>
    <row r="33" spans="1:12">
      <c r="A33" s="82"/>
      <c r="B33" s="82"/>
      <c r="C33" s="82"/>
      <c r="D33" s="82"/>
      <c r="E33" s="7">
        <v>29</v>
      </c>
      <c r="F33" s="253">
        <v>44712</v>
      </c>
      <c r="G33" s="4">
        <f t="shared" si="5"/>
        <v>0</v>
      </c>
      <c r="H33" s="4">
        <f t="shared" si="2"/>
        <v>0</v>
      </c>
      <c r="I33" s="4">
        <f t="shared" si="6"/>
        <v>0</v>
      </c>
      <c r="J33" s="4">
        <f t="shared" si="4"/>
        <v>0</v>
      </c>
    </row>
    <row r="34" spans="1:12">
      <c r="A34" s="82"/>
      <c r="B34" s="82"/>
      <c r="C34" s="82"/>
      <c r="D34" s="82"/>
      <c r="E34" s="7">
        <v>30</v>
      </c>
      <c r="F34" s="599">
        <v>44742</v>
      </c>
      <c r="G34" s="4">
        <f t="shared" si="5"/>
        <v>0</v>
      </c>
      <c r="H34" s="4">
        <f t="shared" si="2"/>
        <v>0</v>
      </c>
      <c r="I34" s="4">
        <f t="shared" si="6"/>
        <v>0</v>
      </c>
      <c r="J34" s="4">
        <f t="shared" si="4"/>
        <v>0</v>
      </c>
    </row>
    <row r="35" spans="1:12">
      <c r="A35" s="82"/>
      <c r="B35" s="82"/>
      <c r="C35" s="82"/>
      <c r="D35" s="82"/>
      <c r="E35" s="7">
        <v>31</v>
      </c>
      <c r="F35" s="253">
        <v>44773</v>
      </c>
      <c r="G35" s="4">
        <f t="shared" si="5"/>
        <v>0</v>
      </c>
      <c r="H35" s="4">
        <f t="shared" si="2"/>
        <v>0</v>
      </c>
      <c r="I35" s="4">
        <f t="shared" si="6"/>
        <v>0</v>
      </c>
      <c r="J35" s="4">
        <f t="shared" si="4"/>
        <v>0</v>
      </c>
      <c r="L35" s="4">
        <f>SUM(H35:H46)+SUM(I35:I46)</f>
        <v>0</v>
      </c>
    </row>
    <row r="36" spans="1:12">
      <c r="A36" s="82"/>
      <c r="B36" s="82"/>
      <c r="C36" s="82"/>
      <c r="D36" s="82"/>
      <c r="E36" s="7">
        <v>32</v>
      </c>
      <c r="F36" s="253">
        <v>44804</v>
      </c>
      <c r="G36" s="4">
        <f t="shared" si="5"/>
        <v>0</v>
      </c>
      <c r="H36" s="4">
        <f t="shared" si="2"/>
        <v>0</v>
      </c>
      <c r="I36" s="4">
        <f t="shared" si="6"/>
        <v>0</v>
      </c>
      <c r="J36" s="4">
        <f t="shared" si="4"/>
        <v>0</v>
      </c>
    </row>
    <row r="37" spans="1:12">
      <c r="A37" s="82"/>
      <c r="B37" s="82"/>
      <c r="C37" s="82"/>
      <c r="D37" s="82"/>
      <c r="E37" s="7">
        <v>33</v>
      </c>
      <c r="F37" s="253">
        <v>44834</v>
      </c>
      <c r="G37" s="4">
        <f t="shared" si="5"/>
        <v>0</v>
      </c>
      <c r="H37" s="4">
        <f t="shared" si="2"/>
        <v>0</v>
      </c>
      <c r="I37" s="4">
        <f t="shared" si="6"/>
        <v>0</v>
      </c>
      <c r="J37" s="4">
        <f t="shared" si="4"/>
        <v>0</v>
      </c>
    </row>
    <row r="38" spans="1:12">
      <c r="A38" s="82"/>
      <c r="B38" s="82"/>
      <c r="C38" s="82"/>
      <c r="D38" s="82"/>
      <c r="E38" s="7">
        <v>34</v>
      </c>
      <c r="F38" s="253">
        <v>44865</v>
      </c>
      <c r="G38" s="4">
        <f t="shared" si="5"/>
        <v>0</v>
      </c>
      <c r="H38" s="4">
        <f t="shared" si="2"/>
        <v>0</v>
      </c>
      <c r="I38" s="4">
        <f t="shared" si="6"/>
        <v>0</v>
      </c>
      <c r="J38" s="4">
        <f t="shared" si="4"/>
        <v>0</v>
      </c>
    </row>
    <row r="39" spans="1:12">
      <c r="A39" s="82"/>
      <c r="B39" s="82"/>
      <c r="C39" s="82"/>
      <c r="D39" s="82"/>
      <c r="E39" s="7">
        <v>35</v>
      </c>
      <c r="F39" s="253">
        <v>44895</v>
      </c>
      <c r="G39" s="4">
        <f t="shared" si="5"/>
        <v>0</v>
      </c>
      <c r="H39" s="4">
        <f t="shared" si="2"/>
        <v>0</v>
      </c>
      <c r="I39" s="4">
        <f t="shared" si="6"/>
        <v>0</v>
      </c>
      <c r="J39" s="4">
        <f t="shared" si="4"/>
        <v>0</v>
      </c>
    </row>
    <row r="40" spans="1:12">
      <c r="A40" s="82"/>
      <c r="B40" s="82"/>
      <c r="C40" s="82"/>
      <c r="D40" s="82"/>
      <c r="E40" s="10">
        <v>36</v>
      </c>
      <c r="F40" s="256">
        <v>44926</v>
      </c>
      <c r="G40" s="243">
        <f t="shared" si="5"/>
        <v>0</v>
      </c>
      <c r="H40" s="243">
        <f t="shared" si="2"/>
        <v>0</v>
      </c>
      <c r="I40" s="243">
        <f t="shared" si="6"/>
        <v>0</v>
      </c>
      <c r="J40" s="243">
        <f t="shared" si="4"/>
        <v>0</v>
      </c>
    </row>
    <row r="41" spans="1:12">
      <c r="A41" s="82"/>
      <c r="B41" s="82"/>
      <c r="C41" s="82"/>
      <c r="D41" s="82"/>
      <c r="E41" s="7">
        <v>37</v>
      </c>
      <c r="F41" s="253">
        <v>44957</v>
      </c>
      <c r="G41" s="4">
        <f t="shared" si="5"/>
        <v>0</v>
      </c>
      <c r="H41" s="4">
        <f t="shared" si="2"/>
        <v>0</v>
      </c>
      <c r="I41" s="4">
        <f t="shared" si="6"/>
        <v>0</v>
      </c>
      <c r="J41" s="4">
        <f t="shared" si="4"/>
        <v>0</v>
      </c>
    </row>
    <row r="42" spans="1:12">
      <c r="A42" s="82"/>
      <c r="B42" s="82"/>
      <c r="C42" s="82"/>
      <c r="D42" s="82"/>
      <c r="E42" s="7">
        <v>38</v>
      </c>
      <c r="F42" s="253">
        <v>44985</v>
      </c>
      <c r="G42" s="4">
        <f t="shared" si="5"/>
        <v>0</v>
      </c>
      <c r="H42" s="4">
        <f t="shared" si="2"/>
        <v>0</v>
      </c>
      <c r="I42" s="4">
        <f t="shared" si="6"/>
        <v>0</v>
      </c>
      <c r="J42" s="4">
        <f t="shared" si="4"/>
        <v>0</v>
      </c>
    </row>
    <row r="43" spans="1:12">
      <c r="A43" s="82"/>
      <c r="B43" s="82"/>
      <c r="C43" s="82"/>
      <c r="D43" s="82"/>
      <c r="E43" s="7">
        <v>39</v>
      </c>
      <c r="F43" s="253">
        <v>45016</v>
      </c>
      <c r="G43" s="4">
        <f t="shared" si="5"/>
        <v>0</v>
      </c>
      <c r="H43" s="4">
        <f t="shared" si="2"/>
        <v>0</v>
      </c>
      <c r="I43" s="4">
        <f t="shared" si="6"/>
        <v>0</v>
      </c>
      <c r="J43" s="4">
        <f t="shared" si="4"/>
        <v>0</v>
      </c>
    </row>
    <row r="44" spans="1:12">
      <c r="A44" s="82"/>
      <c r="B44" s="82"/>
      <c r="C44" s="82"/>
      <c r="D44" s="82"/>
      <c r="E44" s="7">
        <v>40</v>
      </c>
      <c r="F44" s="253">
        <v>45046</v>
      </c>
      <c r="G44" s="4">
        <f t="shared" si="5"/>
        <v>0</v>
      </c>
      <c r="H44" s="4">
        <f t="shared" si="2"/>
        <v>0</v>
      </c>
      <c r="I44" s="4">
        <f t="shared" si="6"/>
        <v>0</v>
      </c>
      <c r="J44" s="4">
        <f t="shared" si="4"/>
        <v>0</v>
      </c>
    </row>
    <row r="45" spans="1:12">
      <c r="A45" s="82"/>
      <c r="B45" s="82"/>
      <c r="C45" s="82"/>
      <c r="D45" s="82"/>
      <c r="E45" s="7">
        <v>41</v>
      </c>
      <c r="F45" s="253">
        <v>45077</v>
      </c>
      <c r="G45" s="4">
        <f t="shared" si="5"/>
        <v>0</v>
      </c>
      <c r="H45" s="4">
        <f t="shared" si="2"/>
        <v>0</v>
      </c>
      <c r="I45" s="4">
        <f t="shared" si="6"/>
        <v>0</v>
      </c>
      <c r="J45" s="4">
        <f t="shared" si="4"/>
        <v>0</v>
      </c>
    </row>
    <row r="46" spans="1:12">
      <c r="A46" s="82"/>
      <c r="B46" s="82"/>
      <c r="C46" s="82"/>
      <c r="D46" s="82"/>
      <c r="E46" s="7">
        <v>42</v>
      </c>
      <c r="F46" s="599">
        <v>45107</v>
      </c>
      <c r="G46" s="4">
        <f t="shared" si="5"/>
        <v>0</v>
      </c>
      <c r="H46" s="4">
        <f t="shared" si="2"/>
        <v>0</v>
      </c>
      <c r="I46" s="4">
        <f t="shared" si="6"/>
        <v>0</v>
      </c>
      <c r="J46" s="4">
        <f t="shared" si="4"/>
        <v>0</v>
      </c>
    </row>
    <row r="47" spans="1:12">
      <c r="A47" s="82"/>
      <c r="B47" s="82"/>
      <c r="C47" s="82"/>
      <c r="D47" s="82"/>
      <c r="E47" s="7">
        <v>43</v>
      </c>
      <c r="F47" s="253">
        <v>45138</v>
      </c>
      <c r="G47" s="4">
        <f t="shared" si="5"/>
        <v>0</v>
      </c>
      <c r="H47" s="4">
        <f t="shared" si="2"/>
        <v>0</v>
      </c>
      <c r="I47" s="4">
        <f t="shared" si="6"/>
        <v>0</v>
      </c>
      <c r="J47" s="4">
        <f t="shared" si="4"/>
        <v>0</v>
      </c>
    </row>
    <row r="48" spans="1:12">
      <c r="A48" s="82"/>
      <c r="B48" s="82"/>
      <c r="C48" s="82"/>
      <c r="D48" s="82"/>
      <c r="E48" s="7">
        <v>44</v>
      </c>
      <c r="F48" s="253">
        <v>45169</v>
      </c>
      <c r="G48" s="4">
        <f t="shared" si="5"/>
        <v>0</v>
      </c>
      <c r="H48" s="4">
        <f t="shared" si="2"/>
        <v>0</v>
      </c>
      <c r="I48" s="4">
        <f t="shared" si="6"/>
        <v>0</v>
      </c>
      <c r="J48" s="4">
        <f t="shared" si="4"/>
        <v>0</v>
      </c>
    </row>
    <row r="49" spans="1:10">
      <c r="A49" s="82"/>
      <c r="B49" s="82"/>
      <c r="C49" s="82"/>
      <c r="D49" s="82"/>
      <c r="E49" s="7">
        <v>45</v>
      </c>
      <c r="F49" s="253">
        <v>45199</v>
      </c>
      <c r="G49" s="4">
        <f t="shared" si="5"/>
        <v>0</v>
      </c>
      <c r="H49" s="4">
        <f t="shared" si="2"/>
        <v>0</v>
      </c>
      <c r="I49" s="4">
        <f t="shared" si="6"/>
        <v>0</v>
      </c>
      <c r="J49" s="4">
        <f t="shared" si="4"/>
        <v>0</v>
      </c>
    </row>
    <row r="50" spans="1:10">
      <c r="A50" s="82"/>
      <c r="B50" s="82"/>
      <c r="C50" s="82"/>
      <c r="D50" s="82"/>
      <c r="E50" s="7">
        <v>46</v>
      </c>
      <c r="F50" s="253">
        <v>45230</v>
      </c>
      <c r="G50" s="4">
        <f t="shared" si="5"/>
        <v>0</v>
      </c>
      <c r="H50" s="4">
        <f t="shared" si="2"/>
        <v>0</v>
      </c>
      <c r="I50" s="4">
        <f t="shared" si="6"/>
        <v>0</v>
      </c>
      <c r="J50" s="4">
        <f t="shared" si="4"/>
        <v>0</v>
      </c>
    </row>
    <row r="51" spans="1:10">
      <c r="A51" s="82"/>
      <c r="B51" s="82"/>
      <c r="C51" s="82"/>
      <c r="D51" s="82"/>
      <c r="E51" s="7">
        <v>47</v>
      </c>
      <c r="F51" s="253">
        <v>45260</v>
      </c>
      <c r="G51" s="4">
        <f t="shared" si="5"/>
        <v>0</v>
      </c>
      <c r="H51" s="4">
        <f t="shared" si="2"/>
        <v>0</v>
      </c>
      <c r="I51" s="4">
        <f t="shared" si="6"/>
        <v>0</v>
      </c>
      <c r="J51" s="4">
        <f t="shared" si="4"/>
        <v>0</v>
      </c>
    </row>
    <row r="52" spans="1:10">
      <c r="A52" s="82"/>
      <c r="B52" s="82"/>
      <c r="C52" s="82"/>
      <c r="D52" s="82"/>
      <c r="E52" s="10">
        <v>48</v>
      </c>
      <c r="F52" s="256">
        <v>45291</v>
      </c>
      <c r="G52" s="243">
        <f t="shared" si="5"/>
        <v>0</v>
      </c>
      <c r="H52" s="243">
        <f t="shared" si="2"/>
        <v>0</v>
      </c>
      <c r="I52" s="243">
        <f t="shared" si="6"/>
        <v>0</v>
      </c>
      <c r="J52" s="243">
        <f t="shared" si="4"/>
        <v>0</v>
      </c>
    </row>
    <row r="53" spans="1:10">
      <c r="A53" s="82"/>
      <c r="B53" s="82"/>
      <c r="C53" s="82"/>
      <c r="D53" s="82"/>
      <c r="E53" s="7">
        <v>49</v>
      </c>
      <c r="F53" s="253">
        <v>45322</v>
      </c>
      <c r="G53" s="4">
        <f t="shared" si="5"/>
        <v>0</v>
      </c>
      <c r="H53" s="4">
        <f t="shared" si="2"/>
        <v>0</v>
      </c>
      <c r="I53" s="4">
        <f t="shared" si="6"/>
        <v>0</v>
      </c>
      <c r="J53" s="4">
        <f t="shared" si="4"/>
        <v>0</v>
      </c>
    </row>
    <row r="54" spans="1:10">
      <c r="A54" s="82"/>
      <c r="B54" s="82"/>
      <c r="C54" s="82"/>
      <c r="D54" s="82"/>
      <c r="E54" s="7">
        <v>50</v>
      </c>
      <c r="F54" s="253">
        <v>45351</v>
      </c>
      <c r="G54" s="4">
        <f t="shared" si="5"/>
        <v>0</v>
      </c>
      <c r="H54" s="4">
        <f t="shared" si="2"/>
        <v>0</v>
      </c>
      <c r="I54" s="4">
        <f t="shared" si="6"/>
        <v>0</v>
      </c>
      <c r="J54" s="4">
        <f t="shared" si="4"/>
        <v>0</v>
      </c>
    </row>
    <row r="55" spans="1:10">
      <c r="A55" s="82"/>
      <c r="B55" s="82"/>
      <c r="C55" s="82"/>
      <c r="D55" s="82"/>
      <c r="E55" s="7">
        <v>51</v>
      </c>
      <c r="F55" s="253">
        <v>45382</v>
      </c>
      <c r="G55" s="4">
        <f t="shared" si="5"/>
        <v>0</v>
      </c>
      <c r="H55" s="4">
        <f t="shared" si="2"/>
        <v>0</v>
      </c>
      <c r="I55" s="4">
        <f t="shared" si="6"/>
        <v>0</v>
      </c>
      <c r="J55" s="4">
        <f t="shared" si="4"/>
        <v>0</v>
      </c>
    </row>
    <row r="56" spans="1:10">
      <c r="A56" s="82"/>
      <c r="B56" s="82"/>
      <c r="C56" s="82"/>
      <c r="D56" s="82"/>
      <c r="E56" s="7">
        <v>52</v>
      </c>
      <c r="F56" s="253">
        <v>45412</v>
      </c>
      <c r="G56" s="4">
        <f t="shared" si="5"/>
        <v>0</v>
      </c>
      <c r="H56" s="4">
        <f t="shared" si="2"/>
        <v>0</v>
      </c>
      <c r="I56" s="4">
        <f t="shared" si="6"/>
        <v>0</v>
      </c>
      <c r="J56" s="4">
        <f t="shared" si="4"/>
        <v>0</v>
      </c>
    </row>
    <row r="57" spans="1:10">
      <c r="A57" s="82"/>
      <c r="B57" s="82"/>
      <c r="C57" s="82"/>
      <c r="D57" s="82"/>
      <c r="E57" s="7">
        <v>53</v>
      </c>
      <c r="F57" s="253">
        <v>45443</v>
      </c>
      <c r="G57" s="4">
        <f t="shared" si="5"/>
        <v>0</v>
      </c>
      <c r="H57" s="4">
        <f t="shared" si="2"/>
        <v>0</v>
      </c>
      <c r="I57" s="4">
        <f t="shared" si="6"/>
        <v>0</v>
      </c>
      <c r="J57" s="4">
        <f t="shared" si="4"/>
        <v>0</v>
      </c>
    </row>
    <row r="58" spans="1:10">
      <c r="A58" s="82"/>
      <c r="B58" s="82"/>
      <c r="C58" s="82"/>
      <c r="D58" s="82"/>
      <c r="E58" s="7">
        <v>54</v>
      </c>
      <c r="F58" s="599">
        <v>45473</v>
      </c>
      <c r="G58" s="4">
        <f t="shared" si="5"/>
        <v>0</v>
      </c>
      <c r="H58" s="4">
        <f t="shared" si="2"/>
        <v>0</v>
      </c>
      <c r="I58" s="4">
        <f t="shared" si="6"/>
        <v>0</v>
      </c>
      <c r="J58" s="4">
        <f t="shared" si="4"/>
        <v>0</v>
      </c>
    </row>
    <row r="59" spans="1:10">
      <c r="A59" s="82"/>
      <c r="B59" s="82"/>
      <c r="C59" s="82"/>
      <c r="D59" s="82"/>
      <c r="E59" s="7">
        <v>55</v>
      </c>
      <c r="F59" s="253">
        <v>45504</v>
      </c>
      <c r="G59" s="4">
        <f t="shared" si="5"/>
        <v>0</v>
      </c>
      <c r="H59" s="4">
        <f t="shared" si="2"/>
        <v>0</v>
      </c>
      <c r="I59" s="4">
        <f t="shared" si="6"/>
        <v>0</v>
      </c>
      <c r="J59" s="4">
        <f t="shared" si="4"/>
        <v>0</v>
      </c>
    </row>
    <row r="60" spans="1:10">
      <c r="A60" s="82"/>
      <c r="B60" s="82"/>
      <c r="C60" s="82"/>
      <c r="D60" s="82"/>
      <c r="E60" s="7">
        <v>56</v>
      </c>
      <c r="F60" s="253">
        <v>45535</v>
      </c>
      <c r="G60" s="4">
        <f t="shared" si="5"/>
        <v>0</v>
      </c>
      <c r="H60" s="4">
        <f t="shared" si="2"/>
        <v>0</v>
      </c>
      <c r="I60" s="4">
        <f t="shared" si="6"/>
        <v>0</v>
      </c>
      <c r="J60" s="4">
        <f t="shared" si="4"/>
        <v>0</v>
      </c>
    </row>
    <row r="61" spans="1:10">
      <c r="A61" s="82"/>
      <c r="B61" s="82"/>
      <c r="C61" s="82"/>
      <c r="D61" s="82"/>
      <c r="E61" s="7">
        <v>57</v>
      </c>
      <c r="F61" s="253">
        <v>45565</v>
      </c>
      <c r="G61" s="4">
        <f t="shared" si="5"/>
        <v>0</v>
      </c>
      <c r="H61" s="4">
        <f t="shared" si="2"/>
        <v>0</v>
      </c>
      <c r="I61" s="4">
        <f t="shared" si="6"/>
        <v>0</v>
      </c>
      <c r="J61" s="4">
        <f t="shared" si="4"/>
        <v>0</v>
      </c>
    </row>
    <row r="62" spans="1:10">
      <c r="A62" s="82"/>
      <c r="B62" s="82"/>
      <c r="C62" s="82"/>
      <c r="D62" s="82"/>
      <c r="E62" s="7">
        <v>58</v>
      </c>
      <c r="F62" s="253">
        <v>45596</v>
      </c>
      <c r="G62" s="4">
        <f t="shared" si="5"/>
        <v>0</v>
      </c>
      <c r="H62" s="4">
        <f t="shared" si="2"/>
        <v>0</v>
      </c>
      <c r="I62" s="4">
        <f t="shared" si="6"/>
        <v>0</v>
      </c>
      <c r="J62" s="4">
        <f t="shared" si="4"/>
        <v>0</v>
      </c>
    </row>
    <row r="63" spans="1:10">
      <c r="A63" s="82"/>
      <c r="B63" s="82"/>
      <c r="C63" s="82"/>
      <c r="D63" s="82"/>
      <c r="E63" s="7">
        <v>59</v>
      </c>
      <c r="F63" s="253">
        <v>45626</v>
      </c>
      <c r="G63" s="4">
        <f t="shared" si="5"/>
        <v>0</v>
      </c>
      <c r="H63" s="4">
        <f t="shared" si="2"/>
        <v>0</v>
      </c>
      <c r="I63" s="4">
        <f t="shared" si="6"/>
        <v>0</v>
      </c>
      <c r="J63" s="4">
        <f t="shared" si="4"/>
        <v>0</v>
      </c>
    </row>
    <row r="64" spans="1:10">
      <c r="A64" s="82"/>
      <c r="B64" s="82"/>
      <c r="C64" s="82"/>
      <c r="D64" s="82"/>
      <c r="E64" s="10">
        <v>60</v>
      </c>
      <c r="F64" s="256">
        <v>45657</v>
      </c>
      <c r="G64" s="243">
        <f t="shared" si="5"/>
        <v>0</v>
      </c>
      <c r="H64" s="243">
        <f t="shared" si="2"/>
        <v>0</v>
      </c>
      <c r="I64" s="243">
        <f t="shared" si="6"/>
        <v>0</v>
      </c>
      <c r="J64" s="243">
        <f t="shared" si="4"/>
        <v>0</v>
      </c>
    </row>
    <row r="65" spans="1:10">
      <c r="A65" s="82"/>
      <c r="B65" s="82"/>
      <c r="C65" s="82"/>
      <c r="D65" s="82"/>
      <c r="E65" s="7">
        <v>61</v>
      </c>
      <c r="F65" s="253">
        <v>45688</v>
      </c>
      <c r="G65" s="4">
        <f t="shared" si="5"/>
        <v>0</v>
      </c>
      <c r="H65" s="4">
        <f t="shared" si="2"/>
        <v>0</v>
      </c>
      <c r="I65" s="4">
        <f t="shared" si="6"/>
        <v>0</v>
      </c>
      <c r="J65" s="4">
        <f t="shared" si="4"/>
        <v>0</v>
      </c>
    </row>
    <row r="66" spans="1:10">
      <c r="A66" s="82"/>
      <c r="B66" s="82"/>
      <c r="C66" s="82"/>
      <c r="D66" s="82"/>
      <c r="E66" s="7">
        <v>62</v>
      </c>
      <c r="F66" s="253">
        <v>45716</v>
      </c>
      <c r="G66" s="4">
        <f t="shared" si="5"/>
        <v>0</v>
      </c>
      <c r="H66" s="4">
        <f t="shared" si="2"/>
        <v>0</v>
      </c>
      <c r="I66" s="4">
        <f t="shared" si="6"/>
        <v>0</v>
      </c>
      <c r="J66" s="4">
        <f t="shared" si="4"/>
        <v>0</v>
      </c>
    </row>
    <row r="67" spans="1:10">
      <c r="A67" s="82"/>
      <c r="B67" s="82"/>
      <c r="C67" s="82"/>
      <c r="D67" s="82"/>
      <c r="E67" s="7">
        <v>63</v>
      </c>
      <c r="F67" s="253">
        <v>45747</v>
      </c>
      <c r="G67" s="4">
        <f t="shared" si="5"/>
        <v>0</v>
      </c>
      <c r="H67" s="4">
        <f t="shared" si="2"/>
        <v>0</v>
      </c>
      <c r="I67" s="4">
        <f t="shared" si="6"/>
        <v>0</v>
      </c>
      <c r="J67" s="4">
        <f t="shared" si="4"/>
        <v>0</v>
      </c>
    </row>
    <row r="68" spans="1:10">
      <c r="A68" s="82"/>
      <c r="B68" s="82"/>
      <c r="C68" s="82"/>
      <c r="D68" s="82"/>
      <c r="E68" s="7">
        <v>64</v>
      </c>
      <c r="F68" s="253">
        <v>45777</v>
      </c>
      <c r="G68" s="4">
        <f t="shared" si="5"/>
        <v>0</v>
      </c>
      <c r="H68" s="4">
        <f t="shared" si="2"/>
        <v>0</v>
      </c>
      <c r="I68" s="4">
        <f t="shared" si="6"/>
        <v>0</v>
      </c>
      <c r="J68" s="4">
        <f t="shared" si="4"/>
        <v>0</v>
      </c>
    </row>
    <row r="69" spans="1:10">
      <c r="A69" s="82"/>
      <c r="B69" s="82"/>
      <c r="C69" s="82"/>
      <c r="D69" s="82"/>
      <c r="E69" s="7">
        <v>65</v>
      </c>
      <c r="F69" s="253">
        <v>45808</v>
      </c>
      <c r="G69" s="4">
        <f t="shared" si="5"/>
        <v>0</v>
      </c>
      <c r="H69" s="4">
        <f t="shared" si="2"/>
        <v>0</v>
      </c>
      <c r="I69" s="4">
        <f t="shared" si="6"/>
        <v>0</v>
      </c>
      <c r="J69" s="4">
        <f t="shared" si="4"/>
        <v>0</v>
      </c>
    </row>
    <row r="70" spans="1:10">
      <c r="A70" s="82"/>
      <c r="B70" s="82"/>
      <c r="C70" s="82"/>
      <c r="D70" s="82"/>
      <c r="E70" s="7">
        <v>66</v>
      </c>
      <c r="F70" s="599">
        <v>45838</v>
      </c>
      <c r="G70" s="4">
        <f t="shared" si="5"/>
        <v>0</v>
      </c>
      <c r="H70" s="4">
        <f t="shared" si="2"/>
        <v>0</v>
      </c>
      <c r="I70" s="4">
        <f t="shared" si="6"/>
        <v>0</v>
      </c>
      <c r="J70" s="4">
        <f t="shared" si="4"/>
        <v>0</v>
      </c>
    </row>
    <row r="71" spans="1:10">
      <c r="A71" s="82"/>
      <c r="B71" s="82"/>
      <c r="C71" s="82"/>
      <c r="D71" s="82"/>
      <c r="E71" s="7">
        <v>67</v>
      </c>
      <c r="F71" s="253">
        <v>45869</v>
      </c>
      <c r="G71" s="4">
        <f t="shared" si="5"/>
        <v>0</v>
      </c>
      <c r="H71" s="4">
        <f t="shared" ref="H71:H134" si="7">(G71*$C$9)*(F71-F70)/365</f>
        <v>0</v>
      </c>
      <c r="I71" s="4">
        <f t="shared" si="6"/>
        <v>0</v>
      </c>
      <c r="J71" s="4">
        <f t="shared" si="4"/>
        <v>0</v>
      </c>
    </row>
    <row r="72" spans="1:10">
      <c r="A72" s="82"/>
      <c r="B72" s="82"/>
      <c r="C72" s="82"/>
      <c r="D72" s="82"/>
      <c r="E72" s="7">
        <v>68</v>
      </c>
      <c r="F72" s="253">
        <v>45900</v>
      </c>
      <c r="G72" s="4">
        <f t="shared" si="5"/>
        <v>0</v>
      </c>
      <c r="H72" s="4">
        <f t="shared" si="7"/>
        <v>0</v>
      </c>
      <c r="I72" s="4">
        <f t="shared" si="6"/>
        <v>0</v>
      </c>
      <c r="J72" s="4">
        <f t="shared" si="4"/>
        <v>0</v>
      </c>
    </row>
    <row r="73" spans="1:10">
      <c r="A73" s="82"/>
      <c r="B73" s="82"/>
      <c r="C73" s="82"/>
      <c r="D73" s="82"/>
      <c r="E73" s="7">
        <v>69</v>
      </c>
      <c r="F73" s="253">
        <v>45930</v>
      </c>
      <c r="G73" s="4">
        <f t="shared" si="5"/>
        <v>0</v>
      </c>
      <c r="H73" s="4">
        <f t="shared" si="7"/>
        <v>0</v>
      </c>
      <c r="I73" s="4">
        <f t="shared" si="6"/>
        <v>0</v>
      </c>
      <c r="J73" s="4">
        <f t="shared" si="4"/>
        <v>0</v>
      </c>
    </row>
    <row r="74" spans="1:10">
      <c r="A74" s="82"/>
      <c r="B74" s="82"/>
      <c r="C74" s="82"/>
      <c r="D74" s="82"/>
      <c r="E74" s="7">
        <v>70</v>
      </c>
      <c r="F74" s="253">
        <v>45961</v>
      </c>
      <c r="G74" s="4">
        <f t="shared" si="5"/>
        <v>0</v>
      </c>
      <c r="H74" s="4">
        <f t="shared" si="7"/>
        <v>0</v>
      </c>
      <c r="I74" s="4">
        <f t="shared" si="6"/>
        <v>0</v>
      </c>
      <c r="J74" s="4">
        <f t="shared" si="4"/>
        <v>0</v>
      </c>
    </row>
    <row r="75" spans="1:10">
      <c r="A75" s="82"/>
      <c r="B75" s="82"/>
      <c r="C75" s="82"/>
      <c r="D75" s="82"/>
      <c r="E75" s="7">
        <v>71</v>
      </c>
      <c r="F75" s="253">
        <v>45991</v>
      </c>
      <c r="G75" s="4">
        <f t="shared" si="5"/>
        <v>0</v>
      </c>
      <c r="H75" s="4">
        <f t="shared" si="7"/>
        <v>0</v>
      </c>
      <c r="I75" s="4">
        <f t="shared" si="6"/>
        <v>0</v>
      </c>
      <c r="J75" s="4">
        <f t="shared" si="4"/>
        <v>0</v>
      </c>
    </row>
    <row r="76" spans="1:10">
      <c r="A76" s="82"/>
      <c r="B76" s="82"/>
      <c r="C76" s="82"/>
      <c r="D76" s="82"/>
      <c r="E76" s="10">
        <v>72</v>
      </c>
      <c r="F76" s="256">
        <v>46022</v>
      </c>
      <c r="G76" s="243">
        <f t="shared" si="5"/>
        <v>0</v>
      </c>
      <c r="H76" s="243">
        <f t="shared" si="7"/>
        <v>0</v>
      </c>
      <c r="I76" s="243">
        <f t="shared" si="6"/>
        <v>0</v>
      </c>
      <c r="J76" s="243">
        <f t="shared" si="4"/>
        <v>0</v>
      </c>
    </row>
    <row r="77" spans="1:10">
      <c r="A77" s="82"/>
      <c r="B77" s="82"/>
      <c r="C77" s="82"/>
      <c r="D77" s="82"/>
      <c r="E77" s="7">
        <v>73</v>
      </c>
      <c r="F77" s="253">
        <v>46053</v>
      </c>
      <c r="G77" s="4">
        <f t="shared" si="5"/>
        <v>0</v>
      </c>
      <c r="H77" s="4">
        <f t="shared" si="7"/>
        <v>0</v>
      </c>
      <c r="I77" s="4">
        <f t="shared" si="6"/>
        <v>0</v>
      </c>
      <c r="J77" s="4">
        <f t="shared" si="4"/>
        <v>0</v>
      </c>
    </row>
    <row r="78" spans="1:10">
      <c r="A78" s="82"/>
      <c r="B78" s="82"/>
      <c r="C78" s="82"/>
      <c r="D78" s="82"/>
      <c r="E78" s="7">
        <v>74</v>
      </c>
      <c r="F78" s="253">
        <v>46081</v>
      </c>
      <c r="G78" s="4">
        <f t="shared" si="5"/>
        <v>0</v>
      </c>
      <c r="H78" s="4">
        <f t="shared" si="7"/>
        <v>0</v>
      </c>
      <c r="I78" s="4">
        <f t="shared" si="6"/>
        <v>0</v>
      </c>
      <c r="J78" s="4">
        <f t="shared" si="4"/>
        <v>0</v>
      </c>
    </row>
    <row r="79" spans="1:10">
      <c r="A79" s="82"/>
      <c r="B79" s="82"/>
      <c r="C79" s="82"/>
      <c r="D79" s="82"/>
      <c r="E79" s="7">
        <v>75</v>
      </c>
      <c r="F79" s="253">
        <v>46112</v>
      </c>
      <c r="G79" s="4">
        <f t="shared" si="5"/>
        <v>0</v>
      </c>
      <c r="H79" s="4">
        <f t="shared" si="7"/>
        <v>0</v>
      </c>
      <c r="I79" s="4">
        <f t="shared" si="6"/>
        <v>0</v>
      </c>
      <c r="J79" s="4">
        <f t="shared" si="4"/>
        <v>0</v>
      </c>
    </row>
    <row r="80" spans="1:10">
      <c r="A80" s="82"/>
      <c r="B80" s="82"/>
      <c r="C80" s="82"/>
      <c r="D80" s="82"/>
      <c r="E80" s="7">
        <v>76</v>
      </c>
      <c r="F80" s="253">
        <v>46142</v>
      </c>
      <c r="G80" s="4">
        <f t="shared" si="5"/>
        <v>0</v>
      </c>
      <c r="H80" s="4">
        <f t="shared" si="7"/>
        <v>0</v>
      </c>
      <c r="I80" s="4">
        <f t="shared" si="6"/>
        <v>0</v>
      </c>
      <c r="J80" s="4">
        <f t="shared" si="4"/>
        <v>0</v>
      </c>
    </row>
    <row r="81" spans="1:10">
      <c r="A81" s="82"/>
      <c r="B81" s="82"/>
      <c r="C81" s="82"/>
      <c r="D81" s="82"/>
      <c r="E81" s="7">
        <v>77</v>
      </c>
      <c r="F81" s="253">
        <v>46173</v>
      </c>
      <c r="G81" s="4">
        <f t="shared" si="5"/>
        <v>0</v>
      </c>
      <c r="H81" s="4">
        <f t="shared" si="7"/>
        <v>0</v>
      </c>
      <c r="I81" s="4">
        <f t="shared" si="6"/>
        <v>0</v>
      </c>
      <c r="J81" s="4">
        <f t="shared" si="4"/>
        <v>0</v>
      </c>
    </row>
    <row r="82" spans="1:10">
      <c r="A82" s="82"/>
      <c r="B82" s="82"/>
      <c r="C82" s="82"/>
      <c r="D82" s="82"/>
      <c r="E82" s="7">
        <v>78</v>
      </c>
      <c r="F82" s="599">
        <v>46203</v>
      </c>
      <c r="G82" s="4">
        <f t="shared" si="5"/>
        <v>0</v>
      </c>
      <c r="H82" s="4">
        <f t="shared" si="7"/>
        <v>0</v>
      </c>
      <c r="I82" s="4">
        <f t="shared" si="6"/>
        <v>0</v>
      </c>
      <c r="J82" s="4">
        <f t="shared" ref="J82:J145" si="8">G82-I82</f>
        <v>0</v>
      </c>
    </row>
    <row r="83" spans="1:10">
      <c r="A83" s="82"/>
      <c r="B83" s="82"/>
      <c r="C83" s="82"/>
      <c r="D83" s="82"/>
      <c r="E83" s="7">
        <v>79</v>
      </c>
      <c r="F83" s="253">
        <v>46234</v>
      </c>
      <c r="G83" s="4">
        <f t="shared" ref="G83:G146" si="9">J82</f>
        <v>0</v>
      </c>
      <c r="H83" s="4">
        <f t="shared" si="7"/>
        <v>0</v>
      </c>
      <c r="I83" s="4">
        <f t="shared" si="6"/>
        <v>0</v>
      </c>
      <c r="J83" s="4">
        <f t="shared" si="8"/>
        <v>0</v>
      </c>
    </row>
    <row r="84" spans="1:10">
      <c r="A84" s="82"/>
      <c r="B84" s="82"/>
      <c r="C84" s="82"/>
      <c r="D84" s="82"/>
      <c r="E84" s="7">
        <v>80</v>
      </c>
      <c r="F84" s="253">
        <v>46265</v>
      </c>
      <c r="G84" s="4">
        <f t="shared" si="9"/>
        <v>0</v>
      </c>
      <c r="H84" s="4">
        <f t="shared" si="7"/>
        <v>0</v>
      </c>
      <c r="I84" s="4">
        <f t="shared" si="6"/>
        <v>0</v>
      </c>
      <c r="J84" s="4">
        <f t="shared" si="8"/>
        <v>0</v>
      </c>
    </row>
    <row r="85" spans="1:10">
      <c r="A85" s="82"/>
      <c r="B85" s="82"/>
      <c r="C85" s="82"/>
      <c r="D85" s="82"/>
      <c r="E85" s="7">
        <v>81</v>
      </c>
      <c r="F85" s="253">
        <v>46295</v>
      </c>
      <c r="G85" s="4">
        <f t="shared" si="9"/>
        <v>0</v>
      </c>
      <c r="H85" s="4">
        <f t="shared" si="7"/>
        <v>0</v>
      </c>
      <c r="I85" s="4">
        <f t="shared" si="6"/>
        <v>0</v>
      </c>
      <c r="J85" s="4">
        <f t="shared" si="8"/>
        <v>0</v>
      </c>
    </row>
    <row r="86" spans="1:10">
      <c r="A86" s="82"/>
      <c r="B86" s="82"/>
      <c r="C86" s="82"/>
      <c r="D86" s="82"/>
      <c r="E86" s="7">
        <v>82</v>
      </c>
      <c r="F86" s="253">
        <v>46326</v>
      </c>
      <c r="G86" s="4">
        <f t="shared" si="9"/>
        <v>0</v>
      </c>
      <c r="H86" s="4">
        <f t="shared" si="7"/>
        <v>0</v>
      </c>
      <c r="I86" s="4">
        <f t="shared" si="6"/>
        <v>0</v>
      </c>
      <c r="J86" s="4">
        <f t="shared" si="8"/>
        <v>0</v>
      </c>
    </row>
    <row r="87" spans="1:10">
      <c r="A87" s="82"/>
      <c r="B87" s="82"/>
      <c r="C87" s="82"/>
      <c r="D87" s="82"/>
      <c r="E87" s="7">
        <v>83</v>
      </c>
      <c r="F87" s="253">
        <v>46356</v>
      </c>
      <c r="G87" s="4">
        <f t="shared" si="9"/>
        <v>0</v>
      </c>
      <c r="H87" s="4">
        <f t="shared" si="7"/>
        <v>0</v>
      </c>
      <c r="I87" s="4">
        <f t="shared" si="6"/>
        <v>0</v>
      </c>
      <c r="J87" s="4">
        <f t="shared" si="8"/>
        <v>0</v>
      </c>
    </row>
    <row r="88" spans="1:10">
      <c r="A88" s="82"/>
      <c r="B88" s="82"/>
      <c r="C88" s="82"/>
      <c r="D88" s="82"/>
      <c r="E88" s="10">
        <v>84</v>
      </c>
      <c r="F88" s="256">
        <v>46387</v>
      </c>
      <c r="G88" s="243">
        <f t="shared" si="9"/>
        <v>0</v>
      </c>
      <c r="H88" s="243">
        <f t="shared" si="7"/>
        <v>0</v>
      </c>
      <c r="I88" s="243">
        <f t="shared" si="6"/>
        <v>0</v>
      </c>
      <c r="J88" s="243">
        <f t="shared" si="8"/>
        <v>0</v>
      </c>
    </row>
    <row r="89" spans="1:10">
      <c r="A89" s="82"/>
      <c r="B89" s="82"/>
      <c r="C89" s="82"/>
      <c r="D89" s="82"/>
      <c r="E89" s="7">
        <v>85</v>
      </c>
      <c r="F89" s="253">
        <v>46418</v>
      </c>
      <c r="G89" s="4">
        <f t="shared" si="9"/>
        <v>0</v>
      </c>
      <c r="H89" s="4">
        <f t="shared" si="7"/>
        <v>0</v>
      </c>
      <c r="I89" s="4">
        <f t="shared" si="6"/>
        <v>0</v>
      </c>
      <c r="J89" s="4">
        <f t="shared" si="8"/>
        <v>0</v>
      </c>
    </row>
    <row r="90" spans="1:10">
      <c r="A90" s="82"/>
      <c r="B90" s="82"/>
      <c r="C90" s="82"/>
      <c r="D90" s="82"/>
      <c r="E90" s="7">
        <v>86</v>
      </c>
      <c r="F90" s="253">
        <v>46446</v>
      </c>
      <c r="G90" s="4">
        <f t="shared" si="9"/>
        <v>0</v>
      </c>
      <c r="H90" s="4">
        <f t="shared" si="7"/>
        <v>0</v>
      </c>
      <c r="I90" s="4">
        <f t="shared" si="6"/>
        <v>0</v>
      </c>
      <c r="J90" s="4">
        <f t="shared" si="8"/>
        <v>0</v>
      </c>
    </row>
    <row r="91" spans="1:10">
      <c r="A91" s="82"/>
      <c r="B91" s="82"/>
      <c r="C91" s="82"/>
      <c r="D91" s="82"/>
      <c r="E91" s="7">
        <v>87</v>
      </c>
      <c r="F91" s="253">
        <v>46477</v>
      </c>
      <c r="G91" s="4">
        <f t="shared" si="9"/>
        <v>0</v>
      </c>
      <c r="H91" s="4">
        <f t="shared" si="7"/>
        <v>0</v>
      </c>
      <c r="I91" s="4">
        <f t="shared" si="6"/>
        <v>0</v>
      </c>
      <c r="J91" s="4">
        <f t="shared" si="8"/>
        <v>0</v>
      </c>
    </row>
    <row r="92" spans="1:10">
      <c r="A92" s="82"/>
      <c r="B92" s="82"/>
      <c r="C92" s="82"/>
      <c r="D92" s="82"/>
      <c r="E92" s="7">
        <v>88</v>
      </c>
      <c r="F92" s="253">
        <v>46507</v>
      </c>
      <c r="G92" s="4">
        <f t="shared" si="9"/>
        <v>0</v>
      </c>
      <c r="H92" s="4">
        <f t="shared" si="7"/>
        <v>0</v>
      </c>
      <c r="I92" s="4">
        <f t="shared" si="6"/>
        <v>0</v>
      </c>
      <c r="J92" s="4">
        <f t="shared" si="8"/>
        <v>0</v>
      </c>
    </row>
    <row r="93" spans="1:10">
      <c r="A93" s="82"/>
      <c r="B93" s="82"/>
      <c r="C93" s="82"/>
      <c r="D93" s="82"/>
      <c r="E93" s="7">
        <v>89</v>
      </c>
      <c r="F93" s="253">
        <v>46538</v>
      </c>
      <c r="G93" s="4">
        <f t="shared" si="9"/>
        <v>0</v>
      </c>
      <c r="H93" s="4">
        <f t="shared" si="7"/>
        <v>0</v>
      </c>
      <c r="I93" s="4">
        <f t="shared" si="6"/>
        <v>0</v>
      </c>
      <c r="J93" s="4">
        <f t="shared" si="8"/>
        <v>0</v>
      </c>
    </row>
    <row r="94" spans="1:10">
      <c r="A94" s="82"/>
      <c r="B94" s="82"/>
      <c r="C94" s="82"/>
      <c r="D94" s="82"/>
      <c r="E94" s="7">
        <v>90</v>
      </c>
      <c r="F94" s="599">
        <v>46568</v>
      </c>
      <c r="G94" s="4">
        <f t="shared" si="9"/>
        <v>0</v>
      </c>
      <c r="H94" s="4">
        <f t="shared" si="7"/>
        <v>0</v>
      </c>
      <c r="I94" s="4">
        <f t="shared" ref="I94:I148" si="10">$C$8-H94</f>
        <v>0</v>
      </c>
      <c r="J94" s="4">
        <f t="shared" si="8"/>
        <v>0</v>
      </c>
    </row>
    <row r="95" spans="1:10">
      <c r="A95" s="82"/>
      <c r="B95" s="82"/>
      <c r="C95" s="82"/>
      <c r="D95" s="82"/>
      <c r="E95" s="7">
        <v>91</v>
      </c>
      <c r="F95" s="253">
        <v>46599</v>
      </c>
      <c r="G95" s="4">
        <f t="shared" si="9"/>
        <v>0</v>
      </c>
      <c r="H95" s="4">
        <f t="shared" si="7"/>
        <v>0</v>
      </c>
      <c r="I95" s="4">
        <f t="shared" si="10"/>
        <v>0</v>
      </c>
      <c r="J95" s="4">
        <f t="shared" si="8"/>
        <v>0</v>
      </c>
    </row>
    <row r="96" spans="1:10">
      <c r="A96" s="82"/>
      <c r="B96" s="82"/>
      <c r="C96" s="82"/>
      <c r="D96" s="82"/>
      <c r="E96" s="7">
        <v>92</v>
      </c>
      <c r="F96" s="253">
        <v>46630</v>
      </c>
      <c r="G96" s="4">
        <f t="shared" si="9"/>
        <v>0</v>
      </c>
      <c r="H96" s="4">
        <f t="shared" si="7"/>
        <v>0</v>
      </c>
      <c r="I96" s="4">
        <f t="shared" si="10"/>
        <v>0</v>
      </c>
      <c r="J96" s="4">
        <f t="shared" si="8"/>
        <v>0</v>
      </c>
    </row>
    <row r="97" spans="1:10">
      <c r="A97" s="82"/>
      <c r="B97" s="82"/>
      <c r="C97" s="82"/>
      <c r="D97" s="82"/>
      <c r="E97" s="7">
        <v>93</v>
      </c>
      <c r="F97" s="253">
        <v>46660</v>
      </c>
      <c r="G97" s="4">
        <f t="shared" si="9"/>
        <v>0</v>
      </c>
      <c r="H97" s="4">
        <f t="shared" si="7"/>
        <v>0</v>
      </c>
      <c r="I97" s="4">
        <f t="shared" si="10"/>
        <v>0</v>
      </c>
      <c r="J97" s="4">
        <f t="shared" si="8"/>
        <v>0</v>
      </c>
    </row>
    <row r="98" spans="1:10">
      <c r="A98" s="82"/>
      <c r="B98" s="82"/>
      <c r="C98" s="82"/>
      <c r="D98" s="82"/>
      <c r="E98" s="7">
        <v>94</v>
      </c>
      <c r="F98" s="253">
        <v>46691</v>
      </c>
      <c r="G98" s="4">
        <f t="shared" si="9"/>
        <v>0</v>
      </c>
      <c r="H98" s="4">
        <f t="shared" si="7"/>
        <v>0</v>
      </c>
      <c r="I98" s="4">
        <f t="shared" si="10"/>
        <v>0</v>
      </c>
      <c r="J98" s="4">
        <f t="shared" si="8"/>
        <v>0</v>
      </c>
    </row>
    <row r="99" spans="1:10">
      <c r="A99" s="82"/>
      <c r="B99" s="82"/>
      <c r="C99" s="82"/>
      <c r="D99" s="82"/>
      <c r="E99" s="7">
        <v>95</v>
      </c>
      <c r="F99" s="253">
        <v>46721</v>
      </c>
      <c r="G99" s="4">
        <f t="shared" si="9"/>
        <v>0</v>
      </c>
      <c r="H99" s="4">
        <f t="shared" si="7"/>
        <v>0</v>
      </c>
      <c r="I99" s="4">
        <f t="shared" si="10"/>
        <v>0</v>
      </c>
      <c r="J99" s="4">
        <f t="shared" si="8"/>
        <v>0</v>
      </c>
    </row>
    <row r="100" spans="1:10">
      <c r="A100" s="82"/>
      <c r="B100" s="82"/>
      <c r="C100" s="82"/>
      <c r="D100" s="82"/>
      <c r="E100" s="10">
        <v>96</v>
      </c>
      <c r="F100" s="256">
        <v>46752</v>
      </c>
      <c r="G100" s="243">
        <f t="shared" si="9"/>
        <v>0</v>
      </c>
      <c r="H100" s="243">
        <f t="shared" si="7"/>
        <v>0</v>
      </c>
      <c r="I100" s="243">
        <f t="shared" si="10"/>
        <v>0</v>
      </c>
      <c r="J100" s="243">
        <f t="shared" si="8"/>
        <v>0</v>
      </c>
    </row>
    <row r="101" spans="1:10">
      <c r="A101" s="82"/>
      <c r="B101" s="82"/>
      <c r="C101" s="82"/>
      <c r="D101" s="82"/>
      <c r="E101" s="7">
        <v>97</v>
      </c>
      <c r="F101" s="253">
        <v>46783</v>
      </c>
      <c r="G101" s="4">
        <f t="shared" si="9"/>
        <v>0</v>
      </c>
      <c r="H101" s="4">
        <f t="shared" si="7"/>
        <v>0</v>
      </c>
      <c r="I101" s="4">
        <f t="shared" si="10"/>
        <v>0</v>
      </c>
      <c r="J101" s="4">
        <f t="shared" si="8"/>
        <v>0</v>
      </c>
    </row>
    <row r="102" spans="1:10">
      <c r="A102" s="82"/>
      <c r="B102" s="82"/>
      <c r="C102" s="82"/>
      <c r="D102" s="82"/>
      <c r="E102" s="7">
        <v>98</v>
      </c>
      <c r="F102" s="253">
        <v>46812</v>
      </c>
      <c r="G102" s="4">
        <f t="shared" si="9"/>
        <v>0</v>
      </c>
      <c r="H102" s="4">
        <f t="shared" si="7"/>
        <v>0</v>
      </c>
      <c r="I102" s="4">
        <f t="shared" si="10"/>
        <v>0</v>
      </c>
      <c r="J102" s="4">
        <f t="shared" si="8"/>
        <v>0</v>
      </c>
    </row>
    <row r="103" spans="1:10">
      <c r="A103" s="82"/>
      <c r="B103" s="82"/>
      <c r="C103" s="82"/>
      <c r="D103" s="82"/>
      <c r="E103" s="7">
        <v>99</v>
      </c>
      <c r="F103" s="253">
        <v>46843</v>
      </c>
      <c r="G103" s="4">
        <f t="shared" si="9"/>
        <v>0</v>
      </c>
      <c r="H103" s="4">
        <f t="shared" si="7"/>
        <v>0</v>
      </c>
      <c r="I103" s="4">
        <f t="shared" si="10"/>
        <v>0</v>
      </c>
      <c r="J103" s="4">
        <f t="shared" si="8"/>
        <v>0</v>
      </c>
    </row>
    <row r="104" spans="1:10">
      <c r="A104" s="82"/>
      <c r="B104" s="82"/>
      <c r="C104" s="82"/>
      <c r="D104" s="82"/>
      <c r="E104" s="7">
        <v>100</v>
      </c>
      <c r="F104" s="253">
        <v>46873</v>
      </c>
      <c r="G104" s="4">
        <f t="shared" si="9"/>
        <v>0</v>
      </c>
      <c r="H104" s="4">
        <f t="shared" si="7"/>
        <v>0</v>
      </c>
      <c r="I104" s="4">
        <f t="shared" si="10"/>
        <v>0</v>
      </c>
      <c r="J104" s="4">
        <f t="shared" si="8"/>
        <v>0</v>
      </c>
    </row>
    <row r="105" spans="1:10">
      <c r="A105" s="82"/>
      <c r="B105" s="82"/>
      <c r="C105" s="82"/>
      <c r="D105" s="82"/>
      <c r="E105" s="7">
        <v>101</v>
      </c>
      <c r="F105" s="253">
        <v>46904</v>
      </c>
      <c r="G105" s="4">
        <f t="shared" si="9"/>
        <v>0</v>
      </c>
      <c r="H105" s="4">
        <f t="shared" si="7"/>
        <v>0</v>
      </c>
      <c r="I105" s="4">
        <f t="shared" si="10"/>
        <v>0</v>
      </c>
      <c r="J105" s="4">
        <f t="shared" si="8"/>
        <v>0</v>
      </c>
    </row>
    <row r="106" spans="1:10">
      <c r="A106" s="82"/>
      <c r="B106" s="82"/>
      <c r="C106" s="82"/>
      <c r="D106" s="82"/>
      <c r="E106" s="7">
        <v>102</v>
      </c>
      <c r="F106" s="599">
        <v>46934</v>
      </c>
      <c r="G106" s="4">
        <f t="shared" si="9"/>
        <v>0</v>
      </c>
      <c r="H106" s="4">
        <f t="shared" si="7"/>
        <v>0</v>
      </c>
      <c r="I106" s="4">
        <f t="shared" si="10"/>
        <v>0</v>
      </c>
      <c r="J106" s="4">
        <f t="shared" si="8"/>
        <v>0</v>
      </c>
    </row>
    <row r="107" spans="1:10">
      <c r="A107" s="82"/>
      <c r="B107" s="82"/>
      <c r="C107" s="82"/>
      <c r="D107" s="82"/>
      <c r="E107" s="7">
        <v>103</v>
      </c>
      <c r="F107" s="253">
        <v>46965</v>
      </c>
      <c r="G107" s="4">
        <f t="shared" si="9"/>
        <v>0</v>
      </c>
      <c r="H107" s="4">
        <f t="shared" si="7"/>
        <v>0</v>
      </c>
      <c r="I107" s="4">
        <f t="shared" si="10"/>
        <v>0</v>
      </c>
      <c r="J107" s="4">
        <f t="shared" si="8"/>
        <v>0</v>
      </c>
    </row>
    <row r="108" spans="1:10">
      <c r="A108" s="82"/>
      <c r="B108" s="82"/>
      <c r="C108" s="82"/>
      <c r="D108" s="82"/>
      <c r="E108" s="7">
        <v>104</v>
      </c>
      <c r="F108" s="253">
        <v>46996</v>
      </c>
      <c r="G108" s="4">
        <f t="shared" si="9"/>
        <v>0</v>
      </c>
      <c r="H108" s="4">
        <f t="shared" si="7"/>
        <v>0</v>
      </c>
      <c r="I108" s="4">
        <f t="shared" si="10"/>
        <v>0</v>
      </c>
      <c r="J108" s="4">
        <f t="shared" si="8"/>
        <v>0</v>
      </c>
    </row>
    <row r="109" spans="1:10">
      <c r="A109" s="82"/>
      <c r="B109" s="82"/>
      <c r="C109" s="82"/>
      <c r="D109" s="82"/>
      <c r="E109" s="7">
        <v>105</v>
      </c>
      <c r="F109" s="253">
        <v>47026</v>
      </c>
      <c r="G109" s="4">
        <f t="shared" si="9"/>
        <v>0</v>
      </c>
      <c r="H109" s="4">
        <f t="shared" si="7"/>
        <v>0</v>
      </c>
      <c r="I109" s="4">
        <f t="shared" si="10"/>
        <v>0</v>
      </c>
      <c r="J109" s="4">
        <f t="shared" si="8"/>
        <v>0</v>
      </c>
    </row>
    <row r="110" spans="1:10">
      <c r="A110" s="82"/>
      <c r="B110" s="82"/>
      <c r="C110" s="82"/>
      <c r="D110" s="82"/>
      <c r="E110" s="7">
        <v>106</v>
      </c>
      <c r="F110" s="253">
        <v>47057</v>
      </c>
      <c r="G110" s="4">
        <f t="shared" si="9"/>
        <v>0</v>
      </c>
      <c r="H110" s="4">
        <f t="shared" si="7"/>
        <v>0</v>
      </c>
      <c r="I110" s="4">
        <f t="shared" si="10"/>
        <v>0</v>
      </c>
      <c r="J110" s="4">
        <f t="shared" si="8"/>
        <v>0</v>
      </c>
    </row>
    <row r="111" spans="1:10">
      <c r="A111" s="82"/>
      <c r="B111" s="82"/>
      <c r="C111" s="82"/>
      <c r="D111" s="82"/>
      <c r="E111" s="7">
        <v>107</v>
      </c>
      <c r="F111" s="253">
        <v>47087</v>
      </c>
      <c r="G111" s="4">
        <f t="shared" si="9"/>
        <v>0</v>
      </c>
      <c r="H111" s="4">
        <f t="shared" si="7"/>
        <v>0</v>
      </c>
      <c r="I111" s="4">
        <f t="shared" si="10"/>
        <v>0</v>
      </c>
      <c r="J111" s="4">
        <f t="shared" si="8"/>
        <v>0</v>
      </c>
    </row>
    <row r="112" spans="1:10">
      <c r="A112" s="82"/>
      <c r="B112" s="82"/>
      <c r="C112" s="82"/>
      <c r="D112" s="82"/>
      <c r="E112" s="10">
        <v>108</v>
      </c>
      <c r="F112" s="256">
        <v>47118</v>
      </c>
      <c r="G112" s="243">
        <f t="shared" si="9"/>
        <v>0</v>
      </c>
      <c r="H112" s="243">
        <f t="shared" si="7"/>
        <v>0</v>
      </c>
      <c r="I112" s="243">
        <f t="shared" si="10"/>
        <v>0</v>
      </c>
      <c r="J112" s="243">
        <f t="shared" si="8"/>
        <v>0</v>
      </c>
    </row>
    <row r="113" spans="1:10">
      <c r="A113" s="82"/>
      <c r="B113" s="82"/>
      <c r="C113" s="82"/>
      <c r="D113" s="82"/>
      <c r="E113" s="7">
        <v>109</v>
      </c>
      <c r="F113" s="253">
        <v>47149</v>
      </c>
      <c r="G113" s="4">
        <f t="shared" si="9"/>
        <v>0</v>
      </c>
      <c r="H113" s="4">
        <f t="shared" si="7"/>
        <v>0</v>
      </c>
      <c r="I113" s="4">
        <f t="shared" si="10"/>
        <v>0</v>
      </c>
      <c r="J113" s="4">
        <f t="shared" si="8"/>
        <v>0</v>
      </c>
    </row>
    <row r="114" spans="1:10">
      <c r="A114" s="82"/>
      <c r="B114" s="82"/>
      <c r="C114" s="82"/>
      <c r="D114" s="82"/>
      <c r="E114" s="7">
        <v>110</v>
      </c>
      <c r="F114" s="253">
        <v>47177</v>
      </c>
      <c r="G114" s="4">
        <f t="shared" si="9"/>
        <v>0</v>
      </c>
      <c r="H114" s="4">
        <f t="shared" si="7"/>
        <v>0</v>
      </c>
      <c r="I114" s="4">
        <f t="shared" si="10"/>
        <v>0</v>
      </c>
      <c r="J114" s="4">
        <f t="shared" si="8"/>
        <v>0</v>
      </c>
    </row>
    <row r="115" spans="1:10">
      <c r="A115" s="82"/>
      <c r="B115" s="82"/>
      <c r="C115" s="82"/>
      <c r="D115" s="82"/>
      <c r="E115" s="7">
        <v>111</v>
      </c>
      <c r="F115" s="253">
        <v>47208</v>
      </c>
      <c r="G115" s="4">
        <f t="shared" si="9"/>
        <v>0</v>
      </c>
      <c r="H115" s="4">
        <f t="shared" si="7"/>
        <v>0</v>
      </c>
      <c r="I115" s="4">
        <f t="shared" si="10"/>
        <v>0</v>
      </c>
      <c r="J115" s="4">
        <f t="shared" si="8"/>
        <v>0</v>
      </c>
    </row>
    <row r="116" spans="1:10">
      <c r="A116" s="82"/>
      <c r="B116" s="82"/>
      <c r="C116" s="82"/>
      <c r="D116" s="82"/>
      <c r="E116" s="7">
        <v>112</v>
      </c>
      <c r="F116" s="253">
        <v>47238</v>
      </c>
      <c r="G116" s="4">
        <f t="shared" si="9"/>
        <v>0</v>
      </c>
      <c r="H116" s="4">
        <f t="shared" si="7"/>
        <v>0</v>
      </c>
      <c r="I116" s="4">
        <f t="shared" si="10"/>
        <v>0</v>
      </c>
      <c r="J116" s="4">
        <f t="shared" si="8"/>
        <v>0</v>
      </c>
    </row>
    <row r="117" spans="1:10">
      <c r="A117" s="82"/>
      <c r="B117" s="82"/>
      <c r="C117" s="82"/>
      <c r="D117" s="82"/>
      <c r="E117" s="7">
        <v>113</v>
      </c>
      <c r="F117" s="253">
        <v>47269</v>
      </c>
      <c r="G117" s="4">
        <f t="shared" si="9"/>
        <v>0</v>
      </c>
      <c r="H117" s="4">
        <f t="shared" si="7"/>
        <v>0</v>
      </c>
      <c r="I117" s="4">
        <f t="shared" si="10"/>
        <v>0</v>
      </c>
      <c r="J117" s="4">
        <f t="shared" si="8"/>
        <v>0</v>
      </c>
    </row>
    <row r="118" spans="1:10">
      <c r="A118" s="82"/>
      <c r="B118" s="82"/>
      <c r="C118" s="82"/>
      <c r="D118" s="82"/>
      <c r="E118" s="7">
        <v>114</v>
      </c>
      <c r="F118" s="599">
        <v>47299</v>
      </c>
      <c r="G118" s="4">
        <f t="shared" si="9"/>
        <v>0</v>
      </c>
      <c r="H118" s="4">
        <f>(G118*$C$9)*(F118-F117)/365</f>
        <v>0</v>
      </c>
      <c r="I118" s="4">
        <f t="shared" si="10"/>
        <v>0</v>
      </c>
      <c r="J118" s="4">
        <f t="shared" si="8"/>
        <v>0</v>
      </c>
    </row>
    <row r="119" spans="1:10">
      <c r="A119" s="82"/>
      <c r="B119" s="82"/>
      <c r="C119" s="82"/>
      <c r="D119" s="82"/>
      <c r="E119" s="7">
        <v>115</v>
      </c>
      <c r="F119" s="253">
        <v>47330</v>
      </c>
      <c r="G119" s="4">
        <f t="shared" si="9"/>
        <v>0</v>
      </c>
      <c r="H119" s="4">
        <f>(G119*$C$9)*(F119-F118)/365</f>
        <v>0</v>
      </c>
      <c r="I119" s="4">
        <f t="shared" si="10"/>
        <v>0</v>
      </c>
      <c r="J119" s="4">
        <f t="shared" si="8"/>
        <v>0</v>
      </c>
    </row>
    <row r="120" spans="1:10">
      <c r="A120" s="82"/>
      <c r="B120" s="82"/>
      <c r="C120" s="82"/>
      <c r="D120" s="82"/>
      <c r="E120" s="7">
        <v>116</v>
      </c>
      <c r="F120" s="253">
        <v>47361</v>
      </c>
      <c r="G120" s="4">
        <f t="shared" si="9"/>
        <v>0</v>
      </c>
      <c r="H120" s="4">
        <f t="shared" si="7"/>
        <v>0</v>
      </c>
      <c r="I120" s="4">
        <f t="shared" si="10"/>
        <v>0</v>
      </c>
      <c r="J120" s="4">
        <f t="shared" si="8"/>
        <v>0</v>
      </c>
    </row>
    <row r="121" spans="1:10">
      <c r="A121" s="82"/>
      <c r="B121" s="82"/>
      <c r="C121" s="82"/>
      <c r="D121" s="82"/>
      <c r="E121" s="7">
        <v>117</v>
      </c>
      <c r="F121" s="253">
        <v>47391</v>
      </c>
      <c r="G121" s="4">
        <f t="shared" si="9"/>
        <v>0</v>
      </c>
      <c r="H121" s="4">
        <f t="shared" si="7"/>
        <v>0</v>
      </c>
      <c r="I121" s="4">
        <f t="shared" si="10"/>
        <v>0</v>
      </c>
      <c r="J121" s="4">
        <f t="shared" si="8"/>
        <v>0</v>
      </c>
    </row>
    <row r="122" spans="1:10">
      <c r="A122" s="82"/>
      <c r="B122" s="82"/>
      <c r="C122" s="82"/>
      <c r="D122" s="82"/>
      <c r="E122" s="7">
        <v>118</v>
      </c>
      <c r="F122" s="253">
        <v>47422</v>
      </c>
      <c r="G122" s="4">
        <f t="shared" si="9"/>
        <v>0</v>
      </c>
      <c r="H122" s="4">
        <f t="shared" si="7"/>
        <v>0</v>
      </c>
      <c r="I122" s="4">
        <f t="shared" si="10"/>
        <v>0</v>
      </c>
      <c r="J122" s="4">
        <f t="shared" si="8"/>
        <v>0</v>
      </c>
    </row>
    <row r="123" spans="1:10">
      <c r="A123" s="82"/>
      <c r="B123" s="82"/>
      <c r="C123" s="82"/>
      <c r="D123" s="82"/>
      <c r="E123" s="7">
        <v>119</v>
      </c>
      <c r="F123" s="253">
        <v>47452</v>
      </c>
      <c r="G123" s="4">
        <f t="shared" si="9"/>
        <v>0</v>
      </c>
      <c r="H123" s="4">
        <f t="shared" si="7"/>
        <v>0</v>
      </c>
      <c r="I123" s="4">
        <f t="shared" si="10"/>
        <v>0</v>
      </c>
      <c r="J123" s="4">
        <f t="shared" si="8"/>
        <v>0</v>
      </c>
    </row>
    <row r="124" spans="1:10">
      <c r="A124" s="82"/>
      <c r="B124" s="82"/>
      <c r="C124" s="82"/>
      <c r="D124" s="82"/>
      <c r="E124" s="10">
        <v>120</v>
      </c>
      <c r="F124" s="256">
        <v>47483</v>
      </c>
      <c r="G124" s="243">
        <f t="shared" si="9"/>
        <v>0</v>
      </c>
      <c r="H124" s="243">
        <f t="shared" si="7"/>
        <v>0</v>
      </c>
      <c r="I124" s="243">
        <f t="shared" si="10"/>
        <v>0</v>
      </c>
      <c r="J124" s="243">
        <f t="shared" si="8"/>
        <v>0</v>
      </c>
    </row>
    <row r="125" spans="1:10">
      <c r="A125" s="82"/>
      <c r="B125" s="82"/>
      <c r="C125" s="82"/>
      <c r="D125" s="82"/>
      <c r="E125" s="7">
        <v>121</v>
      </c>
      <c r="F125" s="253">
        <v>47514</v>
      </c>
      <c r="G125" s="4">
        <f t="shared" si="9"/>
        <v>0</v>
      </c>
      <c r="H125" s="4">
        <f t="shared" si="7"/>
        <v>0</v>
      </c>
      <c r="I125" s="4">
        <f t="shared" si="10"/>
        <v>0</v>
      </c>
      <c r="J125" s="4">
        <f t="shared" si="8"/>
        <v>0</v>
      </c>
    </row>
    <row r="126" spans="1:10">
      <c r="A126" s="82"/>
      <c r="B126" s="82"/>
      <c r="C126" s="82"/>
      <c r="D126" s="82"/>
      <c r="E126" s="7">
        <v>122</v>
      </c>
      <c r="F126" s="253">
        <v>47542</v>
      </c>
      <c r="G126" s="4">
        <f t="shared" si="9"/>
        <v>0</v>
      </c>
      <c r="H126" s="4">
        <f t="shared" si="7"/>
        <v>0</v>
      </c>
      <c r="I126" s="4">
        <f t="shared" si="10"/>
        <v>0</v>
      </c>
      <c r="J126" s="4">
        <f t="shared" si="8"/>
        <v>0</v>
      </c>
    </row>
    <row r="127" spans="1:10">
      <c r="A127" s="82"/>
      <c r="B127" s="82"/>
      <c r="C127" s="82"/>
      <c r="D127" s="82"/>
      <c r="E127" s="7">
        <v>123</v>
      </c>
      <c r="F127" s="253">
        <v>47573</v>
      </c>
      <c r="G127" s="4">
        <f t="shared" si="9"/>
        <v>0</v>
      </c>
      <c r="H127" s="4">
        <f t="shared" si="7"/>
        <v>0</v>
      </c>
      <c r="I127" s="4">
        <f t="shared" si="10"/>
        <v>0</v>
      </c>
      <c r="J127" s="4">
        <f t="shared" si="8"/>
        <v>0</v>
      </c>
    </row>
    <row r="128" spans="1:10">
      <c r="A128" s="82"/>
      <c r="B128" s="82"/>
      <c r="C128" s="82"/>
      <c r="D128" s="82"/>
      <c r="E128" s="7">
        <v>124</v>
      </c>
      <c r="F128" s="253">
        <v>47603</v>
      </c>
      <c r="G128" s="4">
        <f t="shared" si="9"/>
        <v>0</v>
      </c>
      <c r="H128" s="4">
        <f t="shared" si="7"/>
        <v>0</v>
      </c>
      <c r="I128" s="4">
        <f t="shared" si="10"/>
        <v>0</v>
      </c>
      <c r="J128" s="4">
        <f t="shared" si="8"/>
        <v>0</v>
      </c>
    </row>
    <row r="129" spans="1:10">
      <c r="A129" s="82"/>
      <c r="B129" s="82"/>
      <c r="C129" s="82"/>
      <c r="D129" s="82"/>
      <c r="E129" s="7">
        <v>125</v>
      </c>
      <c r="F129" s="253">
        <v>47634</v>
      </c>
      <c r="G129" s="4">
        <f t="shared" si="9"/>
        <v>0</v>
      </c>
      <c r="H129" s="4">
        <f t="shared" si="7"/>
        <v>0</v>
      </c>
      <c r="I129" s="4">
        <f t="shared" si="10"/>
        <v>0</v>
      </c>
      <c r="J129" s="4">
        <f t="shared" si="8"/>
        <v>0</v>
      </c>
    </row>
    <row r="130" spans="1:10">
      <c r="A130" s="82"/>
      <c r="B130" s="82"/>
      <c r="C130" s="82"/>
      <c r="D130" s="82"/>
      <c r="E130" s="7">
        <v>126</v>
      </c>
      <c r="F130" s="599">
        <v>47664</v>
      </c>
      <c r="G130" s="4">
        <f t="shared" si="9"/>
        <v>0</v>
      </c>
      <c r="H130" s="4">
        <f t="shared" si="7"/>
        <v>0</v>
      </c>
      <c r="I130" s="4">
        <f t="shared" si="10"/>
        <v>0</v>
      </c>
      <c r="J130" s="4">
        <f t="shared" si="8"/>
        <v>0</v>
      </c>
    </row>
    <row r="131" spans="1:10">
      <c r="A131" s="82"/>
      <c r="B131" s="82"/>
      <c r="C131" s="82"/>
      <c r="D131" s="82"/>
      <c r="E131" s="7">
        <v>127</v>
      </c>
      <c r="F131" s="253">
        <v>47695</v>
      </c>
      <c r="G131" s="4">
        <f t="shared" si="9"/>
        <v>0</v>
      </c>
      <c r="H131" s="4">
        <f t="shared" si="7"/>
        <v>0</v>
      </c>
      <c r="I131" s="4">
        <f t="shared" si="10"/>
        <v>0</v>
      </c>
      <c r="J131" s="4">
        <f t="shared" si="8"/>
        <v>0</v>
      </c>
    </row>
    <row r="132" spans="1:10">
      <c r="A132" s="82"/>
      <c r="B132" s="82"/>
      <c r="C132" s="82"/>
      <c r="D132" s="82"/>
      <c r="E132" s="7">
        <v>128</v>
      </c>
      <c r="F132" s="253">
        <v>47726</v>
      </c>
      <c r="G132" s="4">
        <f t="shared" si="9"/>
        <v>0</v>
      </c>
      <c r="H132" s="4">
        <f t="shared" si="7"/>
        <v>0</v>
      </c>
      <c r="I132" s="4">
        <f t="shared" si="10"/>
        <v>0</v>
      </c>
      <c r="J132" s="4">
        <f t="shared" si="8"/>
        <v>0</v>
      </c>
    </row>
    <row r="133" spans="1:10">
      <c r="A133" s="82"/>
      <c r="B133" s="82"/>
      <c r="C133" s="82"/>
      <c r="D133" s="82"/>
      <c r="E133" s="7">
        <v>129</v>
      </c>
      <c r="F133" s="253">
        <v>47756</v>
      </c>
      <c r="G133" s="4">
        <f t="shared" si="9"/>
        <v>0</v>
      </c>
      <c r="H133" s="4">
        <f t="shared" si="7"/>
        <v>0</v>
      </c>
      <c r="I133" s="4">
        <f t="shared" si="10"/>
        <v>0</v>
      </c>
      <c r="J133" s="4">
        <f t="shared" si="8"/>
        <v>0</v>
      </c>
    </row>
    <row r="134" spans="1:10">
      <c r="A134" s="82"/>
      <c r="B134" s="82"/>
      <c r="C134" s="82"/>
      <c r="D134" s="82"/>
      <c r="E134" s="7">
        <v>130</v>
      </c>
      <c r="F134" s="253">
        <v>47787</v>
      </c>
      <c r="G134" s="4">
        <f t="shared" si="9"/>
        <v>0</v>
      </c>
      <c r="H134" s="4">
        <f t="shared" si="7"/>
        <v>0</v>
      </c>
      <c r="I134" s="4">
        <f t="shared" si="10"/>
        <v>0</v>
      </c>
      <c r="J134" s="4">
        <f t="shared" si="8"/>
        <v>0</v>
      </c>
    </row>
    <row r="135" spans="1:10">
      <c r="A135" s="82"/>
      <c r="B135" s="82"/>
      <c r="C135" s="82"/>
      <c r="D135" s="82"/>
      <c r="E135" s="7">
        <v>131</v>
      </c>
      <c r="F135" s="253">
        <v>47817</v>
      </c>
      <c r="G135" s="4">
        <f t="shared" si="9"/>
        <v>0</v>
      </c>
      <c r="H135" s="4">
        <f t="shared" ref="H135:H148" si="11">(G135*$C$9)*(F135-F134)/365</f>
        <v>0</v>
      </c>
      <c r="I135" s="4">
        <f t="shared" si="10"/>
        <v>0</v>
      </c>
      <c r="J135" s="4">
        <f t="shared" si="8"/>
        <v>0</v>
      </c>
    </row>
    <row r="136" spans="1:10">
      <c r="A136" s="82"/>
      <c r="B136" s="82"/>
      <c r="C136" s="82"/>
      <c r="D136" s="82"/>
      <c r="E136" s="10">
        <v>132</v>
      </c>
      <c r="F136" s="599">
        <v>47848</v>
      </c>
      <c r="G136" s="243">
        <f t="shared" si="9"/>
        <v>0</v>
      </c>
      <c r="H136" s="4">
        <f t="shared" si="11"/>
        <v>0</v>
      </c>
      <c r="I136" s="243">
        <f t="shared" si="10"/>
        <v>0</v>
      </c>
      <c r="J136" s="243">
        <f t="shared" si="8"/>
        <v>0</v>
      </c>
    </row>
    <row r="137" spans="1:10">
      <c r="A137" s="82"/>
      <c r="B137" s="82"/>
      <c r="C137" s="82"/>
      <c r="D137" s="82"/>
      <c r="E137" s="7">
        <v>133</v>
      </c>
      <c r="G137" s="4">
        <f t="shared" si="9"/>
        <v>0</v>
      </c>
      <c r="H137" s="4">
        <f t="shared" si="11"/>
        <v>0</v>
      </c>
      <c r="I137" s="4">
        <f t="shared" si="10"/>
        <v>0</v>
      </c>
      <c r="J137" s="4">
        <f t="shared" si="8"/>
        <v>0</v>
      </c>
    </row>
    <row r="138" spans="1:10">
      <c r="A138" s="82"/>
      <c r="B138" s="82"/>
      <c r="C138" s="82"/>
      <c r="D138" s="82"/>
      <c r="E138" s="7">
        <v>134</v>
      </c>
      <c r="G138" s="4">
        <f t="shared" si="9"/>
        <v>0</v>
      </c>
      <c r="H138" s="4">
        <f t="shared" si="11"/>
        <v>0</v>
      </c>
      <c r="I138" s="4">
        <f t="shared" si="10"/>
        <v>0</v>
      </c>
      <c r="J138" s="4">
        <f t="shared" si="8"/>
        <v>0</v>
      </c>
    </row>
    <row r="139" spans="1:10">
      <c r="A139" s="82"/>
      <c r="B139" s="82"/>
      <c r="C139" s="82"/>
      <c r="D139" s="82"/>
      <c r="E139" s="7">
        <v>135</v>
      </c>
      <c r="G139" s="4">
        <f t="shared" si="9"/>
        <v>0</v>
      </c>
      <c r="H139" s="4">
        <f t="shared" si="11"/>
        <v>0</v>
      </c>
      <c r="I139" s="4">
        <f t="shared" si="10"/>
        <v>0</v>
      </c>
      <c r="J139" s="4">
        <f t="shared" si="8"/>
        <v>0</v>
      </c>
    </row>
    <row r="140" spans="1:10">
      <c r="A140" s="82"/>
      <c r="B140" s="82"/>
      <c r="C140" s="82"/>
      <c r="D140" s="82"/>
      <c r="E140" s="7">
        <v>136</v>
      </c>
      <c r="G140" s="4">
        <f t="shared" si="9"/>
        <v>0</v>
      </c>
      <c r="H140" s="4">
        <f t="shared" si="11"/>
        <v>0</v>
      </c>
      <c r="I140" s="4">
        <f t="shared" si="10"/>
        <v>0</v>
      </c>
      <c r="J140" s="4">
        <f t="shared" si="8"/>
        <v>0</v>
      </c>
    </row>
    <row r="141" spans="1:10">
      <c r="A141" s="82"/>
      <c r="B141" s="82"/>
      <c r="C141" s="82"/>
      <c r="D141" s="82"/>
      <c r="E141" s="7">
        <v>137</v>
      </c>
      <c r="G141" s="4">
        <f t="shared" si="9"/>
        <v>0</v>
      </c>
      <c r="H141" s="4">
        <f t="shared" si="11"/>
        <v>0</v>
      </c>
      <c r="I141" s="4">
        <f t="shared" si="10"/>
        <v>0</v>
      </c>
      <c r="J141" s="4">
        <f t="shared" si="8"/>
        <v>0</v>
      </c>
    </row>
    <row r="142" spans="1:10">
      <c r="A142" s="82"/>
      <c r="B142" s="82"/>
      <c r="C142" s="82"/>
      <c r="D142" s="82"/>
      <c r="E142" s="7">
        <v>138</v>
      </c>
      <c r="G142" s="4">
        <f t="shared" si="9"/>
        <v>0</v>
      </c>
      <c r="H142" s="4">
        <f t="shared" si="11"/>
        <v>0</v>
      </c>
      <c r="I142" s="4">
        <f t="shared" si="10"/>
        <v>0</v>
      </c>
      <c r="J142" s="4">
        <f t="shared" si="8"/>
        <v>0</v>
      </c>
    </row>
    <row r="143" spans="1:10">
      <c r="A143" s="82"/>
      <c r="B143" s="82"/>
      <c r="C143" s="82"/>
      <c r="D143" s="82"/>
      <c r="E143" s="7">
        <v>139</v>
      </c>
      <c r="G143" s="4">
        <f t="shared" si="9"/>
        <v>0</v>
      </c>
      <c r="H143" s="4">
        <f t="shared" si="11"/>
        <v>0</v>
      </c>
      <c r="I143" s="4">
        <f t="shared" si="10"/>
        <v>0</v>
      </c>
      <c r="J143" s="4">
        <f t="shared" si="8"/>
        <v>0</v>
      </c>
    </row>
    <row r="144" spans="1:10">
      <c r="A144" s="82"/>
      <c r="B144" s="82"/>
      <c r="C144" s="82"/>
      <c r="D144" s="82"/>
      <c r="E144" s="7">
        <v>140</v>
      </c>
      <c r="G144" s="4">
        <f t="shared" si="9"/>
        <v>0</v>
      </c>
      <c r="H144" s="4">
        <f t="shared" si="11"/>
        <v>0</v>
      </c>
      <c r="I144" s="4">
        <f t="shared" si="10"/>
        <v>0</v>
      </c>
      <c r="J144" s="4">
        <f t="shared" si="8"/>
        <v>0</v>
      </c>
    </row>
    <row r="145" spans="1:10">
      <c r="A145" s="82"/>
      <c r="B145" s="82"/>
      <c r="C145" s="82"/>
      <c r="D145" s="82"/>
      <c r="E145" s="7">
        <v>141</v>
      </c>
      <c r="G145" s="4">
        <f t="shared" si="9"/>
        <v>0</v>
      </c>
      <c r="H145" s="4">
        <f t="shared" si="11"/>
        <v>0</v>
      </c>
      <c r="I145" s="4">
        <f t="shared" si="10"/>
        <v>0</v>
      </c>
      <c r="J145" s="4">
        <f t="shared" si="8"/>
        <v>0</v>
      </c>
    </row>
    <row r="146" spans="1:10">
      <c r="A146" s="82"/>
      <c r="B146" s="82"/>
      <c r="C146" s="82"/>
      <c r="D146" s="82"/>
      <c r="E146" s="7">
        <v>142</v>
      </c>
      <c r="G146" s="4">
        <f t="shared" si="9"/>
        <v>0</v>
      </c>
      <c r="H146" s="4">
        <f t="shared" si="11"/>
        <v>0</v>
      </c>
      <c r="I146" s="4">
        <f t="shared" si="10"/>
        <v>0</v>
      </c>
      <c r="J146" s="4">
        <f t="shared" ref="J146:J148" si="12">G146-I146</f>
        <v>0</v>
      </c>
    </row>
    <row r="147" spans="1:10">
      <c r="A147" s="82"/>
      <c r="B147" s="82"/>
      <c r="C147" s="82"/>
      <c r="D147" s="82"/>
      <c r="E147" s="7">
        <v>143</v>
      </c>
      <c r="G147" s="4">
        <f t="shared" ref="G147:G148" si="13">J146</f>
        <v>0</v>
      </c>
      <c r="H147" s="4">
        <f t="shared" si="11"/>
        <v>0</v>
      </c>
      <c r="I147" s="4">
        <f t="shared" si="10"/>
        <v>0</v>
      </c>
      <c r="J147" s="4">
        <f t="shared" si="12"/>
        <v>0</v>
      </c>
    </row>
    <row r="148" spans="1:10">
      <c r="A148" s="82"/>
      <c r="B148" s="82"/>
      <c r="C148" s="82"/>
      <c r="D148" s="82"/>
      <c r="E148" s="10">
        <v>144</v>
      </c>
      <c r="G148" s="243">
        <f t="shared" si="13"/>
        <v>0</v>
      </c>
      <c r="H148" s="4">
        <f t="shared" si="11"/>
        <v>0</v>
      </c>
      <c r="I148" s="243">
        <f t="shared" si="10"/>
        <v>0</v>
      </c>
      <c r="J148" s="243">
        <f t="shared" si="12"/>
        <v>0</v>
      </c>
    </row>
  </sheetData>
  <printOptions horizontalCentered="1"/>
  <pageMargins left="0.2" right="0.2" top="0.39000000000000007" bottom="0.2" header="0.5" footer="0.5"/>
  <pageSetup scale="90"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48"/>
  <sheetViews>
    <sheetView zoomScale="125" zoomScaleNormal="125" zoomScalePageLayoutView="125" workbookViewId="0">
      <selection activeCell="C7" sqref="C7"/>
    </sheetView>
  </sheetViews>
  <sheetFormatPr defaultColWidth="11.42578125" defaultRowHeight="15"/>
  <cols>
    <col min="1" max="1" width="34.85546875" customWidth="1"/>
    <col min="3" max="3" width="11.85546875" customWidth="1"/>
    <col min="4" max="4" width="1.85546875" customWidth="1"/>
    <col min="5" max="5" width="6.85546875" customWidth="1"/>
    <col min="7" max="7" width="11.85546875" customWidth="1"/>
    <col min="10" max="10" width="11.85546875" customWidth="1"/>
  </cols>
  <sheetData>
    <row r="1" spans="1:10" ht="15.75">
      <c r="A1" s="411" t="s">
        <v>449</v>
      </c>
      <c r="B1" s="82"/>
      <c r="C1" s="82"/>
      <c r="D1" s="82"/>
      <c r="E1" s="82"/>
      <c r="F1" s="82"/>
      <c r="G1" s="82"/>
      <c r="H1" s="82"/>
      <c r="I1" s="82"/>
      <c r="J1" s="82"/>
    </row>
    <row r="2" spans="1:10" ht="15.75">
      <c r="A2" s="411"/>
      <c r="B2" s="82"/>
      <c r="C2" s="82"/>
      <c r="D2" s="82"/>
      <c r="E2" s="82"/>
      <c r="F2" s="82"/>
      <c r="G2" s="82"/>
      <c r="H2" s="82"/>
      <c r="I2" s="82"/>
      <c r="J2" s="82"/>
    </row>
    <row r="3" spans="1:10" ht="16.5" thickBot="1">
      <c r="A3" s="411"/>
      <c r="B3" s="82"/>
      <c r="C3" s="82"/>
      <c r="D3" s="82"/>
      <c r="E3" s="82"/>
      <c r="F3" s="82"/>
      <c r="G3" s="82"/>
      <c r="H3" s="82"/>
      <c r="I3" s="82"/>
      <c r="J3" s="82"/>
    </row>
    <row r="4" spans="1:10" ht="15.75">
      <c r="A4" s="461" t="s">
        <v>547</v>
      </c>
      <c r="B4" s="462"/>
      <c r="C4" s="463">
        <v>2000000</v>
      </c>
      <c r="D4" s="82"/>
      <c r="E4" s="246" t="s">
        <v>364</v>
      </c>
      <c r="F4" s="246" t="s">
        <v>365</v>
      </c>
      <c r="G4" s="246" t="s">
        <v>367</v>
      </c>
      <c r="H4" s="246" t="s">
        <v>356</v>
      </c>
      <c r="I4" s="246" t="s">
        <v>366</v>
      </c>
      <c r="J4" s="246" t="s">
        <v>368</v>
      </c>
    </row>
    <row r="5" spans="1:10" ht="15" customHeight="1">
      <c r="A5" s="464" t="s">
        <v>361</v>
      </c>
      <c r="B5" s="85"/>
      <c r="C5" s="465">
        <f>Offering!C24*12</f>
        <v>120</v>
      </c>
      <c r="D5" s="82"/>
      <c r="E5" s="254">
        <v>1</v>
      </c>
      <c r="F5" s="255">
        <v>43131</v>
      </c>
      <c r="G5" s="4">
        <f>C4</f>
        <v>2000000</v>
      </c>
      <c r="H5" s="4">
        <f>(G5*$C$9)*(F6-F5)/365</f>
        <v>18410.95890410959</v>
      </c>
      <c r="I5" s="595"/>
      <c r="J5" s="598">
        <f>G5-I5</f>
        <v>2000000</v>
      </c>
    </row>
    <row r="6" spans="1:10" ht="15.75">
      <c r="A6" s="466" t="s">
        <v>362</v>
      </c>
      <c r="B6" s="85"/>
      <c r="C6" s="465">
        <f>Offering!C25</f>
        <v>24</v>
      </c>
      <c r="D6" s="82"/>
      <c r="E6" s="254">
        <v>2</v>
      </c>
      <c r="F6" s="255">
        <v>43159</v>
      </c>
      <c r="G6" s="598">
        <f>J5</f>
        <v>2000000</v>
      </c>
      <c r="H6" s="4">
        <f t="shared" ref="H6:H16" si="0">(G6*$C$9)*(F7-F6)/365</f>
        <v>20383.561643835616</v>
      </c>
      <c r="I6" s="595"/>
      <c r="J6" s="598">
        <f t="shared" ref="J6:J16" si="1">G6-I6</f>
        <v>2000000</v>
      </c>
    </row>
    <row r="7" spans="1:10" ht="15.75">
      <c r="A7" s="466" t="s">
        <v>363</v>
      </c>
      <c r="B7" s="85"/>
      <c r="C7" s="465">
        <f>C5-C6</f>
        <v>96</v>
      </c>
      <c r="D7" s="82"/>
      <c r="E7" s="254">
        <v>3</v>
      </c>
      <c r="F7" s="255">
        <v>43190</v>
      </c>
      <c r="G7" s="598">
        <f t="shared" ref="G7:G16" si="2">J6</f>
        <v>2000000</v>
      </c>
      <c r="H7" s="4">
        <f t="shared" si="0"/>
        <v>19726.027397260274</v>
      </c>
      <c r="I7" s="595"/>
      <c r="J7" s="598">
        <f t="shared" si="1"/>
        <v>2000000</v>
      </c>
    </row>
    <row r="8" spans="1:10" ht="15.75">
      <c r="A8" s="466" t="s">
        <v>357</v>
      </c>
      <c r="B8" s="85"/>
      <c r="C8" s="467">
        <f>PMT(C9/12,C7,-C4)</f>
        <v>32505.682851477344</v>
      </c>
      <c r="D8" s="82"/>
      <c r="E8" s="254">
        <v>4</v>
      </c>
      <c r="F8" s="255">
        <v>43220</v>
      </c>
      <c r="G8" s="598">
        <f t="shared" si="2"/>
        <v>2000000</v>
      </c>
      <c r="H8" s="4">
        <f t="shared" si="0"/>
        <v>20383.561643835616</v>
      </c>
      <c r="I8" s="595"/>
      <c r="J8" s="598">
        <f t="shared" si="1"/>
        <v>2000000</v>
      </c>
    </row>
    <row r="9" spans="1:10" ht="16.5" thickBot="1">
      <c r="A9" s="468" t="s">
        <v>358</v>
      </c>
      <c r="B9" s="86"/>
      <c r="C9" s="469">
        <v>0.12</v>
      </c>
      <c r="D9" s="82"/>
      <c r="E9" s="254">
        <v>5</v>
      </c>
      <c r="F9" s="255">
        <v>43251</v>
      </c>
      <c r="G9" s="598">
        <f t="shared" si="2"/>
        <v>2000000</v>
      </c>
      <c r="H9" s="4">
        <f t="shared" si="0"/>
        <v>19726.027397260274</v>
      </c>
      <c r="I9" s="595"/>
      <c r="J9" s="598">
        <f t="shared" si="1"/>
        <v>2000000</v>
      </c>
    </row>
    <row r="10" spans="1:10" ht="15.75">
      <c r="A10" s="411"/>
      <c r="B10" s="82"/>
      <c r="C10" s="82"/>
      <c r="D10" s="82"/>
      <c r="E10" s="254">
        <v>6</v>
      </c>
      <c r="F10" s="255">
        <v>43281</v>
      </c>
      <c r="G10" s="598">
        <f t="shared" si="2"/>
        <v>2000000</v>
      </c>
      <c r="H10" s="4">
        <f t="shared" si="0"/>
        <v>20383.561643835616</v>
      </c>
      <c r="I10" s="595"/>
      <c r="J10" s="598">
        <f t="shared" si="1"/>
        <v>2000000</v>
      </c>
    </row>
    <row r="11" spans="1:10" ht="15.75" thickBot="1">
      <c r="A11" s="82"/>
      <c r="B11" s="82"/>
      <c r="C11" s="82"/>
      <c r="D11" s="82"/>
      <c r="E11" s="254">
        <v>7</v>
      </c>
      <c r="F11" s="255">
        <v>43312</v>
      </c>
      <c r="G11" s="598">
        <f t="shared" si="2"/>
        <v>2000000</v>
      </c>
      <c r="H11" s="4">
        <f t="shared" si="0"/>
        <v>20383.561643835616</v>
      </c>
      <c r="I11" s="595"/>
      <c r="J11" s="598">
        <f t="shared" si="1"/>
        <v>2000000</v>
      </c>
    </row>
    <row r="12" spans="1:10" ht="15.75">
      <c r="A12" s="461" t="s">
        <v>547</v>
      </c>
      <c r="B12" s="462"/>
      <c r="C12" s="463">
        <f>C4</f>
        <v>2000000</v>
      </c>
      <c r="D12" s="82"/>
      <c r="E12" s="254">
        <v>8</v>
      </c>
      <c r="F12" s="255">
        <v>43343</v>
      </c>
      <c r="G12" s="598">
        <f t="shared" si="2"/>
        <v>2000000</v>
      </c>
      <c r="H12" s="4">
        <f t="shared" si="0"/>
        <v>19726.027397260274</v>
      </c>
      <c r="I12" s="595"/>
      <c r="J12" s="598">
        <f t="shared" si="1"/>
        <v>2000000</v>
      </c>
    </row>
    <row r="13" spans="1:10">
      <c r="A13" s="464" t="s">
        <v>1064</v>
      </c>
      <c r="B13" s="85"/>
      <c r="C13" s="465">
        <f t="shared" ref="C13:C17" si="3">C5</f>
        <v>120</v>
      </c>
      <c r="D13" s="82"/>
      <c r="E13" s="254">
        <v>9</v>
      </c>
      <c r="F13" s="255">
        <v>43373</v>
      </c>
      <c r="G13" s="598">
        <f t="shared" si="2"/>
        <v>2000000</v>
      </c>
      <c r="H13" s="4">
        <f t="shared" si="0"/>
        <v>20383.561643835616</v>
      </c>
      <c r="I13" s="595"/>
      <c r="J13" s="598">
        <f t="shared" si="1"/>
        <v>2000000</v>
      </c>
    </row>
    <row r="14" spans="1:10" ht="15.75">
      <c r="A14" s="466" t="s">
        <v>1065</v>
      </c>
      <c r="B14" s="85"/>
      <c r="C14" s="465">
        <f t="shared" si="3"/>
        <v>24</v>
      </c>
      <c r="D14" s="82"/>
      <c r="E14" s="254">
        <v>10</v>
      </c>
      <c r="F14" s="255">
        <v>43404</v>
      </c>
      <c r="G14" s="598">
        <f t="shared" si="2"/>
        <v>2000000</v>
      </c>
      <c r="H14" s="4">
        <f t="shared" si="0"/>
        <v>19726.027397260274</v>
      </c>
      <c r="I14" s="595"/>
      <c r="J14" s="598">
        <f t="shared" si="1"/>
        <v>2000000</v>
      </c>
    </row>
    <row r="15" spans="1:10" ht="15.75">
      <c r="A15" s="466" t="s">
        <v>1066</v>
      </c>
      <c r="B15" s="85"/>
      <c r="C15" s="465">
        <f t="shared" si="3"/>
        <v>96</v>
      </c>
      <c r="D15" s="82"/>
      <c r="E15" s="254">
        <v>11</v>
      </c>
      <c r="F15" s="255">
        <v>43434</v>
      </c>
      <c r="G15" s="598">
        <f t="shared" si="2"/>
        <v>2000000</v>
      </c>
      <c r="H15" s="4">
        <f t="shared" si="0"/>
        <v>20383.561643835616</v>
      </c>
      <c r="I15" s="595"/>
      <c r="J15" s="598">
        <f t="shared" si="1"/>
        <v>2000000</v>
      </c>
    </row>
    <row r="16" spans="1:10" ht="15.75">
      <c r="A16" s="466" t="s">
        <v>357</v>
      </c>
      <c r="B16" s="85"/>
      <c r="C16" s="467">
        <f t="shared" si="3"/>
        <v>32505.682851477344</v>
      </c>
      <c r="D16" s="82"/>
      <c r="E16" s="254">
        <v>12</v>
      </c>
      <c r="F16" s="255">
        <v>43465</v>
      </c>
      <c r="G16" s="598">
        <f t="shared" si="2"/>
        <v>2000000</v>
      </c>
      <c r="H16" s="4">
        <f t="shared" si="0"/>
        <v>20383.561643835616</v>
      </c>
      <c r="I16" s="595"/>
      <c r="J16" s="598">
        <f t="shared" si="1"/>
        <v>2000000</v>
      </c>
    </row>
    <row r="17" spans="1:12" ht="16.5" thickBot="1">
      <c r="A17" s="468" t="s">
        <v>1067</v>
      </c>
      <c r="B17" s="86"/>
      <c r="C17" s="469">
        <f t="shared" si="3"/>
        <v>0.12</v>
      </c>
      <c r="D17" s="82"/>
      <c r="E17" s="7">
        <v>13</v>
      </c>
      <c r="F17" s="253">
        <v>43496</v>
      </c>
      <c r="G17" s="4">
        <f>C4</f>
        <v>2000000</v>
      </c>
      <c r="H17" s="4">
        <f>(G17*$C$9)*(F17-F16)/365</f>
        <v>20383.561643835616</v>
      </c>
      <c r="I17" s="4">
        <v>0</v>
      </c>
      <c r="J17" s="4">
        <f>G17-I17</f>
        <v>2000000</v>
      </c>
    </row>
    <row r="18" spans="1:12">
      <c r="A18" s="82"/>
      <c r="B18" s="82"/>
      <c r="C18" s="82"/>
      <c r="D18" s="82"/>
      <c r="E18" s="7">
        <v>14</v>
      </c>
      <c r="F18" s="253">
        <v>43524</v>
      </c>
      <c r="G18" s="4">
        <f>J17</f>
        <v>2000000</v>
      </c>
      <c r="H18" s="4">
        <f>(G18*$C$9)*(F18-F17)/365</f>
        <v>18410.95890410959</v>
      </c>
      <c r="I18" s="4">
        <v>0</v>
      </c>
      <c r="J18" s="4">
        <f t="shared" ref="J18:J81" si="4">G18-I18</f>
        <v>2000000</v>
      </c>
    </row>
    <row r="19" spans="1:12">
      <c r="A19" s="82"/>
      <c r="B19" s="82"/>
      <c r="C19" s="82"/>
      <c r="D19" s="82"/>
      <c r="E19" s="7">
        <v>15</v>
      </c>
      <c r="F19" s="253">
        <v>43555</v>
      </c>
      <c r="G19" s="4">
        <f t="shared" ref="G19:G82" si="5">J18</f>
        <v>2000000</v>
      </c>
      <c r="H19" s="4">
        <f t="shared" ref="H19:H27" si="6">(G19*$C$9)*(F19-F18)/365</f>
        <v>20383.561643835616</v>
      </c>
      <c r="I19" s="4">
        <v>0</v>
      </c>
      <c r="J19" s="4">
        <f t="shared" si="4"/>
        <v>2000000</v>
      </c>
    </row>
    <row r="20" spans="1:12">
      <c r="A20" s="82"/>
      <c r="B20" s="82"/>
      <c r="C20" s="82"/>
      <c r="D20" s="82"/>
      <c r="E20" s="7">
        <v>16</v>
      </c>
      <c r="F20" s="253">
        <v>43585</v>
      </c>
      <c r="G20" s="4">
        <f t="shared" si="5"/>
        <v>2000000</v>
      </c>
      <c r="H20" s="4">
        <f t="shared" si="6"/>
        <v>19726.027397260274</v>
      </c>
      <c r="I20" s="4">
        <v>0</v>
      </c>
      <c r="J20" s="4">
        <f t="shared" si="4"/>
        <v>2000000</v>
      </c>
    </row>
    <row r="21" spans="1:12">
      <c r="A21" s="82"/>
      <c r="B21" s="82"/>
      <c r="C21" s="82"/>
      <c r="D21" s="82"/>
      <c r="E21" s="7">
        <v>17</v>
      </c>
      <c r="F21" s="253">
        <v>43616</v>
      </c>
      <c r="G21" s="4">
        <f t="shared" si="5"/>
        <v>2000000</v>
      </c>
      <c r="H21" s="4">
        <f t="shared" si="6"/>
        <v>20383.561643835616</v>
      </c>
      <c r="I21" s="4">
        <v>0</v>
      </c>
      <c r="J21" s="4">
        <f t="shared" si="4"/>
        <v>2000000</v>
      </c>
    </row>
    <row r="22" spans="1:12">
      <c r="A22" s="82"/>
      <c r="B22" s="82"/>
      <c r="C22" s="82"/>
      <c r="D22" s="82"/>
      <c r="E22" s="7">
        <v>18</v>
      </c>
      <c r="F22" s="599">
        <v>43646</v>
      </c>
      <c r="G22" s="4">
        <f t="shared" si="5"/>
        <v>2000000</v>
      </c>
      <c r="H22" s="4">
        <f t="shared" si="6"/>
        <v>19726.027397260274</v>
      </c>
      <c r="I22" s="4">
        <v>0</v>
      </c>
      <c r="J22" s="4">
        <f t="shared" si="4"/>
        <v>2000000</v>
      </c>
    </row>
    <row r="23" spans="1:12">
      <c r="A23" s="82"/>
      <c r="B23" s="82"/>
      <c r="C23" s="82"/>
      <c r="D23" s="82"/>
      <c r="E23" s="7">
        <v>19</v>
      </c>
      <c r="F23" s="253">
        <v>43677</v>
      </c>
      <c r="G23" s="4">
        <f t="shared" si="5"/>
        <v>2000000</v>
      </c>
      <c r="H23" s="4">
        <f t="shared" si="6"/>
        <v>20383.561643835616</v>
      </c>
      <c r="I23" s="4">
        <v>0</v>
      </c>
      <c r="J23" s="4">
        <f t="shared" si="4"/>
        <v>2000000</v>
      </c>
      <c r="L23" s="4">
        <f>SUM(H23:H34)</f>
        <v>238753.12371169464</v>
      </c>
    </row>
    <row r="24" spans="1:12">
      <c r="A24" s="82"/>
      <c r="B24" s="82"/>
      <c r="C24" s="82"/>
      <c r="D24" s="82"/>
      <c r="E24" s="7">
        <v>20</v>
      </c>
      <c r="F24" s="253">
        <v>43708</v>
      </c>
      <c r="G24" s="4">
        <f t="shared" si="5"/>
        <v>2000000</v>
      </c>
      <c r="H24" s="4">
        <f t="shared" si="6"/>
        <v>20383.561643835616</v>
      </c>
      <c r="I24" s="4">
        <v>0</v>
      </c>
      <c r="J24" s="4">
        <f t="shared" si="4"/>
        <v>2000000</v>
      </c>
    </row>
    <row r="25" spans="1:12">
      <c r="A25" s="82"/>
      <c r="B25" s="82"/>
      <c r="C25" s="82"/>
      <c r="D25" s="82"/>
      <c r="E25" s="7">
        <v>21</v>
      </c>
      <c r="F25" s="253">
        <v>43738</v>
      </c>
      <c r="G25" s="4">
        <f t="shared" si="5"/>
        <v>2000000</v>
      </c>
      <c r="H25" s="4">
        <f t="shared" si="6"/>
        <v>19726.027397260274</v>
      </c>
      <c r="I25" s="4">
        <v>0</v>
      </c>
      <c r="J25" s="4">
        <f t="shared" si="4"/>
        <v>2000000</v>
      </c>
    </row>
    <row r="26" spans="1:12">
      <c r="A26" s="82"/>
      <c r="B26" s="82"/>
      <c r="C26" s="82"/>
      <c r="D26" s="82"/>
      <c r="E26" s="7">
        <v>22</v>
      </c>
      <c r="F26" s="253">
        <v>43769</v>
      </c>
      <c r="G26" s="4">
        <f t="shared" si="5"/>
        <v>2000000</v>
      </c>
      <c r="H26" s="4">
        <f t="shared" si="6"/>
        <v>20383.561643835616</v>
      </c>
      <c r="I26" s="4">
        <v>0</v>
      </c>
      <c r="J26" s="4">
        <f t="shared" si="4"/>
        <v>2000000</v>
      </c>
    </row>
    <row r="27" spans="1:12">
      <c r="A27" s="82"/>
      <c r="B27" s="82"/>
      <c r="C27" s="82"/>
      <c r="D27" s="82"/>
      <c r="E27" s="7">
        <v>23</v>
      </c>
      <c r="F27" s="253">
        <v>43799</v>
      </c>
      <c r="G27" s="4">
        <f t="shared" si="5"/>
        <v>2000000</v>
      </c>
      <c r="H27" s="4">
        <f t="shared" si="6"/>
        <v>19726.027397260274</v>
      </c>
      <c r="I27" s="4">
        <v>0</v>
      </c>
      <c r="J27" s="4">
        <f t="shared" si="4"/>
        <v>2000000</v>
      </c>
    </row>
    <row r="28" spans="1:12">
      <c r="A28" s="82"/>
      <c r="B28" s="82"/>
      <c r="C28" s="82"/>
      <c r="D28" s="82"/>
      <c r="E28" s="10">
        <v>24</v>
      </c>
      <c r="F28" s="256">
        <v>43830</v>
      </c>
      <c r="G28" s="243">
        <f t="shared" si="5"/>
        <v>2000000</v>
      </c>
      <c r="H28" s="243">
        <f>(G28*$C$9)*(F28-F27)/365</f>
        <v>20383.561643835616</v>
      </c>
      <c r="I28" s="243">
        <v>0</v>
      </c>
      <c r="J28" s="243">
        <f t="shared" si="4"/>
        <v>2000000</v>
      </c>
    </row>
    <row r="29" spans="1:12">
      <c r="A29" s="82"/>
      <c r="B29" s="82"/>
      <c r="C29" s="82"/>
      <c r="D29" s="82"/>
      <c r="E29" s="7">
        <v>25</v>
      </c>
      <c r="F29" s="253">
        <v>43861</v>
      </c>
      <c r="G29" s="4">
        <f t="shared" si="5"/>
        <v>2000000</v>
      </c>
      <c r="H29" s="4">
        <f>(G29*$C$9)*(F29-F28)/365</f>
        <v>20383.561643835616</v>
      </c>
      <c r="I29" s="4">
        <f>$C$8-H29</f>
        <v>12122.121207641729</v>
      </c>
      <c r="J29" s="641">
        <f>G29-I29</f>
        <v>1987877.8787923583</v>
      </c>
    </row>
    <row r="30" spans="1:12">
      <c r="A30" s="82"/>
      <c r="B30" s="82"/>
      <c r="C30" s="82"/>
      <c r="D30" s="82"/>
      <c r="E30" s="7">
        <v>26</v>
      </c>
      <c r="F30" s="253">
        <v>43890</v>
      </c>
      <c r="G30" s="4">
        <f t="shared" si="5"/>
        <v>1987877.8787923583</v>
      </c>
      <c r="H30" s="4">
        <f t="shared" ref="H30:H93" si="7">(G30*$C$9)*(F30-F29)/365</f>
        <v>18952.917858075085</v>
      </c>
      <c r="I30" s="4">
        <f t="shared" ref="I30:I93" si="8">$C$8-H30</f>
        <v>13552.764993402259</v>
      </c>
      <c r="J30" s="4">
        <f t="shared" si="4"/>
        <v>1974325.1137989562</v>
      </c>
    </row>
    <row r="31" spans="1:12">
      <c r="A31" s="82"/>
      <c r="B31" s="82"/>
      <c r="C31" s="82"/>
      <c r="D31" s="82"/>
      <c r="E31" s="7">
        <v>27</v>
      </c>
      <c r="F31" s="253">
        <v>43921</v>
      </c>
      <c r="G31" s="4">
        <f t="shared" si="5"/>
        <v>1974325.1137989562</v>
      </c>
      <c r="H31" s="4">
        <f t="shared" si="7"/>
        <v>20121.888831046894</v>
      </c>
      <c r="I31" s="4">
        <f t="shared" si="8"/>
        <v>12383.79402043045</v>
      </c>
      <c r="J31" s="4">
        <f t="shared" si="4"/>
        <v>1961941.3197785257</v>
      </c>
    </row>
    <row r="32" spans="1:12">
      <c r="A32" s="82"/>
      <c r="B32" s="82"/>
      <c r="C32" s="82"/>
      <c r="D32" s="82"/>
      <c r="E32" s="7">
        <v>28</v>
      </c>
      <c r="F32" s="253">
        <v>43951</v>
      </c>
      <c r="G32" s="4">
        <f t="shared" si="5"/>
        <v>1961941.3197785257</v>
      </c>
      <c r="H32" s="4">
        <f t="shared" si="7"/>
        <v>19350.654112884087</v>
      </c>
      <c r="I32" s="4">
        <f t="shared" si="8"/>
        <v>13155.028738593257</v>
      </c>
      <c r="J32" s="4">
        <f t="shared" si="4"/>
        <v>1948786.2910399325</v>
      </c>
    </row>
    <row r="33" spans="1:12">
      <c r="A33" s="82"/>
      <c r="B33" s="82"/>
      <c r="C33" s="82"/>
      <c r="D33" s="82"/>
      <c r="E33" s="7">
        <v>29</v>
      </c>
      <c r="F33" s="253">
        <v>43982</v>
      </c>
      <c r="G33" s="4">
        <f t="shared" si="5"/>
        <v>1948786.2910399325</v>
      </c>
      <c r="H33" s="4">
        <f t="shared" si="7"/>
        <v>19861.602747037123</v>
      </c>
      <c r="I33" s="4">
        <f t="shared" si="8"/>
        <v>12644.080104440221</v>
      </c>
      <c r="J33" s="4">
        <f t="shared" si="4"/>
        <v>1936142.2109354923</v>
      </c>
    </row>
    <row r="34" spans="1:12">
      <c r="A34" s="82"/>
      <c r="B34" s="82"/>
      <c r="C34" s="82"/>
      <c r="D34" s="82"/>
      <c r="E34" s="7">
        <v>30</v>
      </c>
      <c r="F34" s="599">
        <v>44012</v>
      </c>
      <c r="G34" s="4">
        <f t="shared" si="5"/>
        <v>1936142.2109354923</v>
      </c>
      <c r="H34" s="4">
        <f t="shared" si="7"/>
        <v>19096.1971489528</v>
      </c>
      <c r="I34" s="4">
        <f t="shared" si="8"/>
        <v>13409.485702524544</v>
      </c>
      <c r="J34" s="4">
        <f t="shared" si="4"/>
        <v>1922732.7252329676</v>
      </c>
    </row>
    <row r="35" spans="1:12">
      <c r="A35" s="82"/>
      <c r="B35" s="82"/>
      <c r="C35" s="82"/>
      <c r="D35" s="82"/>
      <c r="E35" s="7">
        <v>31</v>
      </c>
      <c r="F35" s="253">
        <v>44043</v>
      </c>
      <c r="G35" s="4">
        <f t="shared" si="5"/>
        <v>1922732.7252329676</v>
      </c>
      <c r="H35" s="4">
        <f t="shared" si="7"/>
        <v>19596.070514703122</v>
      </c>
      <c r="I35" s="4">
        <f t="shared" si="8"/>
        <v>12909.612336774222</v>
      </c>
      <c r="J35" s="4">
        <f t="shared" si="4"/>
        <v>1909823.1128961935</v>
      </c>
      <c r="L35" s="4">
        <f>SUM(H35:H46)+SUM(I35:I46)</f>
        <v>390068.19421772816</v>
      </c>
    </row>
    <row r="36" spans="1:12">
      <c r="A36" s="82"/>
      <c r="B36" s="82"/>
      <c r="C36" s="82"/>
      <c r="D36" s="82"/>
      <c r="E36" s="7">
        <v>32</v>
      </c>
      <c r="F36" s="253">
        <v>44074</v>
      </c>
      <c r="G36" s="4">
        <f t="shared" si="5"/>
        <v>1909823.1128961935</v>
      </c>
      <c r="H36" s="4">
        <f t="shared" si="7"/>
        <v>19464.498575270794</v>
      </c>
      <c r="I36" s="4">
        <f t="shared" si="8"/>
        <v>13041.18427620655</v>
      </c>
      <c r="J36" s="4">
        <f t="shared" si="4"/>
        <v>1896781.9286199869</v>
      </c>
    </row>
    <row r="37" spans="1:12">
      <c r="A37" s="82"/>
      <c r="B37" s="82"/>
      <c r="C37" s="82"/>
      <c r="D37" s="82"/>
      <c r="E37" s="7">
        <v>33</v>
      </c>
      <c r="F37" s="253">
        <v>44104</v>
      </c>
      <c r="G37" s="4">
        <f t="shared" si="5"/>
        <v>1896781.9286199869</v>
      </c>
      <c r="H37" s="4">
        <f t="shared" si="7"/>
        <v>18707.98614529302</v>
      </c>
      <c r="I37" s="4">
        <f t="shared" si="8"/>
        <v>13797.696706184324</v>
      </c>
      <c r="J37" s="4">
        <f t="shared" si="4"/>
        <v>1882984.2319138024</v>
      </c>
    </row>
    <row r="38" spans="1:12">
      <c r="A38" s="82"/>
      <c r="B38" s="82"/>
      <c r="C38" s="82"/>
      <c r="D38" s="82"/>
      <c r="E38" s="7">
        <v>34</v>
      </c>
      <c r="F38" s="253">
        <v>44135</v>
      </c>
      <c r="G38" s="4">
        <f t="shared" si="5"/>
        <v>1882984.2319138024</v>
      </c>
      <c r="H38" s="4">
        <f t="shared" si="7"/>
        <v>19190.962582792723</v>
      </c>
      <c r="I38" s="4">
        <f t="shared" si="8"/>
        <v>13314.720268684621</v>
      </c>
      <c r="J38" s="4">
        <f t="shared" si="4"/>
        <v>1869669.5116451178</v>
      </c>
    </row>
    <row r="39" spans="1:12">
      <c r="A39" s="82"/>
      <c r="B39" s="82"/>
      <c r="C39" s="82"/>
      <c r="D39" s="82"/>
      <c r="E39" s="7">
        <v>35</v>
      </c>
      <c r="F39" s="253">
        <v>44165</v>
      </c>
      <c r="G39" s="4">
        <f t="shared" si="5"/>
        <v>1869669.5116451178</v>
      </c>
      <c r="H39" s="4">
        <f t="shared" si="7"/>
        <v>18440.576005266914</v>
      </c>
      <c r="I39" s="4">
        <f t="shared" si="8"/>
        <v>14065.10684621043</v>
      </c>
      <c r="J39" s="4">
        <f t="shared" si="4"/>
        <v>1855604.4047989072</v>
      </c>
    </row>
    <row r="40" spans="1:12">
      <c r="A40" s="82"/>
      <c r="B40" s="82"/>
      <c r="C40" s="82"/>
      <c r="D40" s="82"/>
      <c r="E40" s="10">
        <v>36</v>
      </c>
      <c r="F40" s="256">
        <v>44196</v>
      </c>
      <c r="G40" s="243">
        <f t="shared" si="5"/>
        <v>1855604.4047989072</v>
      </c>
      <c r="H40" s="243">
        <f t="shared" si="7"/>
        <v>18911.91338589571</v>
      </c>
      <c r="I40" s="243">
        <f t="shared" si="8"/>
        <v>13593.769465581634</v>
      </c>
      <c r="J40" s="243">
        <f t="shared" si="4"/>
        <v>1842010.6353333255</v>
      </c>
    </row>
    <row r="41" spans="1:12">
      <c r="A41" s="82"/>
      <c r="B41" s="82"/>
      <c r="C41" s="82"/>
      <c r="D41" s="82"/>
      <c r="E41" s="7">
        <v>37</v>
      </c>
      <c r="F41" s="253">
        <v>44227</v>
      </c>
      <c r="G41" s="4">
        <f t="shared" si="5"/>
        <v>1842010.6353333255</v>
      </c>
      <c r="H41" s="4">
        <f>(G41*$C$9)*(F41-F40)/365</f>
        <v>18773.368666958824</v>
      </c>
      <c r="I41" s="4">
        <f t="shared" si="8"/>
        <v>13732.31418451852</v>
      </c>
      <c r="J41" s="4">
        <f t="shared" si="4"/>
        <v>1828278.321148807</v>
      </c>
    </row>
    <row r="42" spans="1:12">
      <c r="A42" s="82"/>
      <c r="B42" s="82"/>
      <c r="C42" s="82"/>
      <c r="D42" s="82"/>
      <c r="E42" s="7">
        <v>38</v>
      </c>
      <c r="F42" s="253">
        <v>44255</v>
      </c>
      <c r="G42" s="4">
        <f t="shared" si="5"/>
        <v>1828278.321148807</v>
      </c>
      <c r="H42" s="4">
        <f>(G42*$C$9)*(F42-F41)/365</f>
        <v>16830.178517972578</v>
      </c>
      <c r="I42" s="4">
        <f t="shared" si="8"/>
        <v>15675.504333504767</v>
      </c>
      <c r="J42" s="4">
        <f t="shared" si="4"/>
        <v>1812602.8168153022</v>
      </c>
    </row>
    <row r="43" spans="1:12">
      <c r="A43" s="82"/>
      <c r="B43" s="82"/>
      <c r="C43" s="82"/>
      <c r="D43" s="82"/>
      <c r="E43" s="7">
        <v>39</v>
      </c>
      <c r="F43" s="253">
        <v>44286</v>
      </c>
      <c r="G43" s="4">
        <f t="shared" si="5"/>
        <v>1812602.8168153022</v>
      </c>
      <c r="H43" s="4">
        <f>(G43*$C$9)*(F43-F42)/365</f>
        <v>18473.650626172395</v>
      </c>
      <c r="I43" s="4">
        <f t="shared" si="8"/>
        <v>14032.032225304949</v>
      </c>
      <c r="J43" s="4">
        <f t="shared" si="4"/>
        <v>1798570.7845899973</v>
      </c>
    </row>
    <row r="44" spans="1:12">
      <c r="A44" s="82"/>
      <c r="B44" s="82"/>
      <c r="C44" s="82"/>
      <c r="D44" s="82"/>
      <c r="E44" s="7">
        <v>40</v>
      </c>
      <c r="F44" s="253">
        <v>44316</v>
      </c>
      <c r="G44" s="4">
        <f t="shared" si="5"/>
        <v>1798570.7845899973</v>
      </c>
      <c r="H44" s="4">
        <f>(G44*$C$9)*(F44-F43)/365</f>
        <v>17739.328286367097</v>
      </c>
      <c r="I44" s="4">
        <f t="shared" si="8"/>
        <v>14766.354565110247</v>
      </c>
      <c r="J44" s="4">
        <f t="shared" si="4"/>
        <v>1783804.430024887</v>
      </c>
    </row>
    <row r="45" spans="1:12">
      <c r="A45" s="82"/>
      <c r="B45" s="82"/>
      <c r="C45" s="82"/>
      <c r="D45" s="82"/>
      <c r="E45" s="7">
        <v>41</v>
      </c>
      <c r="F45" s="253">
        <v>44347</v>
      </c>
      <c r="G45" s="4">
        <f t="shared" si="5"/>
        <v>1783804.430024887</v>
      </c>
      <c r="H45" s="4">
        <f t="shared" si="7"/>
        <v>18180.143779979669</v>
      </c>
      <c r="I45" s="4">
        <f t="shared" si="8"/>
        <v>14325.539071497675</v>
      </c>
      <c r="J45" s="4">
        <f t="shared" si="4"/>
        <v>1769478.8909533892</v>
      </c>
    </row>
    <row r="46" spans="1:12">
      <c r="A46" s="82"/>
      <c r="B46" s="82"/>
      <c r="C46" s="82"/>
      <c r="D46" s="82"/>
      <c r="E46" s="7">
        <v>42</v>
      </c>
      <c r="F46" s="599">
        <v>44377</v>
      </c>
      <c r="G46" s="4">
        <f t="shared" si="5"/>
        <v>1769478.8909533892</v>
      </c>
      <c r="H46" s="4">
        <f t="shared" si="7"/>
        <v>17452.39454091014</v>
      </c>
      <c r="I46" s="4">
        <f t="shared" si="8"/>
        <v>15053.288310567204</v>
      </c>
      <c r="J46" s="4">
        <f t="shared" si="4"/>
        <v>1754425.6026428221</v>
      </c>
    </row>
    <row r="47" spans="1:12">
      <c r="A47" s="82"/>
      <c r="B47" s="82"/>
      <c r="C47" s="82"/>
      <c r="D47" s="82"/>
      <c r="E47" s="7">
        <v>43</v>
      </c>
      <c r="F47" s="253">
        <v>44408</v>
      </c>
      <c r="G47" s="4">
        <f t="shared" si="5"/>
        <v>1754425.6026428221</v>
      </c>
      <c r="H47" s="4">
        <f t="shared" si="7"/>
        <v>17880.721210496707</v>
      </c>
      <c r="I47" s="4">
        <f t="shared" si="8"/>
        <v>14624.961640980637</v>
      </c>
      <c r="J47" s="4">
        <f t="shared" si="4"/>
        <v>1739800.6410018415</v>
      </c>
    </row>
    <row r="48" spans="1:12">
      <c r="A48" s="82"/>
      <c r="B48" s="82"/>
      <c r="C48" s="82"/>
      <c r="D48" s="82"/>
      <c r="E48" s="7">
        <v>44</v>
      </c>
      <c r="F48" s="253">
        <v>44439</v>
      </c>
      <c r="G48" s="4">
        <f t="shared" si="5"/>
        <v>1739800.6410018415</v>
      </c>
      <c r="H48" s="4">
        <f t="shared" si="7"/>
        <v>17731.66680692288</v>
      </c>
      <c r="I48" s="4">
        <f t="shared" si="8"/>
        <v>14774.016044554464</v>
      </c>
      <c r="J48" s="4">
        <f t="shared" si="4"/>
        <v>1725026.624957287</v>
      </c>
    </row>
    <row r="49" spans="1:10">
      <c r="A49" s="82"/>
      <c r="B49" s="82"/>
      <c r="C49" s="82"/>
      <c r="D49" s="82"/>
      <c r="E49" s="7">
        <v>45</v>
      </c>
      <c r="F49" s="253">
        <v>44469</v>
      </c>
      <c r="G49" s="4">
        <f t="shared" si="5"/>
        <v>1725026.624957287</v>
      </c>
      <c r="H49" s="4">
        <f t="shared" si="7"/>
        <v>17013.961232455433</v>
      </c>
      <c r="I49" s="4">
        <f t="shared" si="8"/>
        <v>15491.721619021911</v>
      </c>
      <c r="J49" s="4">
        <f t="shared" si="4"/>
        <v>1709534.9033382651</v>
      </c>
    </row>
    <row r="50" spans="1:10">
      <c r="A50" s="82"/>
      <c r="B50" s="82"/>
      <c r="C50" s="82"/>
      <c r="D50" s="82"/>
      <c r="E50" s="7">
        <v>46</v>
      </c>
      <c r="F50" s="253">
        <v>44500</v>
      </c>
      <c r="G50" s="4">
        <f t="shared" si="5"/>
        <v>1709534.9033382651</v>
      </c>
      <c r="H50" s="4">
        <f t="shared" si="7"/>
        <v>17423.205042242043</v>
      </c>
      <c r="I50" s="4">
        <f t="shared" si="8"/>
        <v>15082.477809235301</v>
      </c>
      <c r="J50" s="4">
        <f t="shared" si="4"/>
        <v>1694452.4255290299</v>
      </c>
    </row>
    <row r="51" spans="1:10">
      <c r="A51" s="82"/>
      <c r="B51" s="82"/>
      <c r="C51" s="82"/>
      <c r="D51" s="82"/>
      <c r="E51" s="7">
        <v>47</v>
      </c>
      <c r="F51" s="253">
        <v>44530</v>
      </c>
      <c r="G51" s="4">
        <f t="shared" si="5"/>
        <v>1694452.4255290299</v>
      </c>
      <c r="H51" s="4">
        <f t="shared" si="7"/>
        <v>16712.407484669882</v>
      </c>
      <c r="I51" s="4">
        <f t="shared" si="8"/>
        <v>15793.275366807462</v>
      </c>
      <c r="J51" s="4">
        <f t="shared" si="4"/>
        <v>1678659.1501622226</v>
      </c>
    </row>
    <row r="52" spans="1:10">
      <c r="A52" s="82"/>
      <c r="B52" s="82"/>
      <c r="C52" s="82"/>
      <c r="D52" s="82"/>
      <c r="E52" s="10">
        <v>48</v>
      </c>
      <c r="F52" s="253">
        <v>44561</v>
      </c>
      <c r="G52" s="243">
        <f t="shared" si="5"/>
        <v>1678659.1501622226</v>
      </c>
      <c r="H52" s="243">
        <f t="shared" si="7"/>
        <v>17108.526133160187</v>
      </c>
      <c r="I52" s="243">
        <f t="shared" si="8"/>
        <v>15397.156718317157</v>
      </c>
      <c r="J52" s="243">
        <f t="shared" si="4"/>
        <v>1663261.9934439054</v>
      </c>
    </row>
    <row r="53" spans="1:10">
      <c r="A53" s="82"/>
      <c r="B53" s="82"/>
      <c r="C53" s="82"/>
      <c r="D53" s="82"/>
      <c r="E53" s="7">
        <v>49</v>
      </c>
      <c r="F53" s="253">
        <v>44592</v>
      </c>
      <c r="G53" s="4">
        <f t="shared" si="5"/>
        <v>1663261.9934439054</v>
      </c>
      <c r="H53" s="4">
        <f t="shared" si="7"/>
        <v>16951.601686606376</v>
      </c>
      <c r="I53" s="4">
        <f t="shared" si="8"/>
        <v>15554.081164870968</v>
      </c>
      <c r="J53" s="4">
        <f t="shared" si="4"/>
        <v>1647707.9122790345</v>
      </c>
    </row>
    <row r="54" spans="1:10">
      <c r="A54" s="82"/>
      <c r="B54" s="82"/>
      <c r="C54" s="82"/>
      <c r="D54" s="82"/>
      <c r="E54" s="7">
        <v>50</v>
      </c>
      <c r="F54" s="253">
        <v>44620</v>
      </c>
      <c r="G54" s="4">
        <f t="shared" si="5"/>
        <v>1647707.9122790345</v>
      </c>
      <c r="H54" s="4">
        <f t="shared" si="7"/>
        <v>15167.941329472755</v>
      </c>
      <c r="I54" s="4">
        <f t="shared" si="8"/>
        <v>17337.741522004588</v>
      </c>
      <c r="J54" s="4">
        <f t="shared" si="4"/>
        <v>1630370.1707570299</v>
      </c>
    </row>
    <row r="55" spans="1:10">
      <c r="A55" s="82"/>
      <c r="B55" s="82"/>
      <c r="C55" s="82"/>
      <c r="D55" s="82"/>
      <c r="E55" s="7">
        <v>51</v>
      </c>
      <c r="F55" s="253">
        <v>44651</v>
      </c>
      <c r="G55" s="4">
        <f t="shared" si="5"/>
        <v>1630370.1707570299</v>
      </c>
      <c r="H55" s="4">
        <f t="shared" si="7"/>
        <v>16616.375438948362</v>
      </c>
      <c r="I55" s="4">
        <f t="shared" si="8"/>
        <v>15889.307412528982</v>
      </c>
      <c r="J55" s="4">
        <f t="shared" si="4"/>
        <v>1614480.863344501</v>
      </c>
    </row>
    <row r="56" spans="1:10">
      <c r="A56" s="82"/>
      <c r="B56" s="82"/>
      <c r="C56" s="82"/>
      <c r="D56" s="82"/>
      <c r="E56" s="7">
        <v>52</v>
      </c>
      <c r="F56" s="253">
        <v>44681</v>
      </c>
      <c r="G56" s="4">
        <f t="shared" si="5"/>
        <v>1614480.863344501</v>
      </c>
      <c r="H56" s="4">
        <f t="shared" si="7"/>
        <v>15923.646871343022</v>
      </c>
      <c r="I56" s="4">
        <f t="shared" si="8"/>
        <v>16582.035980134322</v>
      </c>
      <c r="J56" s="4">
        <f t="shared" si="4"/>
        <v>1597898.8273643667</v>
      </c>
    </row>
    <row r="57" spans="1:10">
      <c r="A57" s="82"/>
      <c r="B57" s="82"/>
      <c r="C57" s="82"/>
      <c r="D57" s="82"/>
      <c r="E57" s="7">
        <v>53</v>
      </c>
      <c r="F57" s="253">
        <v>44712</v>
      </c>
      <c r="G57" s="4">
        <f t="shared" si="5"/>
        <v>1597898.8273643667</v>
      </c>
      <c r="H57" s="4">
        <f t="shared" si="7"/>
        <v>16285.434624097108</v>
      </c>
      <c r="I57" s="4">
        <f t="shared" si="8"/>
        <v>16220.248227380236</v>
      </c>
      <c r="J57" s="4">
        <f t="shared" si="4"/>
        <v>1581678.5791369865</v>
      </c>
    </row>
    <row r="58" spans="1:10">
      <c r="A58" s="82"/>
      <c r="B58" s="82"/>
      <c r="C58" s="82"/>
      <c r="D58" s="82"/>
      <c r="E58" s="7">
        <v>54</v>
      </c>
      <c r="F58" s="599">
        <v>44742</v>
      </c>
      <c r="G58" s="4">
        <f t="shared" si="5"/>
        <v>1581678.5791369865</v>
      </c>
      <c r="H58" s="4">
        <f t="shared" si="7"/>
        <v>15600.117492857951</v>
      </c>
      <c r="I58" s="4">
        <f t="shared" si="8"/>
        <v>16905.565358619395</v>
      </c>
      <c r="J58" s="4">
        <f t="shared" si="4"/>
        <v>1564773.0137783671</v>
      </c>
    </row>
    <row r="59" spans="1:10">
      <c r="A59" s="82"/>
      <c r="B59" s="82"/>
      <c r="C59" s="82"/>
      <c r="D59" s="82"/>
      <c r="E59" s="7">
        <v>55</v>
      </c>
      <c r="F59" s="253">
        <v>44773</v>
      </c>
      <c r="G59" s="4">
        <f t="shared" si="5"/>
        <v>1564773.0137783671</v>
      </c>
      <c r="H59" s="4">
        <f t="shared" si="7"/>
        <v>15947.823592480892</v>
      </c>
      <c r="I59" s="4">
        <f t="shared" si="8"/>
        <v>16557.859258996454</v>
      </c>
      <c r="J59" s="4">
        <f t="shared" si="4"/>
        <v>1548215.1545193705</v>
      </c>
    </row>
    <row r="60" spans="1:10">
      <c r="A60" s="82"/>
      <c r="B60" s="82"/>
      <c r="C60" s="82"/>
      <c r="D60" s="82"/>
      <c r="E60" s="7">
        <v>56</v>
      </c>
      <c r="F60" s="253">
        <v>44804</v>
      </c>
      <c r="G60" s="4">
        <f t="shared" si="5"/>
        <v>1548215.1545193705</v>
      </c>
      <c r="H60" s="4">
        <f t="shared" si="7"/>
        <v>15779.069520033036</v>
      </c>
      <c r="I60" s="4">
        <f t="shared" si="8"/>
        <v>16726.613331444307</v>
      </c>
      <c r="J60" s="4">
        <f t="shared" si="4"/>
        <v>1531488.5411879262</v>
      </c>
    </row>
    <row r="61" spans="1:10">
      <c r="A61" s="82"/>
      <c r="B61" s="82"/>
      <c r="C61" s="82"/>
      <c r="D61" s="82"/>
      <c r="E61" s="7">
        <v>57</v>
      </c>
      <c r="F61" s="253">
        <v>44834</v>
      </c>
      <c r="G61" s="4">
        <f t="shared" si="5"/>
        <v>1531488.5411879262</v>
      </c>
      <c r="H61" s="4">
        <f t="shared" si="7"/>
        <v>15105.0924610316</v>
      </c>
      <c r="I61" s="4">
        <f t="shared" si="8"/>
        <v>17400.590390445745</v>
      </c>
      <c r="J61" s="4">
        <f t="shared" si="4"/>
        <v>1514087.9507974805</v>
      </c>
    </row>
    <row r="62" spans="1:10">
      <c r="A62" s="82"/>
      <c r="B62" s="82"/>
      <c r="C62" s="82"/>
      <c r="D62" s="82"/>
      <c r="E62" s="7">
        <v>58</v>
      </c>
      <c r="F62" s="253">
        <v>44865</v>
      </c>
      <c r="G62" s="4">
        <f t="shared" si="5"/>
        <v>1514087.9507974805</v>
      </c>
      <c r="H62" s="4">
        <f t="shared" si="7"/>
        <v>15431.252539634595</v>
      </c>
      <c r="I62" s="4">
        <f t="shared" si="8"/>
        <v>17074.430311842749</v>
      </c>
      <c r="J62" s="4">
        <f t="shared" si="4"/>
        <v>1497013.5204856377</v>
      </c>
    </row>
    <row r="63" spans="1:10">
      <c r="A63" s="82"/>
      <c r="B63" s="82"/>
      <c r="C63" s="82"/>
      <c r="D63" s="82"/>
      <c r="E63" s="7">
        <v>59</v>
      </c>
      <c r="F63" s="253">
        <v>44895</v>
      </c>
      <c r="G63" s="4">
        <f t="shared" si="5"/>
        <v>1497013.5204856377</v>
      </c>
      <c r="H63" s="4">
        <f t="shared" si="7"/>
        <v>14765.064859584372</v>
      </c>
      <c r="I63" s="4">
        <f t="shared" si="8"/>
        <v>17740.61799189297</v>
      </c>
      <c r="J63" s="4">
        <f t="shared" si="4"/>
        <v>1479272.9024937446</v>
      </c>
    </row>
    <row r="64" spans="1:10">
      <c r="A64" s="82"/>
      <c r="B64" s="82"/>
      <c r="C64" s="82"/>
      <c r="D64" s="82"/>
      <c r="E64" s="10">
        <v>60</v>
      </c>
      <c r="F64" s="253">
        <v>44926</v>
      </c>
      <c r="G64" s="243">
        <f t="shared" si="5"/>
        <v>1479272.9024937446</v>
      </c>
      <c r="H64" s="243">
        <f t="shared" si="7"/>
        <v>15076.425198018438</v>
      </c>
      <c r="I64" s="243">
        <f t="shared" si="8"/>
        <v>17429.257653458906</v>
      </c>
      <c r="J64" s="243">
        <f t="shared" si="4"/>
        <v>1461843.6448402856</v>
      </c>
    </row>
    <row r="65" spans="1:10">
      <c r="A65" s="82"/>
      <c r="B65" s="82"/>
      <c r="C65" s="82"/>
      <c r="D65" s="82"/>
      <c r="E65" s="7">
        <v>61</v>
      </c>
      <c r="F65" s="253">
        <v>44957</v>
      </c>
      <c r="G65" s="4">
        <f t="shared" si="5"/>
        <v>1461843.6448402856</v>
      </c>
      <c r="H65" s="4">
        <f t="shared" si="7"/>
        <v>14898.79002412565</v>
      </c>
      <c r="I65" s="4">
        <f t="shared" si="8"/>
        <v>17606.892827351694</v>
      </c>
      <c r="J65" s="4">
        <f t="shared" si="4"/>
        <v>1444236.7520129341</v>
      </c>
    </row>
    <row r="66" spans="1:10">
      <c r="A66" s="82"/>
      <c r="B66" s="82"/>
      <c r="C66" s="82"/>
      <c r="D66" s="82"/>
      <c r="E66" s="7">
        <v>62</v>
      </c>
      <c r="F66" s="253">
        <v>44985</v>
      </c>
      <c r="G66" s="4">
        <f t="shared" si="5"/>
        <v>1444236.7520129341</v>
      </c>
      <c r="H66" s="4">
        <f t="shared" si="7"/>
        <v>13294.891744557419</v>
      </c>
      <c r="I66" s="4">
        <f t="shared" si="8"/>
        <v>19210.791106919925</v>
      </c>
      <c r="J66" s="4">
        <f t="shared" si="4"/>
        <v>1425025.9609060141</v>
      </c>
    </row>
    <row r="67" spans="1:10">
      <c r="A67" s="82"/>
      <c r="B67" s="82"/>
      <c r="C67" s="82"/>
      <c r="D67" s="82"/>
      <c r="E67" s="7">
        <v>63</v>
      </c>
      <c r="F67" s="253">
        <v>45016</v>
      </c>
      <c r="G67" s="4">
        <f t="shared" si="5"/>
        <v>1425025.9609060141</v>
      </c>
      <c r="H67" s="4">
        <f t="shared" si="7"/>
        <v>14523.552259096912</v>
      </c>
      <c r="I67" s="4">
        <f t="shared" si="8"/>
        <v>17982.130592380432</v>
      </c>
      <c r="J67" s="4">
        <f t="shared" si="4"/>
        <v>1407043.8303136337</v>
      </c>
    </row>
    <row r="68" spans="1:10">
      <c r="A68" s="82"/>
      <c r="B68" s="82"/>
      <c r="C68" s="82"/>
      <c r="D68" s="82"/>
      <c r="E68" s="7">
        <v>64</v>
      </c>
      <c r="F68" s="253">
        <v>45046</v>
      </c>
      <c r="G68" s="4">
        <f t="shared" si="5"/>
        <v>1407043.8303136337</v>
      </c>
      <c r="H68" s="4">
        <f t="shared" si="7"/>
        <v>13877.692572956386</v>
      </c>
      <c r="I68" s="4">
        <f t="shared" si="8"/>
        <v>18627.990278520956</v>
      </c>
      <c r="J68" s="4">
        <f t="shared" si="4"/>
        <v>1388415.8400351128</v>
      </c>
    </row>
    <row r="69" spans="1:10">
      <c r="A69" s="82"/>
      <c r="B69" s="82"/>
      <c r="C69" s="82"/>
      <c r="D69" s="82"/>
      <c r="E69" s="7">
        <v>65</v>
      </c>
      <c r="F69" s="253">
        <v>45077</v>
      </c>
      <c r="G69" s="4">
        <f t="shared" si="5"/>
        <v>1388415.8400351128</v>
      </c>
      <c r="H69" s="4">
        <f t="shared" si="7"/>
        <v>14150.429931316767</v>
      </c>
      <c r="I69" s="4">
        <f t="shared" si="8"/>
        <v>18355.252920160579</v>
      </c>
      <c r="J69" s="4">
        <f t="shared" si="4"/>
        <v>1370060.5871149523</v>
      </c>
    </row>
    <row r="70" spans="1:10">
      <c r="A70" s="82"/>
      <c r="B70" s="82"/>
      <c r="C70" s="82"/>
      <c r="D70" s="82"/>
      <c r="E70" s="7">
        <v>66</v>
      </c>
      <c r="F70" s="599">
        <v>45107</v>
      </c>
      <c r="G70" s="4">
        <f t="shared" si="5"/>
        <v>1370060.5871149523</v>
      </c>
      <c r="H70" s="4">
        <f t="shared" si="7"/>
        <v>13512.926338668021</v>
      </c>
      <c r="I70" s="4">
        <f t="shared" si="8"/>
        <v>18992.756512809323</v>
      </c>
      <c r="J70" s="4">
        <f t="shared" si="4"/>
        <v>1351067.830602143</v>
      </c>
    </row>
    <row r="71" spans="1:10">
      <c r="A71" s="82"/>
      <c r="B71" s="82"/>
      <c r="C71" s="82"/>
      <c r="D71" s="82"/>
      <c r="E71" s="7">
        <v>67</v>
      </c>
      <c r="F71" s="253">
        <v>45138</v>
      </c>
      <c r="G71" s="4">
        <f t="shared" si="5"/>
        <v>1351067.830602143</v>
      </c>
      <c r="H71" s="4">
        <f t="shared" si="7"/>
        <v>13769.787205041019</v>
      </c>
      <c r="I71" s="4">
        <f t="shared" si="8"/>
        <v>18735.895646436325</v>
      </c>
      <c r="J71" s="4">
        <f t="shared" si="4"/>
        <v>1332331.9349557066</v>
      </c>
    </row>
    <row r="72" spans="1:10">
      <c r="A72" s="82"/>
      <c r="B72" s="82"/>
      <c r="C72" s="82"/>
      <c r="D72" s="82"/>
      <c r="E72" s="7">
        <v>68</v>
      </c>
      <c r="F72" s="253">
        <v>45169</v>
      </c>
      <c r="G72" s="4">
        <f t="shared" si="5"/>
        <v>1332331.9349557066</v>
      </c>
      <c r="H72" s="4">
        <f t="shared" si="7"/>
        <v>13578.835063110213</v>
      </c>
      <c r="I72" s="4">
        <f t="shared" si="8"/>
        <v>18926.847788367129</v>
      </c>
      <c r="J72" s="4">
        <f t="shared" si="4"/>
        <v>1313405.0871673394</v>
      </c>
    </row>
    <row r="73" spans="1:10">
      <c r="A73" s="82"/>
      <c r="B73" s="82"/>
      <c r="C73" s="82"/>
      <c r="D73" s="82"/>
      <c r="E73" s="7">
        <v>69</v>
      </c>
      <c r="F73" s="253">
        <v>45199</v>
      </c>
      <c r="G73" s="4">
        <f t="shared" si="5"/>
        <v>1313405.0871673394</v>
      </c>
      <c r="H73" s="4">
        <f t="shared" si="7"/>
        <v>12954.132366581978</v>
      </c>
      <c r="I73" s="4">
        <f t="shared" si="8"/>
        <v>19551.550484895364</v>
      </c>
      <c r="J73" s="4">
        <f t="shared" si="4"/>
        <v>1293853.5366824439</v>
      </c>
    </row>
    <row r="74" spans="1:10">
      <c r="A74" s="82"/>
      <c r="B74" s="82"/>
      <c r="C74" s="82"/>
      <c r="D74" s="82"/>
      <c r="E74" s="7">
        <v>70</v>
      </c>
      <c r="F74" s="253">
        <v>45230</v>
      </c>
      <c r="G74" s="4">
        <f t="shared" si="5"/>
        <v>1293853.5366824439</v>
      </c>
      <c r="H74" s="4">
        <f t="shared" si="7"/>
        <v>13186.67166153066</v>
      </c>
      <c r="I74" s="4">
        <f t="shared" si="8"/>
        <v>19319.011189946686</v>
      </c>
      <c r="J74" s="4">
        <f t="shared" si="4"/>
        <v>1274534.5254924973</v>
      </c>
    </row>
    <row r="75" spans="1:10">
      <c r="A75" s="82"/>
      <c r="B75" s="82"/>
      <c r="C75" s="82"/>
      <c r="D75" s="82"/>
      <c r="E75" s="7">
        <v>71</v>
      </c>
      <c r="F75" s="253">
        <v>45260</v>
      </c>
      <c r="G75" s="4">
        <f t="shared" si="5"/>
        <v>1274534.5254924973</v>
      </c>
      <c r="H75" s="4">
        <f t="shared" si="7"/>
        <v>12570.751484309563</v>
      </c>
      <c r="I75" s="4">
        <f t="shared" si="8"/>
        <v>19934.931367167781</v>
      </c>
      <c r="J75" s="4">
        <f t="shared" si="4"/>
        <v>1254599.5941253295</v>
      </c>
    </row>
    <row r="76" spans="1:10">
      <c r="A76" s="82"/>
      <c r="B76" s="82"/>
      <c r="C76" s="82"/>
      <c r="D76" s="82"/>
      <c r="E76" s="10">
        <v>72</v>
      </c>
      <c r="F76" s="253">
        <v>45291</v>
      </c>
      <c r="G76" s="243">
        <f t="shared" si="5"/>
        <v>1254599.5941253295</v>
      </c>
      <c r="H76" s="243">
        <f t="shared" si="7"/>
        <v>12786.604082592397</v>
      </c>
      <c r="I76" s="243">
        <f t="shared" si="8"/>
        <v>19719.078768884945</v>
      </c>
      <c r="J76" s="243">
        <f t="shared" si="4"/>
        <v>1234880.5153564445</v>
      </c>
    </row>
    <row r="77" spans="1:10">
      <c r="A77" s="82"/>
      <c r="B77" s="82"/>
      <c r="C77" s="82"/>
      <c r="D77" s="82"/>
      <c r="E77" s="7">
        <v>73</v>
      </c>
      <c r="F77" s="253">
        <v>45322</v>
      </c>
      <c r="G77" s="4">
        <f t="shared" si="5"/>
        <v>1234880.5153564445</v>
      </c>
      <c r="H77" s="4">
        <f t="shared" si="7"/>
        <v>12585.63155376979</v>
      </c>
      <c r="I77" s="4">
        <f t="shared" si="8"/>
        <v>19920.051297707556</v>
      </c>
      <c r="J77" s="4">
        <f t="shared" si="4"/>
        <v>1214960.464058737</v>
      </c>
    </row>
    <row r="78" spans="1:10">
      <c r="A78" s="82"/>
      <c r="B78" s="82"/>
      <c r="C78" s="82"/>
      <c r="D78" s="82"/>
      <c r="E78" s="7">
        <v>74</v>
      </c>
      <c r="F78" s="253">
        <v>45351</v>
      </c>
      <c r="G78" s="4">
        <f t="shared" si="5"/>
        <v>1214960.464058737</v>
      </c>
      <c r="H78" s="4">
        <f t="shared" si="7"/>
        <v>11583.732643628506</v>
      </c>
      <c r="I78" s="4">
        <f t="shared" si="8"/>
        <v>20921.950207848837</v>
      </c>
      <c r="J78" s="4">
        <f t="shared" si="4"/>
        <v>1194038.5138508882</v>
      </c>
    </row>
    <row r="79" spans="1:10">
      <c r="A79" s="82"/>
      <c r="B79" s="82"/>
      <c r="C79" s="82"/>
      <c r="D79" s="82"/>
      <c r="E79" s="7">
        <v>75</v>
      </c>
      <c r="F79" s="253">
        <v>45382</v>
      </c>
      <c r="G79" s="4">
        <f t="shared" si="5"/>
        <v>1194038.5138508882</v>
      </c>
      <c r="H79" s="4">
        <f t="shared" si="7"/>
        <v>12169.378826096723</v>
      </c>
      <c r="I79" s="4">
        <f t="shared" si="8"/>
        <v>20336.304025380621</v>
      </c>
      <c r="J79" s="4">
        <f t="shared" si="4"/>
        <v>1173702.2098255076</v>
      </c>
    </row>
    <row r="80" spans="1:10">
      <c r="A80" s="82"/>
      <c r="B80" s="82"/>
      <c r="C80" s="82"/>
      <c r="D80" s="82"/>
      <c r="E80" s="7">
        <v>76</v>
      </c>
      <c r="F80" s="253">
        <v>45412</v>
      </c>
      <c r="G80" s="4">
        <f t="shared" si="5"/>
        <v>1173702.2098255076</v>
      </c>
      <c r="H80" s="4">
        <f t="shared" si="7"/>
        <v>11576.240973621443</v>
      </c>
      <c r="I80" s="4">
        <f t="shared" si="8"/>
        <v>20929.441877855901</v>
      </c>
      <c r="J80" s="4">
        <f t="shared" si="4"/>
        <v>1152772.7679476517</v>
      </c>
    </row>
    <row r="81" spans="1:10">
      <c r="A81" s="82"/>
      <c r="B81" s="82"/>
      <c r="C81" s="82"/>
      <c r="D81" s="82"/>
      <c r="E81" s="7">
        <v>77</v>
      </c>
      <c r="F81" s="253">
        <v>45443</v>
      </c>
      <c r="G81" s="4">
        <f t="shared" si="5"/>
        <v>1152772.7679476517</v>
      </c>
      <c r="H81" s="4">
        <f t="shared" si="7"/>
        <v>11748.807388397983</v>
      </c>
      <c r="I81" s="4">
        <f t="shared" si="8"/>
        <v>20756.875463079363</v>
      </c>
      <c r="J81" s="4">
        <f t="shared" si="4"/>
        <v>1132015.8924845723</v>
      </c>
    </row>
    <row r="82" spans="1:10">
      <c r="A82" s="82"/>
      <c r="B82" s="82"/>
      <c r="C82" s="82"/>
      <c r="D82" s="82"/>
      <c r="E82" s="7">
        <v>78</v>
      </c>
      <c r="F82" s="599">
        <v>45473</v>
      </c>
      <c r="G82" s="4">
        <f t="shared" si="5"/>
        <v>1132015.8924845723</v>
      </c>
      <c r="H82" s="4">
        <f t="shared" si="7"/>
        <v>11165.088254642355</v>
      </c>
      <c r="I82" s="4">
        <f t="shared" si="8"/>
        <v>21340.594596834992</v>
      </c>
      <c r="J82" s="4">
        <f t="shared" ref="J82:J145" si="9">G82-I82</f>
        <v>1110675.2978877372</v>
      </c>
    </row>
    <row r="83" spans="1:10">
      <c r="A83" s="82"/>
      <c r="B83" s="82"/>
      <c r="C83" s="82"/>
      <c r="D83" s="82"/>
      <c r="E83" s="7">
        <v>79</v>
      </c>
      <c r="F83" s="253">
        <v>45504</v>
      </c>
      <c r="G83" s="4">
        <f t="shared" ref="G83:G146" si="10">J82</f>
        <v>1110675.2978877372</v>
      </c>
      <c r="H83" s="4">
        <f t="shared" si="7"/>
        <v>11319.759200390088</v>
      </c>
      <c r="I83" s="4">
        <f t="shared" si="8"/>
        <v>21185.923651087258</v>
      </c>
      <c r="J83" s="4">
        <f t="shared" si="9"/>
        <v>1089489.3742366498</v>
      </c>
    </row>
    <row r="84" spans="1:10">
      <c r="A84" s="82"/>
      <c r="B84" s="82"/>
      <c r="C84" s="82"/>
      <c r="D84" s="82"/>
      <c r="E84" s="7">
        <v>80</v>
      </c>
      <c r="F84" s="253">
        <v>45535</v>
      </c>
      <c r="G84" s="4">
        <f t="shared" si="10"/>
        <v>1089489.3742366498</v>
      </c>
      <c r="H84" s="4">
        <f t="shared" si="7"/>
        <v>11103.83691002832</v>
      </c>
      <c r="I84" s="4">
        <f t="shared" si="8"/>
        <v>21401.845941449024</v>
      </c>
      <c r="J84" s="4">
        <f t="shared" si="9"/>
        <v>1068087.5282952008</v>
      </c>
    </row>
    <row r="85" spans="1:10">
      <c r="A85" s="82"/>
      <c r="B85" s="82"/>
      <c r="C85" s="82"/>
      <c r="D85" s="82"/>
      <c r="E85" s="7">
        <v>81</v>
      </c>
      <c r="F85" s="253">
        <v>45565</v>
      </c>
      <c r="G85" s="4">
        <f t="shared" si="10"/>
        <v>1068087.5282952008</v>
      </c>
      <c r="H85" s="4">
        <f t="shared" si="7"/>
        <v>10534.561922911569</v>
      </c>
      <c r="I85" s="4">
        <f t="shared" si="8"/>
        <v>21971.120928565775</v>
      </c>
      <c r="J85" s="4">
        <f t="shared" si="9"/>
        <v>1046116.407366635</v>
      </c>
    </row>
    <row r="86" spans="1:10">
      <c r="A86" s="82"/>
      <c r="B86" s="82"/>
      <c r="C86" s="82"/>
      <c r="D86" s="82"/>
      <c r="E86" s="7">
        <v>82</v>
      </c>
      <c r="F86" s="253">
        <v>45596</v>
      </c>
      <c r="G86" s="4">
        <f t="shared" si="10"/>
        <v>1046116.407366635</v>
      </c>
      <c r="H86" s="4">
        <f t="shared" si="7"/>
        <v>10661.789138092829</v>
      </c>
      <c r="I86" s="4">
        <f t="shared" si="8"/>
        <v>21843.893713384517</v>
      </c>
      <c r="J86" s="4">
        <f t="shared" si="9"/>
        <v>1024272.5136532505</v>
      </c>
    </row>
    <row r="87" spans="1:10">
      <c r="A87" s="82"/>
      <c r="B87" s="82"/>
      <c r="C87" s="82"/>
      <c r="D87" s="82"/>
      <c r="E87" s="7">
        <v>83</v>
      </c>
      <c r="F87" s="253">
        <v>45626</v>
      </c>
      <c r="G87" s="4">
        <f t="shared" si="10"/>
        <v>1024272.5136532505</v>
      </c>
      <c r="H87" s="4">
        <f t="shared" si="7"/>
        <v>10102.413833292334</v>
      </c>
      <c r="I87" s="4">
        <f t="shared" si="8"/>
        <v>22403.269018185012</v>
      </c>
      <c r="J87" s="4">
        <f t="shared" si="9"/>
        <v>1001869.2446350656</v>
      </c>
    </row>
    <row r="88" spans="1:10">
      <c r="A88" s="82"/>
      <c r="B88" s="82"/>
      <c r="C88" s="82"/>
      <c r="D88" s="82"/>
      <c r="E88" s="10">
        <v>84</v>
      </c>
      <c r="F88" s="253">
        <v>45657</v>
      </c>
      <c r="G88" s="243">
        <f t="shared" si="10"/>
        <v>1001869.2446350656</v>
      </c>
      <c r="H88" s="243">
        <f t="shared" si="7"/>
        <v>10210.831753540941</v>
      </c>
      <c r="I88" s="243">
        <f t="shared" si="8"/>
        <v>22294.851097936404</v>
      </c>
      <c r="J88" s="243">
        <f t="shared" si="9"/>
        <v>979574.39353712916</v>
      </c>
    </row>
    <row r="89" spans="1:10">
      <c r="A89" s="82"/>
      <c r="B89" s="82"/>
      <c r="C89" s="82"/>
      <c r="D89" s="82"/>
      <c r="E89" s="7">
        <v>85</v>
      </c>
      <c r="F89" s="253">
        <v>45688</v>
      </c>
      <c r="G89" s="4">
        <f t="shared" si="10"/>
        <v>979574.39353712916</v>
      </c>
      <c r="H89" s="4">
        <f t="shared" si="7"/>
        <v>9983.607517693481</v>
      </c>
      <c r="I89" s="4">
        <f t="shared" si="8"/>
        <v>22522.075333783861</v>
      </c>
      <c r="J89" s="4">
        <f t="shared" si="9"/>
        <v>957052.31820334529</v>
      </c>
    </row>
    <row r="90" spans="1:10">
      <c r="A90" s="82"/>
      <c r="B90" s="82"/>
      <c r="C90" s="82"/>
      <c r="D90" s="82"/>
      <c r="E90" s="7">
        <v>86</v>
      </c>
      <c r="F90" s="253">
        <v>45716</v>
      </c>
      <c r="G90" s="4">
        <f t="shared" si="10"/>
        <v>957052.31820334529</v>
      </c>
      <c r="H90" s="4">
        <f t="shared" si="7"/>
        <v>8810.1254497623013</v>
      </c>
      <c r="I90" s="4">
        <f t="shared" si="8"/>
        <v>23695.557401715043</v>
      </c>
      <c r="J90" s="4">
        <f t="shared" si="9"/>
        <v>933356.76080163021</v>
      </c>
    </row>
    <row r="91" spans="1:10">
      <c r="A91" s="82"/>
      <c r="B91" s="82"/>
      <c r="C91" s="82"/>
      <c r="D91" s="82"/>
      <c r="E91" s="7">
        <v>87</v>
      </c>
      <c r="F91" s="253">
        <v>45747</v>
      </c>
      <c r="G91" s="4">
        <f t="shared" si="10"/>
        <v>933356.76080163021</v>
      </c>
      <c r="H91" s="4">
        <f t="shared" si="7"/>
        <v>9512.5675347453816</v>
      </c>
      <c r="I91" s="4">
        <f t="shared" si="8"/>
        <v>22993.115316731964</v>
      </c>
      <c r="J91" s="4">
        <f t="shared" si="9"/>
        <v>910363.64548489824</v>
      </c>
    </row>
    <row r="92" spans="1:10">
      <c r="A92" s="82"/>
      <c r="B92" s="82"/>
      <c r="C92" s="82"/>
      <c r="D92" s="82"/>
      <c r="E92" s="7">
        <v>88</v>
      </c>
      <c r="F92" s="253">
        <v>45777</v>
      </c>
      <c r="G92" s="4">
        <f t="shared" si="10"/>
        <v>910363.64548489824</v>
      </c>
      <c r="H92" s="4">
        <f t="shared" si="7"/>
        <v>8978.9291061524218</v>
      </c>
      <c r="I92" s="4">
        <f t="shared" si="8"/>
        <v>23526.753745324924</v>
      </c>
      <c r="J92" s="4">
        <f t="shared" si="9"/>
        <v>886836.89173957333</v>
      </c>
    </row>
    <row r="93" spans="1:10">
      <c r="A93" s="82"/>
      <c r="B93" s="82"/>
      <c r="C93" s="82"/>
      <c r="D93" s="82"/>
      <c r="E93" s="7">
        <v>89</v>
      </c>
      <c r="F93" s="253">
        <v>45808</v>
      </c>
      <c r="G93" s="4">
        <f t="shared" si="10"/>
        <v>886836.89173957333</v>
      </c>
      <c r="H93" s="4">
        <f t="shared" si="7"/>
        <v>9038.4472254005814</v>
      </c>
      <c r="I93" s="4">
        <f t="shared" si="8"/>
        <v>23467.235626076763</v>
      </c>
      <c r="J93" s="4">
        <f t="shared" si="9"/>
        <v>863369.65611349652</v>
      </c>
    </row>
    <row r="94" spans="1:10">
      <c r="A94" s="82"/>
      <c r="B94" s="82"/>
      <c r="C94" s="82"/>
      <c r="D94" s="82"/>
      <c r="E94" s="7">
        <v>90</v>
      </c>
      <c r="F94" s="599">
        <v>45838</v>
      </c>
      <c r="G94" s="4">
        <f t="shared" si="10"/>
        <v>863369.65611349652</v>
      </c>
      <c r="H94" s="4">
        <f t="shared" ref="H94:H148" si="11">(G94*$C$9)*(F94-F93)/365</f>
        <v>8515.426745229006</v>
      </c>
      <c r="I94" s="4">
        <f t="shared" ref="I94:I148" si="12">$C$8-H94</f>
        <v>23990.256106248336</v>
      </c>
      <c r="J94" s="4">
        <f t="shared" si="9"/>
        <v>839379.40000724816</v>
      </c>
    </row>
    <row r="95" spans="1:10">
      <c r="A95" s="82"/>
      <c r="B95" s="82"/>
      <c r="C95" s="82"/>
      <c r="D95" s="82"/>
      <c r="E95" s="7">
        <v>91</v>
      </c>
      <c r="F95" s="253">
        <v>45869</v>
      </c>
      <c r="G95" s="4">
        <f t="shared" si="10"/>
        <v>839379.40000724816</v>
      </c>
      <c r="H95" s="4">
        <f t="shared" si="11"/>
        <v>8554.7708713067477</v>
      </c>
      <c r="I95" s="4">
        <f t="shared" si="12"/>
        <v>23950.911980170597</v>
      </c>
      <c r="J95" s="4">
        <f t="shared" si="9"/>
        <v>815428.48802707752</v>
      </c>
    </row>
    <row r="96" spans="1:10">
      <c r="A96" s="82"/>
      <c r="B96" s="82"/>
      <c r="C96" s="82"/>
      <c r="D96" s="82"/>
      <c r="E96" s="7">
        <v>92</v>
      </c>
      <c r="F96" s="253">
        <v>45900</v>
      </c>
      <c r="G96" s="4">
        <f t="shared" si="10"/>
        <v>815428.48802707752</v>
      </c>
      <c r="H96" s="4">
        <f t="shared" si="11"/>
        <v>8310.6684259198028</v>
      </c>
      <c r="I96" s="4">
        <f t="shared" si="12"/>
        <v>24195.014425557543</v>
      </c>
      <c r="J96" s="4">
        <f t="shared" si="9"/>
        <v>791233.47360151995</v>
      </c>
    </row>
    <row r="97" spans="1:10">
      <c r="A97" s="82"/>
      <c r="B97" s="82"/>
      <c r="C97" s="82"/>
      <c r="D97" s="82"/>
      <c r="E97" s="7">
        <v>93</v>
      </c>
      <c r="F97" s="253">
        <v>45930</v>
      </c>
      <c r="G97" s="4">
        <f t="shared" si="10"/>
        <v>791233.47360151995</v>
      </c>
      <c r="H97" s="4">
        <f t="shared" si="11"/>
        <v>7803.9465889464973</v>
      </c>
      <c r="I97" s="4">
        <f t="shared" si="12"/>
        <v>24701.736262530845</v>
      </c>
      <c r="J97" s="4">
        <f t="shared" si="9"/>
        <v>766531.73733898904</v>
      </c>
    </row>
    <row r="98" spans="1:10">
      <c r="A98" s="82"/>
      <c r="B98" s="82"/>
      <c r="C98" s="82"/>
      <c r="D98" s="82"/>
      <c r="E98" s="7">
        <v>94</v>
      </c>
      <c r="F98" s="253">
        <v>45961</v>
      </c>
      <c r="G98" s="4">
        <f t="shared" si="10"/>
        <v>766531.73733898904</v>
      </c>
      <c r="H98" s="4">
        <f t="shared" si="11"/>
        <v>7812.3234600028472</v>
      </c>
      <c r="I98" s="4">
        <f t="shared" si="12"/>
        <v>24693.359391474496</v>
      </c>
      <c r="J98" s="4">
        <f t="shared" si="9"/>
        <v>741838.37794751453</v>
      </c>
    </row>
    <row r="99" spans="1:10">
      <c r="A99" s="82"/>
      <c r="B99" s="82"/>
      <c r="C99" s="82"/>
      <c r="D99" s="82"/>
      <c r="E99" s="7">
        <v>95</v>
      </c>
      <c r="F99" s="253">
        <v>45991</v>
      </c>
      <c r="G99" s="4">
        <f t="shared" si="10"/>
        <v>741838.37794751453</v>
      </c>
      <c r="H99" s="4">
        <f t="shared" si="11"/>
        <v>7316.7620838658959</v>
      </c>
      <c r="I99" s="4">
        <f t="shared" si="12"/>
        <v>25188.920767611449</v>
      </c>
      <c r="J99" s="4">
        <f t="shared" si="9"/>
        <v>716649.45717990305</v>
      </c>
    </row>
    <row r="100" spans="1:10">
      <c r="A100" s="82"/>
      <c r="B100" s="82"/>
      <c r="C100" s="82"/>
      <c r="D100" s="82"/>
      <c r="E100" s="10">
        <v>96</v>
      </c>
      <c r="F100" s="253">
        <v>46022</v>
      </c>
      <c r="G100" s="243">
        <f t="shared" si="10"/>
        <v>716649.45717990305</v>
      </c>
      <c r="H100" s="243">
        <f t="shared" si="11"/>
        <v>7303.9341937239433</v>
      </c>
      <c r="I100" s="243">
        <f t="shared" si="12"/>
        <v>25201.7486577534</v>
      </c>
      <c r="J100" s="243">
        <f t="shared" si="9"/>
        <v>691447.70852214959</v>
      </c>
    </row>
    <row r="101" spans="1:10">
      <c r="A101" s="82"/>
      <c r="B101" s="82"/>
      <c r="C101" s="82"/>
      <c r="D101" s="82"/>
      <c r="E101" s="7">
        <v>97</v>
      </c>
      <c r="F101" s="253">
        <v>46053</v>
      </c>
      <c r="G101" s="4">
        <f t="shared" si="10"/>
        <v>691447.70852214959</v>
      </c>
      <c r="H101" s="4">
        <f t="shared" si="11"/>
        <v>7047.0834950750595</v>
      </c>
      <c r="I101" s="4">
        <f t="shared" si="12"/>
        <v>25458.599356402287</v>
      </c>
      <c r="J101" s="4">
        <f t="shared" si="9"/>
        <v>665989.1091657473</v>
      </c>
    </row>
    <row r="102" spans="1:10">
      <c r="A102" s="82"/>
      <c r="B102" s="82"/>
      <c r="C102" s="82"/>
      <c r="D102" s="82"/>
      <c r="E102" s="7">
        <v>98</v>
      </c>
      <c r="F102" s="253">
        <v>46081</v>
      </c>
      <c r="G102" s="4">
        <f t="shared" si="10"/>
        <v>665989.1091657473</v>
      </c>
      <c r="H102" s="4">
        <f t="shared" si="11"/>
        <v>6130.7490597175638</v>
      </c>
      <c r="I102" s="4">
        <f t="shared" si="12"/>
        <v>26374.93379175978</v>
      </c>
      <c r="J102" s="4">
        <f t="shared" si="9"/>
        <v>639614.17537398753</v>
      </c>
    </row>
    <row r="103" spans="1:10">
      <c r="A103" s="82"/>
      <c r="B103" s="82"/>
      <c r="C103" s="82"/>
      <c r="D103" s="82"/>
      <c r="E103" s="7">
        <v>99</v>
      </c>
      <c r="F103" s="253">
        <v>46112</v>
      </c>
      <c r="G103" s="4">
        <f t="shared" si="10"/>
        <v>639614.17537398753</v>
      </c>
      <c r="H103" s="4">
        <f t="shared" si="11"/>
        <v>6518.8074860033794</v>
      </c>
      <c r="I103" s="4">
        <f t="shared" si="12"/>
        <v>25986.875365473963</v>
      </c>
      <c r="J103" s="4">
        <f t="shared" si="9"/>
        <v>613627.30000851362</v>
      </c>
    </row>
    <row r="104" spans="1:10">
      <c r="A104" s="82"/>
      <c r="B104" s="82"/>
      <c r="C104" s="82"/>
      <c r="D104" s="82"/>
      <c r="E104" s="7">
        <v>100</v>
      </c>
      <c r="F104" s="253">
        <v>46142</v>
      </c>
      <c r="G104" s="4">
        <f t="shared" si="10"/>
        <v>613627.30000851362</v>
      </c>
      <c r="H104" s="4">
        <f t="shared" si="11"/>
        <v>6052.2144658373936</v>
      </c>
      <c r="I104" s="4">
        <f t="shared" si="12"/>
        <v>26453.46838563995</v>
      </c>
      <c r="J104" s="4">
        <f t="shared" si="9"/>
        <v>587173.83162287367</v>
      </c>
    </row>
    <row r="105" spans="1:10">
      <c r="A105" s="82"/>
      <c r="B105" s="82"/>
      <c r="C105" s="82"/>
      <c r="D105" s="82"/>
      <c r="E105" s="7">
        <v>101</v>
      </c>
      <c r="F105" s="253">
        <v>46173</v>
      </c>
      <c r="G105" s="4">
        <f t="shared" si="10"/>
        <v>587173.83162287367</v>
      </c>
      <c r="H105" s="4">
        <f t="shared" si="11"/>
        <v>5984.346996266001</v>
      </c>
      <c r="I105" s="4">
        <f t="shared" si="12"/>
        <v>26521.335855211342</v>
      </c>
      <c r="J105" s="4">
        <f t="shared" si="9"/>
        <v>560652.4957676623</v>
      </c>
    </row>
    <row r="106" spans="1:10">
      <c r="A106" s="82"/>
      <c r="B106" s="82"/>
      <c r="C106" s="82"/>
      <c r="D106" s="82"/>
      <c r="E106" s="7">
        <v>102</v>
      </c>
      <c r="F106" s="599">
        <v>46203</v>
      </c>
      <c r="G106" s="4">
        <f t="shared" si="10"/>
        <v>560652.4957676623</v>
      </c>
      <c r="H106" s="4">
        <f t="shared" si="11"/>
        <v>5529.7232459276283</v>
      </c>
      <c r="I106" s="4">
        <f t="shared" si="12"/>
        <v>26975.959605549717</v>
      </c>
      <c r="J106" s="4">
        <f t="shared" si="9"/>
        <v>533676.53616211261</v>
      </c>
    </row>
    <row r="107" spans="1:10">
      <c r="A107" s="82"/>
      <c r="B107" s="82"/>
      <c r="C107" s="82"/>
      <c r="D107" s="82"/>
      <c r="E107" s="7">
        <v>103</v>
      </c>
      <c r="F107" s="253">
        <v>46234</v>
      </c>
      <c r="G107" s="4">
        <f t="shared" si="10"/>
        <v>533676.53616211261</v>
      </c>
      <c r="H107" s="4">
        <f t="shared" si="11"/>
        <v>5439.1142863645446</v>
      </c>
      <c r="I107" s="4">
        <f t="shared" si="12"/>
        <v>27066.568565112801</v>
      </c>
      <c r="J107" s="4">
        <f t="shared" si="9"/>
        <v>506609.96759699984</v>
      </c>
    </row>
    <row r="108" spans="1:10">
      <c r="A108" s="82"/>
      <c r="B108" s="82"/>
      <c r="C108" s="82"/>
      <c r="D108" s="82"/>
      <c r="E108" s="7">
        <v>104</v>
      </c>
      <c r="F108" s="253">
        <v>46265</v>
      </c>
      <c r="G108" s="4">
        <f t="shared" si="10"/>
        <v>506609.96759699984</v>
      </c>
      <c r="H108" s="4">
        <f t="shared" si="11"/>
        <v>5163.2577519475053</v>
      </c>
      <c r="I108" s="4">
        <f t="shared" si="12"/>
        <v>27342.425099529839</v>
      </c>
      <c r="J108" s="4">
        <f t="shared" si="9"/>
        <v>479267.54249746999</v>
      </c>
    </row>
    <row r="109" spans="1:10">
      <c r="A109" s="82"/>
      <c r="B109" s="82"/>
      <c r="C109" s="82"/>
      <c r="D109" s="82"/>
      <c r="E109" s="7">
        <v>105</v>
      </c>
      <c r="F109" s="253">
        <v>46295</v>
      </c>
      <c r="G109" s="4">
        <f t="shared" si="10"/>
        <v>479267.54249746999</v>
      </c>
      <c r="H109" s="4">
        <f t="shared" si="11"/>
        <v>4727.0223369613477</v>
      </c>
      <c r="I109" s="4">
        <f t="shared" si="12"/>
        <v>27778.660514515996</v>
      </c>
      <c r="J109" s="4">
        <f t="shared" si="9"/>
        <v>451488.88198295399</v>
      </c>
    </row>
    <row r="110" spans="1:10">
      <c r="A110" s="82"/>
      <c r="B110" s="82"/>
      <c r="C110" s="82"/>
      <c r="D110" s="82"/>
      <c r="E110" s="7">
        <v>106</v>
      </c>
      <c r="F110" s="253">
        <v>46326</v>
      </c>
      <c r="G110" s="4">
        <f t="shared" si="10"/>
        <v>451488.88198295399</v>
      </c>
      <c r="H110" s="4">
        <f t="shared" si="11"/>
        <v>4601.4757287029825</v>
      </c>
      <c r="I110" s="4">
        <f t="shared" si="12"/>
        <v>27904.207122774362</v>
      </c>
      <c r="J110" s="4">
        <f t="shared" si="9"/>
        <v>423584.6748601796</v>
      </c>
    </row>
    <row r="111" spans="1:10">
      <c r="A111" s="82"/>
      <c r="B111" s="82"/>
      <c r="C111" s="82"/>
      <c r="D111" s="82"/>
      <c r="E111" s="7">
        <v>107</v>
      </c>
      <c r="F111" s="253">
        <v>46356</v>
      </c>
      <c r="G111" s="4">
        <f t="shared" si="10"/>
        <v>423584.6748601796</v>
      </c>
      <c r="H111" s="4">
        <f t="shared" si="11"/>
        <v>4177.8214506757431</v>
      </c>
      <c r="I111" s="4">
        <f t="shared" si="12"/>
        <v>28327.861400801601</v>
      </c>
      <c r="J111" s="4">
        <f t="shared" si="9"/>
        <v>395256.81345937797</v>
      </c>
    </row>
    <row r="112" spans="1:10">
      <c r="A112" s="82"/>
      <c r="B112" s="82"/>
      <c r="C112" s="82"/>
      <c r="D112" s="82"/>
      <c r="E112" s="10">
        <v>108</v>
      </c>
      <c r="F112" s="253">
        <v>46387</v>
      </c>
      <c r="G112" s="243">
        <f t="shared" si="10"/>
        <v>395256.81345937797</v>
      </c>
      <c r="H112" s="243">
        <f t="shared" si="11"/>
        <v>4028.370811147633</v>
      </c>
      <c r="I112" s="243">
        <f t="shared" si="12"/>
        <v>28477.312040329711</v>
      </c>
      <c r="J112" s="243">
        <f t="shared" si="9"/>
        <v>366779.50141904823</v>
      </c>
    </row>
    <row r="113" spans="1:10">
      <c r="A113" s="82"/>
      <c r="B113" s="82"/>
      <c r="C113" s="82"/>
      <c r="D113" s="82"/>
      <c r="E113" s="7">
        <v>109</v>
      </c>
      <c r="F113" s="253">
        <v>46418</v>
      </c>
      <c r="G113" s="4">
        <f t="shared" si="10"/>
        <v>366779.50141904823</v>
      </c>
      <c r="H113" s="4">
        <f t="shared" si="11"/>
        <v>3738.1362884352311</v>
      </c>
      <c r="I113" s="4">
        <f t="shared" si="12"/>
        <v>28767.546563042113</v>
      </c>
      <c r="J113" s="4">
        <f t="shared" si="9"/>
        <v>338011.95485600614</v>
      </c>
    </row>
    <row r="114" spans="1:10">
      <c r="A114" s="82"/>
      <c r="B114" s="82"/>
      <c r="C114" s="82"/>
      <c r="D114" s="82"/>
      <c r="E114" s="7">
        <v>110</v>
      </c>
      <c r="F114" s="253">
        <v>46446</v>
      </c>
      <c r="G114" s="4">
        <f t="shared" si="10"/>
        <v>338011.95485600614</v>
      </c>
      <c r="H114" s="4">
        <f t="shared" si="11"/>
        <v>3111.5621049758374</v>
      </c>
      <c r="I114" s="4">
        <f t="shared" si="12"/>
        <v>29394.120746501507</v>
      </c>
      <c r="J114" s="4">
        <f t="shared" si="9"/>
        <v>308617.83410950465</v>
      </c>
    </row>
    <row r="115" spans="1:10">
      <c r="A115" s="82"/>
      <c r="B115" s="82"/>
      <c r="C115" s="82"/>
      <c r="D115" s="82"/>
      <c r="E115" s="7">
        <v>111</v>
      </c>
      <c r="F115" s="253">
        <v>46477</v>
      </c>
      <c r="G115" s="4">
        <f t="shared" si="10"/>
        <v>308617.83410950465</v>
      </c>
      <c r="H115" s="4">
        <f t="shared" si="11"/>
        <v>3145.3653229790611</v>
      </c>
      <c r="I115" s="4">
        <f t="shared" si="12"/>
        <v>29360.317528498283</v>
      </c>
      <c r="J115" s="4">
        <f t="shared" si="9"/>
        <v>279257.51658100635</v>
      </c>
    </row>
    <row r="116" spans="1:10">
      <c r="A116" s="82"/>
      <c r="B116" s="82"/>
      <c r="C116" s="82"/>
      <c r="D116" s="82"/>
      <c r="E116" s="7">
        <v>112</v>
      </c>
      <c r="F116" s="253">
        <v>46507</v>
      </c>
      <c r="G116" s="4">
        <f t="shared" si="10"/>
        <v>279257.51658100635</v>
      </c>
      <c r="H116" s="4">
        <f t="shared" si="11"/>
        <v>2754.3207114838983</v>
      </c>
      <c r="I116" s="4">
        <f t="shared" si="12"/>
        <v>29751.362139993445</v>
      </c>
      <c r="J116" s="4">
        <f t="shared" si="9"/>
        <v>249506.15444101291</v>
      </c>
    </row>
    <row r="117" spans="1:10">
      <c r="A117" s="82"/>
      <c r="B117" s="82"/>
      <c r="C117" s="82"/>
      <c r="D117" s="82"/>
      <c r="E117" s="7">
        <v>113</v>
      </c>
      <c r="F117" s="253">
        <v>46538</v>
      </c>
      <c r="G117" s="4">
        <f t="shared" si="10"/>
        <v>249506.15444101291</v>
      </c>
      <c r="H117" s="4">
        <f t="shared" si="11"/>
        <v>2542.9120397823781</v>
      </c>
      <c r="I117" s="4">
        <f t="shared" si="12"/>
        <v>29962.770811694965</v>
      </c>
      <c r="J117" s="4">
        <f t="shared" si="9"/>
        <v>219543.38362931795</v>
      </c>
    </row>
    <row r="118" spans="1:10">
      <c r="A118" s="82"/>
      <c r="B118" s="82"/>
      <c r="C118" s="82"/>
      <c r="D118" s="82"/>
      <c r="E118" s="7">
        <v>114</v>
      </c>
      <c r="F118" s="599">
        <v>46568</v>
      </c>
      <c r="G118" s="4">
        <f t="shared" si="10"/>
        <v>219543.38362931795</v>
      </c>
      <c r="H118" s="4">
        <f t="shared" si="11"/>
        <v>2165.3594001795741</v>
      </c>
      <c r="I118" s="4">
        <f t="shared" si="12"/>
        <v>30340.323451297769</v>
      </c>
      <c r="J118" s="4">
        <f t="shared" si="9"/>
        <v>189203.06017802018</v>
      </c>
    </row>
    <row r="119" spans="1:10">
      <c r="A119" s="82"/>
      <c r="B119" s="82"/>
      <c r="C119" s="82"/>
      <c r="D119" s="82"/>
      <c r="E119" s="7">
        <v>115</v>
      </c>
      <c r="F119" s="253">
        <v>46599</v>
      </c>
      <c r="G119" s="4">
        <f t="shared" si="10"/>
        <v>189203.06017802018</v>
      </c>
      <c r="H119" s="4">
        <f t="shared" si="11"/>
        <v>1928.3161201705068</v>
      </c>
      <c r="I119" s="4">
        <f t="shared" si="12"/>
        <v>30577.366731306836</v>
      </c>
      <c r="J119" s="4">
        <f t="shared" si="9"/>
        <v>158625.69344671335</v>
      </c>
    </row>
    <row r="120" spans="1:10">
      <c r="A120" s="82"/>
      <c r="B120" s="82"/>
      <c r="C120" s="82"/>
      <c r="D120" s="82"/>
      <c r="E120" s="7">
        <v>116</v>
      </c>
      <c r="F120" s="253">
        <v>46630</v>
      </c>
      <c r="G120" s="4">
        <f t="shared" si="10"/>
        <v>158625.69344671335</v>
      </c>
      <c r="H120" s="4">
        <f t="shared" si="11"/>
        <v>1616.6783003336266</v>
      </c>
      <c r="I120" s="4">
        <f t="shared" si="12"/>
        <v>30889.004551143717</v>
      </c>
      <c r="J120" s="4">
        <f t="shared" si="9"/>
        <v>127736.68889556963</v>
      </c>
    </row>
    <row r="121" spans="1:10">
      <c r="A121" s="82"/>
      <c r="B121" s="82"/>
      <c r="C121" s="82"/>
      <c r="D121" s="82"/>
      <c r="E121" s="7">
        <v>117</v>
      </c>
      <c r="F121" s="253">
        <v>46660</v>
      </c>
      <c r="G121" s="4">
        <f t="shared" si="10"/>
        <v>127736.68889556963</v>
      </c>
      <c r="H121" s="4">
        <f t="shared" si="11"/>
        <v>1259.8687123946593</v>
      </c>
      <c r="I121" s="4">
        <f t="shared" si="12"/>
        <v>31245.814139082686</v>
      </c>
      <c r="J121" s="4">
        <f t="shared" si="9"/>
        <v>96490.874756486941</v>
      </c>
    </row>
    <row r="122" spans="1:10">
      <c r="A122" s="82"/>
      <c r="B122" s="82"/>
      <c r="C122" s="82"/>
      <c r="D122" s="82"/>
      <c r="E122" s="7">
        <v>118</v>
      </c>
      <c r="F122" s="253">
        <v>46691</v>
      </c>
      <c r="G122" s="4">
        <f t="shared" si="10"/>
        <v>96490.874756486941</v>
      </c>
      <c r="H122" s="4">
        <f t="shared" si="11"/>
        <v>983.41384683323668</v>
      </c>
      <c r="I122" s="4">
        <f t="shared" si="12"/>
        <v>31522.269004644106</v>
      </c>
      <c r="J122" s="4">
        <f t="shared" si="9"/>
        <v>64968.605751842835</v>
      </c>
    </row>
    <row r="123" spans="1:10">
      <c r="A123" s="82"/>
      <c r="B123" s="82"/>
      <c r="C123" s="82"/>
      <c r="D123" s="82"/>
      <c r="E123" s="7">
        <v>119</v>
      </c>
      <c r="F123" s="253">
        <v>46721</v>
      </c>
      <c r="G123" s="4">
        <f t="shared" si="10"/>
        <v>64968.605751842835</v>
      </c>
      <c r="H123" s="4">
        <f t="shared" si="11"/>
        <v>640.78624851132656</v>
      </c>
      <c r="I123" s="4">
        <f t="shared" si="12"/>
        <v>31864.896602966019</v>
      </c>
      <c r="J123" s="4">
        <f t="shared" si="9"/>
        <v>33103.70914887682</v>
      </c>
    </row>
    <row r="124" spans="1:10">
      <c r="A124" s="82"/>
      <c r="B124" s="82"/>
      <c r="C124" s="82"/>
      <c r="D124" s="82"/>
      <c r="E124" s="10">
        <v>120</v>
      </c>
      <c r="F124" s="256">
        <v>46752</v>
      </c>
      <c r="G124" s="243">
        <f t="shared" si="10"/>
        <v>33103.70914887682</v>
      </c>
      <c r="H124" s="243">
        <f t="shared" si="11"/>
        <v>337.38574803786787</v>
      </c>
      <c r="I124" s="243">
        <f t="shared" si="12"/>
        <v>32168.297103439476</v>
      </c>
      <c r="J124" s="243">
        <f t="shared" si="9"/>
        <v>935.4120454373442</v>
      </c>
    </row>
    <row r="125" spans="1:10">
      <c r="A125" s="82"/>
      <c r="B125" s="82"/>
      <c r="C125" s="82"/>
      <c r="D125" s="82"/>
      <c r="E125" s="7">
        <v>121</v>
      </c>
      <c r="F125" s="253">
        <v>46783</v>
      </c>
      <c r="G125" s="4">
        <f t="shared" si="10"/>
        <v>935.4120454373442</v>
      </c>
      <c r="H125" s="4">
        <f t="shared" si="11"/>
        <v>9.5335145452792336</v>
      </c>
      <c r="I125" s="4">
        <f t="shared" si="12"/>
        <v>32496.149336932063</v>
      </c>
      <c r="J125" s="4">
        <f t="shared" si="9"/>
        <v>-31560.737291494719</v>
      </c>
    </row>
    <row r="126" spans="1:10">
      <c r="A126" s="82"/>
      <c r="B126" s="82"/>
      <c r="C126" s="82"/>
      <c r="D126" s="82"/>
      <c r="E126" s="7">
        <v>122</v>
      </c>
      <c r="F126" s="253">
        <v>46812</v>
      </c>
      <c r="G126" s="4">
        <f t="shared" si="10"/>
        <v>-31560.737291494719</v>
      </c>
      <c r="H126" s="4">
        <f t="shared" si="11"/>
        <v>-300.90785143671678</v>
      </c>
      <c r="I126" s="4">
        <f t="shared" si="12"/>
        <v>32806.590702914058</v>
      </c>
      <c r="J126" s="4">
        <f t="shared" si="9"/>
        <v>-64367.327994408777</v>
      </c>
    </row>
    <row r="127" spans="1:10">
      <c r="A127" s="82"/>
      <c r="B127" s="82"/>
      <c r="C127" s="82"/>
      <c r="D127" s="82"/>
      <c r="E127" s="7">
        <v>123</v>
      </c>
      <c r="F127" s="253">
        <v>46843</v>
      </c>
      <c r="G127" s="4">
        <f t="shared" si="10"/>
        <v>-64367.327994408777</v>
      </c>
      <c r="H127" s="4">
        <f t="shared" si="11"/>
        <v>-656.01769901150863</v>
      </c>
      <c r="I127" s="4">
        <f t="shared" si="12"/>
        <v>33161.700550488851</v>
      </c>
      <c r="J127" s="4">
        <f t="shared" si="9"/>
        <v>-97529.028544897621</v>
      </c>
    </row>
    <row r="128" spans="1:10">
      <c r="A128" s="82"/>
      <c r="B128" s="82"/>
      <c r="C128" s="82"/>
      <c r="D128" s="82"/>
      <c r="E128" s="7">
        <v>124</v>
      </c>
      <c r="F128" s="253">
        <v>46873</v>
      </c>
      <c r="G128" s="4">
        <f t="shared" si="10"/>
        <v>-97529.028544897621</v>
      </c>
      <c r="H128" s="4">
        <f t="shared" si="11"/>
        <v>-961.93014455241496</v>
      </c>
      <c r="I128" s="4">
        <f t="shared" si="12"/>
        <v>33467.612996029762</v>
      </c>
      <c r="J128" s="4">
        <f t="shared" si="9"/>
        <v>-130996.64154092738</v>
      </c>
    </row>
    <row r="129" spans="1:10">
      <c r="A129" s="82"/>
      <c r="B129" s="82"/>
      <c r="C129" s="82"/>
      <c r="D129" s="82"/>
      <c r="E129" s="7">
        <v>125</v>
      </c>
      <c r="F129" s="253">
        <v>46904</v>
      </c>
      <c r="G129" s="4">
        <f t="shared" si="10"/>
        <v>-130996.64154092738</v>
      </c>
      <c r="H129" s="4">
        <f t="shared" si="11"/>
        <v>-1335.0890589924652</v>
      </c>
      <c r="I129" s="4">
        <f t="shared" si="12"/>
        <v>33840.771910469812</v>
      </c>
      <c r="J129" s="4">
        <f t="shared" si="9"/>
        <v>-164837.41345139718</v>
      </c>
    </row>
    <row r="130" spans="1:10">
      <c r="A130" s="82"/>
      <c r="B130" s="82"/>
      <c r="C130" s="82"/>
      <c r="D130" s="82"/>
      <c r="E130" s="7">
        <v>126</v>
      </c>
      <c r="F130" s="599">
        <v>46934</v>
      </c>
      <c r="G130" s="4">
        <f t="shared" si="10"/>
        <v>-164837.41345139718</v>
      </c>
      <c r="H130" s="4">
        <f t="shared" si="11"/>
        <v>-1625.7936669178901</v>
      </c>
      <c r="I130" s="4">
        <f t="shared" si="12"/>
        <v>34131.476518395233</v>
      </c>
      <c r="J130" s="4">
        <f t="shared" si="9"/>
        <v>-198968.88996979242</v>
      </c>
    </row>
    <row r="131" spans="1:10">
      <c r="A131" s="82"/>
      <c r="B131" s="82"/>
      <c r="C131" s="82"/>
      <c r="D131" s="82"/>
      <c r="E131" s="7">
        <v>127</v>
      </c>
      <c r="F131" s="253">
        <v>46965</v>
      </c>
      <c r="G131" s="4">
        <f t="shared" si="10"/>
        <v>-198968.88996979242</v>
      </c>
      <c r="H131" s="4">
        <f t="shared" si="11"/>
        <v>-2027.847316952405</v>
      </c>
      <c r="I131" s="4">
        <f t="shared" si="12"/>
        <v>34533.530168429752</v>
      </c>
      <c r="J131" s="4">
        <f t="shared" si="9"/>
        <v>-233502.42013822217</v>
      </c>
    </row>
    <row r="132" spans="1:10">
      <c r="A132" s="82"/>
      <c r="B132" s="82"/>
      <c r="C132" s="82"/>
      <c r="D132" s="82"/>
      <c r="E132" s="7">
        <v>128</v>
      </c>
      <c r="F132" s="253">
        <v>46996</v>
      </c>
      <c r="G132" s="4">
        <f t="shared" si="10"/>
        <v>-233502.42013822217</v>
      </c>
      <c r="H132" s="4">
        <f t="shared" si="11"/>
        <v>-2379.8054874361274</v>
      </c>
      <c r="I132" s="4">
        <f t="shared" si="12"/>
        <v>34885.48833891347</v>
      </c>
      <c r="J132" s="4">
        <f t="shared" si="9"/>
        <v>-268387.90847713564</v>
      </c>
    </row>
    <row r="133" spans="1:10">
      <c r="A133" s="82"/>
      <c r="B133" s="82"/>
      <c r="C133" s="82"/>
      <c r="D133" s="82"/>
      <c r="E133" s="7">
        <v>129</v>
      </c>
      <c r="F133" s="253">
        <v>47026</v>
      </c>
      <c r="G133" s="4">
        <f t="shared" si="10"/>
        <v>-268387.90847713564</v>
      </c>
      <c r="H133" s="4">
        <f t="shared" si="11"/>
        <v>-2647.1136178566799</v>
      </c>
      <c r="I133" s="4">
        <f t="shared" si="12"/>
        <v>35152.796469334025</v>
      </c>
      <c r="J133" s="4">
        <f t="shared" si="9"/>
        <v>-303540.70494646969</v>
      </c>
    </row>
    <row r="134" spans="1:10">
      <c r="A134" s="82"/>
      <c r="B134" s="82"/>
      <c r="C134" s="82"/>
      <c r="D134" s="82"/>
      <c r="E134" s="7">
        <v>130</v>
      </c>
      <c r="F134" s="253">
        <v>47057</v>
      </c>
      <c r="G134" s="4">
        <f t="shared" si="10"/>
        <v>-303540.70494646969</v>
      </c>
      <c r="H134" s="4">
        <f t="shared" si="11"/>
        <v>-3093.6203353448414</v>
      </c>
      <c r="I134" s="4">
        <f t="shared" si="12"/>
        <v>35599.303186822188</v>
      </c>
      <c r="J134" s="4">
        <f t="shared" si="9"/>
        <v>-339140.00813329185</v>
      </c>
    </row>
    <row r="135" spans="1:10">
      <c r="A135" s="82"/>
      <c r="B135" s="82"/>
      <c r="C135" s="82"/>
      <c r="D135" s="82"/>
      <c r="E135" s="7">
        <v>131</v>
      </c>
      <c r="F135" s="253">
        <v>47087</v>
      </c>
      <c r="G135" s="4">
        <f t="shared" si="10"/>
        <v>-339140.00813329185</v>
      </c>
      <c r="H135" s="4">
        <f t="shared" si="11"/>
        <v>-3344.9425459721938</v>
      </c>
      <c r="I135" s="4">
        <f t="shared" si="12"/>
        <v>35850.625397449541</v>
      </c>
      <c r="J135" s="4">
        <f t="shared" si="9"/>
        <v>-374990.63353074138</v>
      </c>
    </row>
    <row r="136" spans="1:10">
      <c r="A136" s="82"/>
      <c r="B136" s="82"/>
      <c r="C136" s="82"/>
      <c r="D136" s="82"/>
      <c r="E136" s="10">
        <v>132</v>
      </c>
      <c r="F136" s="253">
        <v>47118</v>
      </c>
      <c r="G136" s="243">
        <f t="shared" si="10"/>
        <v>-374990.63353074138</v>
      </c>
      <c r="H136" s="243">
        <f t="shared" si="11"/>
        <v>-3821.8223472174186</v>
      </c>
      <c r="I136" s="243">
        <f t="shared" si="12"/>
        <v>36327.505198694766</v>
      </c>
      <c r="J136" s="243">
        <f t="shared" si="9"/>
        <v>-411318.13872943615</v>
      </c>
    </row>
    <row r="137" spans="1:10">
      <c r="A137" s="82"/>
      <c r="B137" s="82"/>
      <c r="C137" s="82"/>
      <c r="D137" s="82"/>
      <c r="E137" s="7">
        <v>133</v>
      </c>
      <c r="F137" s="253">
        <v>47149</v>
      </c>
      <c r="G137" s="4">
        <f t="shared" si="10"/>
        <v>-411318.13872943615</v>
      </c>
      <c r="H137" s="4">
        <f t="shared" si="11"/>
        <v>-4192.0643180095958</v>
      </c>
      <c r="I137" s="4">
        <f t="shared" si="12"/>
        <v>36697.747169486938</v>
      </c>
      <c r="J137" s="4">
        <f t="shared" si="9"/>
        <v>-448015.88589892309</v>
      </c>
    </row>
    <row r="138" spans="1:10">
      <c r="A138" s="82"/>
      <c r="B138" s="82"/>
      <c r="C138" s="82"/>
      <c r="D138" s="82"/>
      <c r="E138" s="7">
        <v>134</v>
      </c>
      <c r="F138" s="253">
        <v>47177</v>
      </c>
      <c r="G138" s="4">
        <f t="shared" si="10"/>
        <v>-448015.88589892309</v>
      </c>
      <c r="H138" s="4">
        <f t="shared" si="11"/>
        <v>-4124.201031836662</v>
      </c>
      <c r="I138" s="4">
        <f t="shared" si="12"/>
        <v>36629.883883314003</v>
      </c>
      <c r="J138" s="4">
        <f t="shared" si="9"/>
        <v>-484645.76978223713</v>
      </c>
    </row>
    <row r="139" spans="1:10">
      <c r="A139" s="82"/>
      <c r="B139" s="82"/>
      <c r="C139" s="82"/>
      <c r="D139" s="82"/>
      <c r="E139" s="7">
        <v>135</v>
      </c>
      <c r="F139" s="253">
        <v>47208</v>
      </c>
      <c r="G139" s="4">
        <f t="shared" si="10"/>
        <v>-484645.76978223713</v>
      </c>
      <c r="H139" s="4">
        <f t="shared" si="11"/>
        <v>-4939.4034618901978</v>
      </c>
      <c r="I139" s="4">
        <f t="shared" si="12"/>
        <v>37445.086313367545</v>
      </c>
      <c r="J139" s="4">
        <f t="shared" si="9"/>
        <v>-522090.85609560466</v>
      </c>
    </row>
    <row r="140" spans="1:10">
      <c r="A140" s="82"/>
      <c r="B140" s="82"/>
      <c r="C140" s="82"/>
      <c r="D140" s="82"/>
      <c r="E140" s="7">
        <v>136</v>
      </c>
      <c r="F140" s="253">
        <v>47238</v>
      </c>
      <c r="G140" s="4">
        <f t="shared" si="10"/>
        <v>-522090.85609560466</v>
      </c>
      <c r="H140" s="4">
        <f t="shared" si="11"/>
        <v>-5149.3892656004837</v>
      </c>
      <c r="I140" s="4">
        <f t="shared" si="12"/>
        <v>37655.072117077827</v>
      </c>
      <c r="J140" s="4">
        <f t="shared" si="9"/>
        <v>-559745.92821268248</v>
      </c>
    </row>
    <row r="141" spans="1:10">
      <c r="A141" s="82"/>
      <c r="B141" s="82"/>
      <c r="C141" s="82"/>
      <c r="D141" s="82"/>
      <c r="E141" s="7">
        <v>137</v>
      </c>
      <c r="F141" s="253">
        <v>47269</v>
      </c>
      <c r="G141" s="4">
        <f t="shared" si="10"/>
        <v>-559745.92821268248</v>
      </c>
      <c r="H141" s="4">
        <f t="shared" si="11"/>
        <v>-5704.8078163045993</v>
      </c>
      <c r="I141" s="4">
        <f t="shared" si="12"/>
        <v>38210.490667781945</v>
      </c>
      <c r="J141" s="4">
        <f t="shared" si="9"/>
        <v>-597956.41888046439</v>
      </c>
    </row>
    <row r="142" spans="1:10">
      <c r="A142" s="82"/>
      <c r="B142" s="82"/>
      <c r="C142" s="82"/>
      <c r="D142" s="82"/>
      <c r="E142" s="7">
        <v>138</v>
      </c>
      <c r="F142" s="599">
        <v>47299</v>
      </c>
      <c r="G142" s="4">
        <f t="shared" si="10"/>
        <v>-597956.41888046439</v>
      </c>
      <c r="H142" s="4">
        <f t="shared" si="11"/>
        <v>-5897.6523506018393</v>
      </c>
      <c r="I142" s="4">
        <f t="shared" si="12"/>
        <v>38403.335202079186</v>
      </c>
      <c r="J142" s="4">
        <f t="shared" si="9"/>
        <v>-636359.75408254354</v>
      </c>
    </row>
    <row r="143" spans="1:10">
      <c r="A143" s="82"/>
      <c r="B143" s="82"/>
      <c r="C143" s="82"/>
      <c r="D143" s="82"/>
      <c r="E143" s="7">
        <v>139</v>
      </c>
      <c r="G143" s="4">
        <f t="shared" si="10"/>
        <v>-636359.75408254354</v>
      </c>
      <c r="H143" s="4">
        <f t="shared" si="11"/>
        <v>9895620.8246630896</v>
      </c>
      <c r="I143" s="4">
        <f t="shared" si="12"/>
        <v>-9863115.141811613</v>
      </c>
      <c r="J143" s="4">
        <f t="shared" si="9"/>
        <v>9226755.3877290692</v>
      </c>
    </row>
    <row r="144" spans="1:10">
      <c r="A144" s="82"/>
      <c r="B144" s="82"/>
      <c r="C144" s="82"/>
      <c r="D144" s="82"/>
      <c r="E144" s="7">
        <v>140</v>
      </c>
      <c r="G144" s="4">
        <f t="shared" si="10"/>
        <v>9226755.3877290692</v>
      </c>
      <c r="H144" s="4">
        <f t="shared" si="11"/>
        <v>0</v>
      </c>
      <c r="I144" s="4">
        <f t="shared" si="12"/>
        <v>32505.682851477344</v>
      </c>
      <c r="J144" s="4">
        <f t="shared" si="9"/>
        <v>9194249.7048775926</v>
      </c>
    </row>
    <row r="145" spans="1:10">
      <c r="A145" s="82"/>
      <c r="B145" s="82"/>
      <c r="C145" s="82"/>
      <c r="D145" s="82"/>
      <c r="E145" s="7">
        <v>141</v>
      </c>
      <c r="G145" s="4">
        <f t="shared" si="10"/>
        <v>9194249.7048775926</v>
      </c>
      <c r="H145" s="4">
        <f t="shared" si="11"/>
        <v>0</v>
      </c>
      <c r="I145" s="4">
        <f t="shared" si="12"/>
        <v>32505.682851477344</v>
      </c>
      <c r="J145" s="4">
        <f t="shared" si="9"/>
        <v>9161744.022026116</v>
      </c>
    </row>
    <row r="146" spans="1:10">
      <c r="A146" s="82"/>
      <c r="B146" s="82"/>
      <c r="C146" s="82"/>
      <c r="D146" s="82"/>
      <c r="E146" s="7">
        <v>142</v>
      </c>
      <c r="G146" s="4">
        <f t="shared" si="10"/>
        <v>9161744.022026116</v>
      </c>
      <c r="H146" s="4">
        <f t="shared" si="11"/>
        <v>0</v>
      </c>
      <c r="I146" s="4">
        <f t="shared" si="12"/>
        <v>32505.682851477344</v>
      </c>
      <c r="J146" s="4">
        <f t="shared" ref="J146:J148" si="13">G146-I146</f>
        <v>9129238.3391746394</v>
      </c>
    </row>
    <row r="147" spans="1:10">
      <c r="A147" s="82"/>
      <c r="B147" s="82"/>
      <c r="C147" s="82"/>
      <c r="D147" s="82"/>
      <c r="E147" s="7">
        <v>143</v>
      </c>
      <c r="G147" s="4">
        <f t="shared" ref="G147:G148" si="14">J146</f>
        <v>9129238.3391746394</v>
      </c>
      <c r="H147" s="4">
        <f t="shared" si="11"/>
        <v>0</v>
      </c>
      <c r="I147" s="4">
        <f t="shared" si="12"/>
        <v>32505.682851477344</v>
      </c>
      <c r="J147" s="4">
        <f t="shared" si="13"/>
        <v>9096732.6563231628</v>
      </c>
    </row>
    <row r="148" spans="1:10">
      <c r="A148" s="82"/>
      <c r="B148" s="82"/>
      <c r="C148" s="82"/>
      <c r="D148" s="82"/>
      <c r="E148" s="10">
        <v>144</v>
      </c>
      <c r="G148" s="243">
        <f t="shared" si="14"/>
        <v>9096732.6563231628</v>
      </c>
      <c r="H148" s="243">
        <f t="shared" si="11"/>
        <v>0</v>
      </c>
      <c r="I148" s="243">
        <f t="shared" si="12"/>
        <v>32505.682851477344</v>
      </c>
      <c r="J148" s="243">
        <f t="shared" si="13"/>
        <v>9064226.9734716862</v>
      </c>
    </row>
  </sheetData>
  <printOptions horizontalCentered="1"/>
  <pageMargins left="0.2" right="0.2" top="0.39000000000000007" bottom="0.2" header="0.5" footer="0.5"/>
  <pageSetup scale="90"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8"/>
  <sheetViews>
    <sheetView zoomScale="125" zoomScaleNormal="125" zoomScalePageLayoutView="125" workbookViewId="0">
      <selection activeCell="F19" sqref="F19"/>
    </sheetView>
  </sheetViews>
  <sheetFormatPr defaultColWidth="8.85546875" defaultRowHeight="12.75"/>
  <cols>
    <col min="1" max="1" width="9.42578125" style="283" customWidth="1"/>
    <col min="2" max="2" width="13.140625" style="283" customWidth="1"/>
    <col min="3" max="3" width="9.42578125" style="283" customWidth="1"/>
    <col min="4" max="4" width="11.42578125" style="283" bestFit="1" customWidth="1"/>
    <col min="5" max="5" width="9.42578125" style="283" customWidth="1"/>
    <col min="6" max="10" width="11.28515625" style="283" customWidth="1"/>
    <col min="11" max="13" width="9.42578125" style="283" customWidth="1"/>
    <col min="14" max="16384" width="8.85546875" style="283"/>
  </cols>
  <sheetData>
    <row r="1" spans="1:17" ht="15.75">
      <c r="A1" s="284" t="s">
        <v>450</v>
      </c>
      <c r="B1" s="285"/>
      <c r="C1" s="285"/>
      <c r="D1" s="285"/>
      <c r="E1" s="285"/>
      <c r="F1" s="285"/>
      <c r="G1" s="285"/>
      <c r="H1" s="285"/>
      <c r="I1" s="285"/>
      <c r="J1" s="285"/>
      <c r="K1" s="285"/>
      <c r="L1" s="285"/>
      <c r="M1" s="285"/>
    </row>
    <row r="2" spans="1:17">
      <c r="A2" s="285"/>
      <c r="B2" s="285"/>
      <c r="C2" s="285"/>
      <c r="D2" s="285"/>
      <c r="E2" s="285"/>
      <c r="F2" s="285"/>
      <c r="G2" s="285"/>
      <c r="H2" s="285"/>
      <c r="I2" s="410" t="s">
        <v>152</v>
      </c>
      <c r="J2" s="410" t="s">
        <v>153</v>
      </c>
      <c r="K2" s="285"/>
      <c r="L2" s="285"/>
      <c r="M2" s="285"/>
    </row>
    <row r="3" spans="1:17">
      <c r="B3" s="285"/>
      <c r="C3" s="285"/>
      <c r="D3" s="294" t="s">
        <v>383</v>
      </c>
      <c r="E3" s="332">
        <f>378.5</f>
        <v>378.5</v>
      </c>
      <c r="F3" s="285" t="s">
        <v>52</v>
      </c>
      <c r="G3" s="286" t="s">
        <v>380</v>
      </c>
      <c r="H3" s="287"/>
      <c r="I3" s="288">
        <f>E3*M3/3.785</f>
        <v>800000</v>
      </c>
      <c r="J3" s="288">
        <f>I3*0.75</f>
        <v>600000</v>
      </c>
      <c r="L3" s="303" t="s">
        <v>382</v>
      </c>
      <c r="M3" s="331">
        <v>8000</v>
      </c>
    </row>
    <row r="4" spans="1:17">
      <c r="A4" s="285"/>
      <c r="B4" s="285"/>
      <c r="C4" s="285"/>
      <c r="D4" s="285"/>
      <c r="E4" s="285"/>
      <c r="F4" s="285"/>
      <c r="G4" s="289" t="s">
        <v>381</v>
      </c>
      <c r="H4" s="287"/>
      <c r="I4" s="288">
        <f>E3*M3</f>
        <v>3028000</v>
      </c>
      <c r="J4" s="288">
        <f>I4*0.75</f>
        <v>2271000</v>
      </c>
      <c r="K4" s="285"/>
      <c r="L4" s="285"/>
      <c r="M4" s="285"/>
    </row>
    <row r="5" spans="1:17">
      <c r="A5" s="290"/>
      <c r="B5" s="285"/>
      <c r="C5" s="285"/>
      <c r="D5" s="285"/>
      <c r="E5" s="285"/>
      <c r="F5" s="285"/>
      <c r="G5" s="289" t="s">
        <v>384</v>
      </c>
      <c r="H5" s="287"/>
      <c r="I5" s="333">
        <f>I4/12</f>
        <v>252333.33333333334</v>
      </c>
      <c r="J5" s="334">
        <f>J4/12</f>
        <v>189250</v>
      </c>
      <c r="K5" s="285"/>
      <c r="L5" s="285"/>
      <c r="M5" s="285"/>
    </row>
    <row r="6" spans="1:17">
      <c r="A6" s="285"/>
      <c r="B6" s="285"/>
      <c r="C6" s="285"/>
      <c r="D6" s="285"/>
      <c r="E6" s="285"/>
      <c r="F6" s="285"/>
      <c r="G6" s="285"/>
      <c r="H6" s="291"/>
      <c r="I6" s="285"/>
      <c r="J6" s="292"/>
      <c r="K6" s="285"/>
      <c r="L6" s="763" t="s">
        <v>392</v>
      </c>
      <c r="M6" s="763"/>
    </row>
    <row r="7" spans="1:17">
      <c r="A7" s="285" t="s">
        <v>385</v>
      </c>
      <c r="B7" s="285"/>
      <c r="C7" s="339">
        <v>150</v>
      </c>
      <c r="D7" s="293" t="s">
        <v>386</v>
      </c>
      <c r="E7" s="335">
        <v>0.2</v>
      </c>
      <c r="F7" s="285" t="s">
        <v>389</v>
      </c>
      <c r="G7" s="336">
        <f>M3</f>
        <v>8000</v>
      </c>
      <c r="H7" s="285" t="s">
        <v>387</v>
      </c>
      <c r="I7" s="285"/>
      <c r="J7" s="337">
        <f>(C7*E7*M3)</f>
        <v>240000</v>
      </c>
      <c r="K7" s="285" t="s">
        <v>388</v>
      </c>
      <c r="L7" s="338">
        <f>J7/$J$3</f>
        <v>0.4</v>
      </c>
      <c r="M7" s="325"/>
    </row>
    <row r="8" spans="1:17">
      <c r="A8" s="298"/>
      <c r="B8" s="298"/>
      <c r="C8" s="298"/>
      <c r="D8" s="299"/>
      <c r="E8" s="300"/>
      <c r="F8" s="298"/>
      <c r="G8" s="326"/>
      <c r="H8" s="298"/>
      <c r="I8" s="298"/>
      <c r="J8" s="301"/>
      <c r="K8" s="298"/>
      <c r="L8" s="302"/>
      <c r="M8" s="327"/>
    </row>
    <row r="9" spans="1:17">
      <c r="A9" s="285"/>
      <c r="B9" s="285"/>
      <c r="C9" s="285"/>
      <c r="D9" s="303"/>
      <c r="E9" s="295"/>
      <c r="F9" s="285"/>
      <c r="G9" s="324"/>
      <c r="H9" s="285"/>
      <c r="I9" s="285"/>
      <c r="J9" s="296"/>
      <c r="K9" s="285"/>
      <c r="L9" s="297"/>
      <c r="M9" s="325"/>
    </row>
    <row r="10" spans="1:17">
      <c r="A10" s="285" t="s">
        <v>390</v>
      </c>
      <c r="B10" s="285"/>
      <c r="C10" s="339">
        <v>75</v>
      </c>
      <c r="D10" s="290" t="s">
        <v>51</v>
      </c>
      <c r="E10" s="304">
        <v>2</v>
      </c>
      <c r="F10" s="285" t="s">
        <v>391</v>
      </c>
      <c r="G10" s="336">
        <f>M3</f>
        <v>8000</v>
      </c>
      <c r="H10" s="285" t="s">
        <v>387</v>
      </c>
      <c r="I10" s="285"/>
      <c r="J10" s="285"/>
      <c r="K10" s="285"/>
      <c r="L10" s="297"/>
      <c r="M10" s="285"/>
    </row>
    <row r="11" spans="1:17">
      <c r="A11" s="285"/>
      <c r="B11" s="285"/>
      <c r="C11" s="285"/>
      <c r="D11" s="285"/>
      <c r="E11" s="285"/>
      <c r="F11" s="285"/>
      <c r="G11" s="285"/>
      <c r="H11" s="336">
        <f>C10*M3*3.785</f>
        <v>2271000</v>
      </c>
      <c r="I11" s="285" t="s">
        <v>393</v>
      </c>
      <c r="J11" s="340">
        <f>E10*H11/1000</f>
        <v>4542</v>
      </c>
      <c r="K11" s="285" t="s">
        <v>388</v>
      </c>
      <c r="L11" s="338">
        <f>J11/$J$3</f>
        <v>7.5700000000000003E-3</v>
      </c>
      <c r="M11" s="285"/>
    </row>
    <row r="12" spans="1:17">
      <c r="A12" s="298"/>
      <c r="B12" s="298"/>
      <c r="C12" s="298"/>
      <c r="D12" s="298"/>
      <c r="E12" s="298"/>
      <c r="F12" s="298"/>
      <c r="G12" s="298"/>
      <c r="H12" s="326"/>
      <c r="I12" s="298"/>
      <c r="J12" s="328"/>
      <c r="K12" s="298"/>
      <c r="L12" s="302"/>
      <c r="M12" s="298"/>
    </row>
    <row r="13" spans="1:17" ht="15">
      <c r="A13" s="285"/>
      <c r="B13" s="285"/>
      <c r="C13" s="285"/>
      <c r="D13" s="285"/>
      <c r="E13" s="285"/>
      <c r="F13" s="285"/>
      <c r="G13" s="285"/>
      <c r="H13" s="324"/>
      <c r="I13" s="285"/>
      <c r="J13" s="329"/>
      <c r="K13" s="285"/>
      <c r="L13" s="297"/>
      <c r="M13" s="285"/>
      <c r="O13" s="305"/>
      <c r="P13" s="305"/>
      <c r="Q13" s="305"/>
    </row>
    <row r="14" spans="1:17" ht="15">
      <c r="A14" s="285" t="s">
        <v>394</v>
      </c>
      <c r="B14" s="285"/>
      <c r="C14" s="285"/>
      <c r="D14" s="285"/>
      <c r="E14" s="304"/>
      <c r="F14" s="285" t="s">
        <v>395</v>
      </c>
      <c r="G14" s="285"/>
      <c r="H14" s="285"/>
      <c r="I14" s="325"/>
      <c r="J14" s="304"/>
      <c r="K14" s="306" t="s">
        <v>388</v>
      </c>
      <c r="L14" s="341">
        <f>J15/$I$3</f>
        <v>0</v>
      </c>
      <c r="M14" s="285"/>
      <c r="O14" s="305"/>
      <c r="P14" s="305"/>
      <c r="Q14" s="305"/>
    </row>
    <row r="15" spans="1:17" ht="15">
      <c r="A15" s="298"/>
      <c r="B15" s="298"/>
      <c r="C15" s="298"/>
      <c r="D15" s="298"/>
      <c r="E15" s="298"/>
      <c r="F15" s="298"/>
      <c r="G15" s="298"/>
      <c r="H15" s="298"/>
      <c r="I15" s="298"/>
      <c r="J15" s="308"/>
      <c r="K15" s="298"/>
      <c r="L15" s="302"/>
      <c r="M15" s="298"/>
      <c r="O15" s="305"/>
      <c r="P15" s="305"/>
      <c r="Q15" s="305"/>
    </row>
    <row r="16" spans="1:17">
      <c r="A16" s="285"/>
      <c r="B16" s="285"/>
      <c r="C16" s="285"/>
      <c r="D16" s="285"/>
      <c r="E16" s="285"/>
      <c r="F16" s="285"/>
      <c r="G16" s="285"/>
      <c r="H16" s="285"/>
      <c r="I16" s="285"/>
      <c r="J16" s="304"/>
      <c r="K16" s="285"/>
      <c r="L16" s="297"/>
      <c r="M16" s="285"/>
    </row>
    <row r="17" spans="1:13">
      <c r="A17" s="285" t="s">
        <v>396</v>
      </c>
      <c r="B17" s="285"/>
      <c r="C17" s="290" t="s">
        <v>397</v>
      </c>
      <c r="D17" s="285"/>
      <c r="E17" s="285"/>
      <c r="F17" s="336">
        <f>0.05*I3</f>
        <v>40000</v>
      </c>
      <c r="G17" s="285" t="s">
        <v>187</v>
      </c>
      <c r="H17" s="304"/>
      <c r="I17" s="285" t="s">
        <v>392</v>
      </c>
      <c r="J17" s="343">
        <v>0</v>
      </c>
      <c r="K17" s="285" t="s">
        <v>388</v>
      </c>
      <c r="L17" s="338">
        <f>J17/$J$3</f>
        <v>0</v>
      </c>
      <c r="M17" s="285"/>
    </row>
    <row r="18" spans="1:13">
      <c r="A18" s="298"/>
      <c r="B18" s="298"/>
      <c r="C18" s="298"/>
      <c r="D18" s="298"/>
      <c r="E18" s="298"/>
      <c r="F18" s="326"/>
      <c r="G18" s="298"/>
      <c r="H18" s="308"/>
      <c r="I18" s="298"/>
      <c r="J18" s="308"/>
      <c r="K18" s="298"/>
      <c r="L18" s="302"/>
      <c r="M18" s="298"/>
    </row>
    <row r="19" spans="1:13">
      <c r="A19" s="285"/>
      <c r="B19" s="285"/>
      <c r="C19" s="285"/>
      <c r="D19" s="285"/>
      <c r="E19" s="285"/>
      <c r="F19" s="324"/>
      <c r="G19" s="285"/>
      <c r="H19" s="304"/>
      <c r="I19" s="285"/>
      <c r="J19" s="304"/>
      <c r="K19" s="285"/>
      <c r="L19" s="297"/>
      <c r="M19" s="285"/>
    </row>
    <row r="20" spans="1:13">
      <c r="A20" s="285" t="s">
        <v>398</v>
      </c>
      <c r="B20" s="285"/>
      <c r="C20" s="285"/>
      <c r="D20" s="285"/>
      <c r="E20" s="285" t="s">
        <v>50</v>
      </c>
      <c r="F20" s="324"/>
      <c r="G20" s="285"/>
      <c r="H20" s="304"/>
      <c r="I20" s="285"/>
      <c r="J20" s="343"/>
      <c r="K20" s="285" t="s">
        <v>388</v>
      </c>
      <c r="L20" s="338">
        <f>J20/$I$3</f>
        <v>0</v>
      </c>
      <c r="M20" s="285"/>
    </row>
    <row r="21" spans="1:13">
      <c r="A21" s="298"/>
      <c r="B21" s="298"/>
      <c r="C21" s="298"/>
      <c r="D21" s="298"/>
      <c r="E21" s="298"/>
      <c r="F21" s="326"/>
      <c r="G21" s="298"/>
      <c r="H21" s="308"/>
      <c r="I21" s="298"/>
      <c r="J21" s="308"/>
      <c r="K21" s="298"/>
      <c r="L21" s="302"/>
      <c r="M21" s="298"/>
    </row>
    <row r="22" spans="1:13">
      <c r="A22" s="285"/>
      <c r="B22" s="285"/>
      <c r="C22" s="285"/>
      <c r="D22" s="285"/>
      <c r="E22" s="285"/>
      <c r="F22" s="285"/>
      <c r="G22" s="285"/>
      <c r="H22" s="285"/>
      <c r="I22" s="285"/>
      <c r="J22" s="285"/>
      <c r="K22" s="285"/>
      <c r="L22" s="297"/>
      <c r="M22" s="285"/>
    </row>
    <row r="23" spans="1:13">
      <c r="A23" s="285" t="s">
        <v>556</v>
      </c>
      <c r="B23" s="285"/>
      <c r="C23" s="285"/>
      <c r="D23" s="285"/>
      <c r="E23" s="285"/>
      <c r="F23" s="285"/>
      <c r="G23" s="285"/>
      <c r="H23" s="285"/>
      <c r="I23" s="285"/>
      <c r="J23" s="343">
        <v>30000</v>
      </c>
      <c r="K23" s="285" t="s">
        <v>388</v>
      </c>
      <c r="L23" s="338">
        <f>J23/$J$3</f>
        <v>0.05</v>
      </c>
      <c r="M23" s="285"/>
    </row>
    <row r="24" spans="1:13">
      <c r="A24" s="298"/>
      <c r="B24" s="298"/>
      <c r="C24" s="298"/>
      <c r="D24" s="298"/>
      <c r="E24" s="298"/>
      <c r="F24" s="298"/>
      <c r="G24" s="298"/>
      <c r="H24" s="298"/>
      <c r="I24" s="298"/>
      <c r="J24" s="308"/>
      <c r="K24" s="298"/>
      <c r="L24" s="302"/>
      <c r="M24" s="298"/>
    </row>
    <row r="25" spans="1:13">
      <c r="A25" s="285"/>
      <c r="B25" s="285"/>
      <c r="C25" s="285"/>
      <c r="D25" s="285"/>
      <c r="E25" s="285"/>
      <c r="F25" s="285"/>
      <c r="G25" s="285"/>
      <c r="H25" s="285"/>
      <c r="I25" s="285"/>
      <c r="J25" s="304"/>
      <c r="K25" s="285"/>
      <c r="L25" s="297"/>
      <c r="M25" s="285"/>
    </row>
    <row r="26" spans="1:13">
      <c r="A26" s="285" t="s">
        <v>399</v>
      </c>
      <c r="B26" s="285"/>
      <c r="C26" s="285"/>
      <c r="D26" s="285"/>
      <c r="E26" s="285"/>
      <c r="F26" s="285"/>
      <c r="G26" s="292"/>
      <c r="H26" s="309"/>
      <c r="I26" s="285"/>
      <c r="J26" s="343">
        <v>40000</v>
      </c>
      <c r="K26" s="285" t="s">
        <v>388</v>
      </c>
      <c r="L26" s="338">
        <f>J26/$J$3</f>
        <v>6.6666666666666666E-2</v>
      </c>
      <c r="M26" s="285"/>
    </row>
    <row r="27" spans="1:13">
      <c r="A27" s="298"/>
      <c r="B27" s="298"/>
      <c r="C27" s="298"/>
      <c r="D27" s="298"/>
      <c r="E27" s="298"/>
      <c r="F27" s="298"/>
      <c r="G27" s="310"/>
      <c r="H27" s="311"/>
      <c r="I27" s="298"/>
      <c r="J27" s="301"/>
      <c r="K27" s="312"/>
      <c r="L27" s="302"/>
      <c r="M27" s="298"/>
    </row>
    <row r="28" spans="1:13">
      <c r="A28" s="285"/>
      <c r="B28" s="285"/>
      <c r="C28" s="285"/>
      <c r="D28" s="285"/>
      <c r="E28" s="285"/>
      <c r="F28" s="285"/>
      <c r="G28" s="285"/>
      <c r="H28" s="285"/>
      <c r="I28" s="285"/>
      <c r="J28" s="304"/>
      <c r="K28" s="285"/>
      <c r="L28" s="297"/>
      <c r="M28" s="285"/>
    </row>
    <row r="29" spans="1:13">
      <c r="A29" s="285" t="s">
        <v>400</v>
      </c>
      <c r="B29" s="285"/>
      <c r="C29" s="285"/>
      <c r="D29" s="285"/>
      <c r="E29" s="285"/>
      <c r="F29" s="285"/>
      <c r="G29" s="285"/>
      <c r="H29" s="285"/>
      <c r="I29" s="285"/>
      <c r="J29" s="343">
        <v>50000</v>
      </c>
      <c r="K29" s="285" t="s">
        <v>388</v>
      </c>
      <c r="L29" s="338">
        <f>J29/$J$3</f>
        <v>8.3333333333333329E-2</v>
      </c>
      <c r="M29" s="285"/>
    </row>
    <row r="30" spans="1:13">
      <c r="A30" s="298"/>
      <c r="B30" s="298"/>
      <c r="C30" s="298"/>
      <c r="D30" s="298"/>
      <c r="E30" s="298"/>
      <c r="F30" s="298"/>
      <c r="G30" s="298"/>
      <c r="H30" s="298"/>
      <c r="I30" s="298"/>
      <c r="J30" s="308"/>
      <c r="K30" s="298"/>
      <c r="L30" s="302"/>
      <c r="M30" s="298"/>
    </row>
    <row r="31" spans="1:13">
      <c r="A31" s="285"/>
      <c r="B31" s="285"/>
      <c r="C31" s="285"/>
      <c r="D31" s="285"/>
      <c r="E31" s="285"/>
      <c r="F31" s="285"/>
      <c r="G31" s="285"/>
      <c r="H31" s="285"/>
      <c r="I31" s="285"/>
      <c r="J31" s="304"/>
      <c r="K31" s="285"/>
      <c r="L31" s="297"/>
      <c r="M31" s="285"/>
    </row>
    <row r="32" spans="1:13">
      <c r="A32" s="285" t="s">
        <v>401</v>
      </c>
      <c r="B32" s="285"/>
      <c r="C32" s="285"/>
      <c r="D32" s="285"/>
      <c r="E32" s="285"/>
      <c r="F32" s="324"/>
      <c r="G32" s="285"/>
      <c r="H32" s="285"/>
      <c r="I32" s="285"/>
      <c r="J32" s="343"/>
      <c r="K32" s="285" t="s">
        <v>388</v>
      </c>
      <c r="L32" s="338">
        <f>J32/$I$3</f>
        <v>0</v>
      </c>
      <c r="M32" s="285"/>
    </row>
    <row r="33" spans="1:17">
      <c r="A33" s="298"/>
      <c r="B33" s="298"/>
      <c r="C33" s="298"/>
      <c r="D33" s="298"/>
      <c r="E33" s="298"/>
      <c r="F33" s="298"/>
      <c r="G33" s="298"/>
      <c r="H33" s="298"/>
      <c r="I33" s="298"/>
      <c r="J33" s="308"/>
      <c r="K33" s="298"/>
      <c r="L33" s="302"/>
      <c r="M33" s="298"/>
    </row>
    <row r="34" spans="1:17">
      <c r="A34" s="285"/>
      <c r="B34" s="285"/>
      <c r="C34" s="285"/>
      <c r="D34" s="285"/>
      <c r="E34" s="285"/>
      <c r="F34" s="285"/>
      <c r="G34" s="285"/>
      <c r="H34" s="285"/>
      <c r="I34" s="285"/>
      <c r="J34" s="304"/>
      <c r="K34" s="285"/>
      <c r="L34" s="297"/>
      <c r="M34" s="285"/>
    </row>
    <row r="35" spans="1:17">
      <c r="A35" s="306" t="s">
        <v>673</v>
      </c>
      <c r="B35" s="306"/>
      <c r="C35" s="306"/>
      <c r="D35" s="306"/>
      <c r="E35" s="306"/>
      <c r="F35" s="285"/>
      <c r="G35" s="285"/>
      <c r="H35" s="285"/>
      <c r="I35" s="285"/>
      <c r="J35" s="344">
        <f>'Org-Salary Structure'!H12</f>
        <v>558975</v>
      </c>
      <c r="K35" s="306" t="s">
        <v>388</v>
      </c>
      <c r="L35" s="338">
        <f>J35/$J$3</f>
        <v>0.93162500000000004</v>
      </c>
      <c r="M35" s="285"/>
    </row>
    <row r="36" spans="1:17">
      <c r="A36" s="306"/>
      <c r="B36" s="306"/>
      <c r="C36" s="306"/>
      <c r="D36" s="306"/>
      <c r="E36" s="306"/>
      <c r="F36" s="285"/>
      <c r="G36" s="285"/>
      <c r="H36" s="285"/>
      <c r="I36" s="285"/>
      <c r="J36" s="313"/>
      <c r="K36" s="306"/>
      <c r="L36" s="307"/>
      <c r="M36" s="285"/>
    </row>
    <row r="37" spans="1:17" ht="15.75" thickBot="1">
      <c r="A37" s="314"/>
      <c r="B37" s="314"/>
      <c r="C37" s="314"/>
      <c r="D37" s="314"/>
      <c r="E37" s="314"/>
      <c r="F37" s="314"/>
      <c r="G37" s="314"/>
      <c r="H37" s="314"/>
      <c r="I37" s="314"/>
      <c r="J37" s="314"/>
      <c r="K37" s="314"/>
      <c r="L37" s="314"/>
      <c r="M37" s="314"/>
      <c r="N37" s="305"/>
      <c r="O37" s="305"/>
      <c r="P37" s="315"/>
      <c r="Q37" s="315"/>
    </row>
    <row r="38" spans="1:17" ht="15">
      <c r="A38" s="285" t="s">
        <v>402</v>
      </c>
      <c r="B38" s="285"/>
      <c r="C38" s="285"/>
      <c r="D38" s="285"/>
      <c r="E38" s="285"/>
      <c r="F38" s="285"/>
      <c r="G38" s="285"/>
      <c r="H38" s="285"/>
      <c r="I38" s="285"/>
      <c r="J38" s="342">
        <f>SUM(J7:J37)</f>
        <v>923517</v>
      </c>
      <c r="K38" s="285"/>
      <c r="L38" s="338">
        <f>J38/$J$3</f>
        <v>1.5391950000000001</v>
      </c>
      <c r="M38" s="285"/>
      <c r="N38" s="305"/>
      <c r="O38" s="305"/>
    </row>
    <row r="39" spans="1:17" ht="15">
      <c r="A39" s="285"/>
      <c r="B39" s="285"/>
      <c r="C39" s="285"/>
      <c r="D39" s="285"/>
      <c r="E39" s="285"/>
      <c r="F39" s="296"/>
      <c r="G39" s="285"/>
      <c r="H39" s="285"/>
      <c r="I39" s="285"/>
      <c r="J39" s="304"/>
      <c r="K39" s="285"/>
      <c r="L39" s="285"/>
      <c r="M39" s="285"/>
      <c r="N39" s="305"/>
      <c r="O39" s="305"/>
    </row>
    <row r="40" spans="1:17" ht="15.75" thickBot="1">
      <c r="A40" s="285" t="s">
        <v>403</v>
      </c>
      <c r="B40" s="285"/>
      <c r="C40" s="285"/>
      <c r="D40" s="285"/>
      <c r="E40" s="285"/>
      <c r="F40" s="296"/>
      <c r="G40" s="285"/>
      <c r="H40" s="285"/>
      <c r="I40" s="285"/>
      <c r="J40" s="285"/>
      <c r="K40" s="285"/>
      <c r="L40" s="285" t="s">
        <v>654</v>
      </c>
      <c r="M40" s="285" t="s">
        <v>653</v>
      </c>
      <c r="N40" s="305"/>
      <c r="O40" s="305"/>
    </row>
    <row r="41" spans="1:17" ht="15">
      <c r="A41" s="316" t="s">
        <v>404</v>
      </c>
      <c r="B41" s="317"/>
      <c r="C41" s="317"/>
      <c r="D41" s="317"/>
      <c r="E41" s="317"/>
      <c r="F41" s="317"/>
      <c r="G41" s="317"/>
      <c r="H41" s="317"/>
      <c r="I41" s="317"/>
      <c r="J41" s="317"/>
      <c r="K41" s="317"/>
      <c r="L41" s="318">
        <f>L38/3.785</f>
        <v>0.4066565389696169</v>
      </c>
      <c r="M41" s="318">
        <v>0.21984081902245708</v>
      </c>
      <c r="N41" s="305"/>
      <c r="O41" s="305"/>
    </row>
    <row r="42" spans="1:17" ht="15.75" thickBot="1">
      <c r="A42" s="319" t="s">
        <v>405</v>
      </c>
      <c r="B42" s="298"/>
      <c r="C42" s="298"/>
      <c r="D42" s="298"/>
      <c r="E42" s="298"/>
      <c r="F42" s="298"/>
      <c r="G42" s="298"/>
      <c r="H42" s="298"/>
      <c r="I42" s="298"/>
      <c r="J42" s="298"/>
      <c r="K42" s="320"/>
      <c r="L42" s="321">
        <f>L38</f>
        <v>1.5391950000000001</v>
      </c>
      <c r="M42" s="321">
        <v>0.83209750000000005</v>
      </c>
      <c r="N42" s="305"/>
      <c r="O42" s="305"/>
    </row>
    <row r="43" spans="1:17" ht="15">
      <c r="A43" s="306" t="s">
        <v>169</v>
      </c>
      <c r="B43" s="306"/>
      <c r="C43" s="306"/>
      <c r="D43" s="306"/>
      <c r="E43" s="306"/>
      <c r="F43" s="306"/>
      <c r="G43" s="306"/>
      <c r="H43" s="306"/>
      <c r="I43" s="306"/>
      <c r="J43" s="306"/>
      <c r="K43" s="322"/>
      <c r="L43" s="318">
        <f>L38/4</f>
        <v>0.38479875000000002</v>
      </c>
      <c r="M43" s="318">
        <v>0.20802437500000001</v>
      </c>
      <c r="N43" s="305"/>
      <c r="O43" s="305"/>
    </row>
    <row r="44" spans="1:17" ht="13.5" thickBot="1">
      <c r="A44" s="298" t="s">
        <v>154</v>
      </c>
      <c r="B44" s="298"/>
      <c r="C44" s="298"/>
      <c r="D44" s="298"/>
      <c r="E44" s="298"/>
      <c r="F44" s="298"/>
      <c r="G44" s="298"/>
      <c r="H44" s="298"/>
      <c r="I44" s="298"/>
      <c r="J44" s="298"/>
      <c r="K44" s="326"/>
      <c r="L44" s="323">
        <f>L42*55</f>
        <v>84.655725000000004</v>
      </c>
      <c r="M44" s="323">
        <v>45.765362500000002</v>
      </c>
    </row>
    <row r="45" spans="1:17">
      <c r="K45" s="330"/>
    </row>
    <row r="46" spans="1:17" s="305" customFormat="1" ht="15">
      <c r="A46" s="239"/>
      <c r="B46" s="133" t="s">
        <v>20</v>
      </c>
      <c r="C46" s="133"/>
      <c r="D46" s="133"/>
      <c r="E46" s="133"/>
      <c r="F46" s="133"/>
      <c r="G46" s="133"/>
      <c r="H46" s="133"/>
      <c r="I46" s="133"/>
      <c r="J46" s="133"/>
      <c r="K46" s="133"/>
      <c r="L46" s="133"/>
      <c r="M46" s="133"/>
    </row>
    <row r="47" spans="1:17" s="305" customFormat="1" ht="15"/>
    <row r="48" spans="1:17" s="305" customFormat="1" ht="15"/>
    <row r="49" spans="2:14" s="305" customFormat="1" ht="15">
      <c r="B49" s="215" t="s">
        <v>679</v>
      </c>
      <c r="D49" s="305">
        <v>2019</v>
      </c>
      <c r="E49" s="305">
        <v>2020</v>
      </c>
      <c r="F49" s="305">
        <v>2021</v>
      </c>
      <c r="G49" s="305">
        <v>2022</v>
      </c>
      <c r="H49" s="305">
        <v>2023</v>
      </c>
      <c r="I49" s="305">
        <v>2024</v>
      </c>
      <c r="J49" s="305">
        <v>2025</v>
      </c>
      <c r="K49" s="305">
        <v>2026</v>
      </c>
      <c r="L49" s="305">
        <v>2027</v>
      </c>
      <c r="M49" s="305">
        <v>2028</v>
      </c>
      <c r="N49"/>
    </row>
    <row r="50" spans="2:14" s="305" customFormat="1" ht="15">
      <c r="B50" s="215" t="s">
        <v>681</v>
      </c>
      <c r="D50" s="653">
        <f>$L$7+$L$11+$L$14+$L$17+$L$20+$L$23+$L$26++$L$29+$L$32+$L$35*('Key Assumptions'!F15)</f>
        <v>1.3528700000000002</v>
      </c>
      <c r="E50" s="653">
        <f>$L$7+$L$11+$L$14+$L$17+$L$20+$L$23+$L$26++$L$29+$L$32+$L$35*('Key Assumptions'!G15)</f>
        <v>1.2131262500000002</v>
      </c>
      <c r="F50" s="653">
        <f>$L$7+$L$11+$L$14+$L$17+$L$20+$L$23+$L$26++$L$29+$L$32+$L$35*('Key Assumptions'!H15)</f>
        <v>1.1665450000000002</v>
      </c>
      <c r="G50" s="653">
        <f>$L$7+$L$11+$L$14+$L$17+$L$20+$L$23+$L$26++$L$29+$L$32+$L$35*('Key Assumptions'!I15)</f>
        <v>1.0733825000000001</v>
      </c>
      <c r="H50" s="653">
        <f>$L$7+$L$11+$L$14+$L$17+$L$20+$L$23+$L$26++$L$29+$L$32+$L$35*('Key Assumptions'!J15)</f>
        <v>1.06406625</v>
      </c>
      <c r="I50" s="653">
        <f>$L$7+$L$11+$L$14+$L$17+$L$20+$L$23+$L$26++$L$29+$L$32+$L$35*('Key Assumptions'!K15)</f>
        <v>1.0549363249999999</v>
      </c>
      <c r="J50" s="653">
        <f>$L$7+$L$11+$L$14+$L$17+$L$20+$L$23+$L$26++$L$29+$L$32+$L$35*('Key Assumptions'!L15)</f>
        <v>1.0459889984999999</v>
      </c>
      <c r="K50" s="653">
        <f>$L$7+$L$11+$L$14+$L$17+$L$20+$L$23+$L$26++$L$29+$L$32+$L$35*('Key Assumptions'!M15)</f>
        <v>1.0372206185300001</v>
      </c>
      <c r="L50" s="653">
        <f>$L$7+$L$11+$L$14+$L$17+$L$20+$L$23+$L$26++$L$29+$L$32+$L$35*('Key Assumptions'!N15)</f>
        <v>1.0286276061594</v>
      </c>
      <c r="M50" s="653">
        <f>$L$7+$L$11+$L$14+$L$17+$L$20+$L$23+$L$26++$L$29+$L$32+$L$35*('Key Assumptions'!O15)</f>
        <v>1.0202064540362119</v>
      </c>
      <c r="N50"/>
    </row>
    <row r="51" spans="2:14" s="305" customFormat="1" ht="15">
      <c r="B51" s="215" t="s">
        <v>680</v>
      </c>
      <c r="D51" s="653">
        <f>$L$35*(1-'Key Assumptions'!F15)</f>
        <v>0.18632499999999996</v>
      </c>
      <c r="E51" s="653">
        <f>$L$35*(1-'Key Assumptions'!G15)</f>
        <v>0.32606875000000002</v>
      </c>
      <c r="F51" s="653">
        <f>$L$35*(1-'Key Assumptions'!H15)</f>
        <v>0.37265000000000004</v>
      </c>
      <c r="G51" s="653">
        <f>$L$35*(1-'Key Assumptions'!I15)</f>
        <v>0.46581250000000002</v>
      </c>
      <c r="H51" s="653">
        <f>$L$35*(1-'Key Assumptions'!J15)</f>
        <v>0.47512875000000004</v>
      </c>
      <c r="I51" s="653">
        <f>$L$35*(1-'Key Assumptions'!K15)</f>
        <v>0.48425867500000008</v>
      </c>
      <c r="J51" s="653">
        <f>$L$35*(1-'Key Assumptions'!L15)</f>
        <v>0.49320600149999999</v>
      </c>
      <c r="K51" s="653">
        <f>$L$35*(1-'Key Assumptions'!M15)</f>
        <v>0.50197438147000006</v>
      </c>
      <c r="L51" s="653">
        <f>$L$35*(1-'Key Assumptions'!N15)</f>
        <v>0.51056739384060013</v>
      </c>
      <c r="M51" s="653">
        <f>$L$35*(1-'Key Assumptions'!O15)</f>
        <v>0.51898854596378818</v>
      </c>
      <c r="N51"/>
    </row>
    <row r="52" spans="2:14" s="305" customFormat="1" ht="15"/>
    <row r="53" spans="2:14" s="305" customFormat="1" ht="15"/>
    <row r="54" spans="2:14" s="305" customFormat="1" ht="15"/>
    <row r="55" spans="2:14" s="305" customFormat="1" ht="15"/>
    <row r="56" spans="2:14" s="305" customFormat="1" ht="15"/>
    <row r="57" spans="2:14" s="305" customFormat="1" ht="15"/>
    <row r="58" spans="2:14" s="305" customFormat="1" ht="15"/>
  </sheetData>
  <mergeCells count="1">
    <mergeCell ref="L6:M6"/>
  </mergeCells>
  <phoneticPr fontId="12" type="noConversion"/>
  <printOptions horizontalCentered="1"/>
  <pageMargins left="0.2" right="0" top="0.5868503937007874" bottom="0.2" header="0.5" footer="0.5"/>
  <pageSetup scale="80" orientation="landscape" horizontalDpi="4294967292" verticalDpi="4294967292" r:id="rId1"/>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58"/>
  <sheetViews>
    <sheetView topLeftCell="C1" zoomScale="125" zoomScaleNormal="125" zoomScalePageLayoutView="125" workbookViewId="0">
      <selection activeCell="L3" sqref="L3"/>
    </sheetView>
  </sheetViews>
  <sheetFormatPr defaultColWidth="8.85546875" defaultRowHeight="12.75"/>
  <cols>
    <col min="1" max="1" width="9.42578125" style="283" customWidth="1"/>
    <col min="2" max="2" width="13.140625" style="283" customWidth="1"/>
    <col min="3" max="3" width="9.42578125" style="283" customWidth="1"/>
    <col min="4" max="4" width="11.42578125" style="283" bestFit="1" customWidth="1"/>
    <col min="5" max="5" width="9.42578125" style="283" customWidth="1"/>
    <col min="6" max="10" width="11.28515625" style="283" customWidth="1"/>
    <col min="11" max="12" width="18.5703125" style="283" bestFit="1" customWidth="1"/>
    <col min="13" max="13" width="9.42578125" style="283" customWidth="1"/>
    <col min="14" max="16384" width="8.85546875" style="283"/>
  </cols>
  <sheetData>
    <row r="1" spans="1:17" ht="15.75">
      <c r="A1" s="284" t="s">
        <v>1069</v>
      </c>
      <c r="B1" s="285"/>
      <c r="C1" s="285"/>
      <c r="D1" s="285"/>
      <c r="E1" s="285"/>
      <c r="F1" s="285"/>
      <c r="G1" s="285"/>
      <c r="H1" s="285"/>
      <c r="I1" s="285"/>
      <c r="J1" s="285"/>
      <c r="K1" s="285"/>
      <c r="L1" s="285"/>
      <c r="M1" s="285"/>
    </row>
    <row r="2" spans="1:17">
      <c r="A2" s="285"/>
      <c r="B2" s="285"/>
      <c r="C2" s="285"/>
      <c r="D2" s="285"/>
      <c r="E2" s="285"/>
      <c r="F2" s="285"/>
      <c r="G2" s="285"/>
      <c r="H2" s="285"/>
      <c r="I2" s="410" t="s">
        <v>1076</v>
      </c>
      <c r="J2" s="410" t="s">
        <v>1077</v>
      </c>
      <c r="K2" s="285"/>
      <c r="L2" s="285"/>
      <c r="M2" s="285"/>
    </row>
    <row r="3" spans="1:17">
      <c r="B3" s="285"/>
      <c r="C3" s="285"/>
      <c r="D3" s="294" t="s">
        <v>1070</v>
      </c>
      <c r="E3" s="332">
        <f>378.5</f>
        <v>378.5</v>
      </c>
      <c r="F3" s="285" t="s">
        <v>52</v>
      </c>
      <c r="G3" s="286" t="s">
        <v>1073</v>
      </c>
      <c r="H3" s="287"/>
      <c r="I3" s="288">
        <f>E3*M3/3.785</f>
        <v>800000</v>
      </c>
      <c r="J3" s="288">
        <f>I3*0.75</f>
        <v>600000</v>
      </c>
      <c r="K3" s="283" t="s">
        <v>1078</v>
      </c>
      <c r="L3" s="303" t="s">
        <v>1078</v>
      </c>
      <c r="M3" s="331">
        <v>8000</v>
      </c>
    </row>
    <row r="4" spans="1:17">
      <c r="A4" s="285"/>
      <c r="B4" s="285"/>
      <c r="C4" s="285"/>
      <c r="D4" s="285"/>
      <c r="E4" s="285"/>
      <c r="F4" s="285"/>
      <c r="G4" s="289" t="s">
        <v>1075</v>
      </c>
      <c r="H4" s="287"/>
      <c r="I4" s="288">
        <f>E3*M3</f>
        <v>3028000</v>
      </c>
      <c r="J4" s="288">
        <f>I4*0.75</f>
        <v>2271000</v>
      </c>
      <c r="K4" s="285"/>
      <c r="L4" s="285"/>
      <c r="M4" s="285"/>
    </row>
    <row r="5" spans="1:17">
      <c r="A5" s="290"/>
      <c r="B5" s="285"/>
      <c r="C5" s="285"/>
      <c r="D5" s="285"/>
      <c r="E5" s="285"/>
      <c r="F5" s="285"/>
      <c r="G5" s="289" t="s">
        <v>1074</v>
      </c>
      <c r="H5" s="287"/>
      <c r="I5" s="333">
        <f>I4/12</f>
        <v>252333.33333333334</v>
      </c>
      <c r="J5" s="334">
        <f>J4/12</f>
        <v>189250</v>
      </c>
      <c r="K5" s="285"/>
      <c r="L5" s="285"/>
      <c r="M5" s="285"/>
    </row>
    <row r="6" spans="1:17">
      <c r="A6" s="285"/>
      <c r="B6" s="285"/>
      <c r="C6" s="285"/>
      <c r="D6" s="285"/>
      <c r="E6" s="285"/>
      <c r="F6" s="285"/>
      <c r="G6" s="285"/>
      <c r="H6" s="291"/>
      <c r="I6" s="285"/>
      <c r="J6" s="292"/>
      <c r="K6" s="285"/>
      <c r="L6" s="763" t="s">
        <v>1081</v>
      </c>
      <c r="M6" s="763"/>
    </row>
    <row r="7" spans="1:17">
      <c r="A7" s="285" t="s">
        <v>1071</v>
      </c>
      <c r="B7" s="285"/>
      <c r="C7" s="339">
        <v>150</v>
      </c>
      <c r="D7" s="293" t="s">
        <v>386</v>
      </c>
      <c r="E7" s="335">
        <v>0.2</v>
      </c>
      <c r="F7" s="285" t="s">
        <v>389</v>
      </c>
      <c r="G7" s="336">
        <f>M3</f>
        <v>8000</v>
      </c>
      <c r="H7" s="285" t="s">
        <v>1079</v>
      </c>
      <c r="I7" s="285"/>
      <c r="J7" s="337">
        <f>(C7*E7*M3)</f>
        <v>240000</v>
      </c>
      <c r="K7" s="285" t="s">
        <v>1080</v>
      </c>
      <c r="L7" s="338">
        <f>J7/$J$3</f>
        <v>0.4</v>
      </c>
      <c r="M7" s="325"/>
    </row>
    <row r="8" spans="1:17">
      <c r="A8" s="298"/>
      <c r="B8" s="298"/>
      <c r="C8" s="298"/>
      <c r="D8" s="299"/>
      <c r="E8" s="300"/>
      <c r="F8" s="298"/>
      <c r="G8" s="326"/>
      <c r="H8" s="298"/>
      <c r="I8" s="298"/>
      <c r="J8" s="301"/>
      <c r="K8" s="298"/>
      <c r="L8" s="302"/>
      <c r="M8" s="327"/>
    </row>
    <row r="9" spans="1:17">
      <c r="A9" s="285"/>
      <c r="B9" s="285"/>
      <c r="C9" s="285"/>
      <c r="D9" s="303"/>
      <c r="E9" s="295"/>
      <c r="F9" s="285"/>
      <c r="G9" s="324"/>
      <c r="H9" s="285"/>
      <c r="I9" s="285"/>
      <c r="J9" s="296"/>
      <c r="K9" s="285"/>
      <c r="L9" s="297"/>
      <c r="M9" s="325"/>
    </row>
    <row r="10" spans="1:17">
      <c r="A10" s="285" t="s">
        <v>1072</v>
      </c>
      <c r="B10" s="285"/>
      <c r="C10" s="339">
        <v>75</v>
      </c>
      <c r="D10" s="290" t="s">
        <v>51</v>
      </c>
      <c r="E10" s="304">
        <v>2</v>
      </c>
      <c r="F10" s="285" t="s">
        <v>1082</v>
      </c>
      <c r="G10" s="336">
        <f>M3</f>
        <v>8000</v>
      </c>
      <c r="H10" s="285" t="s">
        <v>1079</v>
      </c>
      <c r="I10" s="285"/>
      <c r="J10" s="285"/>
      <c r="K10" s="285"/>
      <c r="L10" s="297"/>
      <c r="M10" s="285"/>
    </row>
    <row r="11" spans="1:17">
      <c r="A11" s="285"/>
      <c r="B11" s="285"/>
      <c r="C11" s="285"/>
      <c r="D11" s="285"/>
      <c r="E11" s="285"/>
      <c r="F11" s="285"/>
      <c r="G11" s="285"/>
      <c r="H11" s="336">
        <f>C10*M3*3.785</f>
        <v>2271000</v>
      </c>
      <c r="I11" s="285" t="s">
        <v>1083</v>
      </c>
      <c r="J11" s="340">
        <f>E10*H11/1000</f>
        <v>4542</v>
      </c>
      <c r="K11" s="285" t="s">
        <v>1080</v>
      </c>
      <c r="L11" s="338">
        <f>J11/$J$3</f>
        <v>7.5700000000000003E-3</v>
      </c>
      <c r="M11" s="285"/>
    </row>
    <row r="12" spans="1:17">
      <c r="A12" s="298"/>
      <c r="B12" s="298"/>
      <c r="C12" s="298"/>
      <c r="D12" s="298"/>
      <c r="E12" s="298"/>
      <c r="F12" s="298"/>
      <c r="G12" s="298"/>
      <c r="H12" s="326"/>
      <c r="I12" s="298"/>
      <c r="J12" s="328"/>
      <c r="K12" s="298"/>
      <c r="L12" s="302"/>
      <c r="M12" s="298"/>
    </row>
    <row r="13" spans="1:17" ht="15">
      <c r="A13" s="285"/>
      <c r="B13" s="285"/>
      <c r="C13" s="285"/>
      <c r="D13" s="285"/>
      <c r="E13" s="285"/>
      <c r="F13" s="285"/>
      <c r="G13" s="285"/>
      <c r="H13" s="324"/>
      <c r="I13" s="285"/>
      <c r="J13" s="329"/>
      <c r="K13" s="285"/>
      <c r="L13" s="297"/>
      <c r="M13" s="285"/>
      <c r="O13" s="305"/>
      <c r="P13" s="305"/>
      <c r="Q13" s="305"/>
    </row>
    <row r="14" spans="1:17" ht="15">
      <c r="A14" s="285" t="s">
        <v>1084</v>
      </c>
      <c r="B14" s="285"/>
      <c r="C14" s="285"/>
      <c r="D14" s="285"/>
      <c r="E14" s="304"/>
      <c r="F14" s="285" t="s">
        <v>1085</v>
      </c>
      <c r="G14" s="285"/>
      <c r="H14" s="285"/>
      <c r="I14" s="325"/>
      <c r="J14" s="304"/>
      <c r="K14" s="285" t="s">
        <v>1080</v>
      </c>
      <c r="L14" s="341">
        <f>J15/$I$3</f>
        <v>0</v>
      </c>
      <c r="M14" s="285"/>
      <c r="O14" s="305"/>
      <c r="P14" s="305"/>
      <c r="Q14" s="305"/>
    </row>
    <row r="15" spans="1:17" ht="15">
      <c r="A15" s="298"/>
      <c r="B15" s="298"/>
      <c r="C15" s="298"/>
      <c r="D15" s="298"/>
      <c r="E15" s="298"/>
      <c r="F15" s="298"/>
      <c r="G15" s="298"/>
      <c r="H15" s="298"/>
      <c r="I15" s="298"/>
      <c r="J15" s="308"/>
      <c r="K15" s="298"/>
      <c r="L15" s="302"/>
      <c r="M15" s="298"/>
      <c r="O15" s="305"/>
      <c r="P15" s="305"/>
      <c r="Q15" s="305"/>
    </row>
    <row r="16" spans="1:17">
      <c r="A16" s="285"/>
      <c r="B16" s="285"/>
      <c r="C16" s="285"/>
      <c r="D16" s="285"/>
      <c r="E16" s="285"/>
      <c r="F16" s="285"/>
      <c r="G16" s="285"/>
      <c r="H16" s="285"/>
      <c r="I16" s="285"/>
      <c r="J16" s="304"/>
      <c r="K16" s="285"/>
      <c r="L16" s="297"/>
      <c r="M16" s="285"/>
    </row>
    <row r="17" spans="1:13">
      <c r="A17" s="285" t="s">
        <v>1086</v>
      </c>
      <c r="B17" s="285"/>
      <c r="C17" s="290" t="s">
        <v>1087</v>
      </c>
      <c r="D17" s="285"/>
      <c r="E17" s="285"/>
      <c r="F17" s="336">
        <f>0.05*I3</f>
        <v>40000</v>
      </c>
      <c r="G17" s="285" t="s">
        <v>1088</v>
      </c>
      <c r="H17" s="304"/>
      <c r="I17" s="285" t="s">
        <v>1081</v>
      </c>
      <c r="J17" s="343">
        <v>0</v>
      </c>
      <c r="K17" s="285" t="s">
        <v>1080</v>
      </c>
      <c r="L17" s="338">
        <f>J17/$J$3</f>
        <v>0</v>
      </c>
      <c r="M17" s="285"/>
    </row>
    <row r="18" spans="1:13">
      <c r="A18" s="298"/>
      <c r="B18" s="298"/>
      <c r="C18" s="298"/>
      <c r="D18" s="298"/>
      <c r="E18" s="298"/>
      <c r="F18" s="326"/>
      <c r="G18" s="298"/>
      <c r="H18" s="308"/>
      <c r="I18" s="298"/>
      <c r="J18" s="308"/>
      <c r="K18" s="298"/>
      <c r="L18" s="302"/>
      <c r="M18" s="298"/>
    </row>
    <row r="19" spans="1:13">
      <c r="A19" s="285"/>
      <c r="B19" s="285"/>
      <c r="C19" s="285"/>
      <c r="D19" s="285"/>
      <c r="E19" s="285"/>
      <c r="F19" s="324"/>
      <c r="G19" s="285"/>
      <c r="H19" s="304"/>
      <c r="I19" s="285"/>
      <c r="J19" s="304"/>
      <c r="K19" s="285"/>
      <c r="L19" s="297"/>
      <c r="M19" s="285"/>
    </row>
    <row r="20" spans="1:13">
      <c r="A20" s="285" t="s">
        <v>1089</v>
      </c>
      <c r="B20" s="285"/>
      <c r="C20" s="285"/>
      <c r="D20" s="285"/>
      <c r="E20" s="285" t="s">
        <v>50</v>
      </c>
      <c r="F20" s="324"/>
      <c r="G20" s="285"/>
      <c r="H20" s="304"/>
      <c r="I20" s="285"/>
      <c r="J20" s="343"/>
      <c r="K20" s="285" t="s">
        <v>1080</v>
      </c>
      <c r="L20" s="338">
        <f>J20/$I$3</f>
        <v>0</v>
      </c>
      <c r="M20" s="285"/>
    </row>
    <row r="21" spans="1:13">
      <c r="A21" s="298"/>
      <c r="B21" s="298"/>
      <c r="C21" s="298"/>
      <c r="D21" s="298"/>
      <c r="E21" s="298"/>
      <c r="F21" s="326"/>
      <c r="G21" s="298"/>
      <c r="H21" s="308"/>
      <c r="I21" s="298"/>
      <c r="J21" s="308"/>
      <c r="K21" s="298"/>
      <c r="L21" s="302"/>
      <c r="M21" s="298"/>
    </row>
    <row r="22" spans="1:13">
      <c r="A22" s="285"/>
      <c r="B22" s="285"/>
      <c r="C22" s="285"/>
      <c r="D22" s="285"/>
      <c r="E22" s="285"/>
      <c r="F22" s="285"/>
      <c r="G22" s="285"/>
      <c r="H22" s="285"/>
      <c r="I22" s="285"/>
      <c r="J22" s="285"/>
      <c r="K22" s="285"/>
      <c r="L22" s="297"/>
      <c r="M22" s="285"/>
    </row>
    <row r="23" spans="1:13">
      <c r="A23" s="285" t="s">
        <v>1090</v>
      </c>
      <c r="B23" s="285"/>
      <c r="C23" s="285"/>
      <c r="D23" s="285"/>
      <c r="E23" s="285"/>
      <c r="F23" s="285"/>
      <c r="G23" s="285"/>
      <c r="H23" s="285"/>
      <c r="I23" s="285"/>
      <c r="J23" s="343">
        <v>30000</v>
      </c>
      <c r="K23" s="285" t="s">
        <v>1080</v>
      </c>
      <c r="L23" s="338">
        <f>J23/$J$3</f>
        <v>0.05</v>
      </c>
      <c r="M23" s="285"/>
    </row>
    <row r="24" spans="1:13">
      <c r="A24" s="298"/>
      <c r="B24" s="298"/>
      <c r="C24" s="298"/>
      <c r="D24" s="298"/>
      <c r="E24" s="298"/>
      <c r="F24" s="298"/>
      <c r="G24" s="298"/>
      <c r="H24" s="298"/>
      <c r="I24" s="298"/>
      <c r="J24" s="308"/>
      <c r="K24" s="298"/>
      <c r="L24" s="302"/>
      <c r="M24" s="298"/>
    </row>
    <row r="25" spans="1:13">
      <c r="A25" s="285"/>
      <c r="B25" s="285"/>
      <c r="C25" s="285"/>
      <c r="D25" s="285"/>
      <c r="E25" s="285"/>
      <c r="F25" s="285"/>
      <c r="G25" s="285"/>
      <c r="H25" s="285"/>
      <c r="I25" s="285"/>
      <c r="J25" s="304"/>
      <c r="K25" s="285"/>
      <c r="L25" s="297"/>
      <c r="M25" s="285"/>
    </row>
    <row r="26" spans="1:13">
      <c r="A26" s="285" t="s">
        <v>1091</v>
      </c>
      <c r="B26" s="285"/>
      <c r="C26" s="285"/>
      <c r="D26" s="285"/>
      <c r="E26" s="285"/>
      <c r="F26" s="285"/>
      <c r="G26" s="292"/>
      <c r="H26" s="309"/>
      <c r="I26" s="285"/>
      <c r="J26" s="343">
        <v>40000</v>
      </c>
      <c r="K26" s="285" t="s">
        <v>1080</v>
      </c>
      <c r="L26" s="338">
        <f>J26/$J$3</f>
        <v>6.6666666666666666E-2</v>
      </c>
      <c r="M26" s="285"/>
    </row>
    <row r="27" spans="1:13">
      <c r="A27" s="298"/>
      <c r="B27" s="298"/>
      <c r="C27" s="298"/>
      <c r="D27" s="298"/>
      <c r="E27" s="298"/>
      <c r="F27" s="298"/>
      <c r="G27" s="310"/>
      <c r="H27" s="311"/>
      <c r="I27" s="298"/>
      <c r="J27" s="301"/>
      <c r="K27" s="312"/>
      <c r="L27" s="302"/>
      <c r="M27" s="298"/>
    </row>
    <row r="28" spans="1:13">
      <c r="A28" s="285"/>
      <c r="B28" s="285"/>
      <c r="C28" s="285"/>
      <c r="D28" s="285"/>
      <c r="E28" s="285"/>
      <c r="F28" s="285"/>
      <c r="G28" s="285"/>
      <c r="H28" s="285"/>
      <c r="I28" s="285"/>
      <c r="J28" s="304"/>
      <c r="K28" s="285"/>
      <c r="L28" s="297"/>
      <c r="M28" s="285"/>
    </row>
    <row r="29" spans="1:13">
      <c r="A29" s="285" t="s">
        <v>1092</v>
      </c>
      <c r="B29" s="285"/>
      <c r="C29" s="285"/>
      <c r="D29" s="285"/>
      <c r="E29" s="285"/>
      <c r="F29" s="285"/>
      <c r="G29" s="285"/>
      <c r="H29" s="285"/>
      <c r="I29" s="285"/>
      <c r="J29" s="343">
        <v>50000</v>
      </c>
      <c r="K29" s="285" t="s">
        <v>1080</v>
      </c>
      <c r="L29" s="338">
        <f>J29/$J$3</f>
        <v>8.3333333333333329E-2</v>
      </c>
      <c r="M29" s="285"/>
    </row>
    <row r="30" spans="1:13">
      <c r="A30" s="298"/>
      <c r="B30" s="298"/>
      <c r="C30" s="298"/>
      <c r="D30" s="298"/>
      <c r="E30" s="298"/>
      <c r="F30" s="298"/>
      <c r="G30" s="298"/>
      <c r="H30" s="298"/>
      <c r="I30" s="298"/>
      <c r="J30" s="308"/>
      <c r="K30" s="298"/>
      <c r="L30" s="302"/>
      <c r="M30" s="298"/>
    </row>
    <row r="31" spans="1:13">
      <c r="A31" s="285"/>
      <c r="B31" s="285"/>
      <c r="C31" s="285"/>
      <c r="D31" s="285"/>
      <c r="E31" s="285"/>
      <c r="F31" s="285"/>
      <c r="G31" s="285"/>
      <c r="H31" s="285"/>
      <c r="I31" s="285"/>
      <c r="J31" s="304"/>
      <c r="K31" s="285"/>
      <c r="L31" s="297"/>
      <c r="M31" s="285"/>
    </row>
    <row r="32" spans="1:13">
      <c r="A32" s="285" t="s">
        <v>1093</v>
      </c>
      <c r="B32" s="285"/>
      <c r="C32" s="285"/>
      <c r="D32" s="285"/>
      <c r="E32" s="285"/>
      <c r="F32" s="324"/>
      <c r="G32" s="285"/>
      <c r="H32" s="285"/>
      <c r="I32" s="285"/>
      <c r="J32" s="343"/>
      <c r="K32" s="285" t="s">
        <v>1080</v>
      </c>
      <c r="L32" s="338">
        <f>J32/$I$3</f>
        <v>0</v>
      </c>
      <c r="M32" s="285"/>
    </row>
    <row r="33" spans="1:17">
      <c r="A33" s="298"/>
      <c r="B33" s="298"/>
      <c r="C33" s="298"/>
      <c r="D33" s="298"/>
      <c r="E33" s="298"/>
      <c r="F33" s="298"/>
      <c r="G33" s="298"/>
      <c r="H33" s="298"/>
      <c r="I33" s="298"/>
      <c r="J33" s="308"/>
      <c r="K33" s="298"/>
      <c r="L33" s="302"/>
      <c r="M33" s="298"/>
    </row>
    <row r="34" spans="1:17">
      <c r="A34" s="285"/>
      <c r="B34" s="285"/>
      <c r="C34" s="285"/>
      <c r="D34" s="285"/>
      <c r="E34" s="285"/>
      <c r="F34" s="285"/>
      <c r="G34" s="285"/>
      <c r="H34" s="285"/>
      <c r="I34" s="285"/>
      <c r="J34" s="304"/>
      <c r="K34" s="285"/>
      <c r="L34" s="297"/>
      <c r="M34" s="285"/>
    </row>
    <row r="35" spans="1:17">
      <c r="A35" s="306" t="s">
        <v>1094</v>
      </c>
      <c r="B35" s="306"/>
      <c r="C35" s="306"/>
      <c r="D35" s="306"/>
      <c r="E35" s="306"/>
      <c r="F35" s="285"/>
      <c r="G35" s="285"/>
      <c r="H35" s="285"/>
      <c r="I35" s="285"/>
      <c r="J35" s="344">
        <f>'Org-Salary Structure'!H12</f>
        <v>558975</v>
      </c>
      <c r="K35" s="285" t="s">
        <v>1080</v>
      </c>
      <c r="L35" s="338">
        <f>J35/$J$3</f>
        <v>0.93162500000000004</v>
      </c>
      <c r="M35" s="285"/>
    </row>
    <row r="36" spans="1:17">
      <c r="A36" s="306"/>
      <c r="B36" s="306"/>
      <c r="C36" s="306"/>
      <c r="D36" s="306"/>
      <c r="E36" s="306"/>
      <c r="F36" s="285"/>
      <c r="G36" s="285"/>
      <c r="H36" s="285"/>
      <c r="I36" s="285"/>
      <c r="J36" s="313"/>
      <c r="K36" s="306"/>
      <c r="L36" s="307"/>
      <c r="M36" s="285"/>
    </row>
    <row r="37" spans="1:17" ht="15.75" thickBot="1">
      <c r="A37" s="314"/>
      <c r="B37" s="314"/>
      <c r="C37" s="314"/>
      <c r="D37" s="314"/>
      <c r="E37" s="314"/>
      <c r="F37" s="314"/>
      <c r="G37" s="314"/>
      <c r="H37" s="314"/>
      <c r="I37" s="314"/>
      <c r="J37" s="314"/>
      <c r="K37" s="314"/>
      <c r="L37" s="314"/>
      <c r="M37" s="314"/>
      <c r="N37" s="305"/>
      <c r="O37" s="305"/>
      <c r="P37" s="315"/>
      <c r="Q37" s="315"/>
    </row>
    <row r="38" spans="1:17" ht="15">
      <c r="A38" s="285" t="s">
        <v>1095</v>
      </c>
      <c r="B38" s="285"/>
      <c r="C38" s="285"/>
      <c r="D38" s="285"/>
      <c r="E38" s="285"/>
      <c r="F38" s="285"/>
      <c r="G38" s="285"/>
      <c r="H38" s="285"/>
      <c r="I38" s="285"/>
      <c r="J38" s="342">
        <f>SUM(J7:J37)</f>
        <v>923517</v>
      </c>
      <c r="K38" s="285"/>
      <c r="L38" s="338">
        <f>J38/$J$3</f>
        <v>1.5391950000000001</v>
      </c>
      <c r="M38" s="285"/>
      <c r="N38" s="305"/>
      <c r="O38" s="305"/>
    </row>
    <row r="39" spans="1:17" ht="15">
      <c r="A39" s="285"/>
      <c r="B39" s="285"/>
      <c r="C39" s="285"/>
      <c r="D39" s="285"/>
      <c r="E39" s="285"/>
      <c r="F39" s="296"/>
      <c r="G39" s="285"/>
      <c r="H39" s="285"/>
      <c r="I39" s="285"/>
      <c r="J39" s="304"/>
      <c r="K39" s="285"/>
      <c r="L39" s="285"/>
      <c r="M39" s="285"/>
      <c r="N39" s="305"/>
      <c r="O39" s="305"/>
    </row>
    <row r="40" spans="1:17" ht="15.75" thickBot="1">
      <c r="A40" s="285" t="s">
        <v>1096</v>
      </c>
      <c r="B40" s="285"/>
      <c r="C40" s="285"/>
      <c r="D40" s="285"/>
      <c r="E40" s="285"/>
      <c r="F40" s="296"/>
      <c r="G40" s="285"/>
      <c r="H40" s="285"/>
      <c r="I40" s="285"/>
      <c r="J40" s="285"/>
      <c r="K40" s="285"/>
      <c r="L40" s="285" t="s">
        <v>654</v>
      </c>
      <c r="M40" s="285" t="s">
        <v>653</v>
      </c>
      <c r="N40" s="305"/>
      <c r="O40" s="305"/>
    </row>
    <row r="41" spans="1:17" ht="15">
      <c r="A41" s="316" t="s">
        <v>1098</v>
      </c>
      <c r="B41" s="317"/>
      <c r="C41" s="317"/>
      <c r="D41" s="317"/>
      <c r="E41" s="317"/>
      <c r="F41" s="317"/>
      <c r="G41" s="317"/>
      <c r="H41" s="317"/>
      <c r="I41" s="317"/>
      <c r="J41" s="317"/>
      <c r="K41" s="317"/>
      <c r="L41" s="318">
        <f>L38/3.785</f>
        <v>0.4066565389696169</v>
      </c>
      <c r="M41" s="318">
        <v>0.21984081902245708</v>
      </c>
      <c r="N41" s="305"/>
      <c r="O41" s="305"/>
    </row>
    <row r="42" spans="1:17" ht="15.75" thickBot="1">
      <c r="A42" s="319" t="s">
        <v>1097</v>
      </c>
      <c r="B42" s="298"/>
      <c r="C42" s="298"/>
      <c r="D42" s="298"/>
      <c r="E42" s="298"/>
      <c r="F42" s="298"/>
      <c r="G42" s="298"/>
      <c r="H42" s="298"/>
      <c r="I42" s="298"/>
      <c r="J42" s="298"/>
      <c r="K42" s="320"/>
      <c r="L42" s="321">
        <f>L38</f>
        <v>1.5391950000000001</v>
      </c>
      <c r="M42" s="321">
        <v>0.83209750000000005</v>
      </c>
      <c r="N42" s="305"/>
      <c r="O42" s="305"/>
    </row>
    <row r="43" spans="1:17" ht="15">
      <c r="A43" s="306" t="s">
        <v>1099</v>
      </c>
      <c r="B43" s="306"/>
      <c r="C43" s="306"/>
      <c r="D43" s="306"/>
      <c r="E43" s="306"/>
      <c r="F43" s="306"/>
      <c r="G43" s="306"/>
      <c r="H43" s="306"/>
      <c r="I43" s="306"/>
      <c r="J43" s="306"/>
      <c r="K43" s="322"/>
      <c r="L43" s="318">
        <f>L38/4</f>
        <v>0.38479875000000002</v>
      </c>
      <c r="M43" s="318">
        <v>0.20802437500000001</v>
      </c>
      <c r="N43" s="305"/>
      <c r="O43" s="305"/>
    </row>
    <row r="44" spans="1:17" ht="13.5" thickBot="1">
      <c r="A44" s="298" t="s">
        <v>1100</v>
      </c>
      <c r="B44" s="298"/>
      <c r="C44" s="298"/>
      <c r="D44" s="298"/>
      <c r="E44" s="298"/>
      <c r="F44" s="298"/>
      <c r="G44" s="298"/>
      <c r="H44" s="298"/>
      <c r="I44" s="298"/>
      <c r="J44" s="298"/>
      <c r="K44" s="326"/>
      <c r="L44" s="323">
        <f>L42*55</f>
        <v>84.655725000000004</v>
      </c>
      <c r="M44" s="323">
        <v>45.765362500000002</v>
      </c>
    </row>
    <row r="45" spans="1:17">
      <c r="K45" s="330"/>
    </row>
    <row r="46" spans="1:17" s="305" customFormat="1" ht="15">
      <c r="A46" s="239"/>
      <c r="B46" s="133" t="s">
        <v>20</v>
      </c>
      <c r="C46" s="133"/>
      <c r="D46" s="133"/>
      <c r="E46" s="133"/>
      <c r="F46" s="133"/>
      <c r="G46" s="133"/>
      <c r="H46" s="133"/>
      <c r="I46" s="133"/>
      <c r="J46" s="133"/>
      <c r="K46" s="133"/>
      <c r="L46" s="133"/>
      <c r="M46" s="133"/>
    </row>
    <row r="47" spans="1:17" s="305" customFormat="1" ht="15"/>
    <row r="48" spans="1:17" s="305" customFormat="1" ht="15"/>
    <row r="49" spans="2:14" s="305" customFormat="1" ht="15">
      <c r="B49" s="215" t="s">
        <v>1101</v>
      </c>
      <c r="D49" s="305">
        <v>2019</v>
      </c>
      <c r="E49" s="305">
        <v>2020</v>
      </c>
      <c r="F49" s="305">
        <v>2021</v>
      </c>
      <c r="G49" s="305">
        <v>2022</v>
      </c>
      <c r="H49" s="305">
        <v>2023</v>
      </c>
      <c r="I49" s="305">
        <v>2024</v>
      </c>
      <c r="J49" s="305">
        <v>2025</v>
      </c>
      <c r="K49" s="305">
        <v>2026</v>
      </c>
      <c r="L49" s="305">
        <v>2027</v>
      </c>
      <c r="M49" s="305">
        <v>2028</v>
      </c>
      <c r="N49"/>
    </row>
    <row r="50" spans="2:14" s="305" customFormat="1" ht="15">
      <c r="B50" s="215" t="s">
        <v>824</v>
      </c>
      <c r="D50" s="653">
        <f>$L$7+$L$11+$L$14+$L$17+$L$20+$L$23+$L$26++$L$29+$L$32+$L$35*('Key Assumptions'!F15)</f>
        <v>1.3528700000000002</v>
      </c>
      <c r="E50" s="653">
        <f>$L$7+$L$11+$L$14+$L$17+$L$20+$L$23+$L$26++$L$29+$L$32+$L$35*('Key Assumptions'!G15)</f>
        <v>1.2131262500000002</v>
      </c>
      <c r="F50" s="653">
        <f>$L$7+$L$11+$L$14+$L$17+$L$20+$L$23+$L$26++$L$29+$L$32+$L$35*('Key Assumptions'!H15)</f>
        <v>1.1665450000000002</v>
      </c>
      <c r="G50" s="653">
        <f>$L$7+$L$11+$L$14+$L$17+$L$20+$L$23+$L$26++$L$29+$L$32+$L$35*('Key Assumptions'!I15)</f>
        <v>1.0733825000000001</v>
      </c>
      <c r="H50" s="653">
        <f>$L$7+$L$11+$L$14+$L$17+$L$20+$L$23+$L$26++$L$29+$L$32+$L$35*('Key Assumptions'!J15)</f>
        <v>1.06406625</v>
      </c>
      <c r="I50" s="653">
        <f>$L$7+$L$11+$L$14+$L$17+$L$20+$L$23+$L$26++$L$29+$L$32+$L$35*('Key Assumptions'!K15)</f>
        <v>1.0549363249999999</v>
      </c>
      <c r="J50" s="653">
        <f>$L$7+$L$11+$L$14+$L$17+$L$20+$L$23+$L$26++$L$29+$L$32+$L$35*('Key Assumptions'!L15)</f>
        <v>1.0459889984999999</v>
      </c>
      <c r="K50" s="653">
        <f>$L$7+$L$11+$L$14+$L$17+$L$20+$L$23+$L$26++$L$29+$L$32+$L$35*('Key Assumptions'!M15)</f>
        <v>1.0372206185300001</v>
      </c>
      <c r="L50" s="653">
        <f>$L$7+$L$11+$L$14+$L$17+$L$20+$L$23+$L$26++$L$29+$L$32+$L$35*('Key Assumptions'!N15)</f>
        <v>1.0286276061594</v>
      </c>
      <c r="M50" s="653">
        <f>$L$7+$L$11+$L$14+$L$17+$L$20+$L$23+$L$26++$L$29+$L$32+$L$35*('Key Assumptions'!O15)</f>
        <v>1.0202064540362119</v>
      </c>
      <c r="N50"/>
    </row>
    <row r="51" spans="2:14" s="305" customFormat="1" ht="15">
      <c r="B51" s="215" t="s">
        <v>1102</v>
      </c>
      <c r="D51" s="653">
        <f>$L$35*(1-'Key Assumptions'!F15)</f>
        <v>0.18632499999999996</v>
      </c>
      <c r="E51" s="653">
        <f>$L$35*(1-'Key Assumptions'!G15)</f>
        <v>0.32606875000000002</v>
      </c>
      <c r="F51" s="653">
        <f>$L$35*(1-'Key Assumptions'!H15)</f>
        <v>0.37265000000000004</v>
      </c>
      <c r="G51" s="653">
        <f>$L$35*(1-'Key Assumptions'!I15)</f>
        <v>0.46581250000000002</v>
      </c>
      <c r="H51" s="653">
        <f>$L$35*(1-'Key Assumptions'!J15)</f>
        <v>0.47512875000000004</v>
      </c>
      <c r="I51" s="653">
        <f>$L$35*(1-'Key Assumptions'!K15)</f>
        <v>0.48425867500000008</v>
      </c>
      <c r="J51" s="653">
        <f>$L$35*(1-'Key Assumptions'!L15)</f>
        <v>0.49320600149999999</v>
      </c>
      <c r="K51" s="653">
        <f>$L$35*(1-'Key Assumptions'!M15)</f>
        <v>0.50197438147000006</v>
      </c>
      <c r="L51" s="653">
        <f>$L$35*(1-'Key Assumptions'!N15)</f>
        <v>0.51056739384060013</v>
      </c>
      <c r="M51" s="653">
        <f>$L$35*(1-'Key Assumptions'!O15)</f>
        <v>0.51898854596378818</v>
      </c>
      <c r="N51"/>
    </row>
    <row r="52" spans="2:14" s="305" customFormat="1" ht="15"/>
    <row r="53" spans="2:14" s="305" customFormat="1" ht="15"/>
    <row r="54" spans="2:14" s="305" customFormat="1" ht="15"/>
    <row r="55" spans="2:14" s="305" customFormat="1" ht="15"/>
    <row r="56" spans="2:14" s="305" customFormat="1" ht="15"/>
    <row r="57" spans="2:14" s="305" customFormat="1" ht="15"/>
    <row r="58" spans="2:14" s="305" customFormat="1" ht="15"/>
  </sheetData>
  <mergeCells count="1">
    <mergeCell ref="L6:M6"/>
  </mergeCells>
  <printOptions horizontalCentered="1"/>
  <pageMargins left="0.2" right="0" top="0.5868503937007874" bottom="0.2" header="0.5" footer="0.5"/>
  <pageSetup scale="80"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58"/>
  <sheetViews>
    <sheetView topLeftCell="A31" zoomScale="125" zoomScaleNormal="125" zoomScalePageLayoutView="125" workbookViewId="0">
      <selection activeCell="D51" sqref="D51"/>
    </sheetView>
  </sheetViews>
  <sheetFormatPr defaultColWidth="8.85546875" defaultRowHeight="12.75"/>
  <cols>
    <col min="1" max="1" width="9.42578125" style="283" customWidth="1"/>
    <col min="2" max="2" width="13.140625" style="283" customWidth="1"/>
    <col min="3" max="3" width="9.42578125" style="283" customWidth="1"/>
    <col min="4" max="4" width="11.42578125" style="283" bestFit="1" customWidth="1"/>
    <col min="5" max="5" width="9.42578125" style="283" customWidth="1"/>
    <col min="6" max="9" width="11.28515625" style="283" customWidth="1"/>
    <col min="10" max="10" width="13.28515625" style="283" bestFit="1" customWidth="1"/>
    <col min="11" max="13" width="9.42578125" style="283" customWidth="1"/>
    <col min="14" max="16384" width="8.85546875" style="283"/>
  </cols>
  <sheetData>
    <row r="1" spans="1:17" ht="15.75">
      <c r="A1" s="284" t="s">
        <v>450</v>
      </c>
      <c r="B1" s="285"/>
      <c r="C1" s="285"/>
      <c r="D1" s="285"/>
      <c r="E1" s="285"/>
      <c r="F1" s="285"/>
      <c r="G1" s="285"/>
      <c r="H1" s="285"/>
      <c r="I1" s="285"/>
      <c r="J1" s="285"/>
      <c r="K1" s="285"/>
      <c r="L1" s="285"/>
      <c r="M1" s="285"/>
    </row>
    <row r="2" spans="1:17">
      <c r="A2" s="285"/>
      <c r="B2" s="285"/>
      <c r="C2" s="285"/>
      <c r="D2" s="285"/>
      <c r="E2" s="285"/>
      <c r="F2" s="285"/>
      <c r="G2" s="285"/>
      <c r="H2" s="285"/>
      <c r="I2" s="410" t="s">
        <v>152</v>
      </c>
      <c r="J2" s="410" t="s">
        <v>153</v>
      </c>
      <c r="K2" s="285"/>
      <c r="L2" s="285"/>
      <c r="M2" s="285"/>
    </row>
    <row r="3" spans="1:17">
      <c r="B3" s="285"/>
      <c r="C3" s="285"/>
      <c r="D3" s="294" t="s">
        <v>383</v>
      </c>
      <c r="E3" s="332">
        <f>378.5*2</f>
        <v>757</v>
      </c>
      <c r="F3" s="285" t="s">
        <v>52</v>
      </c>
      <c r="G3" s="286" t="s">
        <v>380</v>
      </c>
      <c r="H3" s="287"/>
      <c r="I3" s="288">
        <f>E3*M3/3.785</f>
        <v>1600000</v>
      </c>
      <c r="J3" s="288">
        <f>I3*0.75</f>
        <v>1200000</v>
      </c>
      <c r="L3" s="303" t="s">
        <v>382</v>
      </c>
      <c r="M3" s="331">
        <v>8000</v>
      </c>
    </row>
    <row r="4" spans="1:17">
      <c r="A4" s="285"/>
      <c r="B4" s="285"/>
      <c r="C4" s="285"/>
      <c r="D4" s="285"/>
      <c r="E4" s="285"/>
      <c r="F4" s="285"/>
      <c r="G4" s="289" t="s">
        <v>381</v>
      </c>
      <c r="H4" s="287"/>
      <c r="I4" s="288">
        <f>E3*M3</f>
        <v>6056000</v>
      </c>
      <c r="J4" s="288">
        <f>I4*0.75</f>
        <v>4542000</v>
      </c>
      <c r="K4" s="285"/>
      <c r="L4" s="285"/>
      <c r="M4" s="285"/>
    </row>
    <row r="5" spans="1:17">
      <c r="A5" s="290"/>
      <c r="B5" s="285"/>
      <c r="C5" s="285"/>
      <c r="D5" s="285"/>
      <c r="E5" s="285"/>
      <c r="F5" s="285"/>
      <c r="G5" s="289" t="s">
        <v>384</v>
      </c>
      <c r="H5" s="287"/>
      <c r="I5" s="333">
        <f>I4/12</f>
        <v>504666.66666666669</v>
      </c>
      <c r="J5" s="334">
        <f>J4/12</f>
        <v>378500</v>
      </c>
      <c r="K5" s="285"/>
      <c r="L5" s="285"/>
      <c r="M5" s="285"/>
    </row>
    <row r="6" spans="1:17">
      <c r="A6" s="285"/>
      <c r="B6" s="285"/>
      <c r="C6" s="285"/>
      <c r="D6" s="285"/>
      <c r="E6" s="285"/>
      <c r="F6" s="285"/>
      <c r="G6" s="285"/>
      <c r="H6" s="291"/>
      <c r="I6" s="285"/>
      <c r="J6" s="292"/>
      <c r="K6" s="285"/>
      <c r="L6" s="763" t="s">
        <v>392</v>
      </c>
      <c r="M6" s="763"/>
    </row>
    <row r="7" spans="1:17">
      <c r="A7" s="285" t="s">
        <v>385</v>
      </c>
      <c r="B7" s="285"/>
      <c r="C7" s="339">
        <v>200</v>
      </c>
      <c r="D7" s="293" t="s">
        <v>386</v>
      </c>
      <c r="E7" s="335">
        <v>0.2</v>
      </c>
      <c r="F7" s="285" t="s">
        <v>389</v>
      </c>
      <c r="G7" s="336">
        <f>M3</f>
        <v>8000</v>
      </c>
      <c r="H7" s="285" t="s">
        <v>387</v>
      </c>
      <c r="I7" s="285"/>
      <c r="J7" s="337">
        <f>(C7*E7*M3)</f>
        <v>320000</v>
      </c>
      <c r="K7" s="285" t="s">
        <v>388</v>
      </c>
      <c r="L7" s="338">
        <f>J7/$J$3</f>
        <v>0.26666666666666666</v>
      </c>
      <c r="M7" s="325"/>
    </row>
    <row r="8" spans="1:17">
      <c r="A8" s="298"/>
      <c r="B8" s="298"/>
      <c r="C8" s="298"/>
      <c r="D8" s="299"/>
      <c r="E8" s="300"/>
      <c r="F8" s="298"/>
      <c r="G8" s="326"/>
      <c r="H8" s="298"/>
      <c r="I8" s="298"/>
      <c r="J8" s="301"/>
      <c r="K8" s="298"/>
      <c r="L8" s="302"/>
      <c r="M8" s="327"/>
    </row>
    <row r="9" spans="1:17">
      <c r="A9" s="285"/>
      <c r="B9" s="285"/>
      <c r="C9" s="285"/>
      <c r="D9" s="303"/>
      <c r="E9" s="295"/>
      <c r="F9" s="285"/>
      <c r="G9" s="324"/>
      <c r="H9" s="285"/>
      <c r="I9" s="285"/>
      <c r="J9" s="296"/>
      <c r="K9" s="285"/>
      <c r="L9" s="297"/>
      <c r="M9" s="325"/>
    </row>
    <row r="10" spans="1:17">
      <c r="A10" s="285" t="s">
        <v>390</v>
      </c>
      <c r="B10" s="285"/>
      <c r="C10" s="339">
        <v>75</v>
      </c>
      <c r="D10" s="290" t="s">
        <v>51</v>
      </c>
      <c r="E10" s="304">
        <v>2</v>
      </c>
      <c r="F10" s="285" t="s">
        <v>391</v>
      </c>
      <c r="G10" s="336">
        <f>M3</f>
        <v>8000</v>
      </c>
      <c r="H10" s="285" t="s">
        <v>387</v>
      </c>
      <c r="I10" s="285"/>
      <c r="J10" s="285"/>
      <c r="K10" s="285"/>
      <c r="L10" s="297"/>
      <c r="M10" s="285"/>
    </row>
    <row r="11" spans="1:17">
      <c r="A11" s="285"/>
      <c r="B11" s="285"/>
      <c r="C11" s="285"/>
      <c r="D11" s="285"/>
      <c r="E11" s="285"/>
      <c r="F11" s="285"/>
      <c r="G11" s="285"/>
      <c r="H11" s="336">
        <f>C10*M3*3.785</f>
        <v>2271000</v>
      </c>
      <c r="I11" s="285" t="s">
        <v>393</v>
      </c>
      <c r="J11" s="340">
        <f>E10*H11/1000</f>
        <v>4542</v>
      </c>
      <c r="K11" s="285" t="s">
        <v>388</v>
      </c>
      <c r="L11" s="338">
        <f>J11/$J$3</f>
        <v>3.7850000000000002E-3</v>
      </c>
      <c r="M11" s="285"/>
    </row>
    <row r="12" spans="1:17">
      <c r="A12" s="298"/>
      <c r="B12" s="298"/>
      <c r="C12" s="298"/>
      <c r="D12" s="298"/>
      <c r="E12" s="298"/>
      <c r="F12" s="298"/>
      <c r="G12" s="298"/>
      <c r="H12" s="326"/>
      <c r="I12" s="298"/>
      <c r="J12" s="328"/>
      <c r="K12" s="298"/>
      <c r="L12" s="302"/>
      <c r="M12" s="298"/>
    </row>
    <row r="13" spans="1:17" ht="15">
      <c r="A13" s="285"/>
      <c r="B13" s="285"/>
      <c r="C13" s="285"/>
      <c r="D13" s="285"/>
      <c r="E13" s="285"/>
      <c r="F13" s="285"/>
      <c r="G13" s="285"/>
      <c r="H13" s="324"/>
      <c r="I13" s="285"/>
      <c r="J13" s="329"/>
      <c r="K13" s="285"/>
      <c r="L13" s="297"/>
      <c r="M13" s="285"/>
      <c r="O13" s="305"/>
      <c r="P13" s="305"/>
      <c r="Q13" s="305"/>
    </row>
    <row r="14" spans="1:17" ht="15">
      <c r="A14" s="285" t="s">
        <v>394</v>
      </c>
      <c r="B14" s="285"/>
      <c r="C14" s="285"/>
      <c r="D14" s="285"/>
      <c r="E14" s="304"/>
      <c r="F14" s="285" t="s">
        <v>395</v>
      </c>
      <c r="G14" s="285"/>
      <c r="H14" s="285"/>
      <c r="I14" s="325"/>
      <c r="J14" s="304"/>
      <c r="K14" s="306" t="s">
        <v>388</v>
      </c>
      <c r="L14" s="341">
        <f>J15/$I$3</f>
        <v>0</v>
      </c>
      <c r="M14" s="285"/>
      <c r="O14" s="305"/>
      <c r="P14" s="305"/>
      <c r="Q14" s="305"/>
    </row>
    <row r="15" spans="1:17" ht="15">
      <c r="A15" s="298"/>
      <c r="B15" s="298"/>
      <c r="C15" s="298"/>
      <c r="D15" s="298"/>
      <c r="E15" s="298"/>
      <c r="F15" s="298"/>
      <c r="G15" s="298"/>
      <c r="H15" s="298"/>
      <c r="I15" s="298"/>
      <c r="J15" s="308"/>
      <c r="K15" s="298"/>
      <c r="L15" s="302"/>
      <c r="M15" s="298"/>
      <c r="O15" s="305"/>
      <c r="P15" s="305"/>
      <c r="Q15" s="305"/>
    </row>
    <row r="16" spans="1:17">
      <c r="A16" s="285"/>
      <c r="B16" s="285"/>
      <c r="C16" s="285"/>
      <c r="D16" s="285"/>
      <c r="E16" s="285"/>
      <c r="F16" s="285"/>
      <c r="G16" s="285"/>
      <c r="H16" s="285"/>
      <c r="I16" s="285"/>
      <c r="J16" s="304"/>
      <c r="K16" s="285"/>
      <c r="L16" s="297"/>
      <c r="M16" s="285"/>
    </row>
    <row r="17" spans="1:13">
      <c r="A17" s="285" t="s">
        <v>396</v>
      </c>
      <c r="B17" s="285"/>
      <c r="C17" s="290" t="s">
        <v>397</v>
      </c>
      <c r="D17" s="285"/>
      <c r="E17" s="285"/>
      <c r="F17" s="336">
        <f>0.05*I3</f>
        <v>80000</v>
      </c>
      <c r="G17" s="285" t="s">
        <v>187</v>
      </c>
      <c r="H17" s="304"/>
      <c r="I17" s="285" t="s">
        <v>392</v>
      </c>
      <c r="J17" s="343">
        <v>0</v>
      </c>
      <c r="K17" s="285" t="s">
        <v>388</v>
      </c>
      <c r="L17" s="338">
        <f>J17/$J$3</f>
        <v>0</v>
      </c>
      <c r="M17" s="285"/>
    </row>
    <row r="18" spans="1:13">
      <c r="A18" s="298"/>
      <c r="B18" s="298"/>
      <c r="C18" s="298"/>
      <c r="D18" s="298"/>
      <c r="E18" s="298"/>
      <c r="F18" s="326"/>
      <c r="G18" s="298"/>
      <c r="H18" s="308"/>
      <c r="I18" s="298"/>
      <c r="J18" s="308"/>
      <c r="K18" s="298"/>
      <c r="L18" s="302"/>
      <c r="M18" s="298"/>
    </row>
    <row r="19" spans="1:13">
      <c r="A19" s="285"/>
      <c r="B19" s="285"/>
      <c r="C19" s="285"/>
      <c r="D19" s="285"/>
      <c r="E19" s="285"/>
      <c r="F19" s="324"/>
      <c r="G19" s="285"/>
      <c r="H19" s="304"/>
      <c r="I19" s="285"/>
      <c r="J19" s="304"/>
      <c r="K19" s="285"/>
      <c r="L19" s="297"/>
      <c r="M19" s="285"/>
    </row>
    <row r="20" spans="1:13">
      <c r="A20" s="285" t="s">
        <v>398</v>
      </c>
      <c r="B20" s="285"/>
      <c r="C20" s="285"/>
      <c r="D20" s="285"/>
      <c r="E20" s="285" t="s">
        <v>50</v>
      </c>
      <c r="F20" s="324"/>
      <c r="G20" s="285"/>
      <c r="H20" s="304"/>
      <c r="I20" s="285"/>
      <c r="J20" s="343">
        <v>75000</v>
      </c>
      <c r="K20" s="285" t="s">
        <v>388</v>
      </c>
      <c r="L20" s="338">
        <f>J20/$I$3</f>
        <v>4.6875E-2</v>
      </c>
      <c r="M20" s="285"/>
    </row>
    <row r="21" spans="1:13">
      <c r="A21" s="298"/>
      <c r="B21" s="298"/>
      <c r="C21" s="298"/>
      <c r="D21" s="298"/>
      <c r="E21" s="298"/>
      <c r="F21" s="326"/>
      <c r="G21" s="298"/>
      <c r="H21" s="308"/>
      <c r="I21" s="298"/>
      <c r="J21" s="308"/>
      <c r="K21" s="298"/>
      <c r="L21" s="302"/>
      <c r="M21" s="298"/>
    </row>
    <row r="22" spans="1:13">
      <c r="A22" s="285"/>
      <c r="B22" s="285"/>
      <c r="C22" s="285"/>
      <c r="D22" s="285"/>
      <c r="E22" s="285"/>
      <c r="F22" s="285"/>
      <c r="G22" s="285"/>
      <c r="H22" s="285"/>
      <c r="I22" s="285"/>
      <c r="J22" s="285"/>
      <c r="K22" s="285"/>
      <c r="L22" s="297"/>
      <c r="M22" s="285"/>
    </row>
    <row r="23" spans="1:13">
      <c r="A23" s="285" t="s">
        <v>556</v>
      </c>
      <c r="B23" s="285"/>
      <c r="C23" s="285"/>
      <c r="D23" s="285"/>
      <c r="E23" s="285"/>
      <c r="F23" s="285"/>
      <c r="G23" s="285"/>
      <c r="H23" s="285"/>
      <c r="I23" s="285"/>
      <c r="J23" s="343">
        <v>60000</v>
      </c>
      <c r="K23" s="285" t="s">
        <v>388</v>
      </c>
      <c r="L23" s="338">
        <f>J23/$J$3</f>
        <v>0.05</v>
      </c>
      <c r="M23" s="285"/>
    </row>
    <row r="24" spans="1:13">
      <c r="A24" s="298"/>
      <c r="B24" s="298"/>
      <c r="C24" s="298"/>
      <c r="D24" s="298"/>
      <c r="E24" s="298"/>
      <c r="F24" s="298"/>
      <c r="G24" s="298"/>
      <c r="H24" s="298"/>
      <c r="I24" s="298"/>
      <c r="J24" s="308"/>
      <c r="K24" s="298"/>
      <c r="L24" s="302"/>
      <c r="M24" s="298"/>
    </row>
    <row r="25" spans="1:13">
      <c r="A25" s="285"/>
      <c r="B25" s="285"/>
      <c r="C25" s="285"/>
      <c r="D25" s="285"/>
      <c r="E25" s="285"/>
      <c r="F25" s="285"/>
      <c r="G25" s="285"/>
      <c r="H25" s="285"/>
      <c r="I25" s="285"/>
      <c r="J25" s="304"/>
      <c r="K25" s="285"/>
      <c r="L25" s="297"/>
      <c r="M25" s="285"/>
    </row>
    <row r="26" spans="1:13">
      <c r="A26" s="285" t="s">
        <v>399</v>
      </c>
      <c r="B26" s="285"/>
      <c r="C26" s="285"/>
      <c r="D26" s="285"/>
      <c r="E26" s="285"/>
      <c r="F26" s="285"/>
      <c r="G26" s="292"/>
      <c r="H26" s="309"/>
      <c r="I26" s="285"/>
      <c r="J26" s="343">
        <v>40000</v>
      </c>
      <c r="K26" s="285" t="s">
        <v>388</v>
      </c>
      <c r="L26" s="338">
        <f>J26/$J$3</f>
        <v>3.3333333333333333E-2</v>
      </c>
      <c r="M26" s="285"/>
    </row>
    <row r="27" spans="1:13">
      <c r="A27" s="298"/>
      <c r="B27" s="298"/>
      <c r="C27" s="298"/>
      <c r="D27" s="298"/>
      <c r="E27" s="298"/>
      <c r="F27" s="298"/>
      <c r="G27" s="310"/>
      <c r="H27" s="311"/>
      <c r="I27" s="298"/>
      <c r="J27" s="301"/>
      <c r="K27" s="312"/>
      <c r="L27" s="302"/>
      <c r="M27" s="298"/>
    </row>
    <row r="28" spans="1:13">
      <c r="A28" s="285"/>
      <c r="B28" s="285"/>
      <c r="C28" s="285"/>
      <c r="D28" s="285"/>
      <c r="E28" s="285"/>
      <c r="F28" s="285"/>
      <c r="G28" s="285"/>
      <c r="H28" s="285"/>
      <c r="I28" s="285"/>
      <c r="J28" s="304"/>
      <c r="K28" s="285"/>
      <c r="L28" s="297"/>
      <c r="M28" s="285"/>
    </row>
    <row r="29" spans="1:13">
      <c r="A29" s="285" t="s">
        <v>400</v>
      </c>
      <c r="B29" s="285"/>
      <c r="C29" s="285"/>
      <c r="D29" s="285"/>
      <c r="E29" s="285"/>
      <c r="F29" s="285"/>
      <c r="G29" s="285"/>
      <c r="H29" s="285"/>
      <c r="I29" s="285"/>
      <c r="J29" s="343">
        <v>50000</v>
      </c>
      <c r="K29" s="285" t="s">
        <v>388</v>
      </c>
      <c r="L29" s="338">
        <f>J29/$J$3</f>
        <v>4.1666666666666664E-2</v>
      </c>
      <c r="M29" s="285"/>
    </row>
    <row r="30" spans="1:13">
      <c r="A30" s="298"/>
      <c r="B30" s="298"/>
      <c r="C30" s="298"/>
      <c r="D30" s="298"/>
      <c r="E30" s="298"/>
      <c r="F30" s="298"/>
      <c r="G30" s="298"/>
      <c r="H30" s="298"/>
      <c r="I30" s="298"/>
      <c r="J30" s="308"/>
      <c r="K30" s="298"/>
      <c r="L30" s="302"/>
      <c r="M30" s="298"/>
    </row>
    <row r="31" spans="1:13">
      <c r="A31" s="285"/>
      <c r="B31" s="285"/>
      <c r="C31" s="285"/>
      <c r="D31" s="285"/>
      <c r="E31" s="285"/>
      <c r="F31" s="285"/>
      <c r="G31" s="285"/>
      <c r="H31" s="285"/>
      <c r="I31" s="285"/>
      <c r="J31" s="304"/>
      <c r="K31" s="285"/>
      <c r="L31" s="297"/>
      <c r="M31" s="285"/>
    </row>
    <row r="32" spans="1:13">
      <c r="A32" s="285" t="s">
        <v>401</v>
      </c>
      <c r="B32" s="285"/>
      <c r="C32" s="285"/>
      <c r="D32" s="285"/>
      <c r="E32" s="285"/>
      <c r="F32" s="324"/>
      <c r="G32" s="285"/>
      <c r="H32" s="285"/>
      <c r="I32" s="285"/>
      <c r="J32" s="343"/>
      <c r="K32" s="285" t="s">
        <v>388</v>
      </c>
      <c r="L32" s="338">
        <f>J32/$I$3</f>
        <v>0</v>
      </c>
      <c r="M32" s="285"/>
    </row>
    <row r="33" spans="1:17">
      <c r="A33" s="298"/>
      <c r="B33" s="298"/>
      <c r="C33" s="298"/>
      <c r="D33" s="298"/>
      <c r="E33" s="298"/>
      <c r="F33" s="298"/>
      <c r="G33" s="298"/>
      <c r="H33" s="298"/>
      <c r="I33" s="298"/>
      <c r="J33" s="308"/>
      <c r="K33" s="298"/>
      <c r="L33" s="302"/>
      <c r="M33" s="298"/>
    </row>
    <row r="34" spans="1:17">
      <c r="A34" s="285"/>
      <c r="B34" s="285"/>
      <c r="C34" s="285"/>
      <c r="D34" s="285"/>
      <c r="E34" s="285"/>
      <c r="F34" s="285"/>
      <c r="G34" s="285"/>
      <c r="H34" s="285"/>
      <c r="I34" s="285"/>
      <c r="J34" s="304"/>
      <c r="K34" s="285"/>
      <c r="L34" s="297"/>
      <c r="M34" s="285"/>
    </row>
    <row r="35" spans="1:17">
      <c r="A35" s="306" t="s">
        <v>673</v>
      </c>
      <c r="B35" s="306"/>
      <c r="C35" s="306"/>
      <c r="D35" s="306"/>
      <c r="E35" s="306"/>
      <c r="F35" s="285"/>
      <c r="G35" s="285"/>
      <c r="H35" s="285"/>
      <c r="I35" s="285"/>
      <c r="J35" s="344">
        <f>'Org-Salary Structure'!H12</f>
        <v>558975</v>
      </c>
      <c r="K35" s="306" t="s">
        <v>388</v>
      </c>
      <c r="L35" s="338">
        <f>J35/$J$3</f>
        <v>0.46581250000000002</v>
      </c>
      <c r="M35" s="285"/>
    </row>
    <row r="36" spans="1:17">
      <c r="A36" s="306"/>
      <c r="B36" s="306"/>
      <c r="C36" s="306"/>
      <c r="D36" s="306"/>
      <c r="E36" s="306"/>
      <c r="F36" s="285"/>
      <c r="G36" s="285"/>
      <c r="H36" s="285"/>
      <c r="I36" s="285"/>
      <c r="J36" s="313"/>
      <c r="K36" s="306"/>
      <c r="L36" s="307"/>
      <c r="M36" s="285"/>
    </row>
    <row r="37" spans="1:17" ht="15.75" thickBot="1">
      <c r="A37" s="314"/>
      <c r="B37" s="314"/>
      <c r="C37" s="314"/>
      <c r="D37" s="314"/>
      <c r="E37" s="314"/>
      <c r="F37" s="314"/>
      <c r="G37" s="314"/>
      <c r="H37" s="314"/>
      <c r="I37" s="314"/>
      <c r="J37" s="314"/>
      <c r="K37" s="314"/>
      <c r="L37" s="314"/>
      <c r="M37" s="314"/>
      <c r="N37" s="305"/>
      <c r="O37" s="305"/>
      <c r="P37" s="315"/>
      <c r="Q37" s="315"/>
    </row>
    <row r="38" spans="1:17" ht="15">
      <c r="A38" s="285" t="s">
        <v>402</v>
      </c>
      <c r="B38" s="285"/>
      <c r="C38" s="285"/>
      <c r="D38" s="285"/>
      <c r="E38" s="285"/>
      <c r="F38" s="285"/>
      <c r="G38" s="285"/>
      <c r="H38" s="285"/>
      <c r="I38" s="285"/>
      <c r="J38" s="342">
        <f>SUM(J7:J37)</f>
        <v>1108517</v>
      </c>
      <c r="K38" s="285"/>
      <c r="L38" s="338">
        <f>J38/$J$3</f>
        <v>0.92376416666666672</v>
      </c>
      <c r="M38" s="285"/>
      <c r="N38" s="305"/>
      <c r="O38" s="305"/>
    </row>
    <row r="39" spans="1:17" ht="15">
      <c r="A39" s="285"/>
      <c r="B39" s="285"/>
      <c r="C39" s="285"/>
      <c r="D39" s="285"/>
      <c r="E39" s="285"/>
      <c r="F39" s="296"/>
      <c r="G39" s="285"/>
      <c r="H39" s="285"/>
      <c r="I39" s="285"/>
      <c r="J39" s="304"/>
      <c r="K39" s="285"/>
      <c r="L39" s="285"/>
      <c r="M39" s="285"/>
      <c r="N39" s="305"/>
      <c r="O39" s="305"/>
    </row>
    <row r="40" spans="1:17" ht="15.75" thickBot="1">
      <c r="A40" s="285" t="s">
        <v>403</v>
      </c>
      <c r="B40" s="285"/>
      <c r="C40" s="285"/>
      <c r="D40" s="285"/>
      <c r="E40" s="285"/>
      <c r="F40" s="296"/>
      <c r="G40" s="285"/>
      <c r="H40" s="285"/>
      <c r="I40" s="285"/>
      <c r="J40" s="285"/>
      <c r="K40" s="285"/>
      <c r="L40" s="285" t="s">
        <v>654</v>
      </c>
      <c r="M40" s="285" t="s">
        <v>653</v>
      </c>
      <c r="N40" s="305"/>
      <c r="O40" s="305"/>
    </row>
    <row r="41" spans="1:17" ht="15">
      <c r="A41" s="316" t="s">
        <v>404</v>
      </c>
      <c r="B41" s="317"/>
      <c r="C41" s="317"/>
      <c r="D41" s="317"/>
      <c r="E41" s="317"/>
      <c r="F41" s="317"/>
      <c r="G41" s="317"/>
      <c r="H41" s="317"/>
      <c r="I41" s="317"/>
      <c r="J41" s="317"/>
      <c r="K41" s="317"/>
      <c r="L41" s="318">
        <f>L38/3.785</f>
        <v>0.24405922501100838</v>
      </c>
      <c r="M41" s="318">
        <v>0.21984081902245708</v>
      </c>
      <c r="N41" s="305"/>
      <c r="O41" s="305"/>
    </row>
    <row r="42" spans="1:17" ht="15.75" thickBot="1">
      <c r="A42" s="319" t="s">
        <v>405</v>
      </c>
      <c r="B42" s="298"/>
      <c r="C42" s="298"/>
      <c r="D42" s="298"/>
      <c r="E42" s="298"/>
      <c r="F42" s="298"/>
      <c r="G42" s="298"/>
      <c r="H42" s="298"/>
      <c r="I42" s="298"/>
      <c r="J42" s="298"/>
      <c r="K42" s="320"/>
      <c r="L42" s="321">
        <f>L38</f>
        <v>0.92376416666666672</v>
      </c>
      <c r="M42" s="321">
        <v>0.83209750000000005</v>
      </c>
      <c r="N42" s="305"/>
      <c r="O42" s="305"/>
    </row>
    <row r="43" spans="1:17" ht="15">
      <c r="A43" s="306" t="s">
        <v>169</v>
      </c>
      <c r="B43" s="306"/>
      <c r="C43" s="306"/>
      <c r="D43" s="306"/>
      <c r="E43" s="306"/>
      <c r="F43" s="306"/>
      <c r="G43" s="306"/>
      <c r="H43" s="306"/>
      <c r="I43" s="306"/>
      <c r="J43" s="306"/>
      <c r="K43" s="322"/>
      <c r="L43" s="318">
        <f>L38/4</f>
        <v>0.23094104166666668</v>
      </c>
      <c r="M43" s="318">
        <v>0.20802437500000001</v>
      </c>
      <c r="N43" s="305"/>
      <c r="O43" s="305"/>
    </row>
    <row r="44" spans="1:17" ht="13.5" thickBot="1">
      <c r="A44" s="298" t="s">
        <v>154</v>
      </c>
      <c r="B44" s="298"/>
      <c r="C44" s="298"/>
      <c r="D44" s="298"/>
      <c r="E44" s="298"/>
      <c r="F44" s="298"/>
      <c r="G44" s="298"/>
      <c r="H44" s="298"/>
      <c r="I44" s="298"/>
      <c r="J44" s="298"/>
      <c r="K44" s="326"/>
      <c r="L44" s="323">
        <f>L42*55</f>
        <v>50.807029166666666</v>
      </c>
      <c r="M44" s="323">
        <v>45.765362500000002</v>
      </c>
    </row>
    <row r="45" spans="1:17">
      <c r="K45" s="330"/>
    </row>
    <row r="46" spans="1:17" s="305" customFormat="1" ht="15">
      <c r="A46" s="239"/>
      <c r="B46" s="133" t="s">
        <v>20</v>
      </c>
      <c r="C46" s="133"/>
      <c r="D46" s="133"/>
      <c r="E46" s="133"/>
      <c r="F46" s="133"/>
      <c r="G46" s="133"/>
      <c r="H46" s="133"/>
      <c r="I46" s="133"/>
      <c r="J46" s="133"/>
      <c r="K46" s="133"/>
      <c r="L46" s="133"/>
      <c r="M46" s="133"/>
    </row>
    <row r="47" spans="1:17" s="305" customFormat="1" ht="15"/>
    <row r="48" spans="1:17" s="305" customFormat="1" ht="15"/>
    <row r="49" spans="2:14" s="305" customFormat="1" ht="15">
      <c r="B49" s="215" t="s">
        <v>679</v>
      </c>
      <c r="D49" s="305">
        <v>2019</v>
      </c>
      <c r="E49" s="305">
        <v>2020</v>
      </c>
      <c r="F49" s="305">
        <v>2021</v>
      </c>
      <c r="G49" s="305">
        <v>2022</v>
      </c>
      <c r="H49" s="305">
        <v>2023</v>
      </c>
      <c r="I49" s="305">
        <v>2024</v>
      </c>
      <c r="J49" s="305">
        <v>2025</v>
      </c>
      <c r="K49" s="305">
        <v>2026</v>
      </c>
      <c r="L49" s="305">
        <v>2027</v>
      </c>
      <c r="M49" s="305">
        <v>2028</v>
      </c>
      <c r="N49"/>
    </row>
    <row r="50" spans="2:14" s="305" customFormat="1" ht="15">
      <c r="B50" s="215" t="s">
        <v>681</v>
      </c>
      <c r="D50" s="653">
        <f>$L$7+$L$11+$L$14+$L$17+$L$20+$L$23+$L$26++$L$29+$L$32+$L$35*('Key Assumptions'!F15)</f>
        <v>0.81497666666666668</v>
      </c>
      <c r="E50" s="653">
        <f>$L$7+$L$11+$L$14+$L$17+$L$20+$L$23+$L$26++$L$29+$L$32+$L$35*('Key Assumptions'!G15)</f>
        <v>0.74510479166666665</v>
      </c>
      <c r="F50" s="653">
        <f>$L$7+$L$11+$L$14+$L$17+$L$20+$L$23+$L$26++$L$29+$L$32+$L$35*('Key Assumptions'!H15)</f>
        <v>0.72181416666666665</v>
      </c>
      <c r="G50" s="653">
        <f>$L$7+$L$11+$L$14+$L$17+$L$20+$L$23+$L$26++$L$29+$L$32+$L$35*('Key Assumptions'!I15)</f>
        <v>0.67523291666666663</v>
      </c>
      <c r="H50" s="653">
        <f>$L$7+$L$11+$L$14+$L$17+$L$20+$L$23+$L$26++$L$29+$L$32+$L$35*('Key Assumptions'!J15)</f>
        <v>0.67057479166666667</v>
      </c>
      <c r="I50" s="653">
        <f>$L$7+$L$11+$L$14+$L$17+$L$20+$L$23+$L$26++$L$29+$L$32+$L$35*('Key Assumptions'!K15)</f>
        <v>0.66600982916666662</v>
      </c>
      <c r="J50" s="653">
        <f>$L$7+$L$11+$L$14+$L$17+$L$20+$L$23+$L$26++$L$29+$L$32+$L$35*('Key Assumptions'!L15)</f>
        <v>0.66153616591666664</v>
      </c>
      <c r="K50" s="653">
        <f>$L$7+$L$11+$L$14+$L$17+$L$20+$L$23+$L$26++$L$29+$L$32+$L$35*('Key Assumptions'!M15)</f>
        <v>0.65715197593166663</v>
      </c>
      <c r="L50" s="653">
        <f>$L$7+$L$11+$L$14+$L$17+$L$20+$L$23+$L$26++$L$29+$L$32+$L$35*('Key Assumptions'!N15)</f>
        <v>0.65285546974636666</v>
      </c>
      <c r="M50" s="653">
        <f>$L$7+$L$11+$L$14+$L$17+$L$20+$L$23+$L$26++$L$29+$L$32+$L$35*('Key Assumptions'!O15)</f>
        <v>0.64864489368477263</v>
      </c>
      <c r="N50"/>
    </row>
    <row r="51" spans="2:14" s="305" customFormat="1" ht="15">
      <c r="B51" s="215" t="s">
        <v>680</v>
      </c>
      <c r="D51" s="653">
        <f>$L$35*(1-'Key Assumptions'!F15)</f>
        <v>9.3162499999999981E-2</v>
      </c>
      <c r="E51" s="653">
        <f>$L$35*(1-'Key Assumptions'!G15)</f>
        <v>0.16303437500000001</v>
      </c>
      <c r="F51" s="653">
        <f>$L$35*(1-'Key Assumptions'!H15)</f>
        <v>0.18632500000000002</v>
      </c>
      <c r="G51" s="653">
        <f>$L$35*(1-'Key Assumptions'!I15)</f>
        <v>0.23290625000000001</v>
      </c>
      <c r="H51" s="653">
        <f>$L$35*(1-'Key Assumptions'!J15)</f>
        <v>0.23756437500000002</v>
      </c>
      <c r="I51" s="653">
        <f>$L$35*(1-'Key Assumptions'!K15)</f>
        <v>0.24212933750000004</v>
      </c>
      <c r="J51" s="653">
        <f>$L$35*(1-'Key Assumptions'!L15)</f>
        <v>0.24660300075</v>
      </c>
      <c r="K51" s="653">
        <f>$L$35*(1-'Key Assumptions'!M15)</f>
        <v>0.25098719073500003</v>
      </c>
      <c r="L51" s="653">
        <f>$L$35*(1-'Key Assumptions'!N15)</f>
        <v>0.25528369692030006</v>
      </c>
      <c r="M51" s="653">
        <f>$L$35*(1-'Key Assumptions'!O15)</f>
        <v>0.25949427298189409</v>
      </c>
      <c r="N51"/>
    </row>
    <row r="52" spans="2:14" s="305" customFormat="1" ht="15"/>
    <row r="53" spans="2:14" s="305" customFormat="1" ht="15"/>
    <row r="54" spans="2:14" s="305" customFormat="1" ht="15"/>
    <row r="55" spans="2:14" s="305" customFormat="1" ht="15"/>
    <row r="56" spans="2:14" s="305" customFormat="1" ht="15"/>
    <row r="57" spans="2:14" s="305" customFormat="1" ht="15"/>
    <row r="58" spans="2:14" s="305" customFormat="1" ht="15"/>
  </sheetData>
  <mergeCells count="1">
    <mergeCell ref="L6:M6"/>
  </mergeCells>
  <printOptions horizontalCentered="1"/>
  <pageMargins left="0.2" right="0" top="0.5868503937007874" bottom="0.2" header="0.5" footer="0.5"/>
  <pageSetup scale="80"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58"/>
  <sheetViews>
    <sheetView topLeftCell="A34" zoomScale="125" zoomScaleNormal="125" zoomScalePageLayoutView="125" workbookViewId="0">
      <selection activeCell="L5" sqref="L5"/>
    </sheetView>
  </sheetViews>
  <sheetFormatPr defaultColWidth="8.85546875" defaultRowHeight="12.75"/>
  <cols>
    <col min="1" max="1" width="9.42578125" style="283" customWidth="1"/>
    <col min="2" max="2" width="13.140625" style="283" customWidth="1"/>
    <col min="3" max="3" width="9.42578125" style="283" customWidth="1"/>
    <col min="4" max="4" width="11.42578125" style="283" bestFit="1" customWidth="1"/>
    <col min="5" max="5" width="9.42578125" style="283" customWidth="1"/>
    <col min="6" max="9" width="11.28515625" style="283" customWidth="1"/>
    <col min="10" max="10" width="13.28515625" style="283" bestFit="1" customWidth="1"/>
    <col min="11" max="11" width="18.5703125" style="283" bestFit="1" customWidth="1"/>
    <col min="12" max="12" width="19.28515625" style="283" bestFit="1" customWidth="1"/>
    <col min="13" max="13" width="9.42578125" style="283" customWidth="1"/>
    <col min="14" max="16384" width="8.85546875" style="283"/>
  </cols>
  <sheetData>
    <row r="1" spans="1:17" ht="15.75">
      <c r="A1" s="284" t="s">
        <v>1069</v>
      </c>
      <c r="B1" s="285"/>
      <c r="C1" s="285"/>
      <c r="D1" s="285"/>
      <c r="E1" s="285"/>
      <c r="F1" s="285"/>
      <c r="G1" s="285"/>
      <c r="H1" s="285"/>
      <c r="I1" s="285"/>
      <c r="J1" s="285"/>
      <c r="K1" s="285"/>
      <c r="L1" s="285"/>
      <c r="M1" s="285"/>
    </row>
    <row r="2" spans="1:17">
      <c r="A2" s="285"/>
      <c r="B2" s="285"/>
      <c r="C2" s="285"/>
      <c r="D2" s="285"/>
      <c r="E2" s="285"/>
      <c r="F2" s="285"/>
      <c r="G2" s="285"/>
      <c r="H2" s="285"/>
      <c r="I2" s="410" t="s">
        <v>1076</v>
      </c>
      <c r="J2" s="410" t="s">
        <v>1077</v>
      </c>
      <c r="K2" s="285"/>
      <c r="L2" s="285"/>
      <c r="M2" s="285"/>
    </row>
    <row r="3" spans="1:17">
      <c r="B3" s="285"/>
      <c r="C3" s="285"/>
      <c r="D3" s="294" t="s">
        <v>1070</v>
      </c>
      <c r="E3" s="332">
        <f>378.5*2</f>
        <v>757</v>
      </c>
      <c r="F3" s="285" t="s">
        <v>52</v>
      </c>
      <c r="G3" s="286" t="s">
        <v>1073</v>
      </c>
      <c r="H3" s="287"/>
      <c r="I3" s="288">
        <f>E3*M3/3.785</f>
        <v>1600000</v>
      </c>
      <c r="J3" s="288">
        <f>I3*0.75</f>
        <v>1200000</v>
      </c>
      <c r="K3" s="283" t="s">
        <v>1078</v>
      </c>
      <c r="L3" s="303" t="s">
        <v>1078</v>
      </c>
      <c r="M3" s="331">
        <v>8000</v>
      </c>
    </row>
    <row r="4" spans="1:17">
      <c r="A4" s="285"/>
      <c r="B4" s="285"/>
      <c r="C4" s="285"/>
      <c r="D4" s="285"/>
      <c r="E4" s="285"/>
      <c r="F4" s="285"/>
      <c r="G4" s="289" t="s">
        <v>1075</v>
      </c>
      <c r="H4" s="287"/>
      <c r="I4" s="288">
        <f>E3*M3</f>
        <v>6056000</v>
      </c>
      <c r="J4" s="288">
        <f>I4*0.75</f>
        <v>4542000</v>
      </c>
      <c r="K4" s="285"/>
      <c r="L4" s="285"/>
      <c r="M4" s="285"/>
    </row>
    <row r="5" spans="1:17">
      <c r="A5" s="290"/>
      <c r="B5" s="285"/>
      <c r="C5" s="285"/>
      <c r="D5" s="285"/>
      <c r="E5" s="285"/>
      <c r="F5" s="285"/>
      <c r="G5" s="289" t="s">
        <v>1074</v>
      </c>
      <c r="H5" s="287"/>
      <c r="I5" s="333">
        <f>I4/12</f>
        <v>504666.66666666669</v>
      </c>
      <c r="J5" s="334">
        <f>J4/12</f>
        <v>378500</v>
      </c>
      <c r="K5" s="285"/>
      <c r="L5" s="285"/>
      <c r="M5" s="285"/>
    </row>
    <row r="6" spans="1:17">
      <c r="A6" s="285"/>
      <c r="B6" s="285"/>
      <c r="C6" s="285"/>
      <c r="D6" s="285"/>
      <c r="E6" s="285"/>
      <c r="F6" s="285"/>
      <c r="G6" s="285"/>
      <c r="H6" s="291"/>
      <c r="I6" s="285"/>
      <c r="J6" s="292"/>
      <c r="K6" s="285"/>
      <c r="L6" s="763" t="s">
        <v>392</v>
      </c>
      <c r="M6" s="763"/>
    </row>
    <row r="7" spans="1:17">
      <c r="A7" s="285" t="s">
        <v>1071</v>
      </c>
      <c r="B7" s="285"/>
      <c r="C7" s="339">
        <v>200</v>
      </c>
      <c r="D7" s="293" t="s">
        <v>386</v>
      </c>
      <c r="E7" s="335">
        <v>0.2</v>
      </c>
      <c r="F7" s="285" t="s">
        <v>389</v>
      </c>
      <c r="G7" s="336">
        <f>M3</f>
        <v>8000</v>
      </c>
      <c r="H7" s="285" t="s">
        <v>1079</v>
      </c>
      <c r="I7" s="285"/>
      <c r="J7" s="337">
        <f>(C7*E7*M3)</f>
        <v>320000</v>
      </c>
      <c r="K7" s="285" t="s">
        <v>1080</v>
      </c>
      <c r="L7" s="338">
        <f>J7/$J$3</f>
        <v>0.26666666666666666</v>
      </c>
      <c r="M7" s="325"/>
    </row>
    <row r="8" spans="1:17">
      <c r="A8" s="298"/>
      <c r="B8" s="298"/>
      <c r="C8" s="298"/>
      <c r="D8" s="299"/>
      <c r="E8" s="300"/>
      <c r="F8" s="298"/>
      <c r="G8" s="326"/>
      <c r="H8" s="298"/>
      <c r="I8" s="298"/>
      <c r="J8" s="301"/>
      <c r="K8" s="298"/>
      <c r="L8" s="302"/>
      <c r="M8" s="327"/>
    </row>
    <row r="9" spans="1:17">
      <c r="A9" s="285"/>
      <c r="B9" s="285"/>
      <c r="C9" s="285"/>
      <c r="D9" s="303"/>
      <c r="E9" s="295"/>
      <c r="F9" s="285"/>
      <c r="G9" s="324"/>
      <c r="H9" s="285"/>
      <c r="I9" s="285"/>
      <c r="J9" s="296"/>
      <c r="K9" s="285"/>
      <c r="L9" s="297"/>
      <c r="M9" s="325"/>
    </row>
    <row r="10" spans="1:17">
      <c r="A10" s="285" t="s">
        <v>1072</v>
      </c>
      <c r="B10" s="285"/>
      <c r="C10" s="339">
        <v>75</v>
      </c>
      <c r="D10" s="290" t="s">
        <v>51</v>
      </c>
      <c r="E10" s="304">
        <v>2</v>
      </c>
      <c r="F10" s="285" t="s">
        <v>1082</v>
      </c>
      <c r="G10" s="336">
        <f>M3</f>
        <v>8000</v>
      </c>
      <c r="H10" s="285" t="s">
        <v>1079</v>
      </c>
      <c r="I10" s="285"/>
      <c r="J10" s="285"/>
      <c r="K10" s="285"/>
      <c r="L10" s="297"/>
      <c r="M10" s="285"/>
    </row>
    <row r="11" spans="1:17">
      <c r="A11" s="285"/>
      <c r="B11" s="285"/>
      <c r="C11" s="285"/>
      <c r="D11" s="285"/>
      <c r="E11" s="285"/>
      <c r="F11" s="285"/>
      <c r="G11" s="285"/>
      <c r="H11" s="336">
        <f>C10*M3*3.785</f>
        <v>2271000</v>
      </c>
      <c r="I11" s="285" t="s">
        <v>1083</v>
      </c>
      <c r="J11" s="340">
        <f>E10*H11/1000</f>
        <v>4542</v>
      </c>
      <c r="K11" s="285" t="s">
        <v>1080</v>
      </c>
      <c r="L11" s="338">
        <f>J11/$J$3</f>
        <v>3.7850000000000002E-3</v>
      </c>
      <c r="M11" s="285"/>
    </row>
    <row r="12" spans="1:17">
      <c r="A12" s="298"/>
      <c r="B12" s="298"/>
      <c r="C12" s="298"/>
      <c r="D12" s="298"/>
      <c r="E12" s="298"/>
      <c r="F12" s="298"/>
      <c r="G12" s="298"/>
      <c r="H12" s="326"/>
      <c r="I12" s="298"/>
      <c r="J12" s="328"/>
      <c r="K12" s="298"/>
      <c r="L12" s="302"/>
      <c r="M12" s="298"/>
    </row>
    <row r="13" spans="1:17" ht="15">
      <c r="A13" s="285"/>
      <c r="B13" s="285"/>
      <c r="C13" s="285"/>
      <c r="D13" s="285"/>
      <c r="E13" s="285"/>
      <c r="F13" s="285"/>
      <c r="G13" s="285"/>
      <c r="H13" s="324"/>
      <c r="I13" s="285"/>
      <c r="J13" s="329"/>
      <c r="K13" s="285"/>
      <c r="L13" s="297"/>
      <c r="M13" s="285"/>
      <c r="O13" s="305"/>
      <c r="P13" s="305"/>
      <c r="Q13" s="305"/>
    </row>
    <row r="14" spans="1:17" ht="15">
      <c r="A14" s="285" t="s">
        <v>1084</v>
      </c>
      <c r="B14" s="285"/>
      <c r="C14" s="285"/>
      <c r="D14" s="285"/>
      <c r="E14" s="304"/>
      <c r="F14" s="285" t="s">
        <v>1085</v>
      </c>
      <c r="G14" s="285"/>
      <c r="H14" s="285"/>
      <c r="I14" s="325"/>
      <c r="J14" s="304"/>
      <c r="K14" s="285" t="s">
        <v>1080</v>
      </c>
      <c r="L14" s="341">
        <f>J15/$I$3</f>
        <v>0</v>
      </c>
      <c r="M14" s="285"/>
      <c r="O14" s="305"/>
      <c r="P14" s="305"/>
      <c r="Q14" s="305"/>
    </row>
    <row r="15" spans="1:17" ht="15">
      <c r="A15" s="298"/>
      <c r="B15" s="298"/>
      <c r="C15" s="298"/>
      <c r="D15" s="298"/>
      <c r="E15" s="298"/>
      <c r="F15" s="298"/>
      <c r="G15" s="298"/>
      <c r="H15" s="298"/>
      <c r="I15" s="298"/>
      <c r="J15" s="308"/>
      <c r="K15" s="298"/>
      <c r="L15" s="302"/>
      <c r="M15" s="298"/>
      <c r="O15" s="305"/>
      <c r="P15" s="305"/>
      <c r="Q15" s="305"/>
    </row>
    <row r="16" spans="1:17">
      <c r="A16" s="285"/>
      <c r="B16" s="285"/>
      <c r="C16" s="285"/>
      <c r="D16" s="285"/>
      <c r="E16" s="285"/>
      <c r="F16" s="285"/>
      <c r="G16" s="285"/>
      <c r="H16" s="285"/>
      <c r="I16" s="285"/>
      <c r="J16" s="304"/>
      <c r="K16" s="285"/>
      <c r="L16" s="297"/>
      <c r="M16" s="285"/>
    </row>
    <row r="17" spans="1:13">
      <c r="A17" s="285" t="s">
        <v>1086</v>
      </c>
      <c r="B17" s="285"/>
      <c r="C17" s="290" t="s">
        <v>397</v>
      </c>
      <c r="D17" s="285"/>
      <c r="E17" s="285"/>
      <c r="F17" s="336">
        <f>0.05*I3</f>
        <v>80000</v>
      </c>
      <c r="G17" s="285" t="s">
        <v>1088</v>
      </c>
      <c r="H17" s="304"/>
      <c r="I17" s="285" t="s">
        <v>1081</v>
      </c>
      <c r="J17" s="343">
        <v>0</v>
      </c>
      <c r="K17" s="285" t="s">
        <v>1080</v>
      </c>
      <c r="L17" s="338">
        <f>J17/$J$3</f>
        <v>0</v>
      </c>
      <c r="M17" s="285"/>
    </row>
    <row r="18" spans="1:13">
      <c r="A18" s="298"/>
      <c r="B18" s="298"/>
      <c r="C18" s="298"/>
      <c r="D18" s="298"/>
      <c r="E18" s="298"/>
      <c r="F18" s="326"/>
      <c r="G18" s="298"/>
      <c r="H18" s="308"/>
      <c r="I18" s="298"/>
      <c r="J18" s="308"/>
      <c r="K18" s="298"/>
      <c r="L18" s="302"/>
      <c r="M18" s="298"/>
    </row>
    <row r="19" spans="1:13">
      <c r="A19" s="285"/>
      <c r="B19" s="285"/>
      <c r="C19" s="285"/>
      <c r="D19" s="285"/>
      <c r="E19" s="285"/>
      <c r="F19" s="324"/>
      <c r="G19" s="285"/>
      <c r="H19" s="304"/>
      <c r="I19" s="285"/>
      <c r="J19" s="304"/>
      <c r="K19" s="285"/>
      <c r="L19" s="297"/>
      <c r="M19" s="285"/>
    </row>
    <row r="20" spans="1:13">
      <c r="A20" s="285" t="s">
        <v>1089</v>
      </c>
      <c r="B20" s="285"/>
      <c r="C20" s="285"/>
      <c r="D20" s="285"/>
      <c r="E20" s="285" t="s">
        <v>50</v>
      </c>
      <c r="F20" s="324"/>
      <c r="G20" s="285"/>
      <c r="H20" s="304"/>
      <c r="I20" s="285"/>
      <c r="J20" s="343">
        <v>75000</v>
      </c>
      <c r="K20" s="285" t="s">
        <v>1080</v>
      </c>
      <c r="L20" s="338">
        <f>J20/$I$3</f>
        <v>4.6875E-2</v>
      </c>
      <c r="M20" s="285"/>
    </row>
    <row r="21" spans="1:13">
      <c r="A21" s="298"/>
      <c r="B21" s="298"/>
      <c r="C21" s="298"/>
      <c r="D21" s="298"/>
      <c r="E21" s="298"/>
      <c r="F21" s="326"/>
      <c r="G21" s="298"/>
      <c r="H21" s="308"/>
      <c r="I21" s="298"/>
      <c r="J21" s="308"/>
      <c r="K21" s="298"/>
      <c r="L21" s="302"/>
      <c r="M21" s="298"/>
    </row>
    <row r="22" spans="1:13">
      <c r="A22" s="285"/>
      <c r="B22" s="285"/>
      <c r="C22" s="285"/>
      <c r="D22" s="285"/>
      <c r="E22" s="285"/>
      <c r="F22" s="285"/>
      <c r="G22" s="285"/>
      <c r="H22" s="285"/>
      <c r="I22" s="285"/>
      <c r="J22" s="285"/>
      <c r="K22" s="285"/>
      <c r="L22" s="297"/>
      <c r="M22" s="285"/>
    </row>
    <row r="23" spans="1:13">
      <c r="A23" s="285" t="s">
        <v>1090</v>
      </c>
      <c r="B23" s="285"/>
      <c r="C23" s="285"/>
      <c r="D23" s="285"/>
      <c r="E23" s="285"/>
      <c r="F23" s="285"/>
      <c r="G23" s="285"/>
      <c r="H23" s="285"/>
      <c r="I23" s="285"/>
      <c r="J23" s="343">
        <v>60000</v>
      </c>
      <c r="K23" s="285" t="s">
        <v>1080</v>
      </c>
      <c r="L23" s="338">
        <f>J23/$J$3</f>
        <v>0.05</v>
      </c>
      <c r="M23" s="285"/>
    </row>
    <row r="24" spans="1:13">
      <c r="A24" s="298"/>
      <c r="B24" s="298"/>
      <c r="C24" s="298"/>
      <c r="D24" s="298"/>
      <c r="E24" s="298"/>
      <c r="F24" s="298"/>
      <c r="G24" s="298"/>
      <c r="H24" s="298"/>
      <c r="I24" s="298"/>
      <c r="J24" s="308"/>
      <c r="K24" s="298"/>
      <c r="L24" s="302"/>
      <c r="M24" s="298"/>
    </row>
    <row r="25" spans="1:13">
      <c r="A25" s="285"/>
      <c r="B25" s="285"/>
      <c r="C25" s="285"/>
      <c r="D25" s="285"/>
      <c r="E25" s="285"/>
      <c r="F25" s="285"/>
      <c r="G25" s="285"/>
      <c r="H25" s="285"/>
      <c r="I25" s="285"/>
      <c r="J25" s="304"/>
      <c r="K25" s="285"/>
      <c r="L25" s="297"/>
      <c r="M25" s="285"/>
    </row>
    <row r="26" spans="1:13">
      <c r="A26" s="285" t="s">
        <v>1091</v>
      </c>
      <c r="B26" s="285"/>
      <c r="C26" s="285"/>
      <c r="D26" s="285"/>
      <c r="E26" s="285"/>
      <c r="F26" s="285"/>
      <c r="G26" s="292"/>
      <c r="H26" s="309"/>
      <c r="I26" s="285"/>
      <c r="J26" s="343">
        <v>40000</v>
      </c>
      <c r="K26" s="285" t="s">
        <v>1080</v>
      </c>
      <c r="L26" s="338">
        <f>J26/$J$3</f>
        <v>3.3333333333333333E-2</v>
      </c>
      <c r="M26" s="285"/>
    </row>
    <row r="27" spans="1:13">
      <c r="A27" s="298"/>
      <c r="B27" s="298"/>
      <c r="C27" s="298"/>
      <c r="D27" s="298"/>
      <c r="E27" s="298"/>
      <c r="F27" s="298"/>
      <c r="G27" s="310"/>
      <c r="H27" s="311"/>
      <c r="I27" s="298"/>
      <c r="J27" s="301"/>
      <c r="K27" s="312"/>
      <c r="L27" s="302"/>
      <c r="M27" s="298"/>
    </row>
    <row r="28" spans="1:13">
      <c r="A28" s="285"/>
      <c r="B28" s="285"/>
      <c r="C28" s="285"/>
      <c r="D28" s="285"/>
      <c r="E28" s="285"/>
      <c r="F28" s="285"/>
      <c r="G28" s="285"/>
      <c r="H28" s="285"/>
      <c r="I28" s="285"/>
      <c r="J28" s="304"/>
      <c r="K28" s="285"/>
      <c r="L28" s="297"/>
      <c r="M28" s="285"/>
    </row>
    <row r="29" spans="1:13">
      <c r="A29" s="285" t="s">
        <v>1092</v>
      </c>
      <c r="B29" s="285"/>
      <c r="C29" s="285"/>
      <c r="D29" s="285"/>
      <c r="E29" s="285"/>
      <c r="F29" s="285"/>
      <c r="G29" s="285"/>
      <c r="H29" s="285"/>
      <c r="I29" s="285"/>
      <c r="J29" s="343">
        <v>50000</v>
      </c>
      <c r="K29" s="285" t="s">
        <v>1080</v>
      </c>
      <c r="L29" s="338">
        <f>J29/$J$3</f>
        <v>4.1666666666666664E-2</v>
      </c>
      <c r="M29" s="285"/>
    </row>
    <row r="30" spans="1:13">
      <c r="A30" s="298"/>
      <c r="B30" s="298"/>
      <c r="C30" s="298"/>
      <c r="D30" s="298"/>
      <c r="E30" s="298"/>
      <c r="F30" s="298"/>
      <c r="G30" s="298"/>
      <c r="H30" s="298"/>
      <c r="I30" s="298"/>
      <c r="J30" s="308"/>
      <c r="K30" s="298"/>
      <c r="L30" s="302"/>
      <c r="M30" s="298"/>
    </row>
    <row r="31" spans="1:13">
      <c r="A31" s="285"/>
      <c r="B31" s="285"/>
      <c r="C31" s="285"/>
      <c r="D31" s="285"/>
      <c r="E31" s="285"/>
      <c r="F31" s="285"/>
      <c r="G31" s="285"/>
      <c r="H31" s="285"/>
      <c r="I31" s="285"/>
      <c r="J31" s="304"/>
      <c r="K31" s="285"/>
      <c r="L31" s="297"/>
      <c r="M31" s="285"/>
    </row>
    <row r="32" spans="1:13">
      <c r="A32" s="285" t="s">
        <v>1093</v>
      </c>
      <c r="B32" s="285"/>
      <c r="C32" s="285"/>
      <c r="D32" s="285"/>
      <c r="E32" s="285"/>
      <c r="F32" s="324"/>
      <c r="G32" s="285"/>
      <c r="H32" s="285"/>
      <c r="I32" s="285"/>
      <c r="J32" s="343"/>
      <c r="K32" s="285" t="s">
        <v>1080</v>
      </c>
      <c r="L32" s="338">
        <f>J32/$I$3</f>
        <v>0</v>
      </c>
      <c r="M32" s="285"/>
    </row>
    <row r="33" spans="1:17">
      <c r="A33" s="298"/>
      <c r="B33" s="298"/>
      <c r="C33" s="298"/>
      <c r="D33" s="298"/>
      <c r="E33" s="298"/>
      <c r="F33" s="298"/>
      <c r="G33" s="298"/>
      <c r="H33" s="298"/>
      <c r="I33" s="298"/>
      <c r="J33" s="308"/>
      <c r="K33" s="298"/>
      <c r="L33" s="302"/>
      <c r="M33" s="298"/>
    </row>
    <row r="34" spans="1:17">
      <c r="A34" s="285"/>
      <c r="B34" s="285"/>
      <c r="C34" s="285"/>
      <c r="D34" s="285"/>
      <c r="E34" s="285"/>
      <c r="F34" s="285"/>
      <c r="G34" s="285"/>
      <c r="H34" s="285"/>
      <c r="I34" s="285"/>
      <c r="J34" s="304"/>
      <c r="K34" s="285"/>
      <c r="L34" s="297"/>
      <c r="M34" s="285"/>
    </row>
    <row r="35" spans="1:17">
      <c r="A35" s="306" t="s">
        <v>1094</v>
      </c>
      <c r="B35" s="306"/>
      <c r="C35" s="306"/>
      <c r="D35" s="306"/>
      <c r="E35" s="306"/>
      <c r="F35" s="285"/>
      <c r="G35" s="285"/>
      <c r="H35" s="285"/>
      <c r="I35" s="285"/>
      <c r="J35" s="344">
        <f>'Org-Salary Structure'!H12</f>
        <v>558975</v>
      </c>
      <c r="K35" s="285" t="s">
        <v>1080</v>
      </c>
      <c r="L35" s="338">
        <f>J35/$J$3</f>
        <v>0.46581250000000002</v>
      </c>
      <c r="M35" s="285"/>
    </row>
    <row r="36" spans="1:17">
      <c r="A36" s="306"/>
      <c r="B36" s="306"/>
      <c r="C36" s="306"/>
      <c r="D36" s="306"/>
      <c r="E36" s="306"/>
      <c r="F36" s="285"/>
      <c r="G36" s="285"/>
      <c r="H36" s="285"/>
      <c r="I36" s="285"/>
      <c r="J36" s="313"/>
      <c r="K36" s="306"/>
      <c r="L36" s="307"/>
      <c r="M36" s="285"/>
    </row>
    <row r="37" spans="1:17" ht="15.75" thickBot="1">
      <c r="A37" s="314"/>
      <c r="B37" s="314"/>
      <c r="C37" s="314"/>
      <c r="D37" s="314"/>
      <c r="E37" s="314"/>
      <c r="F37" s="314"/>
      <c r="G37" s="314"/>
      <c r="H37" s="314"/>
      <c r="I37" s="314"/>
      <c r="J37" s="314"/>
      <c r="K37" s="314"/>
      <c r="L37" s="314"/>
      <c r="M37" s="314"/>
      <c r="N37" s="305"/>
      <c r="O37" s="305"/>
      <c r="P37" s="315"/>
      <c r="Q37" s="315"/>
    </row>
    <row r="38" spans="1:17" ht="15">
      <c r="A38" s="285" t="s">
        <v>1095</v>
      </c>
      <c r="B38" s="285"/>
      <c r="C38" s="285"/>
      <c r="D38" s="285"/>
      <c r="E38" s="285"/>
      <c r="F38" s="285"/>
      <c r="G38" s="285"/>
      <c r="H38" s="285"/>
      <c r="I38" s="285"/>
      <c r="J38" s="342">
        <f>SUM(J7:J37)</f>
        <v>1108517</v>
      </c>
      <c r="K38" s="285"/>
      <c r="L38" s="338">
        <f>J38/$J$3</f>
        <v>0.92376416666666672</v>
      </c>
      <c r="M38" s="285"/>
      <c r="N38" s="305"/>
      <c r="O38" s="305"/>
    </row>
    <row r="39" spans="1:17" ht="15">
      <c r="A39" s="285"/>
      <c r="B39" s="285"/>
      <c r="C39" s="285"/>
      <c r="D39" s="285"/>
      <c r="E39" s="285"/>
      <c r="F39" s="296"/>
      <c r="G39" s="285"/>
      <c r="H39" s="285"/>
      <c r="I39" s="285"/>
      <c r="J39" s="304"/>
      <c r="K39" s="285"/>
      <c r="L39" s="285"/>
      <c r="M39" s="285"/>
      <c r="N39" s="305"/>
      <c r="O39" s="305"/>
    </row>
    <row r="40" spans="1:17" ht="15.75" thickBot="1">
      <c r="A40" s="285" t="s">
        <v>1096</v>
      </c>
      <c r="B40" s="285"/>
      <c r="C40" s="285"/>
      <c r="D40" s="285"/>
      <c r="E40" s="285"/>
      <c r="F40" s="296"/>
      <c r="G40" s="285"/>
      <c r="H40" s="285"/>
      <c r="I40" s="285"/>
      <c r="J40" s="285"/>
      <c r="K40" s="285"/>
      <c r="L40" s="285" t="s">
        <v>654</v>
      </c>
      <c r="M40" s="285" t="s">
        <v>653</v>
      </c>
      <c r="N40" s="305"/>
      <c r="O40" s="305"/>
    </row>
    <row r="41" spans="1:17" ht="15">
      <c r="A41" s="316" t="s">
        <v>1098</v>
      </c>
      <c r="B41" s="317"/>
      <c r="C41" s="317"/>
      <c r="D41" s="317"/>
      <c r="E41" s="317"/>
      <c r="F41" s="317"/>
      <c r="G41" s="317"/>
      <c r="H41" s="317"/>
      <c r="I41" s="317"/>
      <c r="J41" s="317"/>
      <c r="K41" s="317"/>
      <c r="L41" s="318">
        <f>L38/3.785</f>
        <v>0.24405922501100838</v>
      </c>
      <c r="M41" s="318">
        <v>0.21984081902245708</v>
      </c>
      <c r="N41" s="305"/>
      <c r="O41" s="305"/>
    </row>
    <row r="42" spans="1:17" ht="15.75" thickBot="1">
      <c r="A42" s="319" t="s">
        <v>1097</v>
      </c>
      <c r="B42" s="298"/>
      <c r="C42" s="298"/>
      <c r="D42" s="298"/>
      <c r="E42" s="298"/>
      <c r="F42" s="298"/>
      <c r="G42" s="298"/>
      <c r="H42" s="298"/>
      <c r="I42" s="298"/>
      <c r="J42" s="298"/>
      <c r="K42" s="320"/>
      <c r="L42" s="321">
        <f>L38</f>
        <v>0.92376416666666672</v>
      </c>
      <c r="M42" s="321">
        <v>0.83209750000000005</v>
      </c>
      <c r="N42" s="305"/>
      <c r="O42" s="305"/>
    </row>
    <row r="43" spans="1:17" ht="15">
      <c r="A43" s="306" t="s">
        <v>1099</v>
      </c>
      <c r="B43" s="306"/>
      <c r="C43" s="306"/>
      <c r="D43" s="306"/>
      <c r="E43" s="306"/>
      <c r="F43" s="306"/>
      <c r="G43" s="306"/>
      <c r="H43" s="306"/>
      <c r="I43" s="306"/>
      <c r="J43" s="306"/>
      <c r="K43" s="322"/>
      <c r="L43" s="318">
        <f>L38/4</f>
        <v>0.23094104166666668</v>
      </c>
      <c r="M43" s="318">
        <v>0.20802437500000001</v>
      </c>
      <c r="N43" s="305"/>
      <c r="O43" s="305"/>
    </row>
    <row r="44" spans="1:17" ht="13.5" thickBot="1">
      <c r="A44" s="298" t="s">
        <v>1100</v>
      </c>
      <c r="B44" s="298"/>
      <c r="C44" s="298"/>
      <c r="D44" s="298"/>
      <c r="E44" s="298"/>
      <c r="F44" s="298"/>
      <c r="G44" s="298"/>
      <c r="H44" s="298"/>
      <c r="I44" s="298"/>
      <c r="J44" s="298"/>
      <c r="K44" s="326"/>
      <c r="L44" s="323">
        <f>L42*55</f>
        <v>50.807029166666666</v>
      </c>
      <c r="M44" s="323">
        <v>45.765362500000002</v>
      </c>
    </row>
    <row r="45" spans="1:17">
      <c r="K45" s="330"/>
    </row>
    <row r="46" spans="1:17" s="305" customFormat="1" ht="15">
      <c r="A46" s="239"/>
      <c r="B46" s="133" t="s">
        <v>20</v>
      </c>
      <c r="C46" s="133"/>
      <c r="D46" s="133"/>
      <c r="E46" s="133"/>
      <c r="F46" s="133"/>
      <c r="G46" s="133"/>
      <c r="H46" s="133"/>
      <c r="I46" s="133"/>
      <c r="J46" s="133"/>
      <c r="K46" s="133"/>
      <c r="L46" s="133"/>
      <c r="M46" s="133"/>
    </row>
    <row r="47" spans="1:17" s="305" customFormat="1" ht="15"/>
    <row r="48" spans="1:17" s="305" customFormat="1" ht="15"/>
    <row r="49" spans="2:14" s="305" customFormat="1" ht="15">
      <c r="B49" s="215" t="s">
        <v>1101</v>
      </c>
      <c r="D49" s="305">
        <v>2019</v>
      </c>
      <c r="E49" s="305">
        <v>2020</v>
      </c>
      <c r="F49" s="305">
        <v>2021</v>
      </c>
      <c r="G49" s="305">
        <v>2022</v>
      </c>
      <c r="H49" s="305">
        <v>2023</v>
      </c>
      <c r="I49" s="305">
        <v>2024</v>
      </c>
      <c r="J49" s="305">
        <v>2025</v>
      </c>
      <c r="K49" s="305">
        <v>2026</v>
      </c>
      <c r="L49" s="305">
        <v>2027</v>
      </c>
      <c r="M49" s="305">
        <v>2028</v>
      </c>
      <c r="N49"/>
    </row>
    <row r="50" spans="2:14" s="305" customFormat="1" ht="15">
      <c r="B50" s="215" t="s">
        <v>824</v>
      </c>
      <c r="D50" s="653">
        <f>$L$7+$L$11+$L$14+$L$17+$L$20+$L$23+$L$26++$L$29+$L$32+$L$35*('Key Assumptions'!F15)</f>
        <v>0.81497666666666668</v>
      </c>
      <c r="E50" s="653">
        <f>$L$7+$L$11+$L$14+$L$17+$L$20+$L$23+$L$26++$L$29+$L$32+$L$35*('Key Assumptions'!G15)</f>
        <v>0.74510479166666665</v>
      </c>
      <c r="F50" s="653">
        <f>$L$7+$L$11+$L$14+$L$17+$L$20+$L$23+$L$26++$L$29+$L$32+$L$35*('Key Assumptions'!H15)</f>
        <v>0.72181416666666665</v>
      </c>
      <c r="G50" s="653">
        <f>$L$7+$L$11+$L$14+$L$17+$L$20+$L$23+$L$26++$L$29+$L$32+$L$35*('Key Assumptions'!I15)</f>
        <v>0.67523291666666663</v>
      </c>
      <c r="H50" s="653">
        <f>$L$7+$L$11+$L$14+$L$17+$L$20+$L$23+$L$26++$L$29+$L$32+$L$35*('Key Assumptions'!J15)</f>
        <v>0.67057479166666667</v>
      </c>
      <c r="I50" s="653">
        <f>$L$7+$L$11+$L$14+$L$17+$L$20+$L$23+$L$26++$L$29+$L$32+$L$35*('Key Assumptions'!K15)</f>
        <v>0.66600982916666662</v>
      </c>
      <c r="J50" s="653">
        <f>$L$7+$L$11+$L$14+$L$17+$L$20+$L$23+$L$26++$L$29+$L$32+$L$35*('Key Assumptions'!L15)</f>
        <v>0.66153616591666664</v>
      </c>
      <c r="K50" s="653">
        <f>$L$7+$L$11+$L$14+$L$17+$L$20+$L$23+$L$26++$L$29+$L$32+$L$35*('Key Assumptions'!M15)</f>
        <v>0.65715197593166663</v>
      </c>
      <c r="L50" s="653">
        <f>$L$7+$L$11+$L$14+$L$17+$L$20+$L$23+$L$26++$L$29+$L$32+$L$35*('Key Assumptions'!N15)</f>
        <v>0.65285546974636666</v>
      </c>
      <c r="M50" s="653">
        <f>$L$7+$L$11+$L$14+$L$17+$L$20+$L$23+$L$26++$L$29+$L$32+$L$35*('Key Assumptions'!O15)</f>
        <v>0.64864489368477263</v>
      </c>
      <c r="N50"/>
    </row>
    <row r="51" spans="2:14" s="305" customFormat="1" ht="15">
      <c r="B51" s="215" t="s">
        <v>1102</v>
      </c>
      <c r="D51" s="653">
        <f>$L$35*(1-'Key Assumptions'!F15)</f>
        <v>9.3162499999999981E-2</v>
      </c>
      <c r="E51" s="653">
        <f>$L$35*(1-'Key Assumptions'!G15)</f>
        <v>0.16303437500000001</v>
      </c>
      <c r="F51" s="653">
        <f>$L$35*(1-'Key Assumptions'!H15)</f>
        <v>0.18632500000000002</v>
      </c>
      <c r="G51" s="653">
        <f>$L$35*(1-'Key Assumptions'!I15)</f>
        <v>0.23290625000000001</v>
      </c>
      <c r="H51" s="653">
        <f>$L$35*(1-'Key Assumptions'!J15)</f>
        <v>0.23756437500000002</v>
      </c>
      <c r="I51" s="653">
        <f>$L$35*(1-'Key Assumptions'!K15)</f>
        <v>0.24212933750000004</v>
      </c>
      <c r="J51" s="653">
        <f>$L$35*(1-'Key Assumptions'!L15)</f>
        <v>0.24660300075</v>
      </c>
      <c r="K51" s="653">
        <f>$L$35*(1-'Key Assumptions'!M15)</f>
        <v>0.25098719073500003</v>
      </c>
      <c r="L51" s="653">
        <f>$L$35*(1-'Key Assumptions'!N15)</f>
        <v>0.25528369692030006</v>
      </c>
      <c r="M51" s="653">
        <f>$L$35*(1-'Key Assumptions'!O15)</f>
        <v>0.25949427298189409</v>
      </c>
      <c r="N51"/>
    </row>
    <row r="52" spans="2:14" s="305" customFormat="1" ht="15"/>
    <row r="53" spans="2:14" s="305" customFormat="1" ht="15"/>
    <row r="54" spans="2:14" s="305" customFormat="1" ht="15"/>
    <row r="55" spans="2:14" s="305" customFormat="1" ht="15"/>
    <row r="56" spans="2:14" s="305" customFormat="1" ht="15"/>
    <row r="57" spans="2:14" s="305" customFormat="1" ht="15"/>
    <row r="58" spans="2:14" s="305" customFormat="1" ht="15"/>
  </sheetData>
  <mergeCells count="1">
    <mergeCell ref="L6:M6"/>
  </mergeCells>
  <printOptions horizontalCentered="1"/>
  <pageMargins left="0.2" right="0" top="0.5868503937007874" bottom="0.2" header="0.5" footer="0.5"/>
  <pageSetup scale="80"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8"/>
  <sheetViews>
    <sheetView zoomScale="125" zoomScaleNormal="125" zoomScalePageLayoutView="125" workbookViewId="0">
      <selection activeCell="E38" sqref="E38"/>
    </sheetView>
  </sheetViews>
  <sheetFormatPr defaultColWidth="8.85546875" defaultRowHeight="15"/>
  <cols>
    <col min="1" max="1" width="2.85546875" customWidth="1"/>
    <col min="2" max="3" width="33" customWidth="1"/>
    <col min="4" max="4" width="12.5703125" customWidth="1"/>
    <col min="5" max="6" width="12" bestFit="1" customWidth="1"/>
    <col min="7" max="12" width="13.28515625" bestFit="1" customWidth="1"/>
  </cols>
  <sheetData>
    <row r="1" spans="1:12" ht="15.75">
      <c r="A1" s="411" t="s">
        <v>446</v>
      </c>
      <c r="B1" s="82"/>
      <c r="C1" s="82"/>
      <c r="D1" s="82"/>
      <c r="E1" s="82"/>
      <c r="F1" s="82"/>
      <c r="G1" s="82"/>
      <c r="H1" s="82"/>
      <c r="I1" s="82"/>
      <c r="J1" s="82"/>
      <c r="K1" s="82"/>
      <c r="L1" s="82"/>
    </row>
    <row r="2" spans="1:12">
      <c r="A2" s="82"/>
      <c r="B2" s="82"/>
      <c r="C2" s="82"/>
      <c r="D2" s="82"/>
      <c r="E2" s="82"/>
      <c r="F2" s="82"/>
      <c r="G2" s="82"/>
      <c r="H2" s="82"/>
      <c r="I2" s="82"/>
      <c r="J2" s="82"/>
      <c r="K2" s="82"/>
      <c r="L2" s="82"/>
    </row>
    <row r="3" spans="1:12">
      <c r="A3" s="82"/>
      <c r="B3" s="474" t="s">
        <v>67</v>
      </c>
      <c r="C3" s="474" t="s">
        <v>941</v>
      </c>
      <c r="D3" s="605">
        <v>2018</v>
      </c>
      <c r="E3" s="473" t="s">
        <v>37</v>
      </c>
      <c r="F3" s="473" t="s">
        <v>38</v>
      </c>
      <c r="G3" s="473" t="s">
        <v>39</v>
      </c>
      <c r="H3" s="473" t="s">
        <v>40</v>
      </c>
      <c r="I3" s="473" t="s">
        <v>41</v>
      </c>
      <c r="J3" s="473" t="s">
        <v>42</v>
      </c>
      <c r="K3" s="473" t="s">
        <v>43</v>
      </c>
      <c r="L3" s="473" t="s">
        <v>168</v>
      </c>
    </row>
    <row r="4" spans="1:12">
      <c r="A4" s="82"/>
      <c r="B4" s="135" t="s">
        <v>75</v>
      </c>
      <c r="C4" s="135" t="s">
        <v>1103</v>
      </c>
      <c r="D4" s="135"/>
      <c r="E4" s="222">
        <f>'P&amp;L and Cash Flow'!E23+('Key Assumptions'!F15)*'P&amp;L and Cash Flow'!E16</f>
        <v>1735142.9326287978</v>
      </c>
      <c r="F4" s="222">
        <f>'P&amp;L and Cash Flow'!F23+('Key Assumptions'!G15)*'P&amp;L and Cash Flow'!F16</f>
        <v>1355807.5338507267</v>
      </c>
      <c r="G4" s="222">
        <f>'P&amp;L and Cash Flow'!G23+('Key Assumptions'!H15)*'P&amp;L and Cash Flow'!G16</f>
        <v>1011992.0904887714</v>
      </c>
      <c r="H4" s="222">
        <f>'P&amp;L and Cash Flow'!H23+('Key Assumptions'!I15)*'P&amp;L and Cash Flow'!H16</f>
        <v>641184.39976882422</v>
      </c>
      <c r="I4" s="222">
        <f>'P&amp;L and Cash Flow'!I23+('Key Assumptions'!J15)*'P&amp;L and Cash Flow'!I16</f>
        <v>618878.87033520476</v>
      </c>
      <c r="J4" s="222">
        <f>'P&amp;L and Cash Flow'!J23+('Key Assumptions'!K15)*'P&amp;L and Cash Flow'!J16</f>
        <v>596494.86812689889</v>
      </c>
      <c r="K4" s="222">
        <f>'P&amp;L and Cash Flow'!K23+('Key Assumptions'!L15)*'P&amp;L and Cash Flow'!K16</f>
        <v>573969.99523881043</v>
      </c>
      <c r="L4" s="222">
        <f>'P&amp;L and Cash Flow'!L23+('Key Assumptions'!M15)*'P&amp;L and Cash Flow'!L16</f>
        <v>551237.5714594454</v>
      </c>
    </row>
    <row r="5" spans="1:12">
      <c r="A5" s="82"/>
      <c r="B5" s="135" t="s">
        <v>26</v>
      </c>
      <c r="C5" s="135" t="s">
        <v>26</v>
      </c>
      <c r="D5" s="135"/>
      <c r="E5" s="222">
        <f>SUM(E4:E4)</f>
        <v>1735142.9326287978</v>
      </c>
      <c r="F5" s="222">
        <f>SUM(F4:F4)</f>
        <v>1355807.5338507267</v>
      </c>
      <c r="G5" s="222">
        <f>SUM(G4:G4)</f>
        <v>1011992.0904887714</v>
      </c>
      <c r="H5" s="222">
        <f t="shared" ref="H5:L5" si="0">SUM(H4:H4)</f>
        <v>641184.39976882422</v>
      </c>
      <c r="I5" s="222">
        <f t="shared" si="0"/>
        <v>618878.87033520476</v>
      </c>
      <c r="J5" s="222">
        <f t="shared" si="0"/>
        <v>596494.86812689889</v>
      </c>
      <c r="K5" s="222">
        <f t="shared" si="0"/>
        <v>573969.99523881043</v>
      </c>
      <c r="L5" s="222">
        <f t="shared" si="0"/>
        <v>551237.5714594454</v>
      </c>
    </row>
    <row r="6" spans="1:12">
      <c r="A6" s="82"/>
      <c r="B6" s="135"/>
      <c r="C6" s="135"/>
      <c r="D6" s="135"/>
      <c r="E6" s="222"/>
      <c r="F6" s="222"/>
      <c r="G6" s="222"/>
      <c r="H6" s="222"/>
      <c r="I6" s="222"/>
      <c r="J6" s="222"/>
      <c r="K6" s="222"/>
      <c r="L6" s="222"/>
    </row>
    <row r="7" spans="1:12">
      <c r="A7" s="82"/>
      <c r="B7" s="135" t="s">
        <v>83</v>
      </c>
      <c r="C7" s="135" t="s">
        <v>996</v>
      </c>
      <c r="D7" s="135"/>
      <c r="E7" s="222">
        <f>'P&amp;L and Cash Flow'!E6</f>
        <v>2291550.8940103771</v>
      </c>
      <c r="F7" s="222">
        <f>'P&amp;L and Cash Flow'!F6</f>
        <v>1867091.679263728</v>
      </c>
      <c r="G7" s="222">
        <f>'P&amp;L and Cash Flow'!G6</f>
        <v>1606426.0805886374</v>
      </c>
      <c r="H7" s="222">
        <f>'P&amp;L and Cash Flow'!H6</f>
        <v>1271697.4119162047</v>
      </c>
      <c r="I7" s="222">
        <f>'P&amp;L and Cash Flow'!I6</f>
        <v>1255022.5957710776</v>
      </c>
      <c r="J7" s="222">
        <f>'P&amp;L and Cash Flow'!J6</f>
        <v>1220380.4663281897</v>
      </c>
      <c r="K7" s="222">
        <f>'P&amp;L and Cash Flow'!K6</f>
        <v>1174475.0321592535</v>
      </c>
      <c r="L7" s="222">
        <f>'P&amp;L and Cash Flow'!L6</f>
        <v>1131803.6580796672</v>
      </c>
    </row>
    <row r="8" spans="1:12">
      <c r="A8" s="82"/>
      <c r="B8" s="135" t="s">
        <v>84</v>
      </c>
      <c r="C8" s="135" t="s">
        <v>1104</v>
      </c>
      <c r="D8" s="135"/>
      <c r="E8" s="485">
        <f>(E7-E5)/E7</f>
        <v>0.24280846776561255</v>
      </c>
      <c r="F8" s="485">
        <f t="shared" ref="F8:G8" si="1">(F7-F5)/F7</f>
        <v>0.27383987143824773</v>
      </c>
      <c r="G8" s="485">
        <f t="shared" si="1"/>
        <v>0.37003507181734091</v>
      </c>
      <c r="H8" s="485">
        <f t="shared" ref="H8:L8" si="2">(H7-H5)/H7</f>
        <v>0.49580427406651556</v>
      </c>
      <c r="I8" s="485">
        <f t="shared" si="2"/>
        <v>0.50687830448584892</v>
      </c>
      <c r="J8" s="485">
        <f t="shared" si="2"/>
        <v>0.51122220931510132</v>
      </c>
      <c r="K8" s="485">
        <f t="shared" si="2"/>
        <v>0.51129655418593634</v>
      </c>
      <c r="L8" s="485">
        <f t="shared" si="2"/>
        <v>0.51295653842051459</v>
      </c>
    </row>
    <row r="9" spans="1:12">
      <c r="A9" s="82"/>
      <c r="B9" s="135"/>
      <c r="C9" s="135"/>
      <c r="D9" s="135"/>
      <c r="E9" s="471"/>
      <c r="F9" s="471"/>
      <c r="G9" s="471"/>
      <c r="H9" s="471"/>
      <c r="I9" s="471"/>
      <c r="J9" s="471"/>
      <c r="K9" s="471"/>
      <c r="L9" s="471"/>
    </row>
    <row r="10" spans="1:12">
      <c r="A10" s="82"/>
      <c r="B10" s="135" t="s">
        <v>80</v>
      </c>
      <c r="C10" s="135" t="s">
        <v>1105</v>
      </c>
      <c r="D10" s="135"/>
      <c r="E10" s="222">
        <f>'P&amp;L and Cash Flow'!E47*'P&amp;L and Cash Flow'!E6/'Summary Cash Flows'!D13</f>
        <v>356260.33521059586</v>
      </c>
      <c r="F10" s="222">
        <f>'P&amp;L and Cash Flow'!F47*'P&amp;L and Cash Flow'!F6/'Summary Cash Flows'!E13</f>
        <v>246476.25179504679</v>
      </c>
      <c r="G10" s="222">
        <f>'P&amp;L and Cash Flow'!G47*'P&amp;L and Cash Flow'!G6/'Summary Cash Flows'!F13</f>
        <v>187628.53361659398</v>
      </c>
      <c r="H10" s="222">
        <f>'P&amp;L and Cash Flow'!H47*'P&amp;L and Cash Flow'!H6/'Summary Cash Flows'!G13</f>
        <v>133390.27643930452</v>
      </c>
      <c r="I10" s="222">
        <f>'P&amp;L and Cash Flow'!I47*'P&amp;L and Cash Flow'!I6/'Summary Cash Flows'!H13</f>
        <v>129757.48010487031</v>
      </c>
      <c r="J10" s="222">
        <f>'P&amp;L and Cash Flow'!J47*'P&amp;L and Cash Flow'!J6/'Summary Cash Flows'!I13</f>
        <v>124432.09346163111</v>
      </c>
      <c r="K10" s="222">
        <f>'P&amp;L and Cash Flow'!K47*'P&amp;L and Cash Flow'!K6/'Summary Cash Flows'!J13</f>
        <v>118365.9434157553</v>
      </c>
      <c r="L10" s="222">
        <f>'P&amp;L and Cash Flow'!L47*'P&amp;L and Cash Flow'!L6/'Summary Cash Flows'!K13</f>
        <v>112608.8225038227</v>
      </c>
    </row>
    <row r="11" spans="1:12">
      <c r="A11" s="82"/>
      <c r="B11" s="135" t="s">
        <v>144</v>
      </c>
      <c r="C11" s="135" t="s">
        <v>1107</v>
      </c>
      <c r="D11" s="135"/>
      <c r="E11" s="485">
        <f>(E7-E4-E10)/E4</f>
        <v>0.11534935964482954</v>
      </c>
      <c r="F11" s="485">
        <f t="shared" ref="F11:L11" si="3">(F7-F4-F10)/F4</f>
        <v>0.19531377943140243</v>
      </c>
      <c r="G11" s="485">
        <f t="shared" si="3"/>
        <v>0.40198481816868081</v>
      </c>
      <c r="H11" s="485">
        <f t="shared" si="3"/>
        <v>0.77531944926812169</v>
      </c>
      <c r="I11" s="485">
        <f t="shared" si="3"/>
        <v>0.81823159523401956</v>
      </c>
      <c r="J11" s="485">
        <f t="shared" si="3"/>
        <v>0.83731400122189403</v>
      </c>
      <c r="K11" s="485">
        <f t="shared" si="3"/>
        <v>0.84000748733230424</v>
      </c>
      <c r="L11" s="485">
        <f t="shared" si="3"/>
        <v>0.84892120629122758</v>
      </c>
    </row>
    <row r="12" spans="1:12">
      <c r="A12" s="82"/>
      <c r="B12" s="135"/>
      <c r="C12" s="135"/>
      <c r="D12" s="135"/>
      <c r="E12" s="452"/>
      <c r="F12" s="452"/>
      <c r="G12" s="452"/>
      <c r="H12" s="452"/>
      <c r="I12" s="135"/>
      <c r="J12" s="135"/>
      <c r="K12" s="135"/>
      <c r="L12" s="133"/>
    </row>
    <row r="13" spans="1:12">
      <c r="A13" s="82"/>
      <c r="B13" s="134"/>
      <c r="C13" s="134"/>
      <c r="D13" s="134"/>
      <c r="E13" s="134"/>
      <c r="F13" s="134"/>
      <c r="G13" s="134"/>
      <c r="H13" s="134"/>
      <c r="I13" s="134"/>
      <c r="J13" s="134"/>
      <c r="K13" s="134"/>
      <c r="L13" s="133"/>
    </row>
    <row r="14" spans="1:12">
      <c r="A14" s="82"/>
      <c r="B14" s="134"/>
      <c r="C14" s="134"/>
      <c r="D14" s="134"/>
      <c r="E14" s="134"/>
      <c r="F14" s="134"/>
      <c r="G14" s="134"/>
      <c r="H14" s="134"/>
      <c r="I14" s="134"/>
      <c r="J14" s="134"/>
      <c r="K14" s="134"/>
      <c r="L14" s="133"/>
    </row>
    <row r="15" spans="1:12">
      <c r="A15" s="82"/>
      <c r="B15" s="474" t="s">
        <v>81</v>
      </c>
      <c r="C15" s="474" t="s">
        <v>1106</v>
      </c>
      <c r="D15" s="605">
        <v>2018</v>
      </c>
      <c r="E15" s="473" t="s">
        <v>37</v>
      </c>
      <c r="F15" s="473" t="s">
        <v>38</v>
      </c>
      <c r="G15" s="473" t="s">
        <v>39</v>
      </c>
      <c r="H15" s="473" t="s">
        <v>40</v>
      </c>
      <c r="I15" s="473" t="s">
        <v>41</v>
      </c>
      <c r="J15" s="473" t="s">
        <v>42</v>
      </c>
      <c r="K15" s="473" t="s">
        <v>43</v>
      </c>
      <c r="L15" s="473" t="s">
        <v>168</v>
      </c>
    </row>
    <row r="16" spans="1:12">
      <c r="A16" s="82"/>
      <c r="B16" s="135" t="s">
        <v>75</v>
      </c>
      <c r="C16" s="135" t="s">
        <v>1103</v>
      </c>
      <c r="D16" s="222">
        <f>'P&amp;L and Cash Flow'!D15+'P&amp;L and Cash Flow'!D29</f>
        <v>944000</v>
      </c>
      <c r="E16" s="222">
        <f>'P&amp;L and Cash Flow'!E15+'P&amp;L and Cash Flow'!E29</f>
        <v>541250</v>
      </c>
      <c r="F16" s="222">
        <f>'P&amp;L and Cash Flow'!F15+'P&amp;L and Cash Flow'!F29</f>
        <v>563894.25000000012</v>
      </c>
      <c r="G16" s="222">
        <f>'P&amp;L and Cash Flow'!G15+'P&amp;L and Cash Flow'!G29</f>
        <v>587589.43905000004</v>
      </c>
      <c r="H16" s="222">
        <f>'P&amp;L and Cash Flow'!H15+'P&amp;L and Cash Flow'!H29</f>
        <v>612386.84746593004</v>
      </c>
      <c r="I16" s="222">
        <f>'P&amp;L and Cash Flow'!I15+'P&amp;L and Cash Flow'!I29</f>
        <v>638340.31240370614</v>
      </c>
      <c r="J16" s="222">
        <f>'P&amp;L and Cash Flow'!J15+'P&amp;L and Cash Flow'!J29</f>
        <v>665506.35647645383</v>
      </c>
      <c r="K16" s="222">
        <f>'P&amp;L and Cash Flow'!K15+'P&amp;L and Cash Flow'!K29</f>
        <v>693944.32286458462</v>
      </c>
      <c r="L16" s="222">
        <f>'P&amp;L and Cash Flow'!L15+'P&amp;L and Cash Flow'!L29</f>
        <v>723716.51724696357</v>
      </c>
    </row>
    <row r="17" spans="1:12">
      <c r="A17" s="82"/>
      <c r="B17" s="135" t="s">
        <v>26</v>
      </c>
      <c r="C17" s="135" t="s">
        <v>26</v>
      </c>
      <c r="D17" s="222">
        <f t="shared" ref="D17" si="4">SUM(D16:D16)</f>
        <v>944000</v>
      </c>
      <c r="E17" s="222">
        <f t="shared" ref="E17:L17" si="5">SUM(E16:E16)</f>
        <v>541250</v>
      </c>
      <c r="F17" s="222">
        <f t="shared" si="5"/>
        <v>563894.25000000012</v>
      </c>
      <c r="G17" s="222">
        <f t="shared" si="5"/>
        <v>587589.43905000004</v>
      </c>
      <c r="H17" s="222">
        <f t="shared" si="5"/>
        <v>612386.84746593004</v>
      </c>
      <c r="I17" s="222">
        <f t="shared" si="5"/>
        <v>638340.31240370614</v>
      </c>
      <c r="J17" s="222">
        <f t="shared" si="5"/>
        <v>665506.35647645383</v>
      </c>
      <c r="K17" s="222">
        <f t="shared" si="5"/>
        <v>693944.32286458462</v>
      </c>
      <c r="L17" s="222">
        <f t="shared" si="5"/>
        <v>723716.51724696357</v>
      </c>
    </row>
    <row r="18" spans="1:12">
      <c r="A18" s="82"/>
      <c r="B18" s="135"/>
      <c r="C18" s="135"/>
      <c r="D18" s="222"/>
      <c r="E18" s="222"/>
      <c r="F18" s="222"/>
      <c r="G18" s="222"/>
      <c r="H18" s="222"/>
      <c r="I18" s="222"/>
      <c r="J18" s="222"/>
      <c r="K18" s="222"/>
      <c r="L18" s="222"/>
    </row>
    <row r="19" spans="1:12">
      <c r="A19" s="82"/>
      <c r="B19" s="135" t="s">
        <v>83</v>
      </c>
      <c r="C19" s="135" t="s">
        <v>996</v>
      </c>
      <c r="D19" s="222">
        <f>'P&amp;L and Cash Flow'!D10</f>
        <v>1392981.8181818179</v>
      </c>
      <c r="E19" s="222">
        <f>'P&amp;L and Cash Flow'!E10</f>
        <v>843652.34999999974</v>
      </c>
      <c r="F19" s="222">
        <f>'P&amp;L and Cash Flow'!F10</f>
        <v>872016.34224272694</v>
      </c>
      <c r="G19" s="222">
        <f>'P&amp;L and Cash Flow'!G10</f>
        <v>901353.50897860294</v>
      </c>
      <c r="H19" s="222">
        <f>'P&amp;L and Cash Flow'!H10</f>
        <v>931697.94998718821</v>
      </c>
      <c r="I19" s="222">
        <f>'P&amp;L and Cash Flow'!I10</f>
        <v>963084.98514174484</v>
      </c>
      <c r="J19" s="222">
        <f>'P&amp;L and Cash Flow'!J10</f>
        <v>995551.19894339296</v>
      </c>
      <c r="K19" s="222">
        <f>'P&amp;L and Cash Flow'!K10</f>
        <v>1029134.4867107654</v>
      </c>
      <c r="L19" s="222">
        <f>'P&amp;L and Cash Flow'!L10</f>
        <v>1063874.102487708</v>
      </c>
    </row>
    <row r="20" spans="1:12">
      <c r="A20" s="82"/>
      <c r="B20" s="135" t="s">
        <v>84</v>
      </c>
      <c r="C20" s="135" t="s">
        <v>1104</v>
      </c>
      <c r="D20" s="485">
        <f t="shared" ref="D20" si="6">(D19-D17)/D19</f>
        <v>0.32231706998720844</v>
      </c>
      <c r="E20" s="485">
        <f t="shared" ref="E20:K20" si="7">(E19-E17)/E19</f>
        <v>0.35844426913526622</v>
      </c>
      <c r="F20" s="485">
        <f t="shared" si="7"/>
        <v>0.35334440114995069</v>
      </c>
      <c r="G20" s="485">
        <f t="shared" si="7"/>
        <v>0.34810323230910201</v>
      </c>
      <c r="H20" s="485">
        <f t="shared" si="7"/>
        <v>0.34271955039253765</v>
      </c>
      <c r="I20" s="485">
        <f t="shared" si="7"/>
        <v>0.33719212504412938</v>
      </c>
      <c r="J20" s="485">
        <f t="shared" si="7"/>
        <v>0.33151970769280897</v>
      </c>
      <c r="K20" s="485">
        <f t="shared" si="7"/>
        <v>0.32570103147304669</v>
      </c>
      <c r="L20" s="485">
        <f t="shared" ref="L20" si="8">(L19-L17)/L19</f>
        <v>0.31973481114479391</v>
      </c>
    </row>
    <row r="21" spans="1:12">
      <c r="A21" s="82"/>
      <c r="B21" s="135"/>
      <c r="C21" s="135"/>
      <c r="D21" s="471"/>
      <c r="E21" s="471"/>
      <c r="F21" s="471"/>
      <c r="G21" s="471"/>
      <c r="H21" s="471"/>
      <c r="I21" s="471"/>
      <c r="J21" s="471"/>
      <c r="K21" s="471"/>
      <c r="L21" s="471"/>
    </row>
    <row r="22" spans="1:12">
      <c r="A22" s="82"/>
      <c r="B22" s="135" t="s">
        <v>80</v>
      </c>
      <c r="C22" s="135" t="s">
        <v>1105</v>
      </c>
      <c r="D22" s="222">
        <f>'P&amp;L and Cash Flow'!D47</f>
        <v>326610</v>
      </c>
      <c r="E22" s="222">
        <f>'P&amp;L and Cash Flow'!E47*'P&amp;L and Cash Flow'!E10/('P&amp;L and Cash Flow'!E12)</f>
        <v>131160.02345739122</v>
      </c>
      <c r="F22" s="222">
        <f>'P&amp;L and Cash Flow'!F47*'P&amp;L and Cash Flow'!F10/('P&amp;L and Cash Flow'!F12)</f>
        <v>115115.5682000417</v>
      </c>
      <c r="G22" s="222">
        <f>'P&amp;L and Cash Flow'!G47*'P&amp;L and Cash Flow'!G10/('P&amp;L and Cash Flow'!G12)</f>
        <v>105276.94937438816</v>
      </c>
      <c r="H22" s="222">
        <f>'P&amp;L and Cash Flow'!H47*'P&amp;L and Cash Flow'!H10/('P&amp;L and Cash Flow'!H12)</f>
        <v>97727.215564163984</v>
      </c>
      <c r="I22" s="222">
        <f>'P&amp;L and Cash Flow'!I47*'P&amp;L and Cash Flow'!I10/('P&amp;L and Cash Flow'!I12)</f>
        <v>99573.889123526169</v>
      </c>
      <c r="J22" s="222">
        <f>'P&amp;L and Cash Flow'!J47*'P&amp;L and Cash Flow'!J10/('P&amp;L and Cash Flow'!J12)</f>
        <v>101508.11427315099</v>
      </c>
      <c r="K22" s="222">
        <f>'P&amp;L and Cash Flow'!K47*'P&amp;L and Cash Flow'!K10/('P&amp;L and Cash Flow'!K12)</f>
        <v>103718.23247468691</v>
      </c>
      <c r="L22" s="222">
        <f>'P&amp;L and Cash Flow'!L47*'P&amp;L and Cash Flow'!L10/('P&amp;L and Cash Flow'!L12)</f>
        <v>105850.17031727883</v>
      </c>
    </row>
    <row r="23" spans="1:12">
      <c r="A23" s="82"/>
      <c r="B23" s="135" t="s">
        <v>92</v>
      </c>
      <c r="C23" s="135" t="s">
        <v>1107</v>
      </c>
      <c r="D23" s="485">
        <f t="shared" ref="D23" si="9">(D19-D17-D22)/D19</f>
        <v>8.7848826585219211E-2</v>
      </c>
      <c r="E23" s="485">
        <f t="shared" ref="E23:K23" si="10">(E19-E17-E22)/E19</f>
        <v>0.20297735974137757</v>
      </c>
      <c r="F23" s="485">
        <f t="shared" si="10"/>
        <v>0.22133360889349191</v>
      </c>
      <c r="G23" s="485">
        <f t="shared" si="10"/>
        <v>0.23130449759991337</v>
      </c>
      <c r="H23" s="485">
        <f t="shared" si="10"/>
        <v>0.23782802888011204</v>
      </c>
      <c r="I23" s="485">
        <f t="shared" si="10"/>
        <v>0.23380157212332864</v>
      </c>
      <c r="J23" s="485">
        <f t="shared" si="10"/>
        <v>0.22955798600447747</v>
      </c>
      <c r="K23" s="485">
        <f t="shared" si="10"/>
        <v>0.22491903085602089</v>
      </c>
      <c r="L23" s="485">
        <f t="shared" ref="L23" si="11">(L19-L17-L22)/L19</f>
        <v>0.22023979564459112</v>
      </c>
    </row>
    <row r="24" spans="1:12">
      <c r="A24" s="82"/>
      <c r="B24" s="135"/>
      <c r="C24" s="135"/>
      <c r="D24" s="135"/>
      <c r="E24" s="471"/>
      <c r="F24" s="471"/>
      <c r="G24" s="471"/>
      <c r="H24" s="471"/>
      <c r="I24" s="471"/>
      <c r="J24" s="471"/>
      <c r="K24" s="471"/>
      <c r="L24" s="133"/>
    </row>
    <row r="25" spans="1:12">
      <c r="A25" s="82"/>
      <c r="B25" s="134"/>
      <c r="C25" s="134"/>
      <c r="D25" s="134"/>
      <c r="E25" s="134"/>
      <c r="F25" s="134"/>
      <c r="G25" s="134"/>
      <c r="H25" s="134"/>
      <c r="I25" s="134"/>
      <c r="J25" s="134"/>
      <c r="K25" s="134"/>
      <c r="L25" s="133"/>
    </row>
    <row r="26" spans="1:12">
      <c r="A26" s="82"/>
      <c r="B26" s="474" t="s">
        <v>82</v>
      </c>
      <c r="C26" s="474" t="s">
        <v>1108</v>
      </c>
      <c r="D26" s="605">
        <v>2018</v>
      </c>
      <c r="E26" s="473" t="s">
        <v>37</v>
      </c>
      <c r="F26" s="473" t="s">
        <v>38</v>
      </c>
      <c r="G26" s="473" t="s">
        <v>39</v>
      </c>
      <c r="H26" s="473" t="s">
        <v>40</v>
      </c>
      <c r="I26" s="473" t="s">
        <v>41</v>
      </c>
      <c r="J26" s="473" t="s">
        <v>42</v>
      </c>
      <c r="K26" s="473" t="s">
        <v>43</v>
      </c>
      <c r="L26" s="473" t="s">
        <v>168</v>
      </c>
    </row>
    <row r="27" spans="1:12">
      <c r="A27" s="82"/>
      <c r="B27" s="135" t="s">
        <v>75</v>
      </c>
      <c r="C27" s="135" t="s">
        <v>1103</v>
      </c>
      <c r="D27" s="135"/>
      <c r="E27" s="222">
        <f>'P&amp;L and Cash Flow'!E18+'P&amp;L and Cash Flow'!E17+'P&amp;L and Cash Flow'!E16*(1-'Key Assumptions'!F15)+'P&amp;L and Cash Flow'!E25+'P&amp;L and Cash Flow'!E26+'P&amp;L and Cash Flow'!E29+'P&amp;L and Cash Flow'!E30</f>
        <v>1126292.7201777347</v>
      </c>
      <c r="F27" s="222">
        <f>'P&amp;L and Cash Flow'!F18+'P&amp;L and Cash Flow'!F17+'P&amp;L and Cash Flow'!F16*(1-'Key Assumptions'!G15)+'P&amp;L and Cash Flow'!F25+'P&amp;L and Cash Flow'!F26+'P&amp;L and Cash Flow'!F29+'P&amp;L and Cash Flow'!F30</f>
        <v>1987533.6001228651</v>
      </c>
      <c r="G27" s="222">
        <f>'P&amp;L and Cash Flow'!G18+'P&amp;L and Cash Flow'!G17+'P&amp;L and Cash Flow'!G16*(1-'Key Assumptions'!H15)+'P&amp;L and Cash Flow'!G25+'P&amp;L and Cash Flow'!G26+'P&amp;L and Cash Flow'!G29+'P&amp;L and Cash Flow'!G30</f>
        <v>2387775.4240306914</v>
      </c>
      <c r="H27" s="222">
        <f>'P&amp;L and Cash Flow'!H18+'P&amp;L and Cash Flow'!H17+'P&amp;L and Cash Flow'!H16*(1-'Key Assumptions'!I15)+'P&amp;L and Cash Flow'!H25+'P&amp;L and Cash Flow'!H26+'P&amp;L and Cash Flow'!H29+'P&amp;L and Cash Flow'!H30</f>
        <v>2895915.4825723805</v>
      </c>
      <c r="I27" s="222">
        <f>'P&amp;L and Cash Flow'!I18+'P&amp;L and Cash Flow'!I17+'P&amp;L and Cash Flow'!I16*(1-'Key Assumptions'!J15)+'P&amp;L and Cash Flow'!I25+'P&amp;L and Cash Flow'!I26+'P&amp;L and Cash Flow'!I29+'P&amp;L and Cash Flow'!I30</f>
        <v>2981244.7162117381</v>
      </c>
      <c r="J27" s="222">
        <f>'P&amp;L and Cash Flow'!J18+'P&amp;L and Cash Flow'!J17+'P&amp;L and Cash Flow'!J16*(1-'Key Assumptions'!K15)+'P&amp;L and Cash Flow'!J25+'P&amp;L and Cash Flow'!J26+'P&amp;L and Cash Flow'!J29+'P&amp;L and Cash Flow'!J30</f>
        <v>3068924.5278622732</v>
      </c>
      <c r="K27" s="222">
        <f>'P&amp;L and Cash Flow'!K18+'P&amp;L and Cash Flow'!K17+'P&amp;L and Cash Flow'!K16*(1-'Key Assumptions'!L15)+'P&amp;L and Cash Flow'!K25+'P&amp;L and Cash Flow'!K26+'P&amp;L and Cash Flow'!K29+'P&amp;L and Cash Flow'!K30</f>
        <v>3162721.4380061538</v>
      </c>
      <c r="L27" s="222">
        <f>'P&amp;L and Cash Flow'!L18+'P&amp;L and Cash Flow'!L17+'P&amp;L and Cash Flow'!L16*(1-'Key Assumptions'!M15)+'P&amp;L and Cash Flow'!L25+'P&amp;L and Cash Flow'!L26+'P&amp;L and Cash Flow'!L29+'P&amp;L and Cash Flow'!L30</f>
        <v>3260052.7916952702</v>
      </c>
    </row>
    <row r="28" spans="1:12">
      <c r="A28" s="82"/>
      <c r="B28" s="135" t="s">
        <v>26</v>
      </c>
      <c r="C28" s="135" t="s">
        <v>26</v>
      </c>
      <c r="D28" s="135"/>
      <c r="E28" s="222">
        <f t="shared" ref="E28:L28" si="12">SUM(E27:E27)</f>
        <v>1126292.7201777347</v>
      </c>
      <c r="F28" s="222">
        <f t="shared" si="12"/>
        <v>1987533.6001228651</v>
      </c>
      <c r="G28" s="222">
        <f t="shared" si="12"/>
        <v>2387775.4240306914</v>
      </c>
      <c r="H28" s="222">
        <f t="shared" si="12"/>
        <v>2895915.4825723805</v>
      </c>
      <c r="I28" s="222">
        <f t="shared" si="12"/>
        <v>2981244.7162117381</v>
      </c>
      <c r="J28" s="222">
        <f t="shared" si="12"/>
        <v>3068924.5278622732</v>
      </c>
      <c r="K28" s="222">
        <f t="shared" si="12"/>
        <v>3162721.4380061538</v>
      </c>
      <c r="L28" s="222">
        <f t="shared" si="12"/>
        <v>3260052.7916952702</v>
      </c>
    </row>
    <row r="29" spans="1:12">
      <c r="A29" s="82"/>
      <c r="B29" s="135"/>
      <c r="C29" s="135"/>
      <c r="D29" s="135"/>
      <c r="E29" s="222"/>
      <c r="F29" s="222"/>
      <c r="G29" s="222"/>
      <c r="H29" s="222"/>
      <c r="I29" s="222"/>
      <c r="J29" s="222"/>
      <c r="K29" s="222"/>
      <c r="L29" s="222"/>
    </row>
    <row r="30" spans="1:12">
      <c r="A30" s="82"/>
      <c r="B30" s="135" t="s">
        <v>83</v>
      </c>
      <c r="C30" s="135" t="s">
        <v>996</v>
      </c>
      <c r="D30" s="135"/>
      <c r="E30" s="222">
        <f>'P&amp;L and Cash Flow'!E9</f>
        <v>2364802.677939232</v>
      </c>
      <c r="F30" s="222">
        <f>'P&amp;L and Cash Flow'!F9</f>
        <v>4355873.9328496885</v>
      </c>
      <c r="G30" s="222">
        <f>'P&amp;L and Cash Flow'!G9</f>
        <v>5729824.3499326939</v>
      </c>
      <c r="H30" s="222">
        <f>'P&amp;L and Cash Flow'!H9</f>
        <v>7476885.9884419106</v>
      </c>
      <c r="I30" s="222">
        <f>'P&amp;L and Cash Flow'!I9</f>
        <v>7792101.9604568621</v>
      </c>
      <c r="J30" s="222">
        <f>'P&amp;L and Cash Flow'!J9</f>
        <v>8120203.6060693897</v>
      </c>
      <c r="K30" s="222">
        <f>'P&amp;L and Cash Flow'!K9</f>
        <v>8473927.7046428546</v>
      </c>
      <c r="L30" s="222">
        <f>'P&amp;L and Cash Flow'!L9</f>
        <v>8845160.9200001173</v>
      </c>
    </row>
    <row r="31" spans="1:12">
      <c r="A31" s="82"/>
      <c r="B31" s="135" t="s">
        <v>84</v>
      </c>
      <c r="C31" s="135" t="s">
        <v>1104</v>
      </c>
      <c r="D31" s="135"/>
      <c r="E31" s="485">
        <f t="shared" ref="E31:K31" si="13">(E30-E28)/E30</f>
        <v>0.52372655414986935</v>
      </c>
      <c r="F31" s="485">
        <f t="shared" si="13"/>
        <v>0.54371186339119182</v>
      </c>
      <c r="G31" s="485">
        <f t="shared" si="13"/>
        <v>0.58327249175470108</v>
      </c>
      <c r="H31" s="485">
        <f t="shared" si="13"/>
        <v>0.6126842796521158</v>
      </c>
      <c r="I31" s="485">
        <f t="shared" si="13"/>
        <v>0.61740173173543234</v>
      </c>
      <c r="J31" s="485">
        <f t="shared" si="13"/>
        <v>0.62206310620482141</v>
      </c>
      <c r="K31" s="485">
        <f t="shared" si="13"/>
        <v>0.62677030672880274</v>
      </c>
      <c r="L31" s="485">
        <f t="shared" ref="L31" si="14">(L30-L28)/L30</f>
        <v>0.63143092350939078</v>
      </c>
    </row>
    <row r="32" spans="1:12">
      <c r="A32" s="82"/>
      <c r="B32" s="135"/>
      <c r="C32" s="135"/>
      <c r="D32" s="135"/>
      <c r="E32" s="471"/>
      <c r="F32" s="471"/>
      <c r="G32" s="471"/>
      <c r="H32" s="471"/>
      <c r="I32" s="471"/>
      <c r="J32" s="471"/>
      <c r="K32" s="471"/>
      <c r="L32" s="471"/>
    </row>
    <row r="33" spans="1:12">
      <c r="A33" s="82"/>
      <c r="B33" s="135" t="s">
        <v>80</v>
      </c>
      <c r="C33" s="135" t="s">
        <v>1105</v>
      </c>
      <c r="D33" s="135"/>
      <c r="E33" s="222">
        <f>'P&amp;L and Cash Flow'!E47*'P&amp;L and Cash Flow'!E9/'P&amp;L and Cash Flow'!E12</f>
        <v>367648.56366560387</v>
      </c>
      <c r="F33" s="222">
        <f>'P&amp;L and Cash Flow'!F47*'P&amp;L and Cash Flow'!F9/'P&amp;L and Cash Flow'!F12</f>
        <v>575022.3688447444</v>
      </c>
      <c r="G33" s="222">
        <f>'P&amp;L and Cash Flow'!G47*'P&amp;L and Cash Flow'!G9/'P&amp;L and Cash Flow'!G12</f>
        <v>669236.23417803808</v>
      </c>
      <c r="H33" s="222">
        <f>'P&amp;L and Cash Flow'!H47*'P&amp;L and Cash Flow'!H9/'P&amp;L and Cash Flow'!H12</f>
        <v>784261.94750260806</v>
      </c>
      <c r="I33" s="222">
        <f>'P&amp;L and Cash Flow'!I47*'P&amp;L and Cash Flow'!I9/'P&amp;L and Cash Flow'!I12</f>
        <v>805629.73010689043</v>
      </c>
      <c r="J33" s="222">
        <f>'P&amp;L and Cash Flow'!J47*'P&amp;L and Cash Flow'!J9/'P&amp;L and Cash Flow'!J12</f>
        <v>827949.9401346331</v>
      </c>
      <c r="K33" s="222">
        <f>'P&amp;L and Cash Flow'!K47*'P&amp;L and Cash Flow'!K9/'P&amp;L and Cash Flow'!K12</f>
        <v>854019.38715794834</v>
      </c>
      <c r="L33" s="222">
        <f>'P&amp;L and Cash Flow'!L47*'P&amp;L and Cash Flow'!L9/'P&amp;L and Cash Flow'!L12</f>
        <v>880049.42283719953</v>
      </c>
    </row>
    <row r="34" spans="1:12">
      <c r="A34" s="82"/>
      <c r="B34" s="135" t="s">
        <v>92</v>
      </c>
      <c r="C34" s="135" t="s">
        <v>1107</v>
      </c>
      <c r="D34" s="135"/>
      <c r="E34" s="485">
        <f t="shared" ref="E34:K34" si="15">(E30-E28-E33)/E30</f>
        <v>0.36825964475598066</v>
      </c>
      <c r="F34" s="485">
        <f t="shared" si="15"/>
        <v>0.41170107113473303</v>
      </c>
      <c r="G34" s="485">
        <f t="shared" si="15"/>
        <v>0.46647375704551236</v>
      </c>
      <c r="H34" s="485">
        <f t="shared" si="15"/>
        <v>0.50779275813969027</v>
      </c>
      <c r="I34" s="485">
        <f t="shared" si="15"/>
        <v>0.51401117881463165</v>
      </c>
      <c r="J34" s="485">
        <f t="shared" si="15"/>
        <v>0.52010138451648991</v>
      </c>
      <c r="K34" s="485">
        <f t="shared" si="15"/>
        <v>0.52598830611177683</v>
      </c>
      <c r="L34" s="485">
        <f t="shared" ref="L34" si="16">(L30-L28-L33)/L30</f>
        <v>0.531935908009188</v>
      </c>
    </row>
    <row r="35" spans="1:12">
      <c r="A35" s="82"/>
      <c r="B35" s="134"/>
      <c r="C35" s="134"/>
      <c r="D35" s="134"/>
      <c r="E35" s="134"/>
      <c r="F35" s="134"/>
      <c r="G35" s="134"/>
      <c r="H35" s="134"/>
      <c r="I35" s="134"/>
      <c r="J35" s="134"/>
      <c r="K35" s="134"/>
      <c r="L35" s="134"/>
    </row>
    <row r="36" spans="1:12">
      <c r="A36" s="82"/>
      <c r="B36" s="134"/>
      <c r="C36" s="134"/>
      <c r="D36" s="134"/>
      <c r="E36" s="134"/>
      <c r="F36" s="134"/>
      <c r="G36" s="134"/>
      <c r="H36" s="134"/>
      <c r="I36" s="134"/>
      <c r="J36" s="134"/>
      <c r="K36" s="134"/>
      <c r="L36" s="134"/>
    </row>
    <row r="37" spans="1:12">
      <c r="A37" s="82"/>
      <c r="B37" s="134" t="s">
        <v>1109</v>
      </c>
      <c r="C37" s="134"/>
      <c r="D37" s="134"/>
      <c r="E37" s="451">
        <f>E28/('Key Assumptions'!F18*12)</f>
        <v>260.76114042328396</v>
      </c>
      <c r="F37" s="451">
        <f>F28/('Key Assumptions'!G18*12)</f>
        <v>253.15505991312341</v>
      </c>
      <c r="G37" s="451">
        <f>G28/('Key Assumptions'!H18*12)</f>
        <v>234.29874488328798</v>
      </c>
      <c r="H37" s="451">
        <f>H28/('Key Assumptions'!I18*12)</f>
        <v>220.67987623039681</v>
      </c>
      <c r="I37" s="451">
        <f>I28/('Key Assumptions'!J18*12)</f>
        <v>220.91739202154417</v>
      </c>
      <c r="J37" s="451">
        <f>J28/('Key Assumptions'!K18*12)</f>
        <v>221.15920131560324</v>
      </c>
      <c r="K37" s="451">
        <f>K28/('Key Assumptions'!L18*12)</f>
        <v>221.34528321725901</v>
      </c>
      <c r="L37" s="451">
        <f>L28/('Key Assumptions'!M18*12)</f>
        <v>221.52916567935276</v>
      </c>
    </row>
    <row r="38" spans="1:12">
      <c r="A38" s="82"/>
      <c r="B38" s="134" t="s">
        <v>1110</v>
      </c>
      <c r="C38" s="134"/>
      <c r="D38" s="134"/>
      <c r="E38" s="451">
        <f>(E28+E33)/('Key Assumptions'!F18*12)</f>
        <v>345.87973971716616</v>
      </c>
      <c r="F38" s="451">
        <f>(F28+F33)/('Key Assumptions'!G18*12)</f>
        <v>326.39649956842214</v>
      </c>
      <c r="G38" s="451">
        <f>(G28+G33)/('Key Assumptions'!H18*12)</f>
        <v>299.96706867968749</v>
      </c>
      <c r="H38" s="451">
        <f>(H28+H33)/('Key Assumptions'!I18*12)</f>
        <v>280.44364715141501</v>
      </c>
      <c r="I38" s="451">
        <f>(I28+I33)/('Key Assumptions'!J18*12)</f>
        <v>280.61648949663856</v>
      </c>
      <c r="J38" s="451">
        <f>(J28+J33)/('Key Assumptions'!K18*12)</f>
        <v>280.82464627101422</v>
      </c>
      <c r="K38" s="451">
        <f>(K28+K33)/('Key Assumptions'!L18*12)</f>
        <v>281.1144303991482</v>
      </c>
      <c r="L38" s="451">
        <f>(L28+L33)/('Key Assumptions'!M18*12)</f>
        <v>281.33083971799334</v>
      </c>
    </row>
  </sheetData>
  <phoneticPr fontId="31" type="noConversion"/>
  <printOptions horizontalCentered="1"/>
  <pageMargins left="0.39370078740157483" right="0.19685039370078741" top="0.39370078740157483" bottom="0.19685039370078741" header="0.30000000000000004" footer="0.30000000000000004"/>
  <pageSetup orientation="landscape"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62"/>
  <sheetViews>
    <sheetView zoomScale="140" zoomScaleNormal="140" zoomScalePageLayoutView="140" workbookViewId="0">
      <selection activeCell="D20" sqref="D20"/>
    </sheetView>
  </sheetViews>
  <sheetFormatPr defaultColWidth="8.85546875" defaultRowHeight="12.75"/>
  <cols>
    <col min="1" max="2" width="39.7109375" style="283" customWidth="1"/>
    <col min="3" max="3" width="13.28515625" style="283" customWidth="1"/>
    <col min="4" max="4" width="11.140625" style="283" customWidth="1"/>
    <col min="5" max="5" width="15.85546875" style="283" customWidth="1"/>
    <col min="6" max="6" width="12.140625" style="283" customWidth="1"/>
    <col min="7" max="7" width="10.140625" style="315" bestFit="1" customWidth="1"/>
    <col min="8" max="8" width="18.140625" style="283" customWidth="1"/>
    <col min="9" max="9" width="10.140625" style="283" bestFit="1" customWidth="1"/>
    <col min="10" max="10" width="16.42578125" style="283" bestFit="1" customWidth="1"/>
    <col min="11" max="11" width="12.28515625" style="283" customWidth="1"/>
    <col min="12" max="16384" width="8.85546875" style="283"/>
  </cols>
  <sheetData>
    <row r="1" spans="1:12" ht="15.75">
      <c r="A1" s="481" t="s">
        <v>468</v>
      </c>
      <c r="B1" s="481" t="s">
        <v>1111</v>
      </c>
    </row>
    <row r="3" spans="1:12" ht="15">
      <c r="A3" s="482" t="s">
        <v>451</v>
      </c>
      <c r="B3" s="482" t="s">
        <v>1120</v>
      </c>
      <c r="C3" s="482" t="s">
        <v>452</v>
      </c>
      <c r="D3" s="482" t="s">
        <v>453</v>
      </c>
      <c r="E3" s="482" t="s">
        <v>454</v>
      </c>
      <c r="F3" s="482" t="s">
        <v>455</v>
      </c>
      <c r="G3" s="482" t="s">
        <v>456</v>
      </c>
      <c r="H3" s="483" t="s">
        <v>388</v>
      </c>
      <c r="I3" s="305"/>
      <c r="J3" s="305"/>
      <c r="K3" s="305"/>
      <c r="L3" s="305"/>
    </row>
    <row r="4" spans="1:12" ht="15">
      <c r="A4" s="285" t="s">
        <v>457</v>
      </c>
      <c r="B4" s="285" t="s">
        <v>1112</v>
      </c>
      <c r="C4" s="296">
        <v>60000</v>
      </c>
      <c r="D4" s="296">
        <f>C4*0.45</f>
        <v>27000</v>
      </c>
      <c r="E4" s="296">
        <f t="shared" ref="E4:E11" si="0">D4+C4</f>
        <v>87000</v>
      </c>
      <c r="F4" s="296">
        <f t="shared" ref="F4:F11" si="1">E4/12</f>
        <v>7250</v>
      </c>
      <c r="G4" s="285">
        <v>1</v>
      </c>
      <c r="H4" s="296">
        <f t="shared" ref="H4:H11" si="2">G4*E4</f>
        <v>87000</v>
      </c>
      <c r="I4" s="305"/>
      <c r="J4" s="305"/>
      <c r="K4" s="305"/>
      <c r="L4" s="305"/>
    </row>
    <row r="5" spans="1:12" ht="15">
      <c r="A5" s="285" t="s">
        <v>458</v>
      </c>
      <c r="B5" s="285" t="s">
        <v>1113</v>
      </c>
      <c r="C5" s="296">
        <v>15000</v>
      </c>
      <c r="D5" s="296">
        <f t="shared" ref="D5:D11" si="3">C5*0.45</f>
        <v>6750</v>
      </c>
      <c r="E5" s="296">
        <f t="shared" si="0"/>
        <v>21750</v>
      </c>
      <c r="F5" s="296">
        <f t="shared" si="1"/>
        <v>1812.5</v>
      </c>
      <c r="G5" s="285">
        <v>4</v>
      </c>
      <c r="H5" s="296">
        <f t="shared" si="2"/>
        <v>87000</v>
      </c>
      <c r="I5" s="305"/>
      <c r="J5" s="305"/>
      <c r="K5" s="305"/>
      <c r="L5" s="305"/>
    </row>
    <row r="6" spans="1:12" ht="15">
      <c r="A6" s="285" t="s">
        <v>459</v>
      </c>
      <c r="B6" s="285" t="s">
        <v>1114</v>
      </c>
      <c r="C6" s="296">
        <v>10000</v>
      </c>
      <c r="D6" s="296">
        <f t="shared" si="3"/>
        <v>4500</v>
      </c>
      <c r="E6" s="296">
        <f t="shared" si="0"/>
        <v>14500</v>
      </c>
      <c r="F6" s="296">
        <f t="shared" si="1"/>
        <v>1208.3333333333333</v>
      </c>
      <c r="G6" s="285">
        <v>8</v>
      </c>
      <c r="H6" s="296">
        <f t="shared" si="2"/>
        <v>116000</v>
      </c>
      <c r="I6" s="305"/>
      <c r="J6" s="305"/>
      <c r="K6" s="305"/>
      <c r="L6" s="305"/>
    </row>
    <row r="7" spans="1:12" ht="15">
      <c r="A7" s="285" t="s">
        <v>160</v>
      </c>
      <c r="B7" s="285" t="s">
        <v>1115</v>
      </c>
      <c r="C7" s="296">
        <v>48000</v>
      </c>
      <c r="D7" s="296">
        <f t="shared" ref="D7" si="4">C7*0.45</f>
        <v>21600</v>
      </c>
      <c r="E7" s="296">
        <f t="shared" ref="E7" si="5">D7+C7</f>
        <v>69600</v>
      </c>
      <c r="F7" s="296">
        <f t="shared" ref="F7" si="6">E7/12</f>
        <v>5800</v>
      </c>
      <c r="G7" s="285">
        <v>1</v>
      </c>
      <c r="H7" s="296">
        <f t="shared" ref="H7" si="7">G7*E7</f>
        <v>69600</v>
      </c>
      <c r="I7" s="305"/>
      <c r="J7" s="305"/>
      <c r="K7" s="305"/>
      <c r="L7" s="305"/>
    </row>
    <row r="8" spans="1:12" ht="15">
      <c r="A8" s="285" t="s">
        <v>460</v>
      </c>
      <c r="B8" s="285" t="s">
        <v>1116</v>
      </c>
      <c r="C8" s="296">
        <v>15000</v>
      </c>
      <c r="D8" s="296">
        <f t="shared" si="3"/>
        <v>6750</v>
      </c>
      <c r="E8" s="296">
        <f t="shared" si="0"/>
        <v>21750</v>
      </c>
      <c r="F8" s="296">
        <f t="shared" si="1"/>
        <v>1812.5</v>
      </c>
      <c r="G8" s="285">
        <v>2</v>
      </c>
      <c r="H8" s="296">
        <f t="shared" si="2"/>
        <v>43500</v>
      </c>
      <c r="I8" s="305"/>
      <c r="J8" s="305"/>
      <c r="K8" s="305"/>
      <c r="L8" s="305"/>
    </row>
    <row r="9" spans="1:12" ht="15">
      <c r="A9" s="285" t="s">
        <v>461</v>
      </c>
      <c r="B9" s="285" t="s">
        <v>1117</v>
      </c>
      <c r="C9" s="296">
        <v>15000</v>
      </c>
      <c r="D9" s="296">
        <f t="shared" si="3"/>
        <v>6750</v>
      </c>
      <c r="E9" s="296">
        <f t="shared" si="0"/>
        <v>21750</v>
      </c>
      <c r="F9" s="296">
        <f t="shared" si="1"/>
        <v>1812.5</v>
      </c>
      <c r="G9" s="285">
        <v>2</v>
      </c>
      <c r="H9" s="296">
        <f t="shared" si="2"/>
        <v>43500</v>
      </c>
      <c r="I9" s="305"/>
      <c r="J9" s="305"/>
      <c r="K9" s="305"/>
      <c r="L9" s="305"/>
    </row>
    <row r="10" spans="1:12" ht="15">
      <c r="A10" s="285" t="s">
        <v>462</v>
      </c>
      <c r="B10" s="285" t="s">
        <v>1118</v>
      </c>
      <c r="C10" s="296">
        <v>17500</v>
      </c>
      <c r="D10" s="296">
        <f t="shared" si="3"/>
        <v>7875</v>
      </c>
      <c r="E10" s="296">
        <f t="shared" si="0"/>
        <v>25375</v>
      </c>
      <c r="F10" s="296">
        <f t="shared" si="1"/>
        <v>2114.5833333333335</v>
      </c>
      <c r="G10" s="285">
        <v>1</v>
      </c>
      <c r="H10" s="296">
        <f t="shared" si="2"/>
        <v>25375</v>
      </c>
      <c r="I10" s="305"/>
      <c r="J10" s="305"/>
      <c r="K10" s="305"/>
      <c r="L10" s="305"/>
    </row>
    <row r="11" spans="1:12" ht="26.25">
      <c r="A11" s="480" t="s">
        <v>463</v>
      </c>
      <c r="B11" s="480" t="s">
        <v>1119</v>
      </c>
      <c r="C11" s="301">
        <v>12000</v>
      </c>
      <c r="D11" s="301">
        <f t="shared" si="3"/>
        <v>5400</v>
      </c>
      <c r="E11" s="301">
        <f t="shared" si="0"/>
        <v>17400</v>
      </c>
      <c r="F11" s="301">
        <f t="shared" si="1"/>
        <v>1450</v>
      </c>
      <c r="G11" s="298">
        <v>5</v>
      </c>
      <c r="H11" s="301">
        <f t="shared" si="2"/>
        <v>87000</v>
      </c>
      <c r="I11" s="305"/>
      <c r="J11" s="305"/>
      <c r="K11" s="305"/>
      <c r="L11" s="305"/>
    </row>
    <row r="12" spans="1:12" ht="15">
      <c r="A12" s="285"/>
      <c r="B12" s="285"/>
      <c r="C12" s="285"/>
      <c r="D12" s="285"/>
      <c r="E12" s="285"/>
      <c r="F12" s="285"/>
      <c r="G12" s="290">
        <f>SUM(G4:G11)</f>
        <v>24</v>
      </c>
      <c r="H12" s="484">
        <f>SUM(H4:H11)</f>
        <v>558975</v>
      </c>
      <c r="I12" s="305"/>
      <c r="J12" s="305"/>
      <c r="K12" s="305"/>
      <c r="L12" s="305"/>
    </row>
    <row r="13" spans="1:12" ht="15">
      <c r="A13" s="285"/>
      <c r="B13" s="285"/>
      <c r="C13" s="285"/>
      <c r="D13" s="285"/>
      <c r="E13" s="285"/>
      <c r="F13" s="285"/>
      <c r="G13" s="285"/>
      <c r="H13" s="285"/>
      <c r="I13" s="305"/>
      <c r="J13" s="305"/>
      <c r="K13" s="305"/>
      <c r="L13" s="305"/>
    </row>
    <row r="14" spans="1:12" ht="15">
      <c r="A14" s="482" t="s">
        <v>599</v>
      </c>
      <c r="B14" s="482" t="s">
        <v>1121</v>
      </c>
      <c r="C14" s="482" t="s">
        <v>452</v>
      </c>
      <c r="D14" s="482" t="s">
        <v>453</v>
      </c>
      <c r="E14" s="482" t="s">
        <v>454</v>
      </c>
      <c r="F14" s="482" t="s">
        <v>455</v>
      </c>
      <c r="G14" s="482" t="s">
        <v>456</v>
      </c>
      <c r="H14" s="483" t="s">
        <v>388</v>
      </c>
    </row>
    <row r="15" spans="1:12">
      <c r="A15" s="306" t="s">
        <v>79</v>
      </c>
      <c r="B15" s="306" t="s">
        <v>79</v>
      </c>
      <c r="C15" s="296">
        <v>100000</v>
      </c>
      <c r="D15" s="296">
        <f>C15*0.45</f>
        <v>45000</v>
      </c>
      <c r="E15" s="296">
        <f t="shared" ref="E15" si="8">D15+C15</f>
        <v>145000</v>
      </c>
      <c r="F15" s="296">
        <f t="shared" ref="F15" si="9">E15/12</f>
        <v>12083.333333333334</v>
      </c>
      <c r="G15" s="285">
        <v>1</v>
      </c>
      <c r="H15" s="296">
        <f t="shared" ref="H15:H26" si="10">G15*E15</f>
        <v>145000</v>
      </c>
    </row>
    <row r="16" spans="1:12">
      <c r="A16" s="285" t="s">
        <v>161</v>
      </c>
      <c r="B16" s="285" t="s">
        <v>1122</v>
      </c>
      <c r="C16" s="296">
        <f>7000*12</f>
        <v>84000</v>
      </c>
      <c r="D16" s="296">
        <f>C16*0.45</f>
        <v>37800</v>
      </c>
      <c r="E16" s="296">
        <f t="shared" ref="E16:E26" si="11">D16+C16</f>
        <v>121800</v>
      </c>
      <c r="F16" s="296">
        <f t="shared" ref="F16:F26" si="12">E16/12</f>
        <v>10150</v>
      </c>
      <c r="G16" s="285">
        <v>1</v>
      </c>
      <c r="H16" s="296">
        <f t="shared" si="10"/>
        <v>121800</v>
      </c>
    </row>
    <row r="17" spans="1:11">
      <c r="A17" s="285" t="s">
        <v>620</v>
      </c>
      <c r="B17" s="285" t="s">
        <v>1123</v>
      </c>
      <c r="C17" s="296">
        <v>48000</v>
      </c>
      <c r="D17" s="296">
        <f t="shared" ref="D17" si="13">C17*0.45</f>
        <v>21600</v>
      </c>
      <c r="E17" s="296">
        <f t="shared" ref="E17" si="14">D17+C17</f>
        <v>69600</v>
      </c>
      <c r="F17" s="296">
        <f t="shared" ref="F17" si="15">E17/12</f>
        <v>5800</v>
      </c>
      <c r="G17" s="285">
        <v>1</v>
      </c>
      <c r="H17" s="296">
        <f t="shared" ref="H17" si="16">G17*E17</f>
        <v>69600</v>
      </c>
    </row>
    <row r="18" spans="1:11">
      <c r="A18" s="285" t="s">
        <v>619</v>
      </c>
      <c r="B18" s="285" t="s">
        <v>1124</v>
      </c>
      <c r="C18" s="296">
        <v>48000</v>
      </c>
      <c r="D18" s="296">
        <f t="shared" ref="D18:D26" si="17">C18*0.45</f>
        <v>21600</v>
      </c>
      <c r="E18" s="296">
        <f t="shared" si="11"/>
        <v>69600</v>
      </c>
      <c r="F18" s="296">
        <f t="shared" si="12"/>
        <v>5800</v>
      </c>
      <c r="G18" s="285">
        <v>1</v>
      </c>
      <c r="H18" s="296">
        <f t="shared" si="10"/>
        <v>69600</v>
      </c>
    </row>
    <row r="19" spans="1:11">
      <c r="A19" s="285" t="s">
        <v>621</v>
      </c>
      <c r="B19" s="285" t="s">
        <v>1125</v>
      </c>
      <c r="C19" s="296">
        <v>36000</v>
      </c>
      <c r="D19" s="296">
        <f t="shared" si="17"/>
        <v>16200</v>
      </c>
      <c r="E19" s="296">
        <f t="shared" si="11"/>
        <v>52200</v>
      </c>
      <c r="F19" s="296">
        <f t="shared" si="12"/>
        <v>4350</v>
      </c>
      <c r="G19" s="285">
        <v>1</v>
      </c>
      <c r="H19" s="296">
        <f t="shared" si="10"/>
        <v>52200</v>
      </c>
    </row>
    <row r="20" spans="1:11">
      <c r="A20" s="285" t="s">
        <v>622</v>
      </c>
      <c r="B20" s="285" t="s">
        <v>1126</v>
      </c>
      <c r="C20" s="296">
        <v>25000</v>
      </c>
      <c r="D20" s="296">
        <f t="shared" si="17"/>
        <v>11250</v>
      </c>
      <c r="E20" s="296">
        <f t="shared" si="11"/>
        <v>36250</v>
      </c>
      <c r="F20" s="296">
        <f t="shared" si="12"/>
        <v>3020.8333333333335</v>
      </c>
      <c r="G20" s="285">
        <v>1</v>
      </c>
      <c r="H20" s="296">
        <f t="shared" si="10"/>
        <v>36250</v>
      </c>
    </row>
    <row r="21" spans="1:11">
      <c r="A21" s="285" t="s">
        <v>77</v>
      </c>
      <c r="B21" s="285" t="s">
        <v>1127</v>
      </c>
      <c r="C21" s="296">
        <v>12000</v>
      </c>
      <c r="D21" s="296">
        <f t="shared" si="17"/>
        <v>5400</v>
      </c>
      <c r="E21" s="296">
        <f t="shared" si="11"/>
        <v>17400</v>
      </c>
      <c r="F21" s="296">
        <f t="shared" si="12"/>
        <v>1450</v>
      </c>
      <c r="G21" s="285">
        <v>5</v>
      </c>
      <c r="H21" s="296">
        <f t="shared" si="10"/>
        <v>87000</v>
      </c>
    </row>
    <row r="22" spans="1:11">
      <c r="A22" s="285" t="s">
        <v>464</v>
      </c>
      <c r="B22" s="285" t="s">
        <v>1128</v>
      </c>
      <c r="C22" s="296">
        <v>15000</v>
      </c>
      <c r="D22" s="296">
        <f t="shared" si="17"/>
        <v>6750</v>
      </c>
      <c r="E22" s="296">
        <f t="shared" si="11"/>
        <v>21750</v>
      </c>
      <c r="F22" s="296">
        <f t="shared" si="12"/>
        <v>1812.5</v>
      </c>
      <c r="G22" s="285">
        <v>1</v>
      </c>
      <c r="H22" s="296">
        <f t="shared" si="10"/>
        <v>21750</v>
      </c>
    </row>
    <row r="23" spans="1:11">
      <c r="A23" s="285" t="s">
        <v>78</v>
      </c>
      <c r="B23" s="285" t="s">
        <v>1129</v>
      </c>
      <c r="C23" s="296">
        <v>8000</v>
      </c>
      <c r="D23" s="296">
        <f t="shared" si="17"/>
        <v>3600</v>
      </c>
      <c r="E23" s="296">
        <f t="shared" si="11"/>
        <v>11600</v>
      </c>
      <c r="F23" s="296">
        <f t="shared" si="12"/>
        <v>966.66666666666663</v>
      </c>
      <c r="G23" s="285">
        <v>2</v>
      </c>
      <c r="H23" s="296">
        <f t="shared" si="10"/>
        <v>23200</v>
      </c>
    </row>
    <row r="24" spans="1:11">
      <c r="A24" s="285" t="s">
        <v>465</v>
      </c>
      <c r="B24" s="285" t="s">
        <v>1130</v>
      </c>
      <c r="C24" s="296">
        <v>25000</v>
      </c>
      <c r="D24" s="296">
        <f t="shared" si="17"/>
        <v>11250</v>
      </c>
      <c r="E24" s="296">
        <f t="shared" si="11"/>
        <v>36250</v>
      </c>
      <c r="F24" s="296">
        <f t="shared" si="12"/>
        <v>3020.8333333333335</v>
      </c>
      <c r="G24" s="285">
        <v>1</v>
      </c>
      <c r="H24" s="296">
        <f t="shared" si="10"/>
        <v>36250</v>
      </c>
    </row>
    <row r="25" spans="1:11">
      <c r="A25" s="285" t="s">
        <v>466</v>
      </c>
      <c r="B25" s="285" t="s">
        <v>1131</v>
      </c>
      <c r="C25" s="296">
        <v>12000</v>
      </c>
      <c r="D25" s="296">
        <f t="shared" si="17"/>
        <v>5400</v>
      </c>
      <c r="E25" s="296">
        <f t="shared" si="11"/>
        <v>17400</v>
      </c>
      <c r="F25" s="296">
        <f t="shared" si="12"/>
        <v>1450</v>
      </c>
      <c r="G25" s="285">
        <v>1</v>
      </c>
      <c r="H25" s="296">
        <f t="shared" si="10"/>
        <v>17400</v>
      </c>
    </row>
    <row r="26" spans="1:11">
      <c r="A26" s="480" t="s">
        <v>467</v>
      </c>
      <c r="B26" s="480" t="s">
        <v>1132</v>
      </c>
      <c r="C26" s="301">
        <v>10000</v>
      </c>
      <c r="D26" s="301">
        <f t="shared" si="17"/>
        <v>4500</v>
      </c>
      <c r="E26" s="301">
        <f t="shared" si="11"/>
        <v>14500</v>
      </c>
      <c r="F26" s="301">
        <f t="shared" si="12"/>
        <v>1208.3333333333333</v>
      </c>
      <c r="G26" s="298">
        <v>4</v>
      </c>
      <c r="H26" s="301">
        <f t="shared" si="10"/>
        <v>58000</v>
      </c>
    </row>
    <row r="27" spans="1:11">
      <c r="A27" s="285"/>
      <c r="B27" s="285"/>
      <c r="C27" s="285"/>
      <c r="D27" s="285"/>
      <c r="E27" s="285"/>
      <c r="F27" s="285"/>
      <c r="G27" s="290">
        <f>SUM(G15:G26)</f>
        <v>20</v>
      </c>
      <c r="H27" s="484">
        <f>SUM(H15:H26)</f>
        <v>738050</v>
      </c>
    </row>
    <row r="29" spans="1:11">
      <c r="A29" s="482" t="s">
        <v>617</v>
      </c>
      <c r="B29" s="482" t="s">
        <v>1133</v>
      </c>
      <c r="C29" s="482" t="s">
        <v>626</v>
      </c>
      <c r="D29" s="482" t="s">
        <v>637</v>
      </c>
      <c r="E29" s="482" t="s">
        <v>612</v>
      </c>
      <c r="F29" s="482" t="s">
        <v>613</v>
      </c>
      <c r="G29" s="482" t="s">
        <v>614</v>
      </c>
      <c r="H29" s="482" t="s">
        <v>615</v>
      </c>
      <c r="I29" s="482" t="s">
        <v>616</v>
      </c>
      <c r="J29" s="482">
        <v>2018</v>
      </c>
      <c r="K29" s="482">
        <v>2019</v>
      </c>
    </row>
    <row r="30" spans="1:11">
      <c r="A30" s="285" t="s">
        <v>457</v>
      </c>
      <c r="B30" s="285" t="s">
        <v>1112</v>
      </c>
      <c r="C30" s="285"/>
      <c r="D30" s="285"/>
      <c r="E30" s="285"/>
      <c r="F30" s="285"/>
      <c r="G30" s="285"/>
      <c r="H30" s="285">
        <v>1</v>
      </c>
      <c r="I30" s="285">
        <v>1</v>
      </c>
      <c r="J30" s="285"/>
      <c r="K30" s="285">
        <v>1</v>
      </c>
    </row>
    <row r="31" spans="1:11">
      <c r="A31" s="285" t="s">
        <v>458</v>
      </c>
      <c r="B31" s="285" t="s">
        <v>1113</v>
      </c>
      <c r="C31" s="285"/>
      <c r="D31" s="285"/>
      <c r="E31" s="285"/>
      <c r="F31" s="285"/>
      <c r="G31" s="285"/>
      <c r="H31" s="285">
        <v>1</v>
      </c>
      <c r="I31" s="285">
        <v>3</v>
      </c>
      <c r="J31" s="285"/>
      <c r="K31" s="285">
        <v>6</v>
      </c>
    </row>
    <row r="32" spans="1:11">
      <c r="A32" s="285" t="s">
        <v>459</v>
      </c>
      <c r="B32" s="285" t="s">
        <v>1114</v>
      </c>
      <c r="C32" s="285"/>
      <c r="D32" s="285"/>
      <c r="E32" s="285"/>
      <c r="F32" s="285"/>
      <c r="G32" s="285"/>
      <c r="H32" s="285"/>
      <c r="I32" s="285">
        <v>3</v>
      </c>
      <c r="J32" s="285"/>
      <c r="K32" s="285">
        <v>6</v>
      </c>
    </row>
    <row r="33" spans="1:11">
      <c r="A33" s="285" t="s">
        <v>160</v>
      </c>
      <c r="B33" s="285" t="s">
        <v>1115</v>
      </c>
      <c r="C33" s="285"/>
      <c r="D33" s="285"/>
      <c r="E33" s="285"/>
      <c r="F33" s="285"/>
      <c r="G33" s="285"/>
      <c r="H33" s="285">
        <v>1</v>
      </c>
      <c r="I33" s="285">
        <v>1</v>
      </c>
      <c r="J33" s="285"/>
      <c r="K33" s="285">
        <v>1</v>
      </c>
    </row>
    <row r="34" spans="1:11">
      <c r="A34" s="285" t="s">
        <v>460</v>
      </c>
      <c r="B34" s="285" t="s">
        <v>1116</v>
      </c>
      <c r="C34" s="285"/>
      <c r="D34" s="285"/>
      <c r="E34" s="285"/>
      <c r="F34" s="285"/>
      <c r="G34" s="285"/>
      <c r="H34" s="285"/>
      <c r="I34" s="285">
        <v>1</v>
      </c>
      <c r="J34" s="285"/>
      <c r="K34" s="285">
        <v>2</v>
      </c>
    </row>
    <row r="35" spans="1:11">
      <c r="A35" s="285" t="s">
        <v>461</v>
      </c>
      <c r="B35" s="285" t="s">
        <v>1117</v>
      </c>
      <c r="C35" s="285"/>
      <c r="D35" s="285"/>
      <c r="E35" s="285"/>
      <c r="F35" s="285"/>
      <c r="G35" s="285"/>
      <c r="H35" s="285">
        <v>1</v>
      </c>
      <c r="I35" s="285">
        <v>1</v>
      </c>
      <c r="J35" s="285"/>
      <c r="K35" s="285">
        <v>2</v>
      </c>
    </row>
    <row r="36" spans="1:11">
      <c r="A36" s="285" t="s">
        <v>462</v>
      </c>
      <c r="B36" s="285" t="s">
        <v>1118</v>
      </c>
      <c r="C36" s="285"/>
      <c r="D36" s="285"/>
      <c r="E36" s="285"/>
      <c r="F36" s="285"/>
      <c r="G36" s="285"/>
      <c r="H36" s="285"/>
      <c r="I36" s="285">
        <v>1</v>
      </c>
      <c r="J36" s="285"/>
      <c r="K36" s="285">
        <v>2</v>
      </c>
    </row>
    <row r="37" spans="1:11" ht="25.5">
      <c r="A37" s="480" t="s">
        <v>463</v>
      </c>
      <c r="B37" s="480" t="s">
        <v>1119</v>
      </c>
      <c r="C37" s="480" t="s">
        <v>632</v>
      </c>
      <c r="D37" s="480">
        <v>1</v>
      </c>
      <c r="E37" s="298">
        <v>2</v>
      </c>
      <c r="F37" s="298">
        <v>2</v>
      </c>
      <c r="G37" s="298">
        <v>3</v>
      </c>
      <c r="H37" s="298">
        <v>3</v>
      </c>
      <c r="I37" s="298">
        <v>4</v>
      </c>
      <c r="J37" s="298"/>
      <c r="K37" s="298">
        <v>6</v>
      </c>
    </row>
    <row r="38" spans="1:11">
      <c r="A38" s="285" t="s">
        <v>618</v>
      </c>
      <c r="B38" s="285"/>
      <c r="C38" s="285"/>
      <c r="D38" s="635">
        <f>D37*$F$11</f>
        <v>1450</v>
      </c>
      <c r="E38" s="296">
        <f>E37*$F$11</f>
        <v>2900</v>
      </c>
      <c r="F38" s="296">
        <f t="shared" ref="F38:G38" si="18">F37*$F$11</f>
        <v>2900</v>
      </c>
      <c r="G38" s="296">
        <f t="shared" si="18"/>
        <v>4350</v>
      </c>
      <c r="H38" s="296">
        <f>H37*$F$11+H30*$F$4</f>
        <v>11600</v>
      </c>
      <c r="I38" s="296">
        <f>I37*$F$11+I30*$F$4+I31*$F$5+I32*$F$6+I33*$F$7+I34*$F$8+I35*$F$9+I36*$F$10</f>
        <v>33652.083333333336</v>
      </c>
      <c r="J38" s="296">
        <f>(F38*3+G38*3+H38*3+I38*3)/12</f>
        <v>13125.520833333334</v>
      </c>
      <c r="K38" s="296">
        <f>K37*$F$11+K30*$F$4+K31*$F$5+K32*$F$6+K33*$F$7+K34*$F$8+K35*$F$9+K36*$F$10</f>
        <v>51354.166666666664</v>
      </c>
    </row>
    <row r="39" spans="1:11">
      <c r="A39" s="285"/>
      <c r="B39" s="285"/>
      <c r="C39" s="285"/>
      <c r="D39" s="285"/>
      <c r="E39" s="285"/>
      <c r="F39" s="285"/>
      <c r="G39" s="285"/>
      <c r="H39" s="285"/>
      <c r="I39" s="285"/>
      <c r="J39" s="304">
        <f>I38*3+G38*3+F38*3+E38*3</f>
        <v>131406.25</v>
      </c>
      <c r="K39" s="285"/>
    </row>
    <row r="40" spans="1:11">
      <c r="A40" s="285"/>
      <c r="B40" s="285"/>
      <c r="C40" s="285"/>
      <c r="D40" s="285"/>
      <c r="E40" s="285"/>
      <c r="F40" s="285"/>
      <c r="G40" s="285"/>
      <c r="H40" s="285"/>
      <c r="I40" s="285"/>
      <c r="J40" s="285"/>
      <c r="K40" s="285"/>
    </row>
    <row r="41" spans="1:11">
      <c r="A41" s="482" t="s">
        <v>599</v>
      </c>
      <c r="B41" s="482"/>
      <c r="C41" s="482" t="s">
        <v>626</v>
      </c>
      <c r="D41" s="482" t="s">
        <v>637</v>
      </c>
      <c r="E41" s="482" t="s">
        <v>612</v>
      </c>
      <c r="F41" s="482" t="s">
        <v>613</v>
      </c>
      <c r="G41" s="482" t="s">
        <v>614</v>
      </c>
      <c r="H41" s="482" t="s">
        <v>615</v>
      </c>
      <c r="I41" s="482" t="s">
        <v>616</v>
      </c>
      <c r="J41" s="482">
        <v>2018</v>
      </c>
      <c r="K41" s="482">
        <v>2019</v>
      </c>
    </row>
    <row r="42" spans="1:11">
      <c r="A42" s="306" t="s">
        <v>79</v>
      </c>
      <c r="B42" s="306" t="s">
        <v>79</v>
      </c>
      <c r="C42" s="306" t="s">
        <v>627</v>
      </c>
      <c r="D42" s="306"/>
      <c r="E42" s="285">
        <v>1</v>
      </c>
      <c r="F42" s="285">
        <v>1</v>
      </c>
      <c r="G42" s="285">
        <v>1</v>
      </c>
      <c r="H42" s="285">
        <v>1</v>
      </c>
      <c r="I42" s="285">
        <v>1</v>
      </c>
      <c r="J42" s="285"/>
      <c r="K42" s="285">
        <v>1</v>
      </c>
    </row>
    <row r="43" spans="1:11">
      <c r="A43" s="285" t="s">
        <v>161</v>
      </c>
      <c r="B43" s="285" t="s">
        <v>1122</v>
      </c>
      <c r="C43" s="285" t="s">
        <v>628</v>
      </c>
      <c r="D43" s="285">
        <v>1</v>
      </c>
      <c r="E43" s="285">
        <v>1</v>
      </c>
      <c r="F43" s="285">
        <v>1</v>
      </c>
      <c r="G43" s="285">
        <v>1</v>
      </c>
      <c r="H43" s="285">
        <v>1</v>
      </c>
      <c r="I43" s="285">
        <v>1</v>
      </c>
      <c r="J43" s="285"/>
      <c r="K43" s="285">
        <v>1</v>
      </c>
    </row>
    <row r="44" spans="1:11">
      <c r="A44" s="285" t="s">
        <v>620</v>
      </c>
      <c r="B44" s="285" t="s">
        <v>1123</v>
      </c>
      <c r="C44" s="285" t="s">
        <v>634</v>
      </c>
      <c r="D44" s="285"/>
      <c r="E44" s="285">
        <v>1</v>
      </c>
      <c r="F44" s="285">
        <v>1</v>
      </c>
      <c r="G44" s="285">
        <v>1</v>
      </c>
      <c r="H44" s="285">
        <v>1</v>
      </c>
      <c r="I44" s="285">
        <v>1</v>
      </c>
      <c r="J44" s="285"/>
      <c r="K44" s="285">
        <v>1</v>
      </c>
    </row>
    <row r="45" spans="1:11">
      <c r="A45" s="285" t="s">
        <v>619</v>
      </c>
      <c r="B45" s="285" t="s">
        <v>1124</v>
      </c>
      <c r="C45" s="285"/>
      <c r="D45" s="285">
        <v>1</v>
      </c>
      <c r="E45" s="285">
        <v>1</v>
      </c>
      <c r="F45" s="285">
        <v>1</v>
      </c>
      <c r="G45" s="285">
        <v>1</v>
      </c>
      <c r="H45" s="285">
        <v>1</v>
      </c>
      <c r="I45" s="285">
        <v>1</v>
      </c>
      <c r="J45" s="285"/>
      <c r="K45" s="285">
        <v>1</v>
      </c>
    </row>
    <row r="46" spans="1:11">
      <c r="A46" s="285" t="s">
        <v>621</v>
      </c>
      <c r="B46" s="285" t="s">
        <v>1125</v>
      </c>
      <c r="C46" s="285"/>
      <c r="D46" s="285"/>
      <c r="E46" s="285"/>
      <c r="F46" s="285"/>
      <c r="G46" s="285">
        <v>1</v>
      </c>
      <c r="H46" s="285">
        <v>1</v>
      </c>
      <c r="I46" s="285">
        <v>1</v>
      </c>
      <c r="J46" s="285"/>
      <c r="K46" s="285">
        <v>1</v>
      </c>
    </row>
    <row r="47" spans="1:11">
      <c r="A47" s="285" t="s">
        <v>636</v>
      </c>
      <c r="B47" s="285" t="s">
        <v>1126</v>
      </c>
      <c r="C47" s="285" t="s">
        <v>635</v>
      </c>
      <c r="D47" s="285"/>
      <c r="E47" s="285">
        <v>1</v>
      </c>
      <c r="F47" s="285">
        <v>1</v>
      </c>
      <c r="G47" s="285">
        <v>1</v>
      </c>
      <c r="H47" s="285">
        <v>1</v>
      </c>
      <c r="I47" s="285">
        <v>1</v>
      </c>
      <c r="J47" s="285"/>
      <c r="K47" s="285">
        <v>1</v>
      </c>
    </row>
    <row r="48" spans="1:11">
      <c r="A48" s="285" t="s">
        <v>77</v>
      </c>
      <c r="B48" s="285" t="s">
        <v>1127</v>
      </c>
      <c r="C48" s="285"/>
      <c r="D48" s="285">
        <v>2</v>
      </c>
      <c r="E48" s="285">
        <v>2</v>
      </c>
      <c r="F48" s="285">
        <v>3</v>
      </c>
      <c r="G48" s="285">
        <v>4</v>
      </c>
      <c r="H48" s="285">
        <v>5</v>
      </c>
      <c r="I48" s="285">
        <v>5</v>
      </c>
      <c r="J48" s="285"/>
      <c r="K48" s="285">
        <v>5</v>
      </c>
    </row>
    <row r="49" spans="1:11">
      <c r="A49" s="285" t="s">
        <v>464</v>
      </c>
      <c r="B49" s="285" t="s">
        <v>1128</v>
      </c>
      <c r="C49" s="285" t="s">
        <v>629</v>
      </c>
      <c r="D49" s="285">
        <v>1</v>
      </c>
      <c r="E49" s="285">
        <v>1</v>
      </c>
      <c r="F49" s="285">
        <v>1</v>
      </c>
      <c r="G49" s="285">
        <v>1</v>
      </c>
      <c r="H49" s="285">
        <v>1</v>
      </c>
      <c r="I49" s="285">
        <v>1</v>
      </c>
      <c r="J49" s="285"/>
      <c r="K49" s="285">
        <v>1</v>
      </c>
    </row>
    <row r="50" spans="1:11">
      <c r="A50" s="285" t="s">
        <v>78</v>
      </c>
      <c r="B50" s="285" t="s">
        <v>1129</v>
      </c>
      <c r="C50" s="285" t="s">
        <v>630</v>
      </c>
      <c r="D50" s="285">
        <v>1</v>
      </c>
      <c r="E50" s="285">
        <v>1</v>
      </c>
      <c r="F50" s="285">
        <v>1</v>
      </c>
      <c r="G50" s="285">
        <v>1</v>
      </c>
      <c r="H50" s="285">
        <v>1</v>
      </c>
      <c r="I50" s="285">
        <v>1</v>
      </c>
      <c r="J50" s="285"/>
      <c r="K50" s="285">
        <v>2</v>
      </c>
    </row>
    <row r="51" spans="1:11">
      <c r="A51" s="285" t="s">
        <v>465</v>
      </c>
      <c r="B51" s="285" t="s">
        <v>1130</v>
      </c>
      <c r="C51" s="285"/>
      <c r="D51" s="285"/>
      <c r="E51" s="285"/>
      <c r="F51" s="285"/>
      <c r="G51" s="285"/>
      <c r="H51" s="285"/>
      <c r="I51" s="285">
        <v>1</v>
      </c>
      <c r="J51" s="285"/>
      <c r="K51" s="285">
        <v>1</v>
      </c>
    </row>
    <row r="52" spans="1:11">
      <c r="A52" s="285" t="s">
        <v>466</v>
      </c>
      <c r="B52" s="285" t="s">
        <v>1131</v>
      </c>
      <c r="C52" s="285" t="s">
        <v>631</v>
      </c>
      <c r="D52" s="285">
        <v>1</v>
      </c>
      <c r="E52" s="285">
        <v>1</v>
      </c>
      <c r="F52" s="285">
        <v>1</v>
      </c>
      <c r="G52" s="285">
        <v>1</v>
      </c>
      <c r="H52" s="285">
        <v>1</v>
      </c>
      <c r="I52" s="285">
        <v>1</v>
      </c>
      <c r="J52" s="285"/>
      <c r="K52" s="285">
        <v>1</v>
      </c>
    </row>
    <row r="53" spans="1:11">
      <c r="A53" s="480" t="s">
        <v>467</v>
      </c>
      <c r="B53" s="480" t="s">
        <v>1132</v>
      </c>
      <c r="C53" s="480"/>
      <c r="D53" s="480"/>
      <c r="E53" s="298">
        <v>1</v>
      </c>
      <c r="F53" s="298">
        <v>1</v>
      </c>
      <c r="G53" s="298">
        <v>1</v>
      </c>
      <c r="H53" s="298">
        <v>1</v>
      </c>
      <c r="I53" s="298">
        <v>1</v>
      </c>
      <c r="J53" s="298"/>
      <c r="K53" s="298">
        <v>1</v>
      </c>
    </row>
    <row r="54" spans="1:11">
      <c r="A54" s="285" t="s">
        <v>618</v>
      </c>
      <c r="B54" s="285"/>
      <c r="C54" s="285"/>
      <c r="D54" s="635">
        <f>D42*$F$15+D43*$F$16+D45*$F$18+D48*$F$21+D49*$F$22+D50*$F$23+D51*$F$24+D52*$F$25+D53*$F$26+D44*$F$17+D46*$F$19+D47*$F$20</f>
        <v>23079.166666666668</v>
      </c>
      <c r="E54" s="296">
        <f>E42*$F$15+E43*$F$16+E45*$F$18+E48*$F$21+E49*$F$22+E50*$F$23+E51*$F$24+E52*$F$25+E53*$F$26+E44*$F$17+E46*$F$19+E47*$F$20</f>
        <v>45191.666666666672</v>
      </c>
      <c r="F54" s="296">
        <f t="shared" ref="F54:K54" si="19">F42*$F$15+F43*$F$16+F45*$F$18+F48*$F$21+F49*$F$22+F50*$F$23+F51*$F$24+F52*$F$25+F53*$F$26+F44*$F$17+F46*$F$19+F47*$F$20</f>
        <v>46641.666666666672</v>
      </c>
      <c r="G54" s="296">
        <f t="shared" si="19"/>
        <v>52441.666666666672</v>
      </c>
      <c r="H54" s="296">
        <f t="shared" si="19"/>
        <v>53891.666666666672</v>
      </c>
      <c r="I54" s="296">
        <f t="shared" si="19"/>
        <v>56912.500000000007</v>
      </c>
      <c r="J54" s="296">
        <f>(F54*3+G54*3+H54*3+I54*3)/12</f>
        <v>52471.875</v>
      </c>
      <c r="K54" s="296">
        <f t="shared" si="19"/>
        <v>57879.166666666679</v>
      </c>
    </row>
    <row r="55" spans="1:11">
      <c r="A55" s="285"/>
      <c r="B55" s="285"/>
      <c r="C55" s="285"/>
      <c r="D55" s="285"/>
      <c r="E55" s="285"/>
      <c r="F55" s="285"/>
      <c r="G55" s="285"/>
      <c r="H55" s="285"/>
      <c r="I55" s="285"/>
      <c r="J55" s="304">
        <f>I54*3+G54*3+F54*3+E54*3</f>
        <v>603562.5</v>
      </c>
      <c r="K55" s="285"/>
    </row>
    <row r="56" spans="1:11">
      <c r="A56" s="285"/>
      <c r="B56" s="285"/>
      <c r="C56" s="285"/>
      <c r="D56" s="285"/>
      <c r="E56" s="285"/>
      <c r="F56" s="285"/>
      <c r="G56" s="285"/>
      <c r="H56" s="285"/>
      <c r="I56" s="285"/>
      <c r="J56" s="285"/>
      <c r="K56" s="285"/>
    </row>
    <row r="57" spans="1:11">
      <c r="A57" s="636" t="s">
        <v>625</v>
      </c>
      <c r="B57" s="636" t="s">
        <v>1134</v>
      </c>
      <c r="C57" s="636" t="s">
        <v>626</v>
      </c>
      <c r="D57" s="636" t="s">
        <v>637</v>
      </c>
      <c r="E57" s="482" t="s">
        <v>612</v>
      </c>
      <c r="F57" s="482" t="s">
        <v>613</v>
      </c>
      <c r="G57" s="482" t="s">
        <v>614</v>
      </c>
      <c r="H57" s="482" t="s">
        <v>615</v>
      </c>
      <c r="I57" s="482" t="s">
        <v>616</v>
      </c>
      <c r="J57" s="482">
        <v>2018</v>
      </c>
      <c r="K57" s="482">
        <v>2019</v>
      </c>
    </row>
    <row r="58" spans="1:11">
      <c r="A58" s="287" t="s">
        <v>623</v>
      </c>
      <c r="B58" s="287" t="s">
        <v>1135</v>
      </c>
      <c r="C58" s="287" t="s">
        <v>633</v>
      </c>
      <c r="D58" s="287"/>
      <c r="E58" s="287">
        <v>1</v>
      </c>
      <c r="F58" s="287">
        <v>1</v>
      </c>
      <c r="G58" s="287">
        <v>1</v>
      </c>
      <c r="H58" s="287">
        <v>1</v>
      </c>
      <c r="I58" s="287">
        <v>1</v>
      </c>
      <c r="J58" s="287"/>
      <c r="K58" s="287"/>
    </row>
    <row r="59" spans="1:11">
      <c r="A59" s="285"/>
      <c r="B59" s="285"/>
      <c r="C59" s="285"/>
      <c r="D59" s="285"/>
      <c r="E59" s="296">
        <v>6666.666666666667</v>
      </c>
      <c r="F59" s="296">
        <v>6666.666666666667</v>
      </c>
      <c r="G59" s="296">
        <v>6666.666666666667</v>
      </c>
      <c r="H59" s="296">
        <v>6666.666666666667</v>
      </c>
      <c r="I59" s="296">
        <v>6666.666666666667</v>
      </c>
      <c r="J59" s="296"/>
      <c r="K59" s="285"/>
    </row>
    <row r="60" spans="1:11">
      <c r="A60" s="285"/>
      <c r="B60" s="285"/>
      <c r="C60" s="285"/>
      <c r="D60" s="285"/>
      <c r="E60" s="285"/>
      <c r="F60" s="285"/>
      <c r="G60" s="285"/>
      <c r="H60" s="285"/>
      <c r="I60" s="285"/>
      <c r="J60" s="285"/>
      <c r="K60" s="285"/>
    </row>
    <row r="61" spans="1:11">
      <c r="A61" s="285" t="s">
        <v>624</v>
      </c>
      <c r="B61" s="285" t="s">
        <v>1136</v>
      </c>
      <c r="C61" s="285"/>
      <c r="D61" s="296">
        <f>(D38+D54+D59)</f>
        <v>24529.166666666668</v>
      </c>
      <c r="E61" s="296">
        <f t="shared" ref="E61:K61" si="20">(E38+E54+E59)</f>
        <v>54758.333333333336</v>
      </c>
      <c r="F61" s="296">
        <f t="shared" si="20"/>
        <v>56208.333333333336</v>
      </c>
      <c r="G61" s="296">
        <f t="shared" si="20"/>
        <v>63458.333333333336</v>
      </c>
      <c r="H61" s="296">
        <f t="shared" si="20"/>
        <v>72158.333333333343</v>
      </c>
      <c r="I61" s="296">
        <f t="shared" si="20"/>
        <v>97231.250000000015</v>
      </c>
      <c r="J61" s="296">
        <f t="shared" si="20"/>
        <v>65597.395833333328</v>
      </c>
      <c r="K61" s="296">
        <f t="shared" si="20"/>
        <v>109233.33333333334</v>
      </c>
    </row>
    <row r="62" spans="1:11">
      <c r="A62" s="285"/>
      <c r="B62" s="285"/>
      <c r="C62" s="285"/>
      <c r="D62" s="285"/>
      <c r="E62" s="285"/>
      <c r="F62" s="285"/>
      <c r="G62" s="285"/>
      <c r="H62" s="285"/>
      <c r="I62" s="285"/>
      <c r="J62" s="285"/>
      <c r="K62" s="285"/>
    </row>
  </sheetData>
  <phoneticPr fontId="12" type="noConversion"/>
  <printOptions horizontalCentered="1"/>
  <pageMargins left="0.19685039370078741" right="0.19685039370078741" top="0.19685039370078741" bottom="0.19685039370078741" header="0.5" footer="0.5"/>
  <pageSetup scale="74" fitToWidth="0" orientation="landscape" horizontalDpi="4294967293" verticalDpi="4294967293"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6"/>
  <sheetViews>
    <sheetView topLeftCell="D31" zoomScale="140" zoomScaleNormal="140" zoomScalePageLayoutView="140" workbookViewId="0">
      <selection activeCell="E43" sqref="E43:O43"/>
    </sheetView>
  </sheetViews>
  <sheetFormatPr defaultColWidth="8.85546875" defaultRowHeight="15"/>
  <cols>
    <col min="1" max="1" width="2.85546875" customWidth="1"/>
    <col min="2" max="3" width="42.85546875" style="57" customWidth="1"/>
    <col min="4" max="4" width="10.28515625" bestFit="1" customWidth="1"/>
    <col min="5" max="5" width="12.42578125" bestFit="1" customWidth="1"/>
    <col min="6" max="15" width="10.28515625" bestFit="1" customWidth="1"/>
  </cols>
  <sheetData>
    <row r="1" spans="1:15" ht="15.75">
      <c r="A1" s="145" t="s">
        <v>448</v>
      </c>
    </row>
    <row r="3" spans="1:15" ht="15.75" thickBot="1"/>
    <row r="4" spans="1:15">
      <c r="B4" s="433" t="s">
        <v>196</v>
      </c>
      <c r="C4" s="723" t="s">
        <v>791</v>
      </c>
      <c r="D4" s="434" t="s">
        <v>35</v>
      </c>
      <c r="E4" s="434">
        <v>2018</v>
      </c>
      <c r="F4" s="434">
        <v>2019</v>
      </c>
      <c r="G4" s="434">
        <v>2020</v>
      </c>
      <c r="H4" s="434">
        <v>2021</v>
      </c>
      <c r="I4" s="434">
        <v>2022</v>
      </c>
      <c r="J4" s="434">
        <v>2023</v>
      </c>
      <c r="K4" s="434">
        <v>2024</v>
      </c>
      <c r="L4" s="434">
        <v>2025</v>
      </c>
      <c r="M4" s="435">
        <v>2026</v>
      </c>
      <c r="N4" s="435">
        <v>2027</v>
      </c>
      <c r="O4" s="435">
        <v>2028</v>
      </c>
    </row>
    <row r="5" spans="1:15">
      <c r="B5" s="258" t="s">
        <v>563</v>
      </c>
      <c r="C5" s="724" t="s">
        <v>792</v>
      </c>
      <c r="D5" s="596">
        <v>0.5</v>
      </c>
      <c r="E5" s="596">
        <v>4</v>
      </c>
      <c r="F5" s="597">
        <v>0</v>
      </c>
      <c r="G5" s="596">
        <v>0</v>
      </c>
      <c r="H5" s="596">
        <v>0</v>
      </c>
      <c r="I5" s="596">
        <f>-H5</f>
        <v>0</v>
      </c>
      <c r="J5" s="596">
        <f t="shared" ref="J5:M5" si="0">-I5</f>
        <v>0</v>
      </c>
      <c r="K5" s="596">
        <f t="shared" si="0"/>
        <v>0</v>
      </c>
      <c r="L5" s="596">
        <f t="shared" si="0"/>
        <v>0</v>
      </c>
      <c r="M5" s="596">
        <f t="shared" si="0"/>
        <v>0</v>
      </c>
      <c r="N5" s="596">
        <f t="shared" ref="N5" si="1">-M5</f>
        <v>0</v>
      </c>
      <c r="O5" s="596">
        <f t="shared" ref="O5" si="2">-N5</f>
        <v>0</v>
      </c>
    </row>
    <row r="6" spans="1:15">
      <c r="B6" s="258" t="s">
        <v>413</v>
      </c>
      <c r="C6" s="724" t="s">
        <v>793</v>
      </c>
      <c r="D6" s="345">
        <f>D5*5000*3.785</f>
        <v>9462.5</v>
      </c>
      <c r="E6" s="345">
        <f>E5*5500*3.785</f>
        <v>83270</v>
      </c>
      <c r="F6" s="355">
        <v>500000</v>
      </c>
      <c r="G6" s="355">
        <v>500000</v>
      </c>
      <c r="H6" s="355">
        <v>500000</v>
      </c>
      <c r="I6" s="355">
        <v>500000</v>
      </c>
      <c r="J6" s="355">
        <f>I6</f>
        <v>500000</v>
      </c>
      <c r="K6" s="355">
        <f>J6</f>
        <v>500000</v>
      </c>
      <c r="L6" s="355">
        <f>K6</f>
        <v>500000</v>
      </c>
      <c r="M6" s="356">
        <f>L6</f>
        <v>500000</v>
      </c>
      <c r="N6" s="356">
        <f t="shared" ref="N6:O6" si="3">M6</f>
        <v>500000</v>
      </c>
      <c r="O6" s="356">
        <f t="shared" si="3"/>
        <v>500000</v>
      </c>
    </row>
    <row r="7" spans="1:15" ht="15.75" thickBot="1">
      <c r="B7" s="261" t="s">
        <v>414</v>
      </c>
      <c r="C7" s="725" t="s">
        <v>794</v>
      </c>
      <c r="D7" s="347">
        <v>0.05</v>
      </c>
      <c r="E7" s="347">
        <v>0.05</v>
      </c>
      <c r="F7" s="347">
        <v>0.2</v>
      </c>
      <c r="G7" s="347">
        <v>0.2</v>
      </c>
      <c r="H7" s="347">
        <v>0.15</v>
      </c>
      <c r="I7" s="347">
        <v>0.1</v>
      </c>
      <c r="J7" s="347">
        <v>0.1</v>
      </c>
      <c r="K7" s="347">
        <v>0.1</v>
      </c>
      <c r="L7" s="347">
        <v>0.1</v>
      </c>
      <c r="M7" s="347">
        <v>0.1</v>
      </c>
      <c r="N7" s="347">
        <v>0.1</v>
      </c>
      <c r="O7" s="347">
        <v>0.1</v>
      </c>
    </row>
    <row r="8" spans="1:15" ht="15.75" thickBot="1"/>
    <row r="9" spans="1:15" ht="25.5">
      <c r="B9" s="436" t="s">
        <v>406</v>
      </c>
      <c r="C9" s="726" t="s">
        <v>795</v>
      </c>
      <c r="D9" s="434" t="s">
        <v>35</v>
      </c>
      <c r="E9" s="434">
        <v>2018</v>
      </c>
      <c r="F9" s="434">
        <v>2019</v>
      </c>
      <c r="G9" s="434">
        <v>2020</v>
      </c>
      <c r="H9" s="434">
        <v>2021</v>
      </c>
      <c r="I9" s="434">
        <v>2022</v>
      </c>
      <c r="J9" s="434">
        <v>2023</v>
      </c>
      <c r="K9" s="434">
        <v>2024</v>
      </c>
      <c r="L9" s="434">
        <v>2025</v>
      </c>
      <c r="M9" s="435">
        <v>2026</v>
      </c>
      <c r="N9" s="435">
        <v>2026</v>
      </c>
      <c r="O9" s="435">
        <v>2026</v>
      </c>
    </row>
    <row r="10" spans="1:15">
      <c r="B10" s="258" t="s">
        <v>407</v>
      </c>
      <c r="C10" s="724" t="s">
        <v>796</v>
      </c>
      <c r="D10" s="265"/>
      <c r="E10" s="345">
        <f>E6*$D$83*$D$82</f>
        <v>0</v>
      </c>
      <c r="F10" s="345">
        <f>F6*$D$83</f>
        <v>375000</v>
      </c>
      <c r="G10" s="345">
        <f>F10</f>
        <v>375000</v>
      </c>
      <c r="H10" s="345">
        <f>H6*$D$83</f>
        <v>375000</v>
      </c>
      <c r="I10" s="345">
        <f t="shared" ref="I10:M10" si="4">I6*$D$83</f>
        <v>375000</v>
      </c>
      <c r="J10" s="345">
        <f t="shared" si="4"/>
        <v>375000</v>
      </c>
      <c r="K10" s="345">
        <f t="shared" si="4"/>
        <v>375000</v>
      </c>
      <c r="L10" s="345">
        <f t="shared" si="4"/>
        <v>375000</v>
      </c>
      <c r="M10" s="345">
        <f t="shared" si="4"/>
        <v>375000</v>
      </c>
      <c r="N10" s="345">
        <f t="shared" ref="N10:O10" si="5">N6*$D$83</f>
        <v>375000</v>
      </c>
      <c r="O10" s="345">
        <f t="shared" si="5"/>
        <v>375000</v>
      </c>
    </row>
    <row r="11" spans="1:15">
      <c r="B11" s="258" t="s">
        <v>558</v>
      </c>
      <c r="C11" s="724" t="s">
        <v>797</v>
      </c>
      <c r="D11" s="265"/>
      <c r="E11" s="345"/>
      <c r="F11" s="345"/>
      <c r="G11" s="345"/>
      <c r="H11" s="345"/>
      <c r="I11" s="345"/>
      <c r="J11" s="345"/>
      <c r="K11" s="345"/>
      <c r="L11" s="345"/>
      <c r="M11" s="346"/>
      <c r="N11" s="346"/>
      <c r="O11" s="346"/>
    </row>
    <row r="12" spans="1:15">
      <c r="B12" s="258" t="s">
        <v>677</v>
      </c>
      <c r="C12" s="724" t="s">
        <v>805</v>
      </c>
      <c r="D12" s="265"/>
      <c r="E12" s="345"/>
      <c r="F12" s="345"/>
      <c r="G12" s="345"/>
      <c r="H12" s="345">
        <f>H10*H20/3.785</f>
        <v>4953.7648612945841</v>
      </c>
      <c r="I12" s="345">
        <f t="shared" ref="I12:M12" si="6">I10*I20/3.785</f>
        <v>7430.6472919418766</v>
      </c>
      <c r="J12" s="345">
        <f t="shared" si="6"/>
        <v>8173.7120211360652</v>
      </c>
      <c r="K12" s="345">
        <f t="shared" si="6"/>
        <v>8991.0832232496705</v>
      </c>
      <c r="L12" s="345">
        <f t="shared" si="6"/>
        <v>9890.1915455746403</v>
      </c>
      <c r="M12" s="345">
        <f t="shared" si="6"/>
        <v>10879.210700132106</v>
      </c>
      <c r="N12" s="345">
        <f t="shared" ref="N12:O12" si="7">N10*N20/3.785</f>
        <v>11967.131770145317</v>
      </c>
      <c r="O12" s="345">
        <f t="shared" si="7"/>
        <v>13163.844947159851</v>
      </c>
    </row>
    <row r="13" spans="1:15">
      <c r="B13" s="258" t="s">
        <v>408</v>
      </c>
      <c r="C13" s="724" t="s">
        <v>798</v>
      </c>
      <c r="D13" s="265"/>
      <c r="E13" s="345"/>
      <c r="F13" s="345">
        <f t="shared" ref="F13:M13" si="8">F6*0.1</f>
        <v>50000</v>
      </c>
      <c r="G13" s="345">
        <f t="shared" si="8"/>
        <v>50000</v>
      </c>
      <c r="H13" s="345">
        <f t="shared" si="8"/>
        <v>50000</v>
      </c>
      <c r="I13" s="345">
        <f t="shared" si="8"/>
        <v>50000</v>
      </c>
      <c r="J13" s="345">
        <f t="shared" si="8"/>
        <v>50000</v>
      </c>
      <c r="K13" s="345">
        <f t="shared" si="8"/>
        <v>50000</v>
      </c>
      <c r="L13" s="345">
        <f t="shared" si="8"/>
        <v>50000</v>
      </c>
      <c r="M13" s="346">
        <f t="shared" si="8"/>
        <v>50000</v>
      </c>
      <c r="N13" s="346">
        <f t="shared" ref="N13:O13" si="9">N6*0.1</f>
        <v>50000</v>
      </c>
      <c r="O13" s="346">
        <f t="shared" si="9"/>
        <v>50000</v>
      </c>
    </row>
    <row r="14" spans="1:15">
      <c r="B14" s="258" t="s">
        <v>409</v>
      </c>
      <c r="C14" s="724" t="s">
        <v>799</v>
      </c>
      <c r="D14" s="265"/>
      <c r="E14" s="345">
        <f>((E10*4/3.785)-E16)*(1.1)</f>
        <v>0</v>
      </c>
      <c r="F14" s="345">
        <f>((F10*4/3.785)-F16*4)*(1.1)</f>
        <v>87186.261558784638</v>
      </c>
      <c r="G14" s="345">
        <f t="shared" ref="G14:M14" si="10">((G10*4/3.785)-G16*4)*(1.1)</f>
        <v>152575.95772787317</v>
      </c>
      <c r="H14" s="345">
        <f t="shared" si="10"/>
        <v>196169.08850726552</v>
      </c>
      <c r="I14" s="345">
        <f t="shared" si="10"/>
        <v>250660.50198150595</v>
      </c>
      <c r="J14" s="345">
        <f t="shared" si="10"/>
        <v>258289.29986789962</v>
      </c>
      <c r="K14" s="345">
        <f t="shared" si="10"/>
        <v>266157.85997357994</v>
      </c>
      <c r="L14" s="345">
        <f t="shared" si="10"/>
        <v>274300.62087186269</v>
      </c>
      <c r="M14" s="345">
        <f t="shared" si="10"/>
        <v>282755.25574636727</v>
      </c>
      <c r="N14" s="345">
        <f t="shared" ref="N14:O14" si="11">((N10*4/3.785)-N16*4)*(1.1)</f>
        <v>291563.00003698817</v>
      </c>
      <c r="O14" s="345">
        <f t="shared" si="11"/>
        <v>300769.01176676364</v>
      </c>
    </row>
    <row r="15" spans="1:15" ht="26.25">
      <c r="B15" s="258" t="s">
        <v>151</v>
      </c>
      <c r="C15" s="724" t="s">
        <v>800</v>
      </c>
      <c r="D15" s="267"/>
      <c r="E15" s="348"/>
      <c r="F15" s="348">
        <v>0.8</v>
      </c>
      <c r="G15" s="348">
        <v>0.65</v>
      </c>
      <c r="H15" s="348">
        <v>0.6</v>
      </c>
      <c r="I15" s="348">
        <v>0.5</v>
      </c>
      <c r="J15" s="348">
        <f>I15*(0.98)</f>
        <v>0.49</v>
      </c>
      <c r="K15" s="348">
        <f t="shared" ref="K15:M15" si="12">J15*(0.98)</f>
        <v>0.48019999999999996</v>
      </c>
      <c r="L15" s="348">
        <f t="shared" si="12"/>
        <v>0.47059599999999996</v>
      </c>
      <c r="M15" s="348">
        <f t="shared" si="12"/>
        <v>0.46118407999999994</v>
      </c>
      <c r="N15" s="348">
        <f t="shared" ref="N15" si="13">M15*(0.98)</f>
        <v>0.45196039839999991</v>
      </c>
      <c r="O15" s="348">
        <f t="shared" ref="O15" si="14">N15*(0.98)</f>
        <v>0.4429211904319999</v>
      </c>
    </row>
    <row r="16" spans="1:15">
      <c r="B16" s="258" t="s">
        <v>606</v>
      </c>
      <c r="C16" s="724" t="s">
        <v>801</v>
      </c>
      <c r="D16" s="269">
        <f>D15*D10</f>
        <v>0</v>
      </c>
      <c r="E16" s="349">
        <f>E10*E15*4/3.785</f>
        <v>0</v>
      </c>
      <c r="F16" s="349">
        <f>F10*F15/3.785</f>
        <v>79260.237780713345</v>
      </c>
      <c r="G16" s="349">
        <f t="shared" ref="G16" si="15">G10*G15/3.785</f>
        <v>64398.94319682959</v>
      </c>
      <c r="H16" s="349">
        <f>H10*H15/3.785-H12</f>
        <v>54491.41347424042</v>
      </c>
      <c r="I16" s="349">
        <f t="shared" ref="I16:M16" si="16">I10*I15/3.785-I12</f>
        <v>42107.001321003961</v>
      </c>
      <c r="J16" s="349">
        <f t="shared" si="16"/>
        <v>40373.183619550851</v>
      </c>
      <c r="K16" s="349">
        <f t="shared" si="16"/>
        <v>38584.874504623505</v>
      </c>
      <c r="L16" s="349">
        <f t="shared" si="16"/>
        <v>36734.247027741068</v>
      </c>
      <c r="M16" s="349">
        <f t="shared" si="16"/>
        <v>34812.739101717292</v>
      </c>
      <c r="N16" s="349">
        <f t="shared" ref="N16:O16" si="17">N10*N15/3.785-N12</f>
        <v>32810.979035667093</v>
      </c>
      <c r="O16" s="349">
        <f t="shared" si="17"/>
        <v>30718.703642536304</v>
      </c>
    </row>
    <row r="17" spans="2:15">
      <c r="B17" s="270" t="s">
        <v>609</v>
      </c>
      <c r="C17" s="727" t="s">
        <v>802</v>
      </c>
      <c r="D17" s="269"/>
      <c r="E17" s="349">
        <v>0</v>
      </c>
      <c r="F17" s="349">
        <f>F14-F32</f>
        <v>79186.261558784638</v>
      </c>
      <c r="G17" s="349">
        <f t="shared" ref="G17:M17" si="18">G14-G32</f>
        <v>143935.95772787317</v>
      </c>
      <c r="H17" s="349">
        <f t="shared" si="18"/>
        <v>186837.88850726551</v>
      </c>
      <c r="I17" s="349">
        <f t="shared" si="18"/>
        <v>240582.80598150595</v>
      </c>
      <c r="J17" s="349">
        <f t="shared" si="18"/>
        <v>247405.38818789963</v>
      </c>
      <c r="K17" s="349">
        <f t="shared" si="18"/>
        <v>254403.23535917993</v>
      </c>
      <c r="L17" s="349">
        <f t="shared" si="18"/>
        <v>261958.26502674268</v>
      </c>
      <c r="M17" s="349">
        <f t="shared" si="18"/>
        <v>269795.78210899129</v>
      </c>
      <c r="N17" s="349">
        <f t="shared" ref="N17:O17" si="19">N14-N32</f>
        <v>277955.55271774338</v>
      </c>
      <c r="O17" s="349">
        <f t="shared" si="19"/>
        <v>286481.1920815566</v>
      </c>
    </row>
    <row r="18" spans="2:15">
      <c r="B18" s="270" t="s">
        <v>610</v>
      </c>
      <c r="C18" s="727" t="s">
        <v>803</v>
      </c>
      <c r="D18" s="269">
        <f t="shared" ref="D18:M18" si="20">D17/220</f>
        <v>0</v>
      </c>
      <c r="E18" s="349">
        <f t="shared" si="20"/>
        <v>0</v>
      </c>
      <c r="F18" s="349">
        <f>F17/220</f>
        <v>359.93755253993015</v>
      </c>
      <c r="G18" s="349">
        <f t="shared" si="20"/>
        <v>654.2543533085144</v>
      </c>
      <c r="H18" s="349">
        <f t="shared" si="20"/>
        <v>849.26312957847961</v>
      </c>
      <c r="I18" s="349">
        <f t="shared" si="20"/>
        <v>1093.5582090068453</v>
      </c>
      <c r="J18" s="349">
        <f t="shared" si="20"/>
        <v>1124.5699463086346</v>
      </c>
      <c r="K18" s="349">
        <f t="shared" si="20"/>
        <v>1156.3783425417271</v>
      </c>
      <c r="L18" s="349">
        <f t="shared" si="20"/>
        <v>1190.719386485194</v>
      </c>
      <c r="M18" s="351">
        <f t="shared" si="20"/>
        <v>1226.3444641317785</v>
      </c>
      <c r="N18" s="351">
        <f t="shared" ref="N18:O18" si="21">N17/220</f>
        <v>1263.4343305351972</v>
      </c>
      <c r="O18" s="351">
        <f t="shared" si="21"/>
        <v>1302.1872367343481</v>
      </c>
    </row>
    <row r="19" spans="2:15">
      <c r="B19" s="257" t="s">
        <v>136</v>
      </c>
      <c r="C19" s="728" t="s">
        <v>806</v>
      </c>
      <c r="D19" s="271"/>
      <c r="E19" s="271"/>
      <c r="F19" s="271"/>
      <c r="G19" s="271"/>
      <c r="H19" s="271"/>
      <c r="I19" s="271"/>
      <c r="J19" s="271"/>
      <c r="K19" s="271"/>
      <c r="L19" s="271"/>
      <c r="M19" s="272"/>
      <c r="N19" s="272"/>
      <c r="O19" s="272"/>
    </row>
    <row r="20" spans="2:15">
      <c r="B20" s="258" t="s">
        <v>676</v>
      </c>
      <c r="C20" s="724" t="s">
        <v>807</v>
      </c>
      <c r="D20" s="271"/>
      <c r="E20" s="271"/>
      <c r="F20" s="271"/>
      <c r="G20" s="271"/>
      <c r="H20" s="353">
        <v>0.05</v>
      </c>
      <c r="I20" s="353">
        <f>H20*1.5</f>
        <v>7.5000000000000011E-2</v>
      </c>
      <c r="J20" s="352">
        <f t="shared" ref="J20:M20" si="22">I20*1.1</f>
        <v>8.2500000000000018E-2</v>
      </c>
      <c r="K20" s="352">
        <f t="shared" si="22"/>
        <v>9.0750000000000025E-2</v>
      </c>
      <c r="L20" s="352">
        <f t="shared" si="22"/>
        <v>9.9825000000000039E-2</v>
      </c>
      <c r="M20" s="352">
        <f t="shared" si="22"/>
        <v>0.10980750000000006</v>
      </c>
      <c r="N20" s="352">
        <f t="shared" ref="N20" si="23">M20*1.1</f>
        <v>0.12078825000000007</v>
      </c>
      <c r="O20" s="352">
        <f t="shared" ref="O20" si="24">N20*1.1</f>
        <v>0.13286707500000008</v>
      </c>
    </row>
    <row r="21" spans="2:15">
      <c r="B21" s="258"/>
      <c r="C21" s="724"/>
      <c r="D21" s="271"/>
      <c r="E21" s="271"/>
      <c r="F21" s="271"/>
      <c r="G21" s="271"/>
      <c r="H21" s="268"/>
      <c r="I21" s="268"/>
      <c r="J21" s="268"/>
      <c r="K21" s="268"/>
      <c r="L21" s="268"/>
      <c r="M21" s="268"/>
      <c r="N21" s="268"/>
      <c r="O21" s="268"/>
    </row>
    <row r="22" spans="2:15">
      <c r="B22" s="258" t="s">
        <v>410</v>
      </c>
      <c r="C22" s="724" t="s">
        <v>808</v>
      </c>
      <c r="D22" s="271"/>
      <c r="E22" s="352">
        <f>100%-E23-E24-E25-E26</f>
        <v>0</v>
      </c>
      <c r="F22" s="352">
        <f t="shared" ref="F22:M22" si="25">100%-F23-F24-F25-F26</f>
        <v>4.9999999999999961E-2</v>
      </c>
      <c r="G22" s="352">
        <f t="shared" si="25"/>
        <v>4.9999999999999961E-2</v>
      </c>
      <c r="H22" s="352">
        <f t="shared" si="25"/>
        <v>4.9999999999999961E-2</v>
      </c>
      <c r="I22" s="352">
        <f t="shared" si="25"/>
        <v>4.9999999999999961E-2</v>
      </c>
      <c r="J22" s="352">
        <f t="shared" si="25"/>
        <v>4.9999999999999961E-2</v>
      </c>
      <c r="K22" s="352">
        <f t="shared" si="25"/>
        <v>4.9999999999999961E-2</v>
      </c>
      <c r="L22" s="352">
        <f t="shared" si="25"/>
        <v>4.9999999999999961E-2</v>
      </c>
      <c r="M22" s="352">
        <f t="shared" si="25"/>
        <v>4.9999999999999961E-2</v>
      </c>
      <c r="N22" s="352">
        <f t="shared" ref="N22:O22" si="26">100%-N23-N24-N25-N26</f>
        <v>4.9999999999999961E-2</v>
      </c>
      <c r="O22" s="352">
        <f t="shared" si="26"/>
        <v>4.9999999999999961E-2</v>
      </c>
    </row>
    <row r="23" spans="2:15">
      <c r="B23" s="258" t="s">
        <v>137</v>
      </c>
      <c r="C23" s="724" t="s">
        <v>809</v>
      </c>
      <c r="D23" s="268"/>
      <c r="E23" s="353">
        <v>0.5</v>
      </c>
      <c r="F23" s="353">
        <v>0.3</v>
      </c>
      <c r="G23" s="353">
        <v>0.3</v>
      </c>
      <c r="H23" s="353">
        <v>0.3</v>
      </c>
      <c r="I23" s="353">
        <v>0.3</v>
      </c>
      <c r="J23" s="353">
        <v>0.3</v>
      </c>
      <c r="K23" s="353">
        <v>0.3</v>
      </c>
      <c r="L23" s="353">
        <v>0.3</v>
      </c>
      <c r="M23" s="600">
        <v>0.3</v>
      </c>
      <c r="N23" s="600">
        <v>0.3</v>
      </c>
      <c r="O23" s="600">
        <v>0.3</v>
      </c>
    </row>
    <row r="24" spans="2:15">
      <c r="B24" s="258" t="s">
        <v>138</v>
      </c>
      <c r="C24" s="724" t="s">
        <v>810</v>
      </c>
      <c r="D24" s="268"/>
      <c r="E24" s="353">
        <v>0.3</v>
      </c>
      <c r="F24" s="353">
        <v>0.35</v>
      </c>
      <c r="G24" s="353">
        <v>0.35</v>
      </c>
      <c r="H24" s="353">
        <v>0.35</v>
      </c>
      <c r="I24" s="353">
        <v>0.35</v>
      </c>
      <c r="J24" s="353">
        <v>0.35</v>
      </c>
      <c r="K24" s="353">
        <v>0.35</v>
      </c>
      <c r="L24" s="353">
        <v>0.35</v>
      </c>
      <c r="M24" s="600">
        <v>0.35</v>
      </c>
      <c r="N24" s="600">
        <v>0.35</v>
      </c>
      <c r="O24" s="600">
        <v>0.35</v>
      </c>
    </row>
    <row r="25" spans="2:15">
      <c r="B25" s="258" t="s">
        <v>139</v>
      </c>
      <c r="C25" s="724" t="s">
        <v>812</v>
      </c>
      <c r="D25" s="268"/>
      <c r="E25" s="353">
        <v>0.1</v>
      </c>
      <c r="F25" s="353">
        <v>0.1</v>
      </c>
      <c r="G25" s="353">
        <v>0.1</v>
      </c>
      <c r="H25" s="353">
        <v>0.1</v>
      </c>
      <c r="I25" s="353">
        <v>0.1</v>
      </c>
      <c r="J25" s="353">
        <v>0.1</v>
      </c>
      <c r="K25" s="353">
        <v>0.1</v>
      </c>
      <c r="L25" s="353">
        <v>0.1</v>
      </c>
      <c r="M25" s="600">
        <v>0.1</v>
      </c>
      <c r="N25" s="600">
        <v>0.1</v>
      </c>
      <c r="O25" s="600">
        <v>0.1</v>
      </c>
    </row>
    <row r="26" spans="2:15">
      <c r="B26" s="258" t="s">
        <v>140</v>
      </c>
      <c r="C26" s="724" t="s">
        <v>813</v>
      </c>
      <c r="D26" s="268"/>
      <c r="E26" s="353">
        <v>0.1</v>
      </c>
      <c r="F26" s="353">
        <v>0.2</v>
      </c>
      <c r="G26" s="353">
        <v>0.2</v>
      </c>
      <c r="H26" s="353">
        <v>0.2</v>
      </c>
      <c r="I26" s="353">
        <v>0.2</v>
      </c>
      <c r="J26" s="353">
        <v>0.2</v>
      </c>
      <c r="K26" s="353">
        <v>0.2</v>
      </c>
      <c r="L26" s="353">
        <v>0.2</v>
      </c>
      <c r="M26" s="600">
        <v>0.2</v>
      </c>
      <c r="N26" s="600">
        <v>0.2</v>
      </c>
      <c r="O26" s="600">
        <v>0.2</v>
      </c>
    </row>
    <row r="27" spans="2:15">
      <c r="B27" s="258" t="s">
        <v>316</v>
      </c>
      <c r="C27" s="724" t="s">
        <v>316</v>
      </c>
      <c r="D27" s="267"/>
      <c r="E27" s="354">
        <f>SUM(E22:E26)</f>
        <v>1</v>
      </c>
      <c r="F27" s="354">
        <f t="shared" ref="F27:M27" si="27">SUM(F22:F26)</f>
        <v>1</v>
      </c>
      <c r="G27" s="354">
        <f t="shared" si="27"/>
        <v>1</v>
      </c>
      <c r="H27" s="354">
        <f t="shared" si="27"/>
        <v>1</v>
      </c>
      <c r="I27" s="354">
        <f t="shared" si="27"/>
        <v>1</v>
      </c>
      <c r="J27" s="354">
        <f t="shared" si="27"/>
        <v>1</v>
      </c>
      <c r="K27" s="354">
        <f t="shared" si="27"/>
        <v>1</v>
      </c>
      <c r="L27" s="354">
        <f t="shared" si="27"/>
        <v>1</v>
      </c>
      <c r="M27" s="354">
        <f t="shared" si="27"/>
        <v>1</v>
      </c>
      <c r="N27" s="354">
        <f t="shared" ref="N27:O27" si="28">SUM(N22:N26)</f>
        <v>1</v>
      </c>
      <c r="O27" s="354">
        <f t="shared" si="28"/>
        <v>1</v>
      </c>
    </row>
    <row r="28" spans="2:15">
      <c r="B28" s="258"/>
      <c r="C28" s="724"/>
      <c r="D28" s="267"/>
      <c r="E28" s="354"/>
      <c r="F28" s="354"/>
      <c r="G28" s="354"/>
      <c r="H28" s="354"/>
      <c r="I28" s="354"/>
      <c r="J28" s="354"/>
      <c r="K28" s="354"/>
      <c r="L28" s="354"/>
      <c r="M28" s="475"/>
      <c r="N28" s="475"/>
      <c r="O28" s="475"/>
    </row>
    <row r="29" spans="2:15">
      <c r="B29" s="258" t="s">
        <v>567</v>
      </c>
      <c r="C29" s="724" t="s">
        <v>814</v>
      </c>
      <c r="D29" s="267"/>
      <c r="E29" s="267"/>
      <c r="F29" s="267"/>
      <c r="G29" s="267"/>
      <c r="H29" s="267"/>
      <c r="I29" s="267"/>
      <c r="J29" s="267"/>
      <c r="K29" s="267"/>
      <c r="L29" s="267"/>
      <c r="M29" s="476"/>
      <c r="N29" s="476"/>
      <c r="O29" s="476"/>
    </row>
    <row r="30" spans="2:15">
      <c r="B30" s="258"/>
      <c r="C30" s="724"/>
      <c r="D30" s="267"/>
      <c r="E30" s="267"/>
      <c r="F30" s="267"/>
      <c r="G30" s="267"/>
      <c r="H30" s="267"/>
      <c r="I30" s="267"/>
      <c r="J30" s="267"/>
      <c r="K30" s="267"/>
      <c r="L30" s="267"/>
      <c r="M30" s="476"/>
      <c r="N30" s="476"/>
      <c r="O30" s="476"/>
    </row>
    <row r="31" spans="2:15">
      <c r="B31" s="273" t="s">
        <v>415</v>
      </c>
      <c r="C31" s="729" t="s">
        <v>815</v>
      </c>
      <c r="D31" s="350">
        <v>10000</v>
      </c>
      <c r="E31" s="350">
        <v>40000</v>
      </c>
      <c r="F31" s="350">
        <v>25000</v>
      </c>
      <c r="G31" s="350">
        <f>F31*1.02</f>
        <v>25500</v>
      </c>
      <c r="H31" s="349">
        <f t="shared" ref="H31:M31" si="29">G31*1.02</f>
        <v>26010</v>
      </c>
      <c r="I31" s="349">
        <f t="shared" si="29"/>
        <v>26530.2</v>
      </c>
      <c r="J31" s="349">
        <f t="shared" si="29"/>
        <v>27060.804</v>
      </c>
      <c r="K31" s="349">
        <f t="shared" si="29"/>
        <v>27602.020080000002</v>
      </c>
      <c r="L31" s="349">
        <f t="shared" si="29"/>
        <v>28154.060481600001</v>
      </c>
      <c r="M31" s="351">
        <f t="shared" si="29"/>
        <v>28717.141691232002</v>
      </c>
      <c r="N31" s="351">
        <f t="shared" ref="N31" si="30">M31*1.02</f>
        <v>29291.484525056643</v>
      </c>
      <c r="O31" s="351">
        <f t="shared" ref="O31" si="31">N31*1.02</f>
        <v>29877.314215557777</v>
      </c>
    </row>
    <row r="32" spans="2:15">
      <c r="B32" s="273" t="s">
        <v>416</v>
      </c>
      <c r="C32" s="729" t="s">
        <v>816</v>
      </c>
      <c r="D32" s="349">
        <v>0</v>
      </c>
      <c r="E32" s="349">
        <f t="shared" ref="E32:O32" si="32">E33*$D$84</f>
        <v>3000</v>
      </c>
      <c r="F32" s="349">
        <f t="shared" si="32"/>
        <v>8000</v>
      </c>
      <c r="G32" s="349">
        <f t="shared" si="32"/>
        <v>8640</v>
      </c>
      <c r="H32" s="349">
        <f t="shared" si="32"/>
        <v>9331.2000000000007</v>
      </c>
      <c r="I32" s="349">
        <f t="shared" si="32"/>
        <v>10077.696000000002</v>
      </c>
      <c r="J32" s="349">
        <f t="shared" si="32"/>
        <v>10883.911680000003</v>
      </c>
      <c r="K32" s="349">
        <f t="shared" si="32"/>
        <v>11754.624614400003</v>
      </c>
      <c r="L32" s="349">
        <f t="shared" si="32"/>
        <v>12342.355845120004</v>
      </c>
      <c r="M32" s="351">
        <f t="shared" si="32"/>
        <v>12959.473637376006</v>
      </c>
      <c r="N32" s="351">
        <f t="shared" si="32"/>
        <v>13607.447319244806</v>
      </c>
      <c r="O32" s="351">
        <f t="shared" si="32"/>
        <v>14287.819685207049</v>
      </c>
    </row>
    <row r="33" spans="2:15">
      <c r="B33" s="258" t="s">
        <v>411</v>
      </c>
      <c r="C33" s="724" t="s">
        <v>817</v>
      </c>
      <c r="D33" s="350"/>
      <c r="E33" s="350">
        <v>600</v>
      </c>
      <c r="F33" s="350">
        <f>4*20*20</f>
        <v>1600</v>
      </c>
      <c r="G33" s="350">
        <f>F33*1.08</f>
        <v>1728</v>
      </c>
      <c r="H33" s="350">
        <f t="shared" ref="H33:K33" si="33">G33*1.08</f>
        <v>1866.2400000000002</v>
      </c>
      <c r="I33" s="350">
        <f t="shared" si="33"/>
        <v>2015.5392000000004</v>
      </c>
      <c r="J33" s="350">
        <f t="shared" si="33"/>
        <v>2176.7823360000007</v>
      </c>
      <c r="K33" s="350">
        <f t="shared" si="33"/>
        <v>2350.9249228800008</v>
      </c>
      <c r="L33" s="350">
        <f t="shared" ref="L33:M33" si="34">K33*1.05</f>
        <v>2468.471169024001</v>
      </c>
      <c r="M33" s="350">
        <f t="shared" si="34"/>
        <v>2591.8947274752013</v>
      </c>
      <c r="N33" s="350">
        <f t="shared" ref="N33" si="35">M33*1.05</f>
        <v>2721.4894638489613</v>
      </c>
      <c r="O33" s="350">
        <f t="shared" ref="O33" si="36">N33*1.05</f>
        <v>2857.5639370414096</v>
      </c>
    </row>
    <row r="34" spans="2:15">
      <c r="B34" s="258" t="s">
        <v>412</v>
      </c>
      <c r="C34" s="724" t="s">
        <v>818</v>
      </c>
      <c r="D34" s="265"/>
      <c r="E34" s="355">
        <v>0</v>
      </c>
      <c r="F34" s="355">
        <v>0</v>
      </c>
      <c r="G34" s="355">
        <v>0</v>
      </c>
      <c r="H34" s="355">
        <v>0</v>
      </c>
      <c r="I34" s="355">
        <v>0</v>
      </c>
      <c r="J34" s="355">
        <v>0</v>
      </c>
      <c r="K34" s="355">
        <v>0</v>
      </c>
      <c r="L34" s="355">
        <v>0</v>
      </c>
      <c r="M34" s="356">
        <v>0</v>
      </c>
      <c r="N34" s="356"/>
      <c r="O34" s="356"/>
    </row>
    <row r="35" spans="2:15">
      <c r="B35" s="258"/>
      <c r="C35" s="724"/>
      <c r="D35" s="265"/>
      <c r="E35" s="265"/>
      <c r="F35" s="265"/>
      <c r="G35" s="265"/>
      <c r="H35" s="265"/>
      <c r="I35" s="265"/>
      <c r="J35" s="265"/>
      <c r="K35" s="265"/>
      <c r="L35" s="265"/>
      <c r="M35" s="266"/>
      <c r="N35" s="266"/>
      <c r="O35" s="266"/>
    </row>
    <row r="36" spans="2:15">
      <c r="B36" s="258"/>
      <c r="C36" s="724"/>
      <c r="D36" s="265"/>
      <c r="E36" s="265"/>
      <c r="F36" s="265"/>
      <c r="G36" s="265"/>
      <c r="H36" s="265"/>
      <c r="I36" s="265"/>
      <c r="J36" s="265"/>
      <c r="K36" s="265"/>
      <c r="L36" s="265"/>
      <c r="M36" s="266"/>
      <c r="N36" s="266"/>
      <c r="O36" s="266"/>
    </row>
    <row r="37" spans="2:15">
      <c r="B37" s="274" t="s">
        <v>194</v>
      </c>
      <c r="C37" s="730" t="s">
        <v>819</v>
      </c>
      <c r="D37" s="357">
        <f t="shared" ref="D37:M37" si="37">(D17+D31+D32)/D38</f>
        <v>3.3333333333333335E-3</v>
      </c>
      <c r="E37" s="357">
        <f t="shared" si="37"/>
        <v>1.4191419141914191E-2</v>
      </c>
      <c r="F37" s="357">
        <f t="shared" si="37"/>
        <v>3.6658583001269368E-2</v>
      </c>
      <c r="G37" s="357">
        <f>(G17+G31+G32)/G38</f>
        <v>5.7612923384484462E-2</v>
      </c>
      <c r="H37" s="357">
        <f t="shared" si="37"/>
        <v>7.1169912336863386E-2</v>
      </c>
      <c r="I37" s="357">
        <f t="shared" si="37"/>
        <v>8.7912480619676991E-2</v>
      </c>
      <c r="J37" s="357">
        <f t="shared" si="37"/>
        <v>8.9604235242682614E-2</v>
      </c>
      <c r="K37" s="357">
        <f t="shared" si="37"/>
        <v>9.133171462485884E-2</v>
      </c>
      <c r="L37" s="357">
        <f t="shared" si="37"/>
        <v>9.310394126371889E-2</v>
      </c>
      <c r="M37" s="358">
        <f t="shared" si="37"/>
        <v>9.4930539042892961E-2</v>
      </c>
      <c r="N37" s="358">
        <f t="shared" ref="N37:O37" si="38">(N17+N31+N32)/N38</f>
        <v>9.6821793076253451E-2</v>
      </c>
      <c r="O37" s="358">
        <f t="shared" si="38"/>
        <v>9.8788714696026125E-2</v>
      </c>
    </row>
    <row r="38" spans="2:15" ht="15.75" thickBot="1">
      <c r="B38" s="275" t="s">
        <v>195</v>
      </c>
      <c r="C38" s="731" t="s">
        <v>820</v>
      </c>
      <c r="D38" s="361">
        <v>3000000</v>
      </c>
      <c r="E38" s="359">
        <f>D38*(1+$D$79)</f>
        <v>3030000</v>
      </c>
      <c r="F38" s="359">
        <f>E38*(1+$D$79)</f>
        <v>3060300</v>
      </c>
      <c r="G38" s="359">
        <f t="shared" ref="G38:M38" si="39">F38*(1+$D$79)</f>
        <v>3090903</v>
      </c>
      <c r="H38" s="359">
        <f t="shared" si="39"/>
        <v>3121812.03</v>
      </c>
      <c r="I38" s="359">
        <f t="shared" si="39"/>
        <v>3153030.1502999999</v>
      </c>
      <c r="J38" s="359">
        <f t="shared" si="39"/>
        <v>3184560.4518029997</v>
      </c>
      <c r="K38" s="359">
        <f t="shared" si="39"/>
        <v>3216406.0563210296</v>
      </c>
      <c r="L38" s="359">
        <f t="shared" si="39"/>
        <v>3248570.1168842399</v>
      </c>
      <c r="M38" s="360">
        <f t="shared" si="39"/>
        <v>3281055.8180530826</v>
      </c>
      <c r="N38" s="360">
        <f t="shared" ref="N38" si="40">M38*(1+$D$79)</f>
        <v>3313866.3762336136</v>
      </c>
      <c r="O38" s="360">
        <f t="shared" ref="O38" si="41">N38*(1+$D$79)</f>
        <v>3347005.0399959497</v>
      </c>
    </row>
    <row r="39" spans="2:15" ht="15.75" thickBot="1"/>
    <row r="40" spans="2:15">
      <c r="B40" s="433" t="s">
        <v>170</v>
      </c>
      <c r="C40" s="723" t="s">
        <v>821</v>
      </c>
      <c r="D40" s="434" t="s">
        <v>35</v>
      </c>
      <c r="E40" s="434">
        <v>2018</v>
      </c>
      <c r="F40" s="434">
        <v>2019</v>
      </c>
      <c r="G40" s="434">
        <v>2020</v>
      </c>
      <c r="H40" s="434">
        <v>2021</v>
      </c>
      <c r="I40" s="434">
        <v>2022</v>
      </c>
      <c r="J40" s="434">
        <v>2023</v>
      </c>
      <c r="K40" s="434">
        <v>2024</v>
      </c>
      <c r="L40" s="434">
        <v>2025</v>
      </c>
      <c r="M40" s="435">
        <v>2026</v>
      </c>
      <c r="N40" s="435">
        <v>2027</v>
      </c>
      <c r="O40" s="435">
        <v>2028</v>
      </c>
    </row>
    <row r="41" spans="2:15">
      <c r="B41" s="258" t="s">
        <v>566</v>
      </c>
      <c r="C41" s="724" t="s">
        <v>822</v>
      </c>
      <c r="D41" s="260">
        <v>0.7</v>
      </c>
      <c r="E41" s="362">
        <v>0.7</v>
      </c>
      <c r="F41" s="364">
        <f>E41</f>
        <v>0.7</v>
      </c>
      <c r="G41" s="364">
        <f t="shared" ref="G41:M41" si="42">F41</f>
        <v>0.7</v>
      </c>
      <c r="H41" s="364">
        <f t="shared" si="42"/>
        <v>0.7</v>
      </c>
      <c r="I41" s="364">
        <f t="shared" si="42"/>
        <v>0.7</v>
      </c>
      <c r="J41" s="364">
        <f t="shared" si="42"/>
        <v>0.7</v>
      </c>
      <c r="K41" s="364">
        <f t="shared" si="42"/>
        <v>0.7</v>
      </c>
      <c r="L41" s="364">
        <f t="shared" si="42"/>
        <v>0.7</v>
      </c>
      <c r="M41" s="365">
        <f t="shared" si="42"/>
        <v>0.7</v>
      </c>
      <c r="N41" s="365">
        <f t="shared" ref="N41" si="43">M41</f>
        <v>0.7</v>
      </c>
      <c r="O41" s="365">
        <f t="shared" ref="O41" si="44">N41</f>
        <v>0.7</v>
      </c>
    </row>
    <row r="42" spans="2:15" ht="26.25">
      <c r="B42" s="258" t="s">
        <v>568</v>
      </c>
      <c r="C42" s="724" t="s">
        <v>823</v>
      </c>
      <c r="D42" s="260"/>
      <c r="E42" s="362"/>
      <c r="F42" s="364">
        <f>' Crude Oil-Base Oil'!F17</f>
        <v>51.161666666666655</v>
      </c>
      <c r="G42" s="364">
        <f>' Crude Oil-Base Oil'!G17</f>
        <v>51.287500000000001</v>
      </c>
      <c r="H42" s="364">
        <f>' Crude Oil-Base Oil'!H17</f>
        <v>52.04666666666666</v>
      </c>
      <c r="I42" s="364">
        <f>' Crude Oil-Base Oil'!I17</f>
        <v>53.169166666666662</v>
      </c>
      <c r="J42" s="364">
        <f>' Crude Oil-Base Oil'!J17</f>
        <v>54.545000000000002</v>
      </c>
      <c r="K42" s="364">
        <f>' Crude Oil-Base Oil'!K17</f>
        <v>55.39</v>
      </c>
      <c r="L42" s="364">
        <f>' Crude Oil-Base Oil'!L17</f>
        <v>55.924999999999997</v>
      </c>
      <c r="M42" s="364">
        <f>' Crude Oil-Base Oil'!M17</f>
        <v>56.763874999999992</v>
      </c>
      <c r="N42" s="364">
        <f>' Crude Oil-Base Oil'!N17</f>
        <v>57.615333124999985</v>
      </c>
      <c r="O42" s="364">
        <f>' Crude Oil-Base Oil'!O17</f>
        <v>58.479563121874982</v>
      </c>
    </row>
    <row r="43" spans="2:15">
      <c r="B43" s="258" t="s">
        <v>197</v>
      </c>
      <c r="C43" s="724" t="s">
        <v>824</v>
      </c>
      <c r="D43" s="260"/>
      <c r="E43" s="386">
        <f>' Crude Oil-Base Oil'!E38</f>
        <v>2.4409010804126083</v>
      </c>
      <c r="F43" s="386">
        <f>' Crude Oil-Base Oil'!F38</f>
        <v>2.4093111482859104</v>
      </c>
      <c r="G43" s="386">
        <f>' Crude Oil-Base Oil'!G38</f>
        <v>2.4160485490643455</v>
      </c>
      <c r="H43" s="386">
        <f>' Crude Oil-Base Oil'!H38</f>
        <v>2.4566960464759564</v>
      </c>
      <c r="I43" s="386">
        <f>' Crude Oil-Base Oil'!I38</f>
        <v>2.516797230903443</v>
      </c>
      <c r="J43" s="386">
        <f>' Crude Oil-Base Oil'!J38</f>
        <v>2.5904624539842014</v>
      </c>
      <c r="K43" s="386">
        <f>' Crude Oil-Base Oil'!K38</f>
        <v>2.6357056618605719</v>
      </c>
      <c r="L43" s="386">
        <f>' Crude Oil-Base Oil'!L38</f>
        <v>2.6643507698059667</v>
      </c>
      <c r="M43" s="386">
        <f>' Crude Oil-Base Oil'!M38</f>
        <v>2.7092660313530552</v>
      </c>
      <c r="N43" s="386">
        <f>' Crude Oil-Base Oil'!N38</f>
        <v>2.7548550218233512</v>
      </c>
      <c r="O43" s="386">
        <f>' Crude Oil-Base Oil'!O38</f>
        <v>2.8011278471507008</v>
      </c>
    </row>
    <row r="44" spans="2:15">
      <c r="B44" s="258" t="s">
        <v>417</v>
      </c>
      <c r="C44" s="724" t="s">
        <v>825</v>
      </c>
      <c r="D44" s="260"/>
      <c r="E44" s="362">
        <v>0.5</v>
      </c>
      <c r="F44" s="364">
        <f>E44*(1+$D$78)</f>
        <v>0.51</v>
      </c>
      <c r="G44" s="364">
        <f t="shared" ref="G44:M44" si="45">F44*(1+$D$78)</f>
        <v>0.5202</v>
      </c>
      <c r="H44" s="364">
        <f t="shared" si="45"/>
        <v>0.53060399999999996</v>
      </c>
      <c r="I44" s="364">
        <f t="shared" si="45"/>
        <v>0.54121607999999999</v>
      </c>
      <c r="J44" s="364">
        <f t="shared" si="45"/>
        <v>0.55204040160000001</v>
      </c>
      <c r="K44" s="364">
        <f t="shared" si="45"/>
        <v>0.56308120963200003</v>
      </c>
      <c r="L44" s="364">
        <f t="shared" si="45"/>
        <v>0.57434283382464002</v>
      </c>
      <c r="M44" s="365">
        <f t="shared" si="45"/>
        <v>0.58582969050113287</v>
      </c>
      <c r="N44" s="365">
        <f t="shared" ref="N44" si="46">M44*(1+$D$78)</f>
        <v>0.59754628431115553</v>
      </c>
      <c r="O44" s="365">
        <f t="shared" ref="O44" si="47">N44*(1+$D$78)</f>
        <v>0.60949720999737866</v>
      </c>
    </row>
    <row r="45" spans="2:15">
      <c r="B45" s="258" t="s">
        <v>557</v>
      </c>
      <c r="C45" s="724" t="s">
        <v>826</v>
      </c>
      <c r="D45" s="260"/>
      <c r="E45" s="362"/>
      <c r="F45" s="364"/>
      <c r="G45" s="364"/>
      <c r="H45" s="364"/>
      <c r="I45" s="364"/>
      <c r="J45" s="364"/>
      <c r="K45" s="364"/>
      <c r="L45" s="364"/>
      <c r="M45" s="365"/>
      <c r="N45" s="365"/>
      <c r="O45" s="365"/>
    </row>
    <row r="46" spans="2:15">
      <c r="B46" s="258" t="s">
        <v>307</v>
      </c>
      <c r="C46" s="724" t="s">
        <v>827</v>
      </c>
      <c r="D46" s="260"/>
      <c r="E46" s="362">
        <f>5/4</f>
        <v>1.25</v>
      </c>
      <c r="F46" s="364">
        <f>E46*(1.015)</f>
        <v>1.2687499999999998</v>
      </c>
      <c r="G46" s="364">
        <f t="shared" ref="G46:M46" si="48">F46*(1.015)</f>
        <v>1.2877812499999997</v>
      </c>
      <c r="H46" s="364">
        <f t="shared" si="48"/>
        <v>1.3070979687499995</v>
      </c>
      <c r="I46" s="364">
        <f t="shared" si="48"/>
        <v>1.3267044382812494</v>
      </c>
      <c r="J46" s="364">
        <f t="shared" si="48"/>
        <v>1.3466050048554681</v>
      </c>
      <c r="K46" s="364">
        <f t="shared" si="48"/>
        <v>1.3668040799282999</v>
      </c>
      <c r="L46" s="364">
        <f t="shared" si="48"/>
        <v>1.3873061411272243</v>
      </c>
      <c r="M46" s="364">
        <f t="shared" si="48"/>
        <v>1.4081157332441325</v>
      </c>
      <c r="N46" s="364">
        <f t="shared" ref="N46" si="49">M46*(1.015)</f>
        <v>1.4292374692427945</v>
      </c>
      <c r="O46" s="364">
        <f t="shared" ref="O46" si="50">N46*(1.015)</f>
        <v>1.4506760312814362</v>
      </c>
    </row>
    <row r="47" spans="2:15" ht="15.75" thickBot="1">
      <c r="B47" s="278" t="s">
        <v>418</v>
      </c>
      <c r="C47" s="732" t="s">
        <v>828</v>
      </c>
      <c r="D47" s="279"/>
      <c r="E47" s="363">
        <v>1.1000000000000001</v>
      </c>
      <c r="F47" s="366">
        <f>E47*1.01</f>
        <v>1.1110000000000002</v>
      </c>
      <c r="G47" s="366">
        <f t="shared" ref="G47:M47" si="51">F47*1.01</f>
        <v>1.1221100000000002</v>
      </c>
      <c r="H47" s="366">
        <f t="shared" si="51"/>
        <v>1.1333311000000001</v>
      </c>
      <c r="I47" s="366">
        <f t="shared" si="51"/>
        <v>1.1446644110000002</v>
      </c>
      <c r="J47" s="366">
        <f t="shared" si="51"/>
        <v>1.1561110551100002</v>
      </c>
      <c r="K47" s="366">
        <f t="shared" si="51"/>
        <v>1.1676721656611002</v>
      </c>
      <c r="L47" s="366">
        <f t="shared" si="51"/>
        <v>1.1793488873177111</v>
      </c>
      <c r="M47" s="367">
        <f t="shared" si="51"/>
        <v>1.1911423761908884</v>
      </c>
      <c r="N47" s="367">
        <f t="shared" ref="N47" si="52">M47*1.01</f>
        <v>1.2030537999527973</v>
      </c>
      <c r="O47" s="367">
        <f t="shared" ref="O47" si="53">N47*1.01</f>
        <v>1.2150843379523253</v>
      </c>
    </row>
    <row r="48" spans="2:15">
      <c r="B48" s="280" t="s">
        <v>419</v>
      </c>
      <c r="C48" s="733" t="s">
        <v>829</v>
      </c>
      <c r="D48" s="369">
        <v>510</v>
      </c>
      <c r="E48" s="376">
        <f t="shared" ref="E48:M48" si="54">E22*E51+E23*E52+E24*E53+E25*E54+E26*E55</f>
        <v>565</v>
      </c>
      <c r="F48" s="376">
        <f t="shared" si="54"/>
        <v>547.50299999999993</v>
      </c>
      <c r="G48" s="376">
        <f t="shared" si="54"/>
        <v>554.81402999999989</v>
      </c>
      <c r="H48" s="376">
        <f t="shared" si="54"/>
        <v>562.23489029999996</v>
      </c>
      <c r="I48" s="376">
        <f t="shared" si="54"/>
        <v>569.76741360300002</v>
      </c>
      <c r="J48" s="376">
        <f t="shared" si="54"/>
        <v>577.41346562703006</v>
      </c>
      <c r="K48" s="376">
        <f t="shared" si="54"/>
        <v>585.17494572906037</v>
      </c>
      <c r="L48" s="376">
        <f t="shared" si="54"/>
        <v>593.05378754102617</v>
      </c>
      <c r="M48" s="376">
        <f t="shared" si="54"/>
        <v>601.05195961820516</v>
      </c>
      <c r="N48" s="376">
        <f t="shared" ref="N48:O48" si="55">N22*N51+N23*N52+N24*N53+N25*N54+N26*N55</f>
        <v>609.17146610019131</v>
      </c>
      <c r="O48" s="376">
        <f t="shared" si="55"/>
        <v>617.41434738471344</v>
      </c>
    </row>
    <row r="49" spans="1:15" ht="15.75" thickBot="1">
      <c r="B49" s="261" t="s">
        <v>309</v>
      </c>
      <c r="C49" s="725" t="s">
        <v>830</v>
      </c>
      <c r="D49" s="368">
        <f>D48*1.13</f>
        <v>576.29999999999995</v>
      </c>
      <c r="E49" s="368">
        <f t="shared" ref="E49:M49" si="56">E48*1.13</f>
        <v>638.44999999999993</v>
      </c>
      <c r="F49" s="368">
        <f t="shared" si="56"/>
        <v>618.67838999999981</v>
      </c>
      <c r="G49" s="368">
        <f t="shared" si="56"/>
        <v>626.93985389999978</v>
      </c>
      <c r="H49" s="368">
        <f t="shared" si="56"/>
        <v>635.32542603899992</v>
      </c>
      <c r="I49" s="368">
        <f t="shared" si="56"/>
        <v>643.83717737139</v>
      </c>
      <c r="J49" s="368">
        <f t="shared" si="56"/>
        <v>652.47721615854391</v>
      </c>
      <c r="K49" s="368">
        <f t="shared" si="56"/>
        <v>661.24768867383818</v>
      </c>
      <c r="L49" s="368">
        <f t="shared" si="56"/>
        <v>670.15077992135946</v>
      </c>
      <c r="M49" s="374">
        <f t="shared" si="56"/>
        <v>679.18871436857182</v>
      </c>
      <c r="N49" s="374">
        <f t="shared" ref="N49:O49" si="57">N48*1.13</f>
        <v>688.36375669321615</v>
      </c>
      <c r="O49" s="374">
        <f t="shared" si="57"/>
        <v>697.67821254472608</v>
      </c>
    </row>
    <row r="50" spans="1:15">
      <c r="B50" s="281" t="s">
        <v>308</v>
      </c>
      <c r="C50" s="734" t="s">
        <v>831</v>
      </c>
      <c r="D50" s="187"/>
      <c r="E50" s="370">
        <f>E46*220</f>
        <v>275</v>
      </c>
      <c r="F50" s="371">
        <f t="shared" ref="F50:F55" si="58">E50*1.01</f>
        <v>277.75</v>
      </c>
      <c r="G50" s="371">
        <f t="shared" ref="G50:G55" si="59">F50*1.01</f>
        <v>280.52749999999997</v>
      </c>
      <c r="H50" s="371">
        <f t="shared" ref="H50:H55" si="60">G50*1.01</f>
        <v>283.33277499999997</v>
      </c>
      <c r="I50" s="371">
        <f t="shared" ref="I50:I55" si="61">H50*1.01</f>
        <v>286.16610274999999</v>
      </c>
      <c r="J50" s="371">
        <f t="shared" ref="J50:J55" si="62">I50*1.01</f>
        <v>289.02776377750001</v>
      </c>
      <c r="K50" s="371">
        <f t="shared" ref="K50:K55" si="63">J50*1.01</f>
        <v>291.91804141527501</v>
      </c>
      <c r="L50" s="371">
        <f t="shared" ref="L50:L55" si="64">K50*1.01</f>
        <v>294.83722182942779</v>
      </c>
      <c r="M50" s="477">
        <f t="shared" ref="M50:M55" si="65">L50*1.01</f>
        <v>297.78559404772204</v>
      </c>
      <c r="N50" s="477">
        <f t="shared" ref="N50:N51" si="66">M50*1.01</f>
        <v>300.76344998819928</v>
      </c>
      <c r="O50" s="477">
        <f t="shared" ref="O50:O51" si="67">N50*1.01</f>
        <v>303.77108448808127</v>
      </c>
    </row>
    <row r="51" spans="1:15">
      <c r="B51" s="278" t="s">
        <v>410</v>
      </c>
      <c r="C51" s="732" t="s">
        <v>832</v>
      </c>
      <c r="D51" s="186"/>
      <c r="E51" s="372">
        <v>256</v>
      </c>
      <c r="F51" s="373">
        <f t="shared" si="58"/>
        <v>258.56</v>
      </c>
      <c r="G51" s="373">
        <f t="shared" si="59"/>
        <v>261.1456</v>
      </c>
      <c r="H51" s="373">
        <f t="shared" si="60"/>
        <v>263.75705599999998</v>
      </c>
      <c r="I51" s="373">
        <f t="shared" si="61"/>
        <v>266.39462656000001</v>
      </c>
      <c r="J51" s="373">
        <f t="shared" si="62"/>
        <v>269.05857282559998</v>
      </c>
      <c r="K51" s="373">
        <f t="shared" si="63"/>
        <v>271.74915855385598</v>
      </c>
      <c r="L51" s="373">
        <f t="shared" si="64"/>
        <v>274.46665013939452</v>
      </c>
      <c r="M51" s="478">
        <f t="shared" si="65"/>
        <v>277.21131664078848</v>
      </c>
      <c r="N51" s="478">
        <f t="shared" si="66"/>
        <v>279.98342980719639</v>
      </c>
      <c r="O51" s="478">
        <f t="shared" si="67"/>
        <v>282.78326410526836</v>
      </c>
    </row>
    <row r="52" spans="1:15">
      <c r="B52" s="258" t="s">
        <v>137</v>
      </c>
      <c r="C52" s="732" t="s">
        <v>809</v>
      </c>
      <c r="D52" s="186"/>
      <c r="E52" s="372">
        <v>600</v>
      </c>
      <c r="F52" s="373">
        <f>E52*1.02</f>
        <v>612</v>
      </c>
      <c r="G52" s="373">
        <f t="shared" ref="G52:M52" si="68">F52*1.02</f>
        <v>624.24</v>
      </c>
      <c r="H52" s="373">
        <f t="shared" si="68"/>
        <v>636.72480000000007</v>
      </c>
      <c r="I52" s="373">
        <f t="shared" si="68"/>
        <v>649.45929600000011</v>
      </c>
      <c r="J52" s="373">
        <f t="shared" si="68"/>
        <v>662.44848192000018</v>
      </c>
      <c r="K52" s="373">
        <f t="shared" si="68"/>
        <v>675.69745155840019</v>
      </c>
      <c r="L52" s="373">
        <f t="shared" si="68"/>
        <v>689.21140058956826</v>
      </c>
      <c r="M52" s="478">
        <f t="shared" si="68"/>
        <v>702.99562860135961</v>
      </c>
      <c r="N52" s="478">
        <f t="shared" ref="N52" si="69">M52*1.02</f>
        <v>717.05554117338681</v>
      </c>
      <c r="O52" s="478">
        <f t="shared" ref="O52" si="70">N52*1.02</f>
        <v>731.39665199685453</v>
      </c>
    </row>
    <row r="53" spans="1:15">
      <c r="B53" s="258" t="s">
        <v>138</v>
      </c>
      <c r="C53" s="732" t="s">
        <v>810</v>
      </c>
      <c r="D53" s="186"/>
      <c r="E53" s="372">
        <v>550</v>
      </c>
      <c r="F53" s="373">
        <f t="shared" si="58"/>
        <v>555.5</v>
      </c>
      <c r="G53" s="373">
        <f t="shared" si="59"/>
        <v>561.05499999999995</v>
      </c>
      <c r="H53" s="373">
        <f t="shared" si="60"/>
        <v>566.66554999999994</v>
      </c>
      <c r="I53" s="373">
        <f t="shared" si="61"/>
        <v>572.33220549999999</v>
      </c>
      <c r="J53" s="373">
        <f t="shared" si="62"/>
        <v>578.05552755500003</v>
      </c>
      <c r="K53" s="373">
        <f t="shared" si="63"/>
        <v>583.83608283055003</v>
      </c>
      <c r="L53" s="373">
        <f t="shared" si="64"/>
        <v>589.67444365885558</v>
      </c>
      <c r="M53" s="478">
        <f t="shared" si="65"/>
        <v>595.57118809544409</v>
      </c>
      <c r="N53" s="478">
        <f t="shared" ref="N53:N55" si="71">M53*1.01</f>
        <v>601.52689997639857</v>
      </c>
      <c r="O53" s="478">
        <f t="shared" ref="O53:O55" si="72">N53*1.01</f>
        <v>607.54216897616254</v>
      </c>
    </row>
    <row r="54" spans="1:15">
      <c r="B54" s="258" t="s">
        <v>139</v>
      </c>
      <c r="C54" s="732" t="s">
        <v>833</v>
      </c>
      <c r="D54" s="186"/>
      <c r="E54" s="372">
        <v>450</v>
      </c>
      <c r="F54" s="373">
        <f t="shared" si="58"/>
        <v>454.5</v>
      </c>
      <c r="G54" s="373">
        <f t="shared" si="59"/>
        <v>459.04500000000002</v>
      </c>
      <c r="H54" s="373">
        <f t="shared" si="60"/>
        <v>463.63545000000005</v>
      </c>
      <c r="I54" s="373">
        <f t="shared" si="61"/>
        <v>468.27180450000003</v>
      </c>
      <c r="J54" s="373">
        <f t="shared" si="62"/>
        <v>472.95452254500003</v>
      </c>
      <c r="K54" s="373">
        <f t="shared" si="63"/>
        <v>477.68406777045004</v>
      </c>
      <c r="L54" s="373">
        <f t="shared" si="64"/>
        <v>482.46090844815456</v>
      </c>
      <c r="M54" s="478">
        <f t="shared" si="65"/>
        <v>487.28551753263611</v>
      </c>
      <c r="N54" s="478">
        <f t="shared" si="71"/>
        <v>492.15837270796249</v>
      </c>
      <c r="O54" s="478">
        <f t="shared" si="72"/>
        <v>497.07995643504211</v>
      </c>
    </row>
    <row r="55" spans="1:15">
      <c r="B55" s="258" t="s">
        <v>140</v>
      </c>
      <c r="C55" s="732" t="s">
        <v>811</v>
      </c>
      <c r="D55" s="186"/>
      <c r="E55" s="372">
        <v>550</v>
      </c>
      <c r="F55" s="373">
        <f t="shared" si="58"/>
        <v>555.5</v>
      </c>
      <c r="G55" s="373">
        <f t="shared" si="59"/>
        <v>561.05499999999995</v>
      </c>
      <c r="H55" s="373">
        <f t="shared" si="60"/>
        <v>566.66554999999994</v>
      </c>
      <c r="I55" s="373">
        <f t="shared" si="61"/>
        <v>572.33220549999999</v>
      </c>
      <c r="J55" s="373">
        <f t="shared" si="62"/>
        <v>578.05552755500003</v>
      </c>
      <c r="K55" s="373">
        <f t="shared" si="63"/>
        <v>583.83608283055003</v>
      </c>
      <c r="L55" s="373">
        <f t="shared" si="64"/>
        <v>589.67444365885558</v>
      </c>
      <c r="M55" s="478">
        <f t="shared" si="65"/>
        <v>595.57118809544409</v>
      </c>
      <c r="N55" s="478">
        <f t="shared" si="71"/>
        <v>601.52689997639857</v>
      </c>
      <c r="O55" s="478">
        <f t="shared" si="72"/>
        <v>607.54216897616254</v>
      </c>
    </row>
    <row r="56" spans="1:15" ht="15.75" thickBot="1">
      <c r="B56" s="261" t="s">
        <v>575</v>
      </c>
      <c r="C56" s="725" t="s">
        <v>834</v>
      </c>
      <c r="D56" s="375">
        <v>40</v>
      </c>
      <c r="E56" s="368">
        <f>D56*1.03</f>
        <v>41.2</v>
      </c>
      <c r="F56" s="368">
        <f t="shared" ref="F56:M56" si="73">E56*1.03</f>
        <v>42.436000000000007</v>
      </c>
      <c r="G56" s="368">
        <f t="shared" si="73"/>
        <v>43.709080000000007</v>
      </c>
      <c r="H56" s="368">
        <f t="shared" si="73"/>
        <v>45.020352400000007</v>
      </c>
      <c r="I56" s="368">
        <f t="shared" si="73"/>
        <v>46.370962972000008</v>
      </c>
      <c r="J56" s="368">
        <f t="shared" si="73"/>
        <v>47.762091861160009</v>
      </c>
      <c r="K56" s="368">
        <f t="shared" si="73"/>
        <v>49.194954616994814</v>
      </c>
      <c r="L56" s="368">
        <f t="shared" si="73"/>
        <v>50.670803255504659</v>
      </c>
      <c r="M56" s="368">
        <f t="shared" si="73"/>
        <v>52.190927353169798</v>
      </c>
      <c r="N56" s="368">
        <f t="shared" ref="N56" si="74">M56*1.03</f>
        <v>53.756655173764891</v>
      </c>
      <c r="O56" s="368">
        <f t="shared" ref="O56" si="75">N56*1.03</f>
        <v>55.369354828977841</v>
      </c>
    </row>
    <row r="57" spans="1:15" ht="15.75" thickBot="1"/>
    <row r="58" spans="1:15">
      <c r="A58" s="85"/>
      <c r="B58" s="433" t="s">
        <v>73</v>
      </c>
      <c r="C58" s="723" t="s">
        <v>835</v>
      </c>
      <c r="D58" s="434" t="s">
        <v>35</v>
      </c>
      <c r="E58" s="434">
        <v>2018</v>
      </c>
      <c r="F58" s="434">
        <v>2019</v>
      </c>
      <c r="G58" s="434">
        <v>2020</v>
      </c>
      <c r="H58" s="434">
        <v>2021</v>
      </c>
      <c r="I58" s="434">
        <v>2022</v>
      </c>
      <c r="J58" s="434">
        <v>2023</v>
      </c>
      <c r="K58" s="434">
        <v>2024</v>
      </c>
      <c r="L58" s="434">
        <v>2025</v>
      </c>
      <c r="M58" s="435">
        <v>2026</v>
      </c>
      <c r="N58" s="435">
        <v>2027</v>
      </c>
      <c r="O58" s="435">
        <v>2028</v>
      </c>
    </row>
    <row r="59" spans="1:15" ht="26.25">
      <c r="A59" s="85"/>
      <c r="B59" s="258" t="s">
        <v>421</v>
      </c>
      <c r="C59" s="724" t="s">
        <v>840</v>
      </c>
      <c r="D59" s="259"/>
      <c r="E59" s="377"/>
      <c r="F59" s="377">
        <f>E59*1.03</f>
        <v>0</v>
      </c>
      <c r="G59" s="377">
        <f t="shared" ref="G59:M59" si="76">F59*1.03</f>
        <v>0</v>
      </c>
      <c r="H59" s="377">
        <f>'Plant Ops Cost 100 GPH'!M41</f>
        <v>0.21984081902245708</v>
      </c>
      <c r="I59" s="377">
        <f t="shared" si="76"/>
        <v>0.2264360435931308</v>
      </c>
      <c r="J59" s="377">
        <f t="shared" si="76"/>
        <v>0.23322912490092473</v>
      </c>
      <c r="K59" s="377">
        <f t="shared" si="76"/>
        <v>0.24022599864795249</v>
      </c>
      <c r="L59" s="377">
        <f t="shared" si="76"/>
        <v>0.24743277860739107</v>
      </c>
      <c r="M59" s="387">
        <f t="shared" si="76"/>
        <v>0.25485576196561283</v>
      </c>
      <c r="N59" s="387">
        <f t="shared" ref="N59" si="77">M59*1.03</f>
        <v>0.26250143482458121</v>
      </c>
      <c r="O59" s="387">
        <f t="shared" ref="O59" si="78">N59*1.03</f>
        <v>0.27037647786931868</v>
      </c>
    </row>
    <row r="60" spans="1:15" ht="26.25">
      <c r="A60" s="85"/>
      <c r="B60" s="258" t="s">
        <v>672</v>
      </c>
      <c r="C60" s="724" t="s">
        <v>840</v>
      </c>
      <c r="D60" s="259"/>
      <c r="E60" s="377">
        <f>E61/55</f>
        <v>0</v>
      </c>
      <c r="F60" s="377">
        <f t="shared" ref="F60:O60" si="79">F61/55</f>
        <v>0.81497666666666668</v>
      </c>
      <c r="G60" s="377">
        <f t="shared" si="79"/>
        <v>0.74510479166666665</v>
      </c>
      <c r="H60" s="377">
        <f t="shared" si="79"/>
        <v>0.72181416666666665</v>
      </c>
      <c r="I60" s="377">
        <f t="shared" si="79"/>
        <v>0.67523291666666663</v>
      </c>
      <c r="J60" s="377">
        <f t="shared" si="79"/>
        <v>0.67057479166666667</v>
      </c>
      <c r="K60" s="377">
        <f t="shared" si="79"/>
        <v>0.66600982916666662</v>
      </c>
      <c r="L60" s="377">
        <f t="shared" si="79"/>
        <v>0.66153616591666664</v>
      </c>
      <c r="M60" s="377">
        <f t="shared" si="79"/>
        <v>0.65715197593166674</v>
      </c>
      <c r="N60" s="377">
        <f t="shared" si="79"/>
        <v>0.65285546974636666</v>
      </c>
      <c r="O60" s="377">
        <f t="shared" si="79"/>
        <v>0.64864489368477263</v>
      </c>
    </row>
    <row r="61" spans="1:15" ht="26.25">
      <c r="A61" s="85"/>
      <c r="B61" s="258" t="s">
        <v>423</v>
      </c>
      <c r="C61" s="724" t="s">
        <v>841</v>
      </c>
      <c r="D61" s="259"/>
      <c r="E61" s="377">
        <f>'Plant Ops Cost 100 GPH'!$L$44*E15</f>
        <v>0</v>
      </c>
      <c r="F61" s="386">
        <f>'Plant Ops Cost 200 GPH'!D50*55</f>
        <v>44.82371666666667</v>
      </c>
      <c r="G61" s="386">
        <f>'Plant Ops Cost 200 GPH'!E50*55</f>
        <v>40.980763541666668</v>
      </c>
      <c r="H61" s="386">
        <f>'Plant Ops Cost 200 GPH'!F50*55</f>
        <v>39.699779166666666</v>
      </c>
      <c r="I61" s="386">
        <f>'Plant Ops Cost 200 GPH'!G50*55</f>
        <v>37.137810416666667</v>
      </c>
      <c r="J61" s="386">
        <f>'Plant Ops Cost 200 GPH'!H50*55</f>
        <v>36.881613541666667</v>
      </c>
      <c r="K61" s="386">
        <f>'Plant Ops Cost 200 GPH'!I50*55</f>
        <v>36.630540604166661</v>
      </c>
      <c r="L61" s="386">
        <f>'Plant Ops Cost 200 GPH'!J50*55</f>
        <v>36.384489125416664</v>
      </c>
      <c r="M61" s="386">
        <f>'Plant Ops Cost 200 GPH'!K50*55</f>
        <v>36.143358676241668</v>
      </c>
      <c r="N61" s="386">
        <f>'Plant Ops Cost 200 GPH'!L50*55</f>
        <v>35.907050836050168</v>
      </c>
      <c r="O61" s="386">
        <f>'Plant Ops Cost 200 GPH'!M50*55</f>
        <v>35.675469152662494</v>
      </c>
    </row>
    <row r="62" spans="1:15" s="133" customFormat="1" ht="12.75">
      <c r="A62" s="135"/>
      <c r="B62" s="479" t="s">
        <v>424</v>
      </c>
      <c r="C62" s="735" t="s">
        <v>836</v>
      </c>
      <c r="D62" s="259"/>
      <c r="E62" s="649"/>
      <c r="F62" s="386">
        <f>'Plant Ops Cost 100 GPH'!D51*55</f>
        <v>10.247874999999999</v>
      </c>
      <c r="G62" s="386">
        <f>'Plant Ops Cost 100 GPH'!E51*55</f>
        <v>17.933781250000003</v>
      </c>
      <c r="H62" s="386">
        <f>'Plant Ops Cost 100 GPH'!F51*55</f>
        <v>20.495750000000001</v>
      </c>
      <c r="I62" s="386">
        <f>'Plant Ops Cost 100 GPH'!G51*55</f>
        <v>25.619687500000001</v>
      </c>
      <c r="J62" s="386">
        <f>'Plant Ops Cost 100 GPH'!H51*55</f>
        <v>26.132081250000002</v>
      </c>
      <c r="K62" s="386">
        <f>'Plant Ops Cost 100 GPH'!I51*55</f>
        <v>26.634227125000006</v>
      </c>
      <c r="L62" s="386">
        <f>'Plant Ops Cost 100 GPH'!J51*55</f>
        <v>27.126330082500001</v>
      </c>
      <c r="M62" s="386">
        <f>'Plant Ops Cost 100 GPH'!K51*55</f>
        <v>27.608590980850003</v>
      </c>
      <c r="N62" s="386">
        <f>'Plant Ops Cost 100 GPH'!L51*55</f>
        <v>28.081206661233008</v>
      </c>
      <c r="O62" s="386">
        <f>'Plant Ops Cost 100 GPH'!M51*55</f>
        <v>28.544370028008352</v>
      </c>
    </row>
    <row r="63" spans="1:15" ht="12.95" customHeight="1">
      <c r="A63" s="85"/>
      <c r="B63" s="258" t="s">
        <v>470</v>
      </c>
      <c r="C63" s="724" t="s">
        <v>842</v>
      </c>
      <c r="D63" s="259"/>
      <c r="E63" s="377">
        <f>E61+E62</f>
        <v>0</v>
      </c>
      <c r="F63" s="377">
        <f>F61+F62</f>
        <v>55.07159166666667</v>
      </c>
      <c r="G63" s="377">
        <f t="shared" ref="G63:M63" si="80">G61+G62</f>
        <v>58.914544791666671</v>
      </c>
      <c r="H63" s="377">
        <f t="shared" si="80"/>
        <v>60.195529166666667</v>
      </c>
      <c r="I63" s="377">
        <f t="shared" si="80"/>
        <v>62.757497916666665</v>
      </c>
      <c r="J63" s="377">
        <f t="shared" si="80"/>
        <v>63.013694791666666</v>
      </c>
      <c r="K63" s="377">
        <f t="shared" si="80"/>
        <v>63.264767729166664</v>
      </c>
      <c r="L63" s="377">
        <f t="shared" si="80"/>
        <v>63.510819207916668</v>
      </c>
      <c r="M63" s="387">
        <f t="shared" si="80"/>
        <v>63.751949657091671</v>
      </c>
      <c r="N63" s="387">
        <f t="shared" ref="N63:O63" si="81">N61+N62</f>
        <v>63.988257497283172</v>
      </c>
      <c r="O63" s="387">
        <f t="shared" si="81"/>
        <v>64.219839180670846</v>
      </c>
    </row>
    <row r="64" spans="1:15">
      <c r="A64" s="85"/>
      <c r="B64" s="258" t="s">
        <v>422</v>
      </c>
      <c r="C64" s="724" t="s">
        <v>837</v>
      </c>
      <c r="D64" s="259"/>
      <c r="E64" s="377"/>
      <c r="F64" s="377">
        <f>F23*Additives!$L$15+F24*Additives!$L$16+F25*Additives!$L$17+F26*Additives!$L$18</f>
        <v>79.238499999999988</v>
      </c>
      <c r="G64" s="377">
        <f>G23*Additives!$L$15+G24*Additives!$L$16+G25*Additives!$L$17+G26*Additives!$L$18</f>
        <v>79.238499999999988</v>
      </c>
      <c r="H64" s="377">
        <f>H23*Additives!$L$15+H24*Additives!$L$16+H25*Additives!$L$17+H26*Additives!$L$18</f>
        <v>79.238499999999988</v>
      </c>
      <c r="I64" s="377">
        <f>I23*Additives!$L$15+I24*Additives!$L$16+I25*Additives!$L$17+I26*Additives!$L$18</f>
        <v>79.238499999999988</v>
      </c>
      <c r="J64" s="377">
        <f>J23*Additives!$L$15+J24*Additives!$L$16+J25*Additives!$L$17+J26*Additives!$L$18</f>
        <v>79.238499999999988</v>
      </c>
      <c r="K64" s="377">
        <f>K23*Additives!$L$15+K24*Additives!$L$16+K25*Additives!$L$17+K26*Additives!$L$18</f>
        <v>79.238499999999988</v>
      </c>
      <c r="L64" s="377">
        <f>L23*Additives!$L$15+L24*Additives!$L$16+L25*Additives!$L$17+L26*Additives!$L$18</f>
        <v>79.238499999999988</v>
      </c>
      <c r="M64" s="377">
        <f>M23*Additives!$L$15+M24*Additives!$L$16+M25*Additives!$L$17+M26*Additives!$L$18</f>
        <v>79.238499999999988</v>
      </c>
      <c r="N64" s="377">
        <f>N23*Additives!$L$15+N24*Additives!$L$16+N25*Additives!$L$17+N26*Additives!$L$18</f>
        <v>79.238499999999988</v>
      </c>
      <c r="O64" s="377">
        <f>O23*Additives!$L$15+O24*Additives!$L$16+O25*Additives!$L$17+O26*Additives!$L$18</f>
        <v>79.238499999999988</v>
      </c>
    </row>
    <row r="65" spans="1:15">
      <c r="A65" s="85"/>
      <c r="B65" s="258" t="s">
        <v>141</v>
      </c>
      <c r="C65" s="724" t="s">
        <v>843</v>
      </c>
      <c r="D65" s="259"/>
      <c r="E65" s="377">
        <f>E64/220</f>
        <v>0</v>
      </c>
      <c r="F65" s="377">
        <f t="shared" ref="F65:M65" si="82">F64/220</f>
        <v>0.36017499999999997</v>
      </c>
      <c r="G65" s="377">
        <f t="shared" si="82"/>
        <v>0.36017499999999997</v>
      </c>
      <c r="H65" s="377">
        <f t="shared" si="82"/>
        <v>0.36017499999999997</v>
      </c>
      <c r="I65" s="377">
        <f t="shared" si="82"/>
        <v>0.36017499999999997</v>
      </c>
      <c r="J65" s="377">
        <f t="shared" si="82"/>
        <v>0.36017499999999997</v>
      </c>
      <c r="K65" s="377">
        <f t="shared" si="82"/>
        <v>0.36017499999999997</v>
      </c>
      <c r="L65" s="377">
        <f t="shared" si="82"/>
        <v>0.36017499999999997</v>
      </c>
      <c r="M65" s="377">
        <f t="shared" si="82"/>
        <v>0.36017499999999997</v>
      </c>
      <c r="N65" s="377">
        <f t="shared" ref="N65:O65" si="83">N64/220</f>
        <v>0.36017499999999997</v>
      </c>
      <c r="O65" s="377">
        <f t="shared" si="83"/>
        <v>0.36017499999999997</v>
      </c>
    </row>
    <row r="66" spans="1:15">
      <c r="A66" s="85"/>
      <c r="B66" s="258" t="s">
        <v>93</v>
      </c>
      <c r="C66" s="724" t="s">
        <v>838</v>
      </c>
      <c r="D66" s="386">
        <f>0.05*220</f>
        <v>11</v>
      </c>
      <c r="E66" s="377">
        <f t="shared" ref="E66:M66" si="84">D66*1.03</f>
        <v>11.33</v>
      </c>
      <c r="F66" s="377">
        <f t="shared" si="84"/>
        <v>11.6699</v>
      </c>
      <c r="G66" s="377">
        <f t="shared" si="84"/>
        <v>12.019997</v>
      </c>
      <c r="H66" s="377">
        <f t="shared" si="84"/>
        <v>12.38059691</v>
      </c>
      <c r="I66" s="377">
        <f t="shared" si="84"/>
        <v>12.752014817299999</v>
      </c>
      <c r="J66" s="377">
        <f t="shared" si="84"/>
        <v>13.134575261819</v>
      </c>
      <c r="K66" s="377">
        <f t="shared" si="84"/>
        <v>13.528612519673571</v>
      </c>
      <c r="L66" s="377">
        <f t="shared" si="84"/>
        <v>13.934470895263779</v>
      </c>
      <c r="M66" s="387">
        <f t="shared" si="84"/>
        <v>14.352505022121692</v>
      </c>
      <c r="N66" s="387">
        <f t="shared" ref="N66:N67" si="85">M66*1.03</f>
        <v>14.783080172785343</v>
      </c>
      <c r="O66" s="387">
        <f t="shared" ref="O66:O67" si="86">N66*1.03</f>
        <v>15.226572577968904</v>
      </c>
    </row>
    <row r="67" spans="1:15" ht="26.25">
      <c r="A67" s="85"/>
      <c r="B67" s="258" t="s">
        <v>172</v>
      </c>
      <c r="C67" s="724" t="s">
        <v>844</v>
      </c>
      <c r="D67" s="362">
        <v>1.25</v>
      </c>
      <c r="E67" s="362">
        <v>1.25</v>
      </c>
      <c r="F67" s="364">
        <f t="shared" ref="F67:M67" si="87">E67*1.03</f>
        <v>1.2875000000000001</v>
      </c>
      <c r="G67" s="364">
        <f t="shared" si="87"/>
        <v>1.3261250000000002</v>
      </c>
      <c r="H67" s="364">
        <f t="shared" si="87"/>
        <v>1.3659087500000002</v>
      </c>
      <c r="I67" s="364">
        <f t="shared" si="87"/>
        <v>1.4068860125000002</v>
      </c>
      <c r="J67" s="364">
        <f t="shared" si="87"/>
        <v>1.4490925928750003</v>
      </c>
      <c r="K67" s="364">
        <f t="shared" si="87"/>
        <v>1.4925653706612503</v>
      </c>
      <c r="L67" s="364">
        <f t="shared" si="87"/>
        <v>1.5373423317810879</v>
      </c>
      <c r="M67" s="365">
        <f t="shared" si="87"/>
        <v>1.5834626017345206</v>
      </c>
      <c r="N67" s="365">
        <f t="shared" si="85"/>
        <v>1.6309664797865562</v>
      </c>
      <c r="O67" s="365">
        <f t="shared" si="86"/>
        <v>1.6798954741801528</v>
      </c>
    </row>
    <row r="68" spans="1:15" ht="15.75" thickBot="1">
      <c r="A68" s="85"/>
      <c r="B68" s="261" t="s">
        <v>379</v>
      </c>
      <c r="C68" s="725" t="s">
        <v>839</v>
      </c>
      <c r="D68" s="262">
        <f t="shared" ref="D68:M68" si="88">D7</f>
        <v>0.05</v>
      </c>
      <c r="E68" s="262">
        <f t="shared" si="88"/>
        <v>0.05</v>
      </c>
      <c r="F68" s="262">
        <f t="shared" si="88"/>
        <v>0.2</v>
      </c>
      <c r="G68" s="262">
        <f t="shared" si="88"/>
        <v>0.2</v>
      </c>
      <c r="H68" s="262">
        <f t="shared" si="88"/>
        <v>0.15</v>
      </c>
      <c r="I68" s="262">
        <f t="shared" si="88"/>
        <v>0.1</v>
      </c>
      <c r="J68" s="262">
        <f t="shared" si="88"/>
        <v>0.1</v>
      </c>
      <c r="K68" s="262">
        <f t="shared" si="88"/>
        <v>0.1</v>
      </c>
      <c r="L68" s="262">
        <f t="shared" si="88"/>
        <v>0.1</v>
      </c>
      <c r="M68" s="263">
        <f t="shared" si="88"/>
        <v>0.1</v>
      </c>
      <c r="N68" s="263">
        <f t="shared" ref="N68:O68" si="89">N7</f>
        <v>0.1</v>
      </c>
      <c r="O68" s="263">
        <f t="shared" si="89"/>
        <v>0.1</v>
      </c>
    </row>
    <row r="69" spans="1:15" ht="15.75" thickBot="1">
      <c r="A69" s="82"/>
      <c r="B69" s="264"/>
      <c r="C69" s="264"/>
      <c r="D69" s="276"/>
      <c r="E69" s="276"/>
      <c r="F69" s="135"/>
      <c r="G69" s="135"/>
      <c r="H69" s="135"/>
      <c r="I69" s="135"/>
      <c r="J69" s="135"/>
      <c r="K69" s="135"/>
      <c r="L69" s="135"/>
      <c r="M69" s="135"/>
      <c r="N69" s="135"/>
    </row>
    <row r="70" spans="1:15">
      <c r="A70" s="82"/>
      <c r="B70" s="433" t="s">
        <v>171</v>
      </c>
      <c r="C70" s="736" t="s">
        <v>845</v>
      </c>
      <c r="D70" s="437"/>
      <c r="E70" s="135"/>
      <c r="F70" s="497"/>
      <c r="G70" s="135"/>
      <c r="H70" s="277"/>
      <c r="I70" s="135"/>
      <c r="J70" s="135"/>
      <c r="K70" s="135"/>
      <c r="L70" s="135"/>
      <c r="M70" s="135"/>
      <c r="N70" s="135"/>
    </row>
    <row r="71" spans="1:15">
      <c r="A71" s="82"/>
      <c r="B71" s="378" t="s">
        <v>146</v>
      </c>
      <c r="C71" s="737" t="s">
        <v>858</v>
      </c>
      <c r="D71" s="380">
        <v>35</v>
      </c>
      <c r="E71" s="135"/>
      <c r="F71" s="135"/>
      <c r="G71" s="135"/>
      <c r="H71" s="135"/>
      <c r="I71" s="135"/>
      <c r="J71" s="135"/>
      <c r="K71" s="135"/>
      <c r="L71" s="135"/>
      <c r="M71" s="135"/>
      <c r="N71" s="135"/>
    </row>
    <row r="72" spans="1:15">
      <c r="A72" s="82"/>
      <c r="B72" s="378" t="s">
        <v>198</v>
      </c>
      <c r="C72" s="737" t="s">
        <v>846</v>
      </c>
      <c r="D72" s="381">
        <f>5000*3.785</f>
        <v>18925</v>
      </c>
      <c r="E72" s="135"/>
      <c r="F72" s="135"/>
      <c r="G72" s="135"/>
      <c r="H72" s="135"/>
      <c r="I72" s="135"/>
      <c r="J72" s="135"/>
      <c r="K72" s="135"/>
      <c r="L72" s="135"/>
      <c r="M72" s="135"/>
      <c r="N72" s="135"/>
    </row>
    <row r="73" spans="1:15">
      <c r="A73" s="82"/>
      <c r="B73" s="378" t="s">
        <v>420</v>
      </c>
      <c r="C73" s="737" t="s">
        <v>847</v>
      </c>
      <c r="D73" s="381">
        <f>80*220</f>
        <v>17600</v>
      </c>
      <c r="E73" s="135"/>
      <c r="F73" s="135"/>
      <c r="G73" s="135"/>
      <c r="H73" s="135"/>
      <c r="I73" s="135"/>
      <c r="J73" s="135"/>
      <c r="K73" s="135"/>
      <c r="L73" s="135"/>
      <c r="M73" s="135"/>
      <c r="N73" s="135"/>
    </row>
    <row r="74" spans="1:15">
      <c r="A74" s="82"/>
      <c r="B74" s="378" t="s">
        <v>199</v>
      </c>
      <c r="C74" s="737" t="s">
        <v>848</v>
      </c>
      <c r="D74" s="380">
        <v>3000</v>
      </c>
      <c r="E74" s="135"/>
      <c r="F74" s="135"/>
      <c r="G74" s="135"/>
      <c r="H74" s="135"/>
      <c r="I74" s="135"/>
      <c r="J74" s="135"/>
      <c r="K74" s="135"/>
      <c r="L74" s="135"/>
      <c r="M74" s="135"/>
      <c r="N74" s="135"/>
    </row>
    <row r="75" spans="1:15">
      <c r="A75" s="82"/>
      <c r="B75" s="378" t="s">
        <v>200</v>
      </c>
      <c r="C75" s="737" t="s">
        <v>849</v>
      </c>
      <c r="D75" s="380">
        <f>25000*0.19</f>
        <v>4750</v>
      </c>
      <c r="E75" s="135"/>
      <c r="F75" s="135"/>
      <c r="G75" s="135"/>
      <c r="H75" s="135"/>
      <c r="I75" s="135"/>
      <c r="J75" s="135"/>
      <c r="K75" s="135"/>
      <c r="L75" s="135"/>
      <c r="M75" s="135"/>
      <c r="N75" s="135"/>
    </row>
    <row r="76" spans="1:15" ht="25.5">
      <c r="A76" s="82"/>
      <c r="B76" s="378" t="s">
        <v>201</v>
      </c>
      <c r="C76" s="737" t="s">
        <v>850</v>
      </c>
      <c r="D76" s="382">
        <f>100*3.785*680</f>
        <v>257380</v>
      </c>
      <c r="E76" s="135"/>
      <c r="F76" s="135"/>
      <c r="G76" s="135"/>
      <c r="H76" s="135"/>
      <c r="I76" s="135"/>
      <c r="J76" s="135"/>
      <c r="K76" s="135"/>
      <c r="L76" s="135"/>
      <c r="M76" s="135"/>
      <c r="N76" s="135"/>
    </row>
    <row r="77" spans="1:15">
      <c r="A77" s="82"/>
      <c r="B77" s="378" t="s">
        <v>202</v>
      </c>
      <c r="C77" s="737" t="s">
        <v>851</v>
      </c>
      <c r="D77" s="383">
        <v>3.7850000000000001</v>
      </c>
      <c r="E77" s="135"/>
      <c r="F77" s="135"/>
      <c r="G77" s="135"/>
      <c r="H77" s="135"/>
      <c r="I77" s="135"/>
      <c r="J77" s="135"/>
      <c r="K77" s="135"/>
      <c r="L77" s="135"/>
      <c r="M77" s="135"/>
      <c r="N77" s="135"/>
    </row>
    <row r="78" spans="1:15">
      <c r="A78" s="82"/>
      <c r="B78" s="378" t="s">
        <v>203</v>
      </c>
      <c r="C78" s="737" t="s">
        <v>852</v>
      </c>
      <c r="D78" s="384">
        <v>0.02</v>
      </c>
      <c r="E78" s="135"/>
      <c r="F78" s="135"/>
      <c r="G78" s="135"/>
      <c r="H78" s="135"/>
      <c r="I78" s="135"/>
      <c r="J78" s="135"/>
      <c r="K78" s="135"/>
      <c r="L78" s="135"/>
      <c r="M78" s="135"/>
      <c r="N78" s="135"/>
    </row>
    <row r="79" spans="1:15" ht="25.5">
      <c r="A79" s="82"/>
      <c r="B79" s="378" t="s">
        <v>204</v>
      </c>
      <c r="C79" s="737" t="s">
        <v>859</v>
      </c>
      <c r="D79" s="384">
        <v>0.01</v>
      </c>
      <c r="E79" s="135"/>
      <c r="F79" s="135"/>
      <c r="G79" s="135"/>
      <c r="H79" s="135"/>
      <c r="I79" s="135"/>
      <c r="J79" s="135"/>
      <c r="K79" s="135"/>
      <c r="L79" s="135"/>
      <c r="M79" s="135"/>
      <c r="N79" s="135"/>
    </row>
    <row r="80" spans="1:15">
      <c r="A80" s="82"/>
      <c r="B80" s="378" t="s">
        <v>523</v>
      </c>
      <c r="C80" s="737" t="s">
        <v>853</v>
      </c>
      <c r="D80" s="385">
        <v>0</v>
      </c>
      <c r="E80" s="135"/>
      <c r="F80" s="135"/>
      <c r="G80" s="135"/>
      <c r="H80" s="135"/>
      <c r="I80" s="135"/>
      <c r="J80" s="135"/>
      <c r="K80" s="135"/>
      <c r="L80" s="135"/>
      <c r="M80" s="135"/>
      <c r="N80" s="135"/>
    </row>
    <row r="81" spans="1:14">
      <c r="A81" s="82"/>
      <c r="B81" s="378" t="s">
        <v>524</v>
      </c>
      <c r="C81" s="737" t="s">
        <v>854</v>
      </c>
      <c r="D81" s="385">
        <v>0.05</v>
      </c>
      <c r="E81" s="135"/>
      <c r="F81" s="135"/>
      <c r="G81" s="135"/>
      <c r="H81" s="135"/>
      <c r="I81" s="135"/>
      <c r="J81" s="135"/>
      <c r="K81" s="135"/>
      <c r="L81" s="135"/>
      <c r="M81" s="135"/>
      <c r="N81" s="135"/>
    </row>
    <row r="82" spans="1:14">
      <c r="A82" s="82"/>
      <c r="B82" s="378" t="s">
        <v>522</v>
      </c>
      <c r="C82" s="737" t="s">
        <v>855</v>
      </c>
      <c r="D82" s="385">
        <v>0</v>
      </c>
      <c r="E82" s="135"/>
      <c r="F82" s="135"/>
      <c r="G82" s="135"/>
      <c r="H82" s="135"/>
      <c r="I82" s="135"/>
      <c r="J82" s="135"/>
      <c r="K82" s="135"/>
      <c r="L82" s="135"/>
      <c r="M82" s="135"/>
      <c r="N82" s="135"/>
    </row>
    <row r="83" spans="1:14">
      <c r="A83" s="82"/>
      <c r="B83" s="378" t="s">
        <v>155</v>
      </c>
      <c r="C83" s="737" t="s">
        <v>856</v>
      </c>
      <c r="D83" s="385">
        <v>0.75</v>
      </c>
      <c r="E83" s="135"/>
      <c r="F83" s="135"/>
      <c r="G83" s="135"/>
      <c r="H83" s="135"/>
      <c r="I83" s="135"/>
      <c r="J83" s="135"/>
      <c r="K83" s="135"/>
      <c r="L83" s="135"/>
      <c r="M83" s="135"/>
      <c r="N83" s="135"/>
    </row>
    <row r="84" spans="1:14">
      <c r="A84" s="82"/>
      <c r="B84" s="378" t="s">
        <v>156</v>
      </c>
      <c r="C84" s="737" t="s">
        <v>857</v>
      </c>
      <c r="D84" s="611">
        <v>5</v>
      </c>
      <c r="E84" s="135"/>
      <c r="F84" s="135"/>
      <c r="G84" s="135"/>
      <c r="H84" s="135"/>
      <c r="I84" s="135"/>
      <c r="J84" s="135"/>
      <c r="K84" s="135"/>
      <c r="L84" s="135"/>
      <c r="M84" s="135"/>
      <c r="N84" s="135"/>
    </row>
    <row r="85" spans="1:14">
      <c r="A85" s="82"/>
      <c r="B85" s="378" t="s">
        <v>574</v>
      </c>
      <c r="C85" s="737" t="s">
        <v>860</v>
      </c>
      <c r="D85" s="634">
        <v>0.9</v>
      </c>
      <c r="E85" s="134"/>
      <c r="F85" s="134"/>
      <c r="G85" s="134"/>
      <c r="H85" s="134"/>
      <c r="I85" s="134"/>
      <c r="J85" s="134"/>
      <c r="K85" s="134"/>
      <c r="L85" s="134"/>
      <c r="M85" s="134"/>
      <c r="N85" s="134"/>
    </row>
    <row r="86" spans="1:14" ht="26.25" thickBot="1">
      <c r="B86" s="379" t="s">
        <v>607</v>
      </c>
      <c r="C86" s="738" t="s">
        <v>861</v>
      </c>
      <c r="D86" s="612">
        <v>14</v>
      </c>
      <c r="E86" s="133"/>
      <c r="F86" s="133"/>
      <c r="G86" s="133"/>
      <c r="H86" s="133"/>
      <c r="I86" s="133"/>
      <c r="J86" s="133"/>
      <c r="K86" s="133"/>
      <c r="L86" s="133"/>
      <c r="M86" s="133"/>
      <c r="N86" s="133"/>
    </row>
  </sheetData>
  <phoneticPr fontId="31" type="noConversion"/>
  <printOptions horizontalCentered="1"/>
  <pageMargins left="0.2" right="0.2" top="0.39000000000000007" bottom="0.2" header="0.30000000000000004" footer="0.30000000000000004"/>
  <pageSetup scale="80" orientation="landscape" r:id="rId1"/>
  <legacyDrawing r:id="rId2"/>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C2:P21"/>
  <sheetViews>
    <sheetView topLeftCell="D1" zoomScale="120" zoomScaleNormal="120" zoomScalePageLayoutView="120" workbookViewId="0">
      <selection activeCell="P17" sqref="P17"/>
    </sheetView>
  </sheetViews>
  <sheetFormatPr defaultColWidth="8.85546875" defaultRowHeight="15"/>
  <cols>
    <col min="3" max="3" width="15.42578125" customWidth="1"/>
    <col min="4" max="4" width="16" customWidth="1"/>
    <col min="5" max="5" width="15.42578125" customWidth="1"/>
    <col min="6" max="6" width="20.85546875" customWidth="1"/>
    <col min="7" max="7" width="19.42578125" customWidth="1"/>
    <col min="9" max="9" width="14.7109375" customWidth="1"/>
    <col min="10" max="10" width="13.7109375" bestFit="1" customWidth="1"/>
    <col min="11" max="11" width="15.85546875" customWidth="1"/>
    <col min="12" max="12" width="14.140625" bestFit="1" customWidth="1"/>
    <col min="14" max="14" width="14.85546875" bestFit="1" customWidth="1"/>
  </cols>
  <sheetData>
    <row r="2" spans="3:16">
      <c r="I2" s="96">
        <v>0.16500000000000001</v>
      </c>
    </row>
    <row r="3" spans="3:16">
      <c r="G3" t="s">
        <v>135</v>
      </c>
      <c r="H3">
        <f>208*0.9</f>
        <v>187.20000000000002</v>
      </c>
      <c r="I3">
        <f>H3*I2</f>
        <v>30.888000000000005</v>
      </c>
    </row>
    <row r="4" spans="3:16">
      <c r="C4" s="90" t="s">
        <v>134</v>
      </c>
      <c r="G4" t="s">
        <v>133</v>
      </c>
      <c r="H4">
        <f>H3/55</f>
        <v>3.4036363636363638</v>
      </c>
      <c r="I4">
        <f>I3/H4</f>
        <v>9.0750000000000011</v>
      </c>
    </row>
    <row r="5" spans="3:16">
      <c r="C5" s="90"/>
    </row>
    <row r="6" spans="3:16">
      <c r="C6" s="90" t="s">
        <v>132</v>
      </c>
    </row>
    <row r="7" spans="3:16" ht="15.75" thickBot="1">
      <c r="C7" s="90"/>
      <c r="I7" t="s">
        <v>142</v>
      </c>
      <c r="O7" s="80">
        <v>0.25</v>
      </c>
      <c r="P7" s="8" t="s">
        <v>143</v>
      </c>
    </row>
    <row r="8" spans="3:16" ht="15.75" thickBot="1">
      <c r="C8" s="95" t="s">
        <v>131</v>
      </c>
      <c r="D8" s="94" t="s">
        <v>130</v>
      </c>
      <c r="E8" s="94" t="s">
        <v>129</v>
      </c>
      <c r="F8" s="94" t="s">
        <v>128</v>
      </c>
      <c r="G8" s="94" t="s">
        <v>127</v>
      </c>
      <c r="I8" s="93" t="s">
        <v>126</v>
      </c>
    </row>
    <row r="9" spans="3:16" ht="15.75" thickBot="1">
      <c r="C9" s="92" t="s">
        <v>124</v>
      </c>
      <c r="D9" s="91" t="s">
        <v>123</v>
      </c>
      <c r="E9" s="91">
        <v>40007</v>
      </c>
      <c r="F9" s="91" t="s">
        <v>122</v>
      </c>
      <c r="G9" s="91" t="s">
        <v>121</v>
      </c>
      <c r="I9" s="6">
        <f>(0.165*30/4)*(1-O7)</f>
        <v>0.92812500000000009</v>
      </c>
    </row>
    <row r="10" spans="3:16" ht="15.75" thickBot="1">
      <c r="C10" s="92" t="s">
        <v>120</v>
      </c>
      <c r="D10" s="91" t="s">
        <v>119</v>
      </c>
      <c r="E10" s="91" t="s">
        <v>118</v>
      </c>
      <c r="F10" s="91" t="s">
        <v>117</v>
      </c>
      <c r="G10" s="91" t="s">
        <v>116</v>
      </c>
      <c r="I10" s="6">
        <f>(0.0862*18.5/4)*(1-O7)</f>
        <v>0.29900625000000003</v>
      </c>
    </row>
    <row r="11" spans="3:16" ht="15.75" thickBot="1">
      <c r="C11" s="92" t="s">
        <v>115</v>
      </c>
      <c r="D11" s="91" t="s">
        <v>114</v>
      </c>
      <c r="E11" s="91">
        <v>5703</v>
      </c>
      <c r="F11" s="91" t="s">
        <v>113</v>
      </c>
      <c r="G11" s="91" t="s">
        <v>112</v>
      </c>
      <c r="I11" s="6">
        <f>(0.0085*36/4)*(1-O7)</f>
        <v>5.7375000000000009E-2</v>
      </c>
    </row>
    <row r="12" spans="3:16" ht="15.75" thickBot="1">
      <c r="C12" s="92" t="s">
        <v>111</v>
      </c>
      <c r="D12" s="91" t="s">
        <v>110</v>
      </c>
      <c r="E12" s="91" t="s">
        <v>109</v>
      </c>
      <c r="F12" s="91" t="s">
        <v>108</v>
      </c>
      <c r="G12" s="91" t="s">
        <v>107</v>
      </c>
      <c r="I12" s="6">
        <f>(0.04*29/4)*(1-O7)</f>
        <v>0.21749999999999997</v>
      </c>
    </row>
    <row r="13" spans="3:16" ht="15.75" thickBot="1">
      <c r="C13" s="90"/>
      <c r="K13" s="93" t="s">
        <v>125</v>
      </c>
      <c r="L13" s="546" t="s">
        <v>277</v>
      </c>
    </row>
    <row r="14" spans="3:16" ht="15.75" thickBot="1">
      <c r="C14" s="87" t="s">
        <v>106</v>
      </c>
      <c r="J14" s="93" t="s">
        <v>278</v>
      </c>
      <c r="K14" s="93" t="s">
        <v>279</v>
      </c>
      <c r="L14" s="545" t="s">
        <v>518</v>
      </c>
      <c r="M14" s="95" t="s">
        <v>131</v>
      </c>
      <c r="N14" s="95" t="s">
        <v>392</v>
      </c>
    </row>
    <row r="15" spans="3:16" ht="15.75" thickBot="1">
      <c r="C15" s="87" t="s">
        <v>105</v>
      </c>
      <c r="J15" s="533">
        <f>(I9*55*4)</f>
        <v>204.18750000000003</v>
      </c>
      <c r="K15" s="533">
        <f>'Oscar Additives'!F11</f>
        <v>91.08510226340519</v>
      </c>
      <c r="L15" s="547">
        <f>2.522*55</f>
        <v>138.70999999999998</v>
      </c>
      <c r="M15" s="92" t="s">
        <v>124</v>
      </c>
      <c r="N15" s="549">
        <f>L15/55</f>
        <v>2.5219999999999998</v>
      </c>
    </row>
    <row r="16" spans="3:16" ht="15.75" thickBot="1">
      <c r="C16" s="87" t="s">
        <v>104</v>
      </c>
      <c r="J16" s="533">
        <f>I10*55*4</f>
        <v>65.781375000000011</v>
      </c>
      <c r="K16" s="533">
        <f>'Oscar Additives'!F22</f>
        <v>72.481712231005716</v>
      </c>
      <c r="L16" s="547">
        <f>1.24*55</f>
        <v>68.2</v>
      </c>
      <c r="M16" s="92" t="s">
        <v>120</v>
      </c>
      <c r="N16" s="549">
        <f t="shared" ref="N16:N18" si="0">L16/55</f>
        <v>1.24</v>
      </c>
    </row>
    <row r="17" spans="3:14" ht="15.75" thickBot="1">
      <c r="C17" s="87" t="s">
        <v>103</v>
      </c>
      <c r="J17" s="533">
        <f>I11*55*4</f>
        <v>12.622500000000002</v>
      </c>
      <c r="K17" s="533">
        <f>'Oscar Additives'!F33</f>
        <v>25.133469385887867</v>
      </c>
      <c r="L17" s="547">
        <f>0.199*55</f>
        <v>10.945</v>
      </c>
      <c r="M17" s="92" t="s">
        <v>115</v>
      </c>
      <c r="N17" s="549">
        <f t="shared" si="0"/>
        <v>0.19900000000000001</v>
      </c>
    </row>
    <row r="18" spans="3:14" ht="15.75" thickBot="1">
      <c r="C18" s="89"/>
      <c r="J18" s="533">
        <f>I12*55*4</f>
        <v>47.849999999999994</v>
      </c>
      <c r="K18" s="533">
        <f>'Oscar Additives'!F44</f>
        <v>50.583816608110098</v>
      </c>
      <c r="L18" s="548">
        <f>1.151*55</f>
        <v>63.305</v>
      </c>
      <c r="M18" s="92" t="s">
        <v>111</v>
      </c>
      <c r="N18" s="549">
        <f t="shared" si="0"/>
        <v>1.151</v>
      </c>
    </row>
    <row r="19" spans="3:14">
      <c r="C19" s="89" t="s">
        <v>102</v>
      </c>
    </row>
    <row r="20" spans="3:14">
      <c r="C20" s="88" t="s">
        <v>101</v>
      </c>
    </row>
    <row r="21" spans="3:14">
      <c r="C21" s="87" t="s">
        <v>100</v>
      </c>
    </row>
  </sheetData>
  <hyperlinks>
    <hyperlink ref="C20" r:id="rId1" display="https://www.mylubrizol.com/" xr:uid="{00000000-0004-0000-1400-000000000000}"/>
  </hyperlinks>
  <pageMargins left="0.7" right="0.7" top="0.75" bottom="0.75" header="0.3" footer="0.3"/>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AC84"/>
  <sheetViews>
    <sheetView topLeftCell="A13" workbookViewId="0">
      <selection activeCell="H35" sqref="H35"/>
    </sheetView>
  </sheetViews>
  <sheetFormatPr defaultColWidth="8.85546875" defaultRowHeight="15"/>
  <cols>
    <col min="2" max="2" width="41.140625" bestFit="1" customWidth="1"/>
    <col min="3" max="14" width="13.5703125" style="7" customWidth="1"/>
    <col min="15" max="16" width="13.42578125" style="7" customWidth="1"/>
    <col min="17" max="20" width="10.42578125" style="7" bestFit="1" customWidth="1"/>
    <col min="21" max="28" width="8.85546875" style="7"/>
  </cols>
  <sheetData>
    <row r="3" spans="2:29">
      <c r="C3" s="764">
        <v>2017</v>
      </c>
      <c r="D3" s="765"/>
      <c r="E3" s="765"/>
      <c r="F3" s="765"/>
      <c r="G3" s="765"/>
      <c r="H3" s="765"/>
      <c r="I3" s="765"/>
      <c r="J3" s="765"/>
      <c r="K3" s="765"/>
      <c r="L3" s="765"/>
      <c r="M3" s="765"/>
      <c r="N3" s="766"/>
      <c r="O3" s="103"/>
      <c r="P3"/>
    </row>
    <row r="4" spans="2:29">
      <c r="C4" s="104" t="s">
        <v>174</v>
      </c>
      <c r="D4" s="105" t="s">
        <v>175</v>
      </c>
      <c r="E4" s="105" t="s">
        <v>176</v>
      </c>
      <c r="F4" s="105" t="s">
        <v>177</v>
      </c>
      <c r="G4" s="105" t="s">
        <v>178</v>
      </c>
      <c r="H4" s="105" t="s">
        <v>179</v>
      </c>
      <c r="I4" s="105" t="s">
        <v>180</v>
      </c>
      <c r="J4" s="105" t="s">
        <v>181</v>
      </c>
      <c r="K4" s="105" t="s">
        <v>182</v>
      </c>
      <c r="L4" s="105" t="s">
        <v>183</v>
      </c>
      <c r="M4" s="105" t="s">
        <v>184</v>
      </c>
      <c r="N4" s="106" t="s">
        <v>185</v>
      </c>
      <c r="O4" s="105" t="s">
        <v>192</v>
      </c>
      <c r="P4"/>
      <c r="AC4" s="102"/>
    </row>
    <row r="5" spans="2:29">
      <c r="B5" t="s">
        <v>186</v>
      </c>
      <c r="C5" s="7">
        <v>2</v>
      </c>
      <c r="D5" s="7">
        <v>2.5</v>
      </c>
      <c r="E5" s="7">
        <v>2</v>
      </c>
      <c r="F5" s="7">
        <v>2</v>
      </c>
      <c r="G5" s="7">
        <v>2</v>
      </c>
      <c r="H5" s="7">
        <v>3</v>
      </c>
      <c r="I5" s="7">
        <v>3</v>
      </c>
      <c r="J5" s="7">
        <v>4</v>
      </c>
      <c r="K5" s="7">
        <v>5</v>
      </c>
      <c r="L5" s="7">
        <v>6</v>
      </c>
      <c r="M5" s="7">
        <v>8</v>
      </c>
      <c r="N5" s="7">
        <v>6</v>
      </c>
      <c r="O5" s="591">
        <f>AVERAGE(C5:N5)</f>
        <v>3.7916666666666665</v>
      </c>
      <c r="P5"/>
    </row>
    <row r="6" spans="2:29">
      <c r="B6" t="s">
        <v>187</v>
      </c>
      <c r="C6" s="107">
        <f>C5*5000</f>
        <v>10000</v>
      </c>
      <c r="D6" s="107">
        <f t="shared" ref="D6:N6" si="0">D5*5000</f>
        <v>12500</v>
      </c>
      <c r="E6" s="107">
        <f t="shared" si="0"/>
        <v>10000</v>
      </c>
      <c r="F6" s="107">
        <f t="shared" si="0"/>
        <v>10000</v>
      </c>
      <c r="G6" s="107">
        <f t="shared" si="0"/>
        <v>10000</v>
      </c>
      <c r="H6" s="107">
        <f t="shared" si="0"/>
        <v>15000</v>
      </c>
      <c r="I6" s="107">
        <f t="shared" si="0"/>
        <v>15000</v>
      </c>
      <c r="J6" s="107">
        <f t="shared" si="0"/>
        <v>20000</v>
      </c>
      <c r="K6" s="577">
        <f t="shared" si="0"/>
        <v>25000</v>
      </c>
      <c r="L6" s="577">
        <f t="shared" si="0"/>
        <v>30000</v>
      </c>
      <c r="M6" s="577">
        <f t="shared" si="0"/>
        <v>40000</v>
      </c>
      <c r="N6" s="577">
        <f t="shared" si="0"/>
        <v>30000</v>
      </c>
      <c r="O6" s="107">
        <f>AVERAGE(C6:N6)</f>
        <v>18958.333333333332</v>
      </c>
      <c r="P6" s="107"/>
    </row>
    <row r="7" spans="2:29">
      <c r="B7" t="s">
        <v>188</v>
      </c>
      <c r="C7" s="577">
        <f t="shared" ref="C7:N7" si="1">C6*3.785</f>
        <v>37850</v>
      </c>
      <c r="D7" s="577">
        <f t="shared" si="1"/>
        <v>47312.5</v>
      </c>
      <c r="E7" s="577">
        <f t="shared" si="1"/>
        <v>37850</v>
      </c>
      <c r="F7" s="577">
        <f t="shared" si="1"/>
        <v>37850</v>
      </c>
      <c r="G7" s="577">
        <f t="shared" si="1"/>
        <v>37850</v>
      </c>
      <c r="H7" s="577">
        <f t="shared" si="1"/>
        <v>56775</v>
      </c>
      <c r="I7" s="577">
        <f t="shared" si="1"/>
        <v>56775</v>
      </c>
      <c r="J7" s="577">
        <f t="shared" si="1"/>
        <v>75700</v>
      </c>
      <c r="K7" s="107">
        <f t="shared" si="1"/>
        <v>94625</v>
      </c>
      <c r="L7" s="107">
        <f t="shared" si="1"/>
        <v>113550</v>
      </c>
      <c r="M7" s="107">
        <f t="shared" si="1"/>
        <v>151400</v>
      </c>
      <c r="N7" s="107">
        <f t="shared" si="1"/>
        <v>113550</v>
      </c>
      <c r="O7" s="107">
        <f>AVERAGE(C7:N7)</f>
        <v>71757.291666666672</v>
      </c>
      <c r="P7" s="107"/>
    </row>
    <row r="8" spans="2:29">
      <c r="B8" t="s">
        <v>555</v>
      </c>
      <c r="C8" s="577">
        <f>C6</f>
        <v>10000</v>
      </c>
      <c r="D8" s="577">
        <f>D6+C8</f>
        <v>22500</v>
      </c>
      <c r="E8" s="577">
        <f t="shared" ref="E8:N8" si="2">E6+D8</f>
        <v>32500</v>
      </c>
      <c r="F8" s="577">
        <f t="shared" si="2"/>
        <v>42500</v>
      </c>
      <c r="G8" s="577">
        <f t="shared" si="2"/>
        <v>52500</v>
      </c>
      <c r="H8" s="577">
        <f t="shared" si="2"/>
        <v>67500</v>
      </c>
      <c r="I8" s="577">
        <f t="shared" si="2"/>
        <v>82500</v>
      </c>
      <c r="J8" s="577">
        <f t="shared" si="2"/>
        <v>102500</v>
      </c>
      <c r="K8" s="577">
        <f t="shared" si="2"/>
        <v>127500</v>
      </c>
      <c r="L8" s="577">
        <f t="shared" si="2"/>
        <v>157500</v>
      </c>
      <c r="M8" s="577">
        <f t="shared" si="2"/>
        <v>197500</v>
      </c>
      <c r="N8" s="577">
        <f t="shared" si="2"/>
        <v>227500</v>
      </c>
      <c r="O8" s="107"/>
      <c r="P8" s="107"/>
    </row>
    <row r="10" spans="2:29">
      <c r="B10" t="s">
        <v>529</v>
      </c>
      <c r="C10" s="578">
        <v>1</v>
      </c>
      <c r="D10" s="578">
        <v>1</v>
      </c>
      <c r="E10" s="578">
        <v>1</v>
      </c>
      <c r="F10" s="578">
        <v>0.9</v>
      </c>
      <c r="G10" s="578">
        <v>0.9</v>
      </c>
      <c r="H10" s="578">
        <v>1</v>
      </c>
      <c r="I10" s="578">
        <v>0.5</v>
      </c>
      <c r="J10" s="578">
        <v>0.5</v>
      </c>
      <c r="K10" s="578">
        <v>0.5</v>
      </c>
      <c r="L10" s="578">
        <v>0.5</v>
      </c>
      <c r="M10" s="578">
        <v>0.5</v>
      </c>
      <c r="N10" s="578">
        <v>0.5</v>
      </c>
      <c r="O10" s="572"/>
    </row>
    <row r="11" spans="2:29">
      <c r="B11" t="s">
        <v>530</v>
      </c>
      <c r="C11" s="572">
        <v>0</v>
      </c>
      <c r="D11" s="572">
        <v>0</v>
      </c>
      <c r="E11" s="572">
        <v>0</v>
      </c>
      <c r="F11" s="572">
        <v>0.1</v>
      </c>
      <c r="G11" s="579">
        <v>0.1</v>
      </c>
      <c r="H11" s="579">
        <v>0</v>
      </c>
      <c r="I11" s="579">
        <v>0.5</v>
      </c>
      <c r="J11" s="579">
        <v>0.25</v>
      </c>
      <c r="K11" s="579">
        <v>0.25</v>
      </c>
      <c r="L11" s="579">
        <v>0.25</v>
      </c>
      <c r="M11" s="579">
        <v>0.25</v>
      </c>
      <c r="N11" s="579">
        <v>0.25</v>
      </c>
      <c r="O11" s="572"/>
    </row>
    <row r="12" spans="2:29">
      <c r="B12" t="s">
        <v>531</v>
      </c>
      <c r="C12" s="572">
        <f>1-C11-C10</f>
        <v>0</v>
      </c>
      <c r="D12" s="572">
        <f t="shared" ref="D12:G12" si="3">1-D11-D10</f>
        <v>0</v>
      </c>
      <c r="E12" s="572">
        <f t="shared" si="3"/>
        <v>0</v>
      </c>
      <c r="F12" s="572">
        <v>0</v>
      </c>
      <c r="G12" s="579">
        <f t="shared" si="3"/>
        <v>0</v>
      </c>
      <c r="H12" s="579">
        <f t="shared" ref="H12" si="4">1-H11-H10</f>
        <v>0</v>
      </c>
      <c r="I12" s="579">
        <f t="shared" ref="I12" si="5">1-I11-I10</f>
        <v>0</v>
      </c>
      <c r="J12" s="579">
        <f t="shared" ref="J12:N12" si="6">1-J11-J10</f>
        <v>0.25</v>
      </c>
      <c r="K12" s="579">
        <f t="shared" si="6"/>
        <v>0.25</v>
      </c>
      <c r="L12" s="579">
        <f t="shared" si="6"/>
        <v>0.25</v>
      </c>
      <c r="M12" s="579">
        <f t="shared" si="6"/>
        <v>0.25</v>
      </c>
      <c r="N12" s="579">
        <f t="shared" si="6"/>
        <v>0.25</v>
      </c>
      <c r="O12" s="572"/>
    </row>
    <row r="14" spans="2:29">
      <c r="B14" t="s">
        <v>189</v>
      </c>
      <c r="C14" s="108">
        <f>C5*$C$59</f>
        <v>6000</v>
      </c>
      <c r="D14" s="108">
        <f>D5*$C$59</f>
        <v>7500</v>
      </c>
      <c r="E14" s="108">
        <f>E5*$C$59</f>
        <v>6000</v>
      </c>
      <c r="F14" s="108">
        <f>F5*$C$59</f>
        <v>6000</v>
      </c>
      <c r="G14" s="108">
        <f t="shared" ref="G14:N14" si="7">G5*$C$59*G10</f>
        <v>5400</v>
      </c>
      <c r="H14" s="108">
        <f t="shared" si="7"/>
        <v>9000</v>
      </c>
      <c r="I14" s="108">
        <f t="shared" si="7"/>
        <v>4500</v>
      </c>
      <c r="J14" s="108">
        <f t="shared" si="7"/>
        <v>6000</v>
      </c>
      <c r="K14" s="108">
        <f t="shared" si="7"/>
        <v>7500</v>
      </c>
      <c r="L14" s="108">
        <f t="shared" si="7"/>
        <v>9000</v>
      </c>
      <c r="M14" s="108">
        <f t="shared" si="7"/>
        <v>12000</v>
      </c>
      <c r="N14" s="108">
        <f t="shared" si="7"/>
        <v>9000</v>
      </c>
      <c r="O14" s="108">
        <f>SUM(C14:N14)</f>
        <v>87900</v>
      </c>
      <c r="P14" s="108"/>
    </row>
    <row r="15" spans="2:29">
      <c r="C15" s="108"/>
      <c r="D15" s="108"/>
      <c r="E15" s="108"/>
      <c r="F15" s="108"/>
      <c r="G15" s="108"/>
      <c r="H15" s="108"/>
      <c r="I15" s="108"/>
      <c r="J15" s="576"/>
      <c r="K15" s="108"/>
      <c r="L15" s="108"/>
      <c r="M15" s="108"/>
      <c r="N15" s="108"/>
      <c r="O15" s="108"/>
      <c r="P15" s="108"/>
    </row>
    <row r="16" spans="2:29">
      <c r="B16" t="s">
        <v>545</v>
      </c>
      <c r="C16" s="108">
        <f>C6*C10*$C$64</f>
        <v>7000</v>
      </c>
      <c r="D16" s="108">
        <f t="shared" ref="D16:N16" si="8">D6*D10*$C$64</f>
        <v>8750</v>
      </c>
      <c r="E16" s="108">
        <f t="shared" si="8"/>
        <v>7000</v>
      </c>
      <c r="F16" s="108">
        <f t="shared" si="8"/>
        <v>6300</v>
      </c>
      <c r="G16" s="108">
        <f t="shared" si="8"/>
        <v>6300</v>
      </c>
      <c r="H16" s="108">
        <f t="shared" si="8"/>
        <v>10500</v>
      </c>
      <c r="I16" s="108">
        <f t="shared" si="8"/>
        <v>5250</v>
      </c>
      <c r="J16" s="108">
        <f>J6*J10*$C$64</f>
        <v>7000</v>
      </c>
      <c r="K16" s="108">
        <f t="shared" si="8"/>
        <v>8750</v>
      </c>
      <c r="L16" s="108">
        <f t="shared" si="8"/>
        <v>10500</v>
      </c>
      <c r="M16" s="108">
        <f t="shared" si="8"/>
        <v>14000</v>
      </c>
      <c r="N16" s="108">
        <f t="shared" si="8"/>
        <v>10500</v>
      </c>
      <c r="O16" s="108">
        <f>SUM(C16:N16)</f>
        <v>101850</v>
      </c>
      <c r="P16" s="108"/>
    </row>
    <row r="17" spans="2:16">
      <c r="B17" t="s">
        <v>533</v>
      </c>
      <c r="C17" s="108">
        <f t="shared" ref="C17:N17" si="9">C11*C6*$C$62</f>
        <v>0</v>
      </c>
      <c r="D17" s="108">
        <f t="shared" si="9"/>
        <v>0</v>
      </c>
      <c r="E17" s="108">
        <f t="shared" si="9"/>
        <v>0</v>
      </c>
      <c r="F17" s="108">
        <f t="shared" si="9"/>
        <v>900</v>
      </c>
      <c r="G17" s="108">
        <f t="shared" si="9"/>
        <v>900</v>
      </c>
      <c r="H17" s="108">
        <f t="shared" si="9"/>
        <v>0</v>
      </c>
      <c r="I17" s="108">
        <f t="shared" si="9"/>
        <v>6750</v>
      </c>
      <c r="J17" s="108">
        <f t="shared" si="9"/>
        <v>4500</v>
      </c>
      <c r="K17" s="108">
        <f t="shared" si="9"/>
        <v>5625</v>
      </c>
      <c r="L17" s="108">
        <f t="shared" si="9"/>
        <v>6750</v>
      </c>
      <c r="M17" s="108">
        <f t="shared" si="9"/>
        <v>9000</v>
      </c>
      <c r="N17" s="108">
        <f t="shared" si="9"/>
        <v>6750</v>
      </c>
      <c r="O17" s="108">
        <f t="shared" ref="O17:O18" si="10">SUM(C17:N17)</f>
        <v>41175</v>
      </c>
      <c r="P17" s="108"/>
    </row>
    <row r="18" spans="2:16">
      <c r="B18" s="2" t="s">
        <v>534</v>
      </c>
      <c r="C18" s="582">
        <f t="shared" ref="C18:N18" si="11">C12*C6*$C$63</f>
        <v>0</v>
      </c>
      <c r="D18" s="582">
        <f t="shared" si="11"/>
        <v>0</v>
      </c>
      <c r="E18" s="582">
        <f t="shared" si="11"/>
        <v>0</v>
      </c>
      <c r="F18" s="582">
        <f t="shared" si="11"/>
        <v>0</v>
      </c>
      <c r="G18" s="582">
        <f t="shared" si="11"/>
        <v>0</v>
      </c>
      <c r="H18" s="582">
        <f t="shared" si="11"/>
        <v>0</v>
      </c>
      <c r="I18" s="582">
        <f t="shared" si="11"/>
        <v>0</v>
      </c>
      <c r="J18" s="582">
        <f>J12*J6*$C$63</f>
        <v>4500</v>
      </c>
      <c r="K18" s="582">
        <f t="shared" si="11"/>
        <v>5625</v>
      </c>
      <c r="L18" s="582">
        <f t="shared" si="11"/>
        <v>6750</v>
      </c>
      <c r="M18" s="582">
        <f t="shared" si="11"/>
        <v>9000</v>
      </c>
      <c r="N18" s="582">
        <f t="shared" si="11"/>
        <v>6750</v>
      </c>
      <c r="O18" s="108">
        <f t="shared" si="10"/>
        <v>32625</v>
      </c>
    </row>
    <row r="19" spans="2:16">
      <c r="B19" t="s">
        <v>539</v>
      </c>
      <c r="C19" s="534">
        <f>SUM(C17:C18)</f>
        <v>0</v>
      </c>
      <c r="D19" s="534">
        <f t="shared" ref="D19:N19" si="12">SUM(D17:D18)</f>
        <v>0</v>
      </c>
      <c r="E19" s="534">
        <f t="shared" si="12"/>
        <v>0</v>
      </c>
      <c r="F19" s="534">
        <f t="shared" si="12"/>
        <v>900</v>
      </c>
      <c r="G19" s="534">
        <f t="shared" si="12"/>
        <v>900</v>
      </c>
      <c r="H19" s="534">
        <f t="shared" si="12"/>
        <v>0</v>
      </c>
      <c r="I19" s="534">
        <f t="shared" si="12"/>
        <v>6750</v>
      </c>
      <c r="J19" s="534">
        <f t="shared" si="12"/>
        <v>9000</v>
      </c>
      <c r="K19" s="534">
        <f t="shared" si="12"/>
        <v>11250</v>
      </c>
      <c r="L19" s="534">
        <f t="shared" si="12"/>
        <v>13500</v>
      </c>
      <c r="M19" s="534">
        <f t="shared" si="12"/>
        <v>18000</v>
      </c>
      <c r="N19" s="534">
        <f t="shared" si="12"/>
        <v>13500</v>
      </c>
      <c r="O19" s="534">
        <f>SUM(O16:O18)</f>
        <v>175650</v>
      </c>
    </row>
    <row r="20" spans="2:16" ht="15.75" thickBot="1">
      <c r="B20" s="1"/>
      <c r="C20" s="586"/>
      <c r="D20" s="586"/>
      <c r="E20" s="586"/>
      <c r="F20" s="586"/>
      <c r="G20" s="586"/>
      <c r="H20" s="586"/>
      <c r="I20" s="586"/>
      <c r="J20" s="586"/>
      <c r="K20" s="586"/>
      <c r="L20" s="586"/>
      <c r="M20" s="586"/>
      <c r="N20" s="586"/>
    </row>
    <row r="21" spans="2:16">
      <c r="B21" s="587" t="s">
        <v>562</v>
      </c>
      <c r="C21" s="588">
        <f>-C14+C19+C16</f>
        <v>1000</v>
      </c>
      <c r="D21" s="588">
        <f t="shared" ref="D21:N21" si="13">-D14+D19+D16</f>
        <v>1250</v>
      </c>
      <c r="E21" s="588">
        <f>-E14+E19+E16</f>
        <v>1000</v>
      </c>
      <c r="F21" s="588">
        <f t="shared" si="13"/>
        <v>1200</v>
      </c>
      <c r="G21" s="588">
        <f t="shared" si="13"/>
        <v>1800</v>
      </c>
      <c r="H21" s="588">
        <f t="shared" si="13"/>
        <v>1500</v>
      </c>
      <c r="I21" s="588">
        <f t="shared" si="13"/>
        <v>7500</v>
      </c>
      <c r="J21" s="588">
        <f t="shared" si="13"/>
        <v>10000</v>
      </c>
      <c r="K21" s="588">
        <f t="shared" si="13"/>
        <v>12500</v>
      </c>
      <c r="L21" s="588">
        <f t="shared" si="13"/>
        <v>15000</v>
      </c>
      <c r="M21" s="588">
        <f t="shared" si="13"/>
        <v>20000</v>
      </c>
      <c r="N21" s="589">
        <f t="shared" si="13"/>
        <v>15000</v>
      </c>
    </row>
    <row r="22" spans="2:16" ht="15.75" thickBot="1">
      <c r="B22" s="583" t="s">
        <v>544</v>
      </c>
      <c r="C22" s="584">
        <f>C21</f>
        <v>1000</v>
      </c>
      <c r="D22" s="584">
        <f>C22+D21</f>
        <v>2250</v>
      </c>
      <c r="E22" s="584">
        <f t="shared" ref="E22:N22" si="14">D22+E21</f>
        <v>3250</v>
      </c>
      <c r="F22" s="584">
        <f t="shared" si="14"/>
        <v>4450</v>
      </c>
      <c r="G22" s="584">
        <f t="shared" si="14"/>
        <v>6250</v>
      </c>
      <c r="H22" s="584">
        <f t="shared" si="14"/>
        <v>7750</v>
      </c>
      <c r="I22" s="584">
        <f t="shared" si="14"/>
        <v>15250</v>
      </c>
      <c r="J22" s="584">
        <f t="shared" si="14"/>
        <v>25250</v>
      </c>
      <c r="K22" s="584">
        <f t="shared" si="14"/>
        <v>37750</v>
      </c>
      <c r="L22" s="584">
        <f t="shared" si="14"/>
        <v>52750</v>
      </c>
      <c r="M22" s="584">
        <f t="shared" si="14"/>
        <v>72750</v>
      </c>
      <c r="N22" s="585">
        <f t="shared" si="14"/>
        <v>87750</v>
      </c>
    </row>
    <row r="24" spans="2:16">
      <c r="B24" t="s">
        <v>505</v>
      </c>
      <c r="C24" s="7">
        <f>C5*20</f>
        <v>40</v>
      </c>
      <c r="D24" s="7">
        <f t="shared" ref="D24:N24" si="15">C24+D5*20</f>
        <v>90</v>
      </c>
      <c r="E24" s="7">
        <f t="shared" si="15"/>
        <v>130</v>
      </c>
      <c r="F24" s="7">
        <f t="shared" si="15"/>
        <v>170</v>
      </c>
      <c r="G24" s="7">
        <f t="shared" si="15"/>
        <v>210</v>
      </c>
      <c r="H24" s="7">
        <f t="shared" si="15"/>
        <v>270</v>
      </c>
      <c r="I24" s="7">
        <f t="shared" si="15"/>
        <v>330</v>
      </c>
      <c r="J24" s="7">
        <f t="shared" si="15"/>
        <v>410</v>
      </c>
      <c r="K24" s="7">
        <f t="shared" si="15"/>
        <v>510</v>
      </c>
      <c r="L24" s="7">
        <f t="shared" si="15"/>
        <v>630</v>
      </c>
      <c r="M24" s="7">
        <f t="shared" si="15"/>
        <v>790</v>
      </c>
      <c r="N24" s="7">
        <f t="shared" si="15"/>
        <v>910</v>
      </c>
    </row>
    <row r="25" spans="2:16">
      <c r="B25" t="s">
        <v>506</v>
      </c>
      <c r="C25" s="7">
        <v>50</v>
      </c>
      <c r="D25" s="7">
        <v>120</v>
      </c>
      <c r="E25" s="7">
        <v>200</v>
      </c>
      <c r="F25" s="7">
        <v>270</v>
      </c>
      <c r="G25" s="7">
        <v>340</v>
      </c>
      <c r="H25" s="7">
        <v>465</v>
      </c>
      <c r="I25" s="7">
        <v>600</v>
      </c>
      <c r="J25" s="7">
        <v>700</v>
      </c>
      <c r="K25" s="7">
        <v>701</v>
      </c>
      <c r="L25" s="7">
        <v>702</v>
      </c>
      <c r="M25" s="7">
        <v>703</v>
      </c>
      <c r="N25" s="7">
        <v>704</v>
      </c>
    </row>
    <row r="26" spans="2:16">
      <c r="B26" t="s">
        <v>548</v>
      </c>
      <c r="C26" s="108">
        <f>C25*15</f>
        <v>750</v>
      </c>
      <c r="D26" s="108">
        <f t="shared" ref="D26:N26" si="16">D25*15</f>
        <v>1800</v>
      </c>
      <c r="E26" s="108">
        <f t="shared" si="16"/>
        <v>3000</v>
      </c>
      <c r="F26" s="108">
        <f t="shared" si="16"/>
        <v>4050</v>
      </c>
      <c r="G26" s="108">
        <f t="shared" si="16"/>
        <v>5100</v>
      </c>
      <c r="H26" s="108">
        <f t="shared" si="16"/>
        <v>6975</v>
      </c>
      <c r="I26" s="108">
        <f t="shared" si="16"/>
        <v>9000</v>
      </c>
      <c r="J26" s="108">
        <f t="shared" si="16"/>
        <v>10500</v>
      </c>
      <c r="K26" s="108">
        <f t="shared" si="16"/>
        <v>10515</v>
      </c>
      <c r="L26" s="108">
        <f t="shared" si="16"/>
        <v>10530</v>
      </c>
      <c r="M26" s="108">
        <f t="shared" si="16"/>
        <v>10545</v>
      </c>
      <c r="N26" s="108">
        <f t="shared" si="16"/>
        <v>10560</v>
      </c>
    </row>
    <row r="27" spans="2:16">
      <c r="B27" t="s">
        <v>549</v>
      </c>
      <c r="C27" s="108">
        <f>C5*300</f>
        <v>600</v>
      </c>
      <c r="D27" s="108">
        <f t="shared" ref="D27:N27" si="17">D5*300</f>
        <v>750</v>
      </c>
      <c r="E27" s="108">
        <f t="shared" si="17"/>
        <v>600</v>
      </c>
      <c r="F27" s="108">
        <f t="shared" si="17"/>
        <v>600</v>
      </c>
      <c r="G27" s="108">
        <f t="shared" si="17"/>
        <v>600</v>
      </c>
      <c r="H27" s="108">
        <f t="shared" si="17"/>
        <v>900</v>
      </c>
      <c r="I27" s="108">
        <f t="shared" si="17"/>
        <v>900</v>
      </c>
      <c r="J27" s="108">
        <f t="shared" si="17"/>
        <v>1200</v>
      </c>
      <c r="K27" s="108">
        <f t="shared" si="17"/>
        <v>1500</v>
      </c>
      <c r="L27" s="108">
        <f t="shared" si="17"/>
        <v>1800</v>
      </c>
      <c r="M27" s="108">
        <f t="shared" si="17"/>
        <v>2400</v>
      </c>
      <c r="N27" s="108">
        <f t="shared" si="17"/>
        <v>1800</v>
      </c>
    </row>
    <row r="28" spans="2:16">
      <c r="B28" t="s">
        <v>550</v>
      </c>
      <c r="C28" s="582">
        <f>C24*4*4</f>
        <v>640</v>
      </c>
      <c r="D28" s="582">
        <f t="shared" ref="D28:N28" si="18">D24*4*4</f>
        <v>1440</v>
      </c>
      <c r="E28" s="582">
        <f t="shared" si="18"/>
        <v>2080</v>
      </c>
      <c r="F28" s="582">
        <f t="shared" si="18"/>
        <v>2720</v>
      </c>
      <c r="G28" s="582">
        <f t="shared" si="18"/>
        <v>3360</v>
      </c>
      <c r="H28" s="582">
        <f t="shared" si="18"/>
        <v>4320</v>
      </c>
      <c r="I28" s="582">
        <f t="shared" si="18"/>
        <v>5280</v>
      </c>
      <c r="J28" s="582">
        <f t="shared" si="18"/>
        <v>6560</v>
      </c>
      <c r="K28" s="582">
        <f t="shared" si="18"/>
        <v>8160</v>
      </c>
      <c r="L28" s="582">
        <f t="shared" si="18"/>
        <v>10080</v>
      </c>
      <c r="M28" s="582">
        <f t="shared" si="18"/>
        <v>12640</v>
      </c>
      <c r="N28" s="582">
        <f t="shared" si="18"/>
        <v>14560</v>
      </c>
    </row>
    <row r="29" spans="2:16">
      <c r="B29" t="s">
        <v>551</v>
      </c>
      <c r="C29" s="108">
        <f>SUM(C24:C28)</f>
        <v>2080</v>
      </c>
      <c r="D29" s="108">
        <f t="shared" ref="D29:N29" si="19">SUM(D24:D28)</f>
        <v>4200</v>
      </c>
      <c r="E29" s="108">
        <f t="shared" si="19"/>
        <v>6010</v>
      </c>
      <c r="F29" s="108">
        <f t="shared" si="19"/>
        <v>7810</v>
      </c>
      <c r="G29" s="108">
        <f t="shared" si="19"/>
        <v>9610</v>
      </c>
      <c r="H29" s="108">
        <f t="shared" si="19"/>
        <v>12930</v>
      </c>
      <c r="I29" s="108">
        <f t="shared" si="19"/>
        <v>16110</v>
      </c>
      <c r="J29" s="108">
        <f t="shared" si="19"/>
        <v>19370</v>
      </c>
      <c r="K29" s="108">
        <f t="shared" si="19"/>
        <v>21386</v>
      </c>
      <c r="L29" s="108">
        <f t="shared" si="19"/>
        <v>23742</v>
      </c>
      <c r="M29" s="108">
        <f t="shared" si="19"/>
        <v>27078</v>
      </c>
      <c r="N29" s="108">
        <f t="shared" si="19"/>
        <v>28534</v>
      </c>
    </row>
    <row r="31" spans="2:16">
      <c r="C31" s="764">
        <v>2018</v>
      </c>
      <c r="D31" s="765"/>
      <c r="E31" s="765"/>
      <c r="F31" s="765"/>
      <c r="G31" s="765"/>
      <c r="H31" s="765"/>
      <c r="I31" s="765"/>
      <c r="J31" s="765"/>
      <c r="K31" s="765"/>
      <c r="L31" s="765"/>
      <c r="M31" s="765"/>
      <c r="N31" s="766"/>
    </row>
    <row r="32" spans="2:16">
      <c r="C32" s="104" t="s">
        <v>174</v>
      </c>
      <c r="D32" s="105" t="s">
        <v>175</v>
      </c>
      <c r="E32" s="105" t="s">
        <v>176</v>
      </c>
      <c r="F32" s="105" t="s">
        <v>177</v>
      </c>
      <c r="G32" s="105" t="s">
        <v>178</v>
      </c>
      <c r="H32" s="105" t="s">
        <v>179</v>
      </c>
      <c r="I32" s="105" t="s">
        <v>180</v>
      </c>
      <c r="J32" s="105" t="s">
        <v>181</v>
      </c>
      <c r="K32" s="105" t="s">
        <v>182</v>
      </c>
      <c r="L32" s="105" t="s">
        <v>183</v>
      </c>
      <c r="M32" s="105" t="s">
        <v>184</v>
      </c>
      <c r="N32" s="106" t="s">
        <v>185</v>
      </c>
    </row>
    <row r="33" spans="2:15">
      <c r="B33" t="s">
        <v>186</v>
      </c>
      <c r="C33" s="7">
        <v>10</v>
      </c>
      <c r="D33" s="7">
        <v>12</v>
      </c>
      <c r="E33" s="7">
        <v>14</v>
      </c>
      <c r="F33" s="7">
        <v>14</v>
      </c>
      <c r="G33" s="7">
        <v>14</v>
      </c>
      <c r="H33" s="7">
        <v>14</v>
      </c>
      <c r="I33" s="7">
        <v>14</v>
      </c>
      <c r="J33" s="7">
        <v>14</v>
      </c>
      <c r="K33" s="7">
        <v>14</v>
      </c>
      <c r="L33" s="7">
        <v>14</v>
      </c>
      <c r="M33" s="7">
        <v>14</v>
      </c>
      <c r="N33" s="7">
        <v>14</v>
      </c>
      <c r="O33" s="7">
        <f>AVERAGE(C33:N33)</f>
        <v>13.5</v>
      </c>
    </row>
    <row r="34" spans="2:15">
      <c r="B34" t="s">
        <v>187</v>
      </c>
      <c r="C34" s="577">
        <f>C33*5000</f>
        <v>50000</v>
      </c>
      <c r="D34" s="577">
        <f>D33*5000</f>
        <v>60000</v>
      </c>
      <c r="E34" s="577">
        <f>E33*5000</f>
        <v>70000</v>
      </c>
      <c r="F34" s="577">
        <f>F33*5000</f>
        <v>70000</v>
      </c>
      <c r="G34" s="577">
        <f t="shared" ref="G34:I34" si="20">G33*5000</f>
        <v>70000</v>
      </c>
      <c r="H34" s="577">
        <f t="shared" si="20"/>
        <v>70000</v>
      </c>
      <c r="I34" s="577">
        <f t="shared" si="20"/>
        <v>70000</v>
      </c>
    </row>
    <row r="35" spans="2:15">
      <c r="B35" t="s">
        <v>188</v>
      </c>
      <c r="C35" s="107">
        <f>C34*3.785</f>
        <v>189250</v>
      </c>
      <c r="D35" s="107">
        <f>D34*3.785</f>
        <v>227100</v>
      </c>
      <c r="E35" s="107">
        <f>E34*3.785</f>
        <v>264950</v>
      </c>
      <c r="F35" s="107">
        <f>F34*3.785</f>
        <v>264950</v>
      </c>
      <c r="G35" s="107">
        <f t="shared" ref="G35:I35" si="21">G34*3.785</f>
        <v>264950</v>
      </c>
      <c r="H35" s="107">
        <f t="shared" si="21"/>
        <v>264950</v>
      </c>
      <c r="I35" s="107">
        <f t="shared" si="21"/>
        <v>264950</v>
      </c>
    </row>
    <row r="36" spans="2:15">
      <c r="B36" t="s">
        <v>190</v>
      </c>
      <c r="C36" s="107"/>
      <c r="D36" s="107"/>
      <c r="E36" s="107"/>
      <c r="F36" s="107"/>
      <c r="G36" s="107"/>
      <c r="H36" s="107">
        <f>H35</f>
        <v>264950</v>
      </c>
      <c r="I36" s="107">
        <f t="shared" ref="I36" si="22">H36+I35</f>
        <v>529900</v>
      </c>
    </row>
    <row r="37" spans="2:15">
      <c r="B37" t="s">
        <v>540</v>
      </c>
      <c r="C37" s="575">
        <f>N8+C34</f>
        <v>277500</v>
      </c>
      <c r="D37" s="575">
        <f>C37+D34</f>
        <v>337500</v>
      </c>
      <c r="E37" s="575">
        <f t="shared" ref="E37:G37" si="23">D37+E34</f>
        <v>407500</v>
      </c>
      <c r="F37" s="575">
        <f t="shared" si="23"/>
        <v>477500</v>
      </c>
      <c r="G37" s="575">
        <f t="shared" si="23"/>
        <v>547500</v>
      </c>
      <c r="H37" s="575">
        <f>H34</f>
        <v>70000</v>
      </c>
      <c r="I37" s="575">
        <f t="shared" ref="I37" si="24">H37+I34</f>
        <v>140000</v>
      </c>
    </row>
    <row r="39" spans="2:15">
      <c r="B39" t="s">
        <v>529</v>
      </c>
      <c r="C39" s="578">
        <v>0.5</v>
      </c>
      <c r="D39" s="578">
        <v>0.5</v>
      </c>
      <c r="E39" s="578">
        <v>0.5</v>
      </c>
      <c r="F39" s="578">
        <v>0.5</v>
      </c>
      <c r="G39" s="578">
        <v>0.5</v>
      </c>
      <c r="H39" s="572">
        <v>0</v>
      </c>
      <c r="I39" s="572">
        <v>0</v>
      </c>
    </row>
    <row r="40" spans="2:15">
      <c r="B40" t="s">
        <v>530</v>
      </c>
      <c r="C40" s="579">
        <v>0.25</v>
      </c>
      <c r="D40" s="579">
        <v>0.25</v>
      </c>
      <c r="E40" s="579">
        <v>0.25</v>
      </c>
      <c r="F40" s="579">
        <v>0.25</v>
      </c>
      <c r="G40" s="579">
        <v>0.25</v>
      </c>
      <c r="H40" s="572">
        <v>0</v>
      </c>
      <c r="I40" s="572">
        <v>0</v>
      </c>
    </row>
    <row r="41" spans="2:15">
      <c r="B41" t="s">
        <v>531</v>
      </c>
      <c r="C41" s="579">
        <f t="shared" ref="C41:G41" si="25">1-C40-C39</f>
        <v>0.25</v>
      </c>
      <c r="D41" s="579">
        <f t="shared" si="25"/>
        <v>0.25</v>
      </c>
      <c r="E41" s="579">
        <f t="shared" si="25"/>
        <v>0.25</v>
      </c>
      <c r="F41" s="579">
        <f t="shared" si="25"/>
        <v>0.25</v>
      </c>
      <c r="G41" s="579">
        <f t="shared" si="25"/>
        <v>0.25</v>
      </c>
      <c r="H41" s="572">
        <v>0</v>
      </c>
      <c r="I41" s="572">
        <v>0</v>
      </c>
    </row>
    <row r="42" spans="2:15">
      <c r="B42" t="s">
        <v>542</v>
      </c>
      <c r="C42" s="580"/>
      <c r="D42" s="580"/>
      <c r="E42" s="580"/>
      <c r="F42" s="580"/>
      <c r="G42" s="580"/>
      <c r="H42" s="581">
        <v>1</v>
      </c>
      <c r="I42" s="581">
        <v>1</v>
      </c>
    </row>
    <row r="43" spans="2:15">
      <c r="C43" s="580"/>
      <c r="D43" s="580"/>
      <c r="E43" s="580"/>
      <c r="F43" s="580"/>
      <c r="G43" s="580"/>
      <c r="H43" s="580"/>
      <c r="I43" s="572"/>
    </row>
    <row r="44" spans="2:15">
      <c r="B44" t="s">
        <v>189</v>
      </c>
      <c r="C44" s="534">
        <f t="shared" ref="C44:I44" si="26">C33*$C$59*C39</f>
        <v>15000</v>
      </c>
      <c r="D44" s="534">
        <f t="shared" si="26"/>
        <v>18000</v>
      </c>
      <c r="E44" s="534">
        <f t="shared" si="26"/>
        <v>21000</v>
      </c>
      <c r="F44" s="534">
        <f t="shared" si="26"/>
        <v>21000</v>
      </c>
      <c r="G44" s="534">
        <f t="shared" si="26"/>
        <v>21000</v>
      </c>
      <c r="H44" s="534">
        <f t="shared" si="26"/>
        <v>0</v>
      </c>
      <c r="I44" s="534">
        <f t="shared" si="26"/>
        <v>0</v>
      </c>
      <c r="J44" s="534">
        <f>SUM(C44:I44)</f>
        <v>96000</v>
      </c>
    </row>
    <row r="45" spans="2:15">
      <c r="C45" s="534"/>
      <c r="D45" s="534"/>
      <c r="E45" s="534"/>
      <c r="F45" s="534"/>
      <c r="G45" s="534"/>
      <c r="H45" s="534"/>
      <c r="I45" s="534"/>
    </row>
    <row r="46" spans="2:15">
      <c r="B46" t="s">
        <v>545</v>
      </c>
      <c r="C46" s="108">
        <f>C34*C39*$C$64</f>
        <v>17500</v>
      </c>
      <c r="D46" s="108">
        <f t="shared" ref="D46:I46" si="27">D34*D39*$C$64</f>
        <v>21000</v>
      </c>
      <c r="E46" s="108">
        <f t="shared" si="27"/>
        <v>24500</v>
      </c>
      <c r="F46" s="108">
        <f t="shared" si="27"/>
        <v>24500</v>
      </c>
      <c r="G46" s="108">
        <f t="shared" si="27"/>
        <v>24500</v>
      </c>
      <c r="H46" s="108">
        <f t="shared" si="27"/>
        <v>0</v>
      </c>
      <c r="I46" s="108">
        <f t="shared" si="27"/>
        <v>0</v>
      </c>
    </row>
    <row r="47" spans="2:15">
      <c r="B47" t="s">
        <v>533</v>
      </c>
      <c r="C47" s="108">
        <f t="shared" ref="C47:I47" si="28">C34*C40*$C$62</f>
        <v>11250</v>
      </c>
      <c r="D47" s="108">
        <f t="shared" si="28"/>
        <v>13500</v>
      </c>
      <c r="E47" s="108">
        <f t="shared" si="28"/>
        <v>15750</v>
      </c>
      <c r="F47" s="108">
        <f t="shared" si="28"/>
        <v>15750</v>
      </c>
      <c r="G47" s="108">
        <f t="shared" si="28"/>
        <v>15750</v>
      </c>
      <c r="H47" s="108">
        <f t="shared" si="28"/>
        <v>0</v>
      </c>
      <c r="I47" s="108">
        <f t="shared" si="28"/>
        <v>0</v>
      </c>
    </row>
    <row r="48" spans="2:15">
      <c r="B48" s="2" t="s">
        <v>534</v>
      </c>
      <c r="C48" s="582">
        <f t="shared" ref="C48:I48" si="29">C41*$C$63*C34</f>
        <v>11250</v>
      </c>
      <c r="D48" s="582">
        <f t="shared" si="29"/>
        <v>13500</v>
      </c>
      <c r="E48" s="582">
        <f t="shared" si="29"/>
        <v>15750</v>
      </c>
      <c r="F48" s="582">
        <f t="shared" si="29"/>
        <v>15750</v>
      </c>
      <c r="G48" s="582">
        <f t="shared" si="29"/>
        <v>15750</v>
      </c>
      <c r="H48" s="582">
        <f t="shared" si="29"/>
        <v>0</v>
      </c>
      <c r="I48" s="582">
        <f t="shared" si="29"/>
        <v>0</v>
      </c>
    </row>
    <row r="49" spans="2:9">
      <c r="B49" t="s">
        <v>539</v>
      </c>
      <c r="C49" s="534">
        <f>SUM(C47:C48)</f>
        <v>22500</v>
      </c>
      <c r="D49" s="534">
        <f t="shared" ref="D49:I49" si="30">SUM(D47:D48)</f>
        <v>27000</v>
      </c>
      <c r="E49" s="534">
        <f t="shared" si="30"/>
        <v>31500</v>
      </c>
      <c r="F49" s="534">
        <f t="shared" si="30"/>
        <v>31500</v>
      </c>
      <c r="G49" s="534">
        <f t="shared" si="30"/>
        <v>31500</v>
      </c>
      <c r="H49" s="534">
        <f t="shared" si="30"/>
        <v>0</v>
      </c>
      <c r="I49" s="534">
        <f t="shared" si="30"/>
        <v>0</v>
      </c>
    </row>
    <row r="50" spans="2:9" ht="15.75" thickBot="1">
      <c r="C50" s="534"/>
      <c r="D50" s="534"/>
      <c r="E50" s="534"/>
      <c r="F50" s="534"/>
      <c r="G50" s="534"/>
      <c r="H50" s="534"/>
      <c r="I50" s="534"/>
    </row>
    <row r="51" spans="2:9">
      <c r="B51" s="587" t="s">
        <v>543</v>
      </c>
      <c r="C51" s="588">
        <f>-C44+C49+C46</f>
        <v>25000</v>
      </c>
      <c r="D51" s="588">
        <f t="shared" ref="D51:G51" si="31">-D44+D49+D46</f>
        <v>30000</v>
      </c>
      <c r="E51" s="588">
        <f t="shared" si="31"/>
        <v>35000</v>
      </c>
      <c r="F51" s="588">
        <f t="shared" si="31"/>
        <v>35000</v>
      </c>
      <c r="G51" s="588">
        <f t="shared" si="31"/>
        <v>35000</v>
      </c>
      <c r="H51" s="588">
        <f>-H44+H49</f>
        <v>0</v>
      </c>
      <c r="I51" s="589">
        <f>-I44+I49</f>
        <v>0</v>
      </c>
    </row>
    <row r="52" spans="2:9" ht="15.75" thickBot="1">
      <c r="B52" s="583" t="s">
        <v>544</v>
      </c>
      <c r="C52" s="584">
        <f>N22+C51</f>
        <v>112750</v>
      </c>
      <c r="D52" s="584">
        <f>C52+D51</f>
        <v>142750</v>
      </c>
      <c r="E52" s="584">
        <f t="shared" ref="E52:G52" si="32">D52+E51</f>
        <v>177750</v>
      </c>
      <c r="F52" s="584">
        <f t="shared" si="32"/>
        <v>212750</v>
      </c>
      <c r="G52" s="584">
        <f t="shared" si="32"/>
        <v>247750</v>
      </c>
      <c r="H52" s="584"/>
      <c r="I52" s="585"/>
    </row>
    <row r="53" spans="2:9">
      <c r="C53" s="534"/>
      <c r="D53" s="534"/>
      <c r="E53" s="534"/>
      <c r="F53" s="534"/>
      <c r="G53" s="534"/>
      <c r="H53" s="534"/>
      <c r="I53" s="534"/>
    </row>
    <row r="54" spans="2:9">
      <c r="C54" s="534"/>
      <c r="D54" s="534"/>
      <c r="E54" s="534"/>
      <c r="F54" s="534"/>
      <c r="G54" s="534"/>
      <c r="H54" s="534"/>
      <c r="I54" s="534"/>
    </row>
    <row r="56" spans="2:9">
      <c r="B56" t="s">
        <v>538</v>
      </c>
      <c r="C56" s="574">
        <v>0.05</v>
      </c>
    </row>
    <row r="57" spans="2:9">
      <c r="B57" t="s">
        <v>536</v>
      </c>
      <c r="C57" s="574">
        <v>0.05</v>
      </c>
    </row>
    <row r="58" spans="2:9">
      <c r="B58" t="s">
        <v>537</v>
      </c>
      <c r="C58" s="574">
        <v>0.27</v>
      </c>
    </row>
    <row r="59" spans="2:9">
      <c r="B59" t="s">
        <v>191</v>
      </c>
      <c r="C59" s="108">
        <v>3000</v>
      </c>
    </row>
    <row r="60" spans="2:9">
      <c r="B60" t="s">
        <v>532</v>
      </c>
      <c r="C60" s="574">
        <f>C59/5500</f>
        <v>0.54545454545454541</v>
      </c>
    </row>
    <row r="61" spans="2:9">
      <c r="B61" t="s">
        <v>541</v>
      </c>
      <c r="C61" s="574">
        <v>1</v>
      </c>
    </row>
    <row r="62" spans="2:9">
      <c r="B62" t="s">
        <v>535</v>
      </c>
      <c r="C62" s="574">
        <v>0.9</v>
      </c>
    </row>
    <row r="63" spans="2:9">
      <c r="B63" t="s">
        <v>561</v>
      </c>
      <c r="C63" s="574">
        <v>0.9</v>
      </c>
    </row>
    <row r="64" spans="2:9">
      <c r="B64" t="s">
        <v>546</v>
      </c>
      <c r="C64" s="574">
        <v>0.7</v>
      </c>
    </row>
    <row r="65" spans="3:29">
      <c r="C65" s="574"/>
    </row>
    <row r="66" spans="3:29">
      <c r="C66" s="573"/>
    </row>
    <row r="67" spans="3:29">
      <c r="C67" s="110"/>
      <c r="D67" s="109" t="s">
        <v>554</v>
      </c>
    </row>
    <row r="68" spans="3:29">
      <c r="C68" s="111"/>
      <c r="D68" s="109" t="s">
        <v>552</v>
      </c>
    </row>
    <row r="69" spans="3:29">
      <c r="C69" s="579"/>
      <c r="D69" s="109" t="s">
        <v>553</v>
      </c>
    </row>
    <row r="79" spans="3:29">
      <c r="AC79" s="7"/>
    </row>
    <row r="80" spans="3:29">
      <c r="AC80" s="7"/>
    </row>
    <row r="81" spans="29:29">
      <c r="AC81" s="7"/>
    </row>
    <row r="82" spans="29:29">
      <c r="AC82" s="7"/>
    </row>
    <row r="83" spans="29:29">
      <c r="AC83" s="7"/>
    </row>
    <row r="84" spans="29:29">
      <c r="AC84" s="7"/>
    </row>
  </sheetData>
  <mergeCells count="2">
    <mergeCell ref="C3:N3"/>
    <mergeCell ref="C31:N31"/>
  </mergeCells>
  <pageMargins left="0.7" right="0.7" top="0.75" bottom="0.75" header="0.3" footer="0.3"/>
  <pageSetup orientation="portrait" horizontalDpi="4294967293" verticalDpi="429496729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4:O52"/>
  <sheetViews>
    <sheetView topLeftCell="A7" workbookViewId="0">
      <selection activeCell="J9" sqref="J9"/>
    </sheetView>
  </sheetViews>
  <sheetFormatPr defaultColWidth="8.85546875" defaultRowHeight="15"/>
  <cols>
    <col min="3" max="3" width="50.7109375" bestFit="1" customWidth="1"/>
    <col min="4" max="4" width="15" bestFit="1" customWidth="1"/>
    <col min="5" max="13" width="10" bestFit="1" customWidth="1"/>
    <col min="14" max="15" width="13.42578125" bestFit="1" customWidth="1"/>
  </cols>
  <sheetData>
    <row r="4" spans="3:14">
      <c r="C4" t="s">
        <v>489</v>
      </c>
      <c r="D4" s="7" t="s">
        <v>495</v>
      </c>
      <c r="E4" s="7"/>
      <c r="F4" s="7"/>
      <c r="G4" s="7"/>
      <c r="H4" s="7"/>
      <c r="I4" s="7"/>
      <c r="J4" s="7"/>
      <c r="K4" s="7"/>
      <c r="L4" s="7"/>
      <c r="M4" s="7"/>
      <c r="N4" s="7"/>
    </row>
    <row r="5" spans="3:14">
      <c r="C5" t="s">
        <v>490</v>
      </c>
      <c r="D5" s="499">
        <v>0.4</v>
      </c>
      <c r="E5" s="7"/>
      <c r="F5" s="7"/>
      <c r="G5" s="7"/>
      <c r="H5" s="7"/>
      <c r="I5" s="7"/>
      <c r="J5" s="7"/>
      <c r="K5" s="7"/>
      <c r="L5" s="7"/>
      <c r="M5" s="7"/>
      <c r="N5" s="7"/>
    </row>
    <row r="6" spans="3:14">
      <c r="C6" t="s">
        <v>491</v>
      </c>
      <c r="D6" s="499">
        <v>0.2</v>
      </c>
      <c r="E6" s="7"/>
      <c r="F6" s="7"/>
      <c r="G6" s="7"/>
      <c r="H6" s="7"/>
      <c r="I6" s="7"/>
      <c r="J6" s="7"/>
      <c r="K6" s="7"/>
      <c r="L6" s="7"/>
      <c r="M6" s="7"/>
      <c r="N6" s="7"/>
    </row>
    <row r="7" spans="3:14">
      <c r="C7" t="s">
        <v>493</v>
      </c>
      <c r="D7" s="499">
        <v>0.2</v>
      </c>
      <c r="E7" s="7"/>
      <c r="F7" s="7"/>
      <c r="G7" s="7"/>
      <c r="H7" s="7"/>
      <c r="I7" s="7"/>
      <c r="J7" s="7"/>
      <c r="K7" s="7"/>
      <c r="L7" s="7"/>
      <c r="M7" s="7"/>
      <c r="N7" s="7"/>
    </row>
    <row r="8" spans="3:14">
      <c r="C8" t="s">
        <v>494</v>
      </c>
      <c r="D8" s="499">
        <v>0.15</v>
      </c>
      <c r="E8" s="7"/>
      <c r="F8" s="7"/>
      <c r="G8" s="7"/>
      <c r="H8" s="7"/>
      <c r="I8" s="7"/>
      <c r="J8" s="7"/>
      <c r="K8" s="7"/>
      <c r="L8" s="7"/>
      <c r="M8" s="7"/>
      <c r="N8" s="7"/>
    </row>
    <row r="9" spans="3:14">
      <c r="C9" t="s">
        <v>492</v>
      </c>
      <c r="D9" s="499">
        <v>0.05</v>
      </c>
      <c r="E9" s="7"/>
      <c r="F9" s="7"/>
      <c r="G9" s="7"/>
      <c r="H9" s="7"/>
      <c r="I9" s="7"/>
      <c r="J9" s="7"/>
      <c r="K9" s="7"/>
      <c r="L9" s="7"/>
      <c r="M9" s="7"/>
      <c r="N9" s="7"/>
    </row>
    <row r="10" spans="3:14">
      <c r="D10" s="130">
        <f>SUM(D5:D9)</f>
        <v>1</v>
      </c>
      <c r="E10" s="7"/>
      <c r="F10" s="7"/>
      <c r="G10" s="7"/>
      <c r="H10" s="7"/>
      <c r="I10" s="7"/>
      <c r="J10" s="7"/>
      <c r="K10" s="7"/>
      <c r="L10" s="7"/>
      <c r="M10" s="7"/>
      <c r="N10" s="7"/>
    </row>
    <row r="11" spans="3:14">
      <c r="C11" t="s">
        <v>515</v>
      </c>
      <c r="D11" s="7" t="s">
        <v>496</v>
      </c>
      <c r="E11" s="7" t="s">
        <v>507</v>
      </c>
      <c r="F11" s="7" t="s">
        <v>497</v>
      </c>
      <c r="G11" s="7" t="s">
        <v>498</v>
      </c>
      <c r="H11" s="7" t="s">
        <v>499</v>
      </c>
      <c r="I11" s="7" t="s">
        <v>500</v>
      </c>
      <c r="J11" s="7"/>
      <c r="K11" s="7"/>
      <c r="L11" s="7"/>
      <c r="M11" s="7"/>
      <c r="N11" s="7"/>
    </row>
    <row r="12" spans="3:14">
      <c r="C12" t="s">
        <v>490</v>
      </c>
      <c r="D12" s="537">
        <v>0.01</v>
      </c>
      <c r="E12" s="536">
        <v>0.03</v>
      </c>
      <c r="F12" s="536">
        <v>0.05</v>
      </c>
      <c r="G12" s="536">
        <v>0.05</v>
      </c>
      <c r="H12" s="536">
        <v>0.05</v>
      </c>
      <c r="I12" s="536">
        <v>7.0000000000000007E-2</v>
      </c>
      <c r="J12" s="7"/>
      <c r="K12" s="7"/>
      <c r="L12" s="7"/>
      <c r="M12" s="7"/>
      <c r="N12" s="7"/>
    </row>
    <row r="13" spans="3:14">
      <c r="C13" t="s">
        <v>512</v>
      </c>
      <c r="D13" s="536">
        <v>0.03</v>
      </c>
      <c r="E13" s="537">
        <v>0.01</v>
      </c>
      <c r="F13" s="536">
        <v>0.03</v>
      </c>
      <c r="G13" s="536">
        <v>0.06</v>
      </c>
      <c r="H13" s="536">
        <v>0.03</v>
      </c>
      <c r="I13" s="536">
        <v>0.04</v>
      </c>
      <c r="J13" s="7"/>
      <c r="K13" s="7"/>
      <c r="L13" s="7"/>
      <c r="M13" s="7"/>
      <c r="N13" s="7"/>
    </row>
    <row r="14" spans="3:14">
      <c r="C14" t="s">
        <v>491</v>
      </c>
      <c r="D14" s="536">
        <v>0.04</v>
      </c>
      <c r="E14" s="536">
        <v>0.03</v>
      </c>
      <c r="F14" s="537">
        <v>0.01</v>
      </c>
      <c r="G14" s="536">
        <v>7.0000000000000007E-2</v>
      </c>
      <c r="H14" s="536">
        <v>0.03</v>
      </c>
      <c r="I14" s="536">
        <v>0.05</v>
      </c>
      <c r="J14" s="7"/>
      <c r="K14" s="7"/>
      <c r="L14" s="7"/>
      <c r="M14" s="7"/>
      <c r="N14" s="7"/>
    </row>
    <row r="15" spans="3:14">
      <c r="C15" t="s">
        <v>493</v>
      </c>
      <c r="D15" s="536">
        <v>0.05</v>
      </c>
      <c r="E15" s="536">
        <v>0.06</v>
      </c>
      <c r="F15" s="536">
        <v>7.0000000000000007E-2</v>
      </c>
      <c r="G15" s="537">
        <v>0.01</v>
      </c>
      <c r="H15" s="536">
        <v>7.0000000000000007E-2</v>
      </c>
      <c r="I15" s="536">
        <v>0.1</v>
      </c>
      <c r="J15" s="7"/>
      <c r="K15" s="7"/>
      <c r="L15" s="7"/>
      <c r="M15" s="7"/>
      <c r="N15" s="7"/>
    </row>
    <row r="16" spans="3:14">
      <c r="C16" t="s">
        <v>494</v>
      </c>
      <c r="D16" s="536">
        <v>0.05</v>
      </c>
      <c r="E16" s="536">
        <v>0.03</v>
      </c>
      <c r="F16" s="536">
        <v>0.04</v>
      </c>
      <c r="G16" s="536">
        <v>7.0000000000000007E-2</v>
      </c>
      <c r="H16" s="537">
        <v>0.01</v>
      </c>
      <c r="I16" s="536">
        <v>0.03</v>
      </c>
      <c r="J16" s="7"/>
      <c r="K16" s="7"/>
      <c r="L16" s="7"/>
      <c r="M16" s="7"/>
      <c r="N16" s="7"/>
    </row>
    <row r="17" spans="3:14">
      <c r="C17" t="s">
        <v>492</v>
      </c>
      <c r="D17" s="536">
        <v>7.0000000000000007E-2</v>
      </c>
      <c r="E17" s="536">
        <v>0.04</v>
      </c>
      <c r="F17" s="536">
        <v>0.05</v>
      </c>
      <c r="G17" s="536">
        <v>0.1</v>
      </c>
      <c r="H17" s="536">
        <v>0.03</v>
      </c>
      <c r="I17" s="537">
        <v>0.01</v>
      </c>
      <c r="J17" s="7"/>
      <c r="K17" s="7"/>
      <c r="L17" s="7"/>
      <c r="M17" s="7"/>
      <c r="N17" s="7"/>
    </row>
    <row r="18" spans="3:14">
      <c r="D18" s="7"/>
      <c r="E18" s="7"/>
      <c r="F18" s="7"/>
      <c r="G18" s="7"/>
      <c r="H18" s="7"/>
      <c r="I18" s="7"/>
      <c r="J18" s="7"/>
      <c r="K18" s="7"/>
      <c r="L18" s="7"/>
      <c r="M18" s="7"/>
      <c r="N18" s="7"/>
    </row>
    <row r="19" spans="3:14">
      <c r="C19" t="s">
        <v>516</v>
      </c>
      <c r="D19" s="7" t="s">
        <v>496</v>
      </c>
      <c r="E19" s="7" t="s">
        <v>507</v>
      </c>
      <c r="F19" s="7" t="s">
        <v>497</v>
      </c>
      <c r="G19" s="7" t="s">
        <v>498</v>
      </c>
      <c r="H19" s="7" t="s">
        <v>499</v>
      </c>
      <c r="I19" s="7" t="s">
        <v>500</v>
      </c>
      <c r="J19" s="7"/>
      <c r="K19" s="7"/>
      <c r="L19" s="7"/>
      <c r="M19" s="7"/>
      <c r="N19" s="7"/>
    </row>
    <row r="20" spans="3:14">
      <c r="C20" t="s">
        <v>490</v>
      </c>
      <c r="D20" s="537">
        <v>0</v>
      </c>
      <c r="E20" s="536">
        <v>5</v>
      </c>
      <c r="F20" s="536">
        <v>10</v>
      </c>
      <c r="G20" s="536">
        <v>10</v>
      </c>
      <c r="H20" s="536">
        <v>10</v>
      </c>
      <c r="I20" s="536">
        <v>15</v>
      </c>
      <c r="J20" s="7"/>
      <c r="K20" s="7"/>
      <c r="L20" s="7"/>
      <c r="M20" s="7"/>
      <c r="N20" s="7"/>
    </row>
    <row r="21" spans="3:14">
      <c r="C21" t="s">
        <v>507</v>
      </c>
      <c r="D21" s="536">
        <v>5</v>
      </c>
      <c r="E21" s="537">
        <v>0</v>
      </c>
      <c r="F21" s="536">
        <v>5</v>
      </c>
      <c r="G21" s="536">
        <v>15</v>
      </c>
      <c r="H21" s="536">
        <v>5</v>
      </c>
      <c r="I21" s="536">
        <v>10</v>
      </c>
      <c r="J21" s="7"/>
      <c r="K21" s="7"/>
      <c r="L21" s="7"/>
      <c r="M21" s="7"/>
      <c r="N21" s="7"/>
    </row>
    <row r="22" spans="3:14">
      <c r="C22" t="s">
        <v>491</v>
      </c>
      <c r="D22" s="536">
        <v>10</v>
      </c>
      <c r="E22" s="536">
        <v>5</v>
      </c>
      <c r="F22" s="537">
        <v>0</v>
      </c>
      <c r="G22" s="536">
        <v>15</v>
      </c>
      <c r="H22" s="536">
        <v>10</v>
      </c>
      <c r="I22" s="536">
        <v>15</v>
      </c>
      <c r="J22" s="7"/>
      <c r="K22" s="7"/>
      <c r="L22" s="7"/>
      <c r="M22" s="7"/>
      <c r="N22" s="7"/>
    </row>
    <row r="23" spans="3:14">
      <c r="C23" t="s">
        <v>493</v>
      </c>
      <c r="D23" s="536">
        <v>10</v>
      </c>
      <c r="E23" s="536">
        <v>5</v>
      </c>
      <c r="F23" s="536">
        <v>15</v>
      </c>
      <c r="G23" s="537">
        <v>0</v>
      </c>
      <c r="H23" s="536">
        <v>15</v>
      </c>
      <c r="I23" s="536">
        <v>20</v>
      </c>
      <c r="J23" s="7"/>
      <c r="K23" s="7"/>
      <c r="L23" s="7"/>
      <c r="M23" s="7"/>
      <c r="N23" s="7"/>
    </row>
    <row r="24" spans="3:14">
      <c r="C24" t="s">
        <v>494</v>
      </c>
      <c r="D24" s="536">
        <v>10</v>
      </c>
      <c r="E24" s="536">
        <v>5</v>
      </c>
      <c r="F24" s="536">
        <v>10</v>
      </c>
      <c r="G24" s="536">
        <v>15</v>
      </c>
      <c r="H24" s="537">
        <v>0</v>
      </c>
      <c r="I24" s="536">
        <v>5</v>
      </c>
      <c r="J24" s="7"/>
      <c r="K24" s="7"/>
      <c r="L24" s="7"/>
      <c r="M24" s="7"/>
      <c r="N24" s="7"/>
    </row>
    <row r="25" spans="3:14">
      <c r="C25" t="s">
        <v>492</v>
      </c>
      <c r="D25" s="536">
        <v>15</v>
      </c>
      <c r="E25" s="536">
        <v>10</v>
      </c>
      <c r="F25" s="536">
        <v>15</v>
      </c>
      <c r="G25" s="536">
        <v>20</v>
      </c>
      <c r="H25" s="536">
        <v>5</v>
      </c>
      <c r="I25" s="537">
        <v>0</v>
      </c>
      <c r="J25" s="7"/>
      <c r="K25" s="7"/>
      <c r="L25" s="7"/>
      <c r="M25" s="7"/>
      <c r="N25" s="7"/>
    </row>
    <row r="26" spans="3:14">
      <c r="D26" s="128"/>
      <c r="E26" s="128"/>
      <c r="F26" s="128"/>
      <c r="G26" s="128"/>
      <c r="H26" s="128"/>
      <c r="I26" s="128"/>
      <c r="J26" s="7"/>
      <c r="K26" s="7"/>
      <c r="L26" s="7"/>
      <c r="M26" s="7"/>
      <c r="N26" s="7"/>
    </row>
    <row r="27" spans="3:14">
      <c r="C27" s="2" t="s">
        <v>501</v>
      </c>
      <c r="D27" s="539">
        <v>250000</v>
      </c>
      <c r="E27" s="538" t="s">
        <v>519</v>
      </c>
      <c r="F27" s="7"/>
      <c r="G27" s="7"/>
      <c r="H27" s="7"/>
      <c r="I27" s="7"/>
      <c r="J27" s="7"/>
      <c r="K27" s="7"/>
      <c r="L27" s="7"/>
      <c r="M27" s="7"/>
      <c r="N27" s="7"/>
    </row>
    <row r="28" spans="3:14">
      <c r="C28" t="s">
        <v>490</v>
      </c>
      <c r="D28" s="533">
        <f>($D$27*$D$5*D12+$D$27*$D$6*F12+$D$27*$D$7*G12+$D$27*$D$8*H12+$D$27*$D$9*I12)*12</f>
        <v>105000</v>
      </c>
      <c r="E28" s="7"/>
      <c r="F28" s="7"/>
      <c r="G28" s="7"/>
      <c r="H28" s="7"/>
      <c r="I28" s="7"/>
      <c r="J28" s="7"/>
      <c r="K28" s="7"/>
      <c r="L28" s="7"/>
      <c r="M28" s="7"/>
      <c r="N28" s="7"/>
    </row>
    <row r="29" spans="3:14">
      <c r="C29" t="s">
        <v>508</v>
      </c>
      <c r="D29" s="533">
        <f>(D27*D5*E12+D27*D6*E14+D27*D7*E15+D27*D8*E16+D27*D9*E17)*12</f>
        <v>109500</v>
      </c>
      <c r="E29" s="7"/>
      <c r="F29" s="7"/>
      <c r="G29" s="7"/>
      <c r="H29" s="7"/>
      <c r="I29" s="7"/>
      <c r="J29" s="7"/>
      <c r="K29" s="7"/>
      <c r="L29" s="7"/>
      <c r="M29" s="7"/>
      <c r="N29" s="7"/>
    </row>
    <row r="30" spans="3:14">
      <c r="C30" t="s">
        <v>491</v>
      </c>
      <c r="D30" s="533">
        <f>($D$27*$D$5*D14+$D$27*$D$6*F14+$D$27*$D$7*G14+$D$27*$D$8*H14+$D$27*$D$9*I14)*12</f>
        <v>117000</v>
      </c>
      <c r="E30" s="7"/>
      <c r="F30" s="7"/>
      <c r="G30" s="7"/>
      <c r="H30" s="7"/>
      <c r="I30" s="7"/>
      <c r="J30" s="7"/>
      <c r="K30" s="7"/>
      <c r="L30" s="7"/>
      <c r="M30" s="7"/>
      <c r="N30" s="7"/>
    </row>
    <row r="31" spans="3:14">
      <c r="C31" t="s">
        <v>493</v>
      </c>
      <c r="D31" s="533">
        <f>($D$27*$D$5*D15+$D$27*$D$6*F15+$D$27*$D$7*G15+$D$27*$D$8*H15+$D$27*$D$9*I15)*12</f>
        <v>154500</v>
      </c>
      <c r="E31" s="7"/>
      <c r="F31" s="7"/>
      <c r="G31" s="7"/>
      <c r="H31" s="7"/>
      <c r="I31" s="7"/>
      <c r="J31" s="7"/>
      <c r="K31" s="7"/>
      <c r="L31" s="7"/>
      <c r="M31" s="7"/>
      <c r="N31" s="7"/>
    </row>
    <row r="32" spans="3:14">
      <c r="C32" t="s">
        <v>494</v>
      </c>
      <c r="D32" s="533">
        <f>($D$27*$D$5*D16+$D$27*$D$6*F16+$D$27*$D$7*G16+$D$27*$D$8*H16+$D$27*$D$9*I16)*12</f>
        <v>135000</v>
      </c>
      <c r="E32" s="7"/>
      <c r="F32" s="7"/>
      <c r="G32" s="7"/>
      <c r="H32" s="7"/>
      <c r="I32" s="7"/>
      <c r="J32" s="7"/>
      <c r="K32" s="7"/>
      <c r="L32" s="7"/>
      <c r="M32" s="7"/>
      <c r="N32" s="7"/>
    </row>
    <row r="33" spans="3:15">
      <c r="C33" t="s">
        <v>492</v>
      </c>
      <c r="D33" s="533">
        <f>($D$27*$D$5*D17+$D$27*$D$6*F17+$D$27*$D$7*G17+$D$27*$D$8*H17+$D$27*$D$9*I17)*12</f>
        <v>189000</v>
      </c>
      <c r="E33" s="7"/>
      <c r="F33" s="7"/>
      <c r="G33" s="7"/>
      <c r="H33" s="7"/>
      <c r="I33" s="7"/>
      <c r="J33" s="7"/>
      <c r="K33" s="7"/>
      <c r="L33" s="7"/>
      <c r="M33" s="7"/>
      <c r="N33" s="7"/>
    </row>
    <row r="34" spans="3:15">
      <c r="D34" s="7"/>
      <c r="E34" s="7"/>
      <c r="F34" s="7"/>
      <c r="G34" s="7"/>
      <c r="H34" s="7"/>
      <c r="I34" s="7"/>
      <c r="J34" s="7"/>
      <c r="K34" s="7"/>
      <c r="L34" s="7"/>
      <c r="M34" s="7"/>
      <c r="N34" s="7"/>
    </row>
    <row r="35" spans="3:15">
      <c r="C35" s="2" t="s">
        <v>509</v>
      </c>
      <c r="D35" s="540">
        <v>1000</v>
      </c>
      <c r="E35" s="538" t="s">
        <v>520</v>
      </c>
      <c r="F35" s="7"/>
      <c r="G35" s="7"/>
      <c r="H35" s="7"/>
      <c r="I35" s="7"/>
      <c r="J35" s="7"/>
      <c r="K35" s="7"/>
      <c r="L35" s="7"/>
      <c r="M35" s="7"/>
      <c r="N35" s="7"/>
    </row>
    <row r="36" spans="3:15">
      <c r="C36" t="s">
        <v>490</v>
      </c>
      <c r="D36" s="533">
        <f t="shared" ref="D36:D41" si="0">($D$35*$D$5*D20+$D$35*$D$6*F20+$D$35*$D$7*G20+$D$35*$D$8*H20+$D$35*$D$9*I20)*12</f>
        <v>75000</v>
      </c>
      <c r="E36" s="7"/>
      <c r="F36" s="7"/>
      <c r="G36" s="7"/>
      <c r="H36" s="7"/>
      <c r="I36" s="7"/>
      <c r="J36" s="7"/>
      <c r="K36" s="7"/>
      <c r="L36" s="7"/>
      <c r="M36" s="7"/>
      <c r="N36" s="7"/>
    </row>
    <row r="37" spans="3:15">
      <c r="C37" t="s">
        <v>508</v>
      </c>
      <c r="D37" s="533">
        <f t="shared" si="0"/>
        <v>87000</v>
      </c>
      <c r="E37" s="7"/>
      <c r="F37" s="7"/>
      <c r="G37" s="7"/>
      <c r="H37" s="7"/>
      <c r="I37" s="7"/>
      <c r="J37" s="7"/>
      <c r="K37" s="7"/>
      <c r="L37" s="7"/>
      <c r="M37" s="7"/>
      <c r="N37" s="7"/>
    </row>
    <row r="38" spans="3:15">
      <c r="C38" t="s">
        <v>491</v>
      </c>
      <c r="D38" s="533">
        <f t="shared" si="0"/>
        <v>111000</v>
      </c>
      <c r="E38" s="7"/>
      <c r="F38" s="7"/>
      <c r="G38" s="7"/>
      <c r="H38" s="7"/>
      <c r="I38" s="7"/>
      <c r="J38" s="7"/>
      <c r="K38" s="7"/>
      <c r="L38" s="7"/>
      <c r="M38" s="7"/>
      <c r="N38" s="7"/>
    </row>
    <row r="39" spans="3:15">
      <c r="C39" t="s">
        <v>493</v>
      </c>
      <c r="D39" s="533">
        <f t="shared" si="0"/>
        <v>123000</v>
      </c>
      <c r="E39" s="7"/>
      <c r="F39" s="7"/>
      <c r="G39" s="7"/>
      <c r="H39" s="7"/>
      <c r="I39" s="7"/>
      <c r="J39" s="7"/>
      <c r="K39" s="7"/>
      <c r="L39" s="7"/>
      <c r="M39" s="7"/>
      <c r="N39" s="7"/>
    </row>
    <row r="40" spans="3:15">
      <c r="C40" t="s">
        <v>494</v>
      </c>
      <c r="D40" s="533">
        <f t="shared" si="0"/>
        <v>111000</v>
      </c>
      <c r="E40" s="7"/>
      <c r="F40" s="7"/>
      <c r="G40" s="7"/>
      <c r="H40" s="7"/>
      <c r="I40" s="7"/>
      <c r="J40" s="7"/>
      <c r="K40" s="7"/>
      <c r="L40" s="7"/>
      <c r="M40" s="7"/>
      <c r="N40" s="7"/>
    </row>
    <row r="41" spans="3:15">
      <c r="C41" t="s">
        <v>492</v>
      </c>
      <c r="D41" s="533">
        <f t="shared" si="0"/>
        <v>165000</v>
      </c>
      <c r="E41" s="7"/>
      <c r="F41" s="7"/>
      <c r="G41" s="7"/>
      <c r="H41" s="7"/>
      <c r="I41" s="7"/>
      <c r="J41" s="7"/>
      <c r="K41" s="7"/>
      <c r="L41" s="7"/>
      <c r="M41" s="7"/>
      <c r="N41" s="7"/>
    </row>
    <row r="42" spans="3:15" ht="15.75" thickBot="1">
      <c r="D42" s="7"/>
      <c r="E42" s="7"/>
      <c r="F42" s="7"/>
      <c r="G42" s="7"/>
      <c r="H42" s="7"/>
      <c r="I42" s="7"/>
      <c r="J42" s="7"/>
      <c r="K42" s="7"/>
      <c r="L42" s="7"/>
      <c r="M42" s="7"/>
      <c r="N42" s="7"/>
    </row>
    <row r="43" spans="3:15">
      <c r="C43" s="2" t="s">
        <v>514</v>
      </c>
      <c r="D43" s="7">
        <v>2018</v>
      </c>
      <c r="E43" s="7">
        <v>2019</v>
      </c>
      <c r="F43" s="7">
        <v>2020</v>
      </c>
      <c r="G43" s="7">
        <v>2021</v>
      </c>
      <c r="H43" s="7">
        <v>2022</v>
      </c>
      <c r="I43" s="7">
        <v>2023</v>
      </c>
      <c r="J43" s="7">
        <v>2024</v>
      </c>
      <c r="K43" s="7">
        <v>2025</v>
      </c>
      <c r="L43" s="7">
        <v>2026</v>
      </c>
      <c r="M43" s="7">
        <v>2027</v>
      </c>
      <c r="N43" s="7" t="s">
        <v>510</v>
      </c>
      <c r="O43" s="541" t="s">
        <v>511</v>
      </c>
    </row>
    <row r="44" spans="3:15">
      <c r="C44" t="s">
        <v>490</v>
      </c>
      <c r="D44" s="534">
        <f t="shared" ref="D44:D49" si="1">(D28+D36)</f>
        <v>180000</v>
      </c>
      <c r="E44" s="534">
        <f>D44*(1+$D$51)</f>
        <v>183600</v>
      </c>
      <c r="F44" s="534">
        <f t="shared" ref="F44:M44" si="2">E44*(1+$D$51)</f>
        <v>187272</v>
      </c>
      <c r="G44" s="534">
        <f t="shared" si="2"/>
        <v>191017.44</v>
      </c>
      <c r="H44" s="534">
        <f t="shared" si="2"/>
        <v>194837.78880000001</v>
      </c>
      <c r="I44" s="534">
        <f t="shared" si="2"/>
        <v>198734.54457600001</v>
      </c>
      <c r="J44" s="534">
        <f t="shared" si="2"/>
        <v>202709.23546752002</v>
      </c>
      <c r="K44" s="534">
        <f t="shared" si="2"/>
        <v>206763.42017687042</v>
      </c>
      <c r="L44" s="534">
        <f t="shared" si="2"/>
        <v>210898.68858040785</v>
      </c>
      <c r="M44" s="534">
        <f t="shared" si="2"/>
        <v>215116.66235201602</v>
      </c>
      <c r="N44" s="535">
        <f>NPV($D$52,D44:M44)</f>
        <v>967407.53888686444</v>
      </c>
      <c r="O44" s="542"/>
    </row>
    <row r="45" spans="3:15">
      <c r="C45" t="s">
        <v>508</v>
      </c>
      <c r="D45" s="534">
        <f t="shared" si="1"/>
        <v>196500</v>
      </c>
      <c r="E45" s="534">
        <f t="shared" ref="E45:M45" si="3">D45*(1+$D$51)</f>
        <v>200430</v>
      </c>
      <c r="F45" s="534">
        <f t="shared" si="3"/>
        <v>204438.6</v>
      </c>
      <c r="G45" s="534">
        <f t="shared" si="3"/>
        <v>208527.372</v>
      </c>
      <c r="H45" s="534">
        <f t="shared" si="3"/>
        <v>212697.91944</v>
      </c>
      <c r="I45" s="534">
        <f t="shared" si="3"/>
        <v>216951.8778288</v>
      </c>
      <c r="J45" s="534">
        <f t="shared" si="3"/>
        <v>221290.91538537599</v>
      </c>
      <c r="K45" s="534">
        <f t="shared" si="3"/>
        <v>225716.73369308352</v>
      </c>
      <c r="L45" s="534">
        <f t="shared" si="3"/>
        <v>230231.0683669452</v>
      </c>
      <c r="M45" s="534">
        <f t="shared" si="3"/>
        <v>234835.6897342841</v>
      </c>
      <c r="N45" s="535">
        <f t="shared" ref="N45:N49" si="4">NPV($D$52,D45:M45)</f>
        <v>1056086.5632848272</v>
      </c>
      <c r="O45" s="543">
        <f>N45-N44</f>
        <v>88679.024397962727</v>
      </c>
    </row>
    <row r="46" spans="3:15">
      <c r="C46" t="s">
        <v>491</v>
      </c>
      <c r="D46" s="534">
        <f t="shared" si="1"/>
        <v>228000</v>
      </c>
      <c r="E46" s="534">
        <f t="shared" ref="E46:M46" si="5">D46*(1+$D$51)</f>
        <v>232560</v>
      </c>
      <c r="F46" s="534">
        <f t="shared" si="5"/>
        <v>237211.2</v>
      </c>
      <c r="G46" s="534">
        <f t="shared" si="5"/>
        <v>241955.42400000003</v>
      </c>
      <c r="H46" s="534">
        <f t="shared" si="5"/>
        <v>246794.53248000002</v>
      </c>
      <c r="I46" s="534">
        <f t="shared" si="5"/>
        <v>251730.42312960004</v>
      </c>
      <c r="J46" s="534">
        <f t="shared" si="5"/>
        <v>256765.03159219204</v>
      </c>
      <c r="K46" s="534">
        <f t="shared" si="5"/>
        <v>261900.3322240359</v>
      </c>
      <c r="L46" s="534">
        <f t="shared" si="5"/>
        <v>267138.33886851661</v>
      </c>
      <c r="M46" s="534">
        <f t="shared" si="5"/>
        <v>272481.10564588697</v>
      </c>
      <c r="N46" s="535">
        <f t="shared" si="4"/>
        <v>1225382.8825900285</v>
      </c>
      <c r="O46" s="543">
        <f>N46-N44</f>
        <v>257975.34370316402</v>
      </c>
    </row>
    <row r="47" spans="3:15">
      <c r="C47" t="s">
        <v>493</v>
      </c>
      <c r="D47" s="534">
        <f t="shared" si="1"/>
        <v>277500</v>
      </c>
      <c r="E47" s="534">
        <f t="shared" ref="E47:M47" si="6">D47*(1+$D$51)</f>
        <v>283050</v>
      </c>
      <c r="F47" s="534">
        <f t="shared" si="6"/>
        <v>288711</v>
      </c>
      <c r="G47" s="534">
        <f t="shared" si="6"/>
        <v>294485.22000000003</v>
      </c>
      <c r="H47" s="534">
        <f t="shared" si="6"/>
        <v>300374.92440000002</v>
      </c>
      <c r="I47" s="534">
        <f t="shared" si="6"/>
        <v>306382.42288800003</v>
      </c>
      <c r="J47" s="534">
        <f t="shared" si="6"/>
        <v>312510.07134576002</v>
      </c>
      <c r="K47" s="534">
        <f t="shared" si="6"/>
        <v>318760.27277267521</v>
      </c>
      <c r="L47" s="534">
        <f t="shared" si="6"/>
        <v>325135.47822812869</v>
      </c>
      <c r="M47" s="534">
        <f t="shared" si="6"/>
        <v>331638.18779269129</v>
      </c>
      <c r="N47" s="535">
        <f t="shared" si="4"/>
        <v>1491419.9557839162</v>
      </c>
      <c r="O47" s="543">
        <f>N47-N44</f>
        <v>524012.41689705173</v>
      </c>
    </row>
    <row r="48" spans="3:15">
      <c r="C48" t="s">
        <v>494</v>
      </c>
      <c r="D48" s="534">
        <f t="shared" si="1"/>
        <v>246000</v>
      </c>
      <c r="E48" s="534">
        <f t="shared" ref="E48:M48" si="7">D48*(1+$D$51)</f>
        <v>250920</v>
      </c>
      <c r="F48" s="534">
        <f t="shared" si="7"/>
        <v>255938.4</v>
      </c>
      <c r="G48" s="534">
        <f t="shared" si="7"/>
        <v>261057.16800000001</v>
      </c>
      <c r="H48" s="534">
        <f t="shared" si="7"/>
        <v>266278.31135999999</v>
      </c>
      <c r="I48" s="534">
        <f t="shared" si="7"/>
        <v>271603.87758720003</v>
      </c>
      <c r="J48" s="534">
        <f t="shared" si="7"/>
        <v>277035.95513894403</v>
      </c>
      <c r="K48" s="534">
        <f t="shared" si="7"/>
        <v>282576.67424172291</v>
      </c>
      <c r="L48" s="534">
        <f t="shared" si="7"/>
        <v>288228.20772655739</v>
      </c>
      <c r="M48" s="534">
        <f t="shared" si="7"/>
        <v>293992.77188108856</v>
      </c>
      <c r="N48" s="535">
        <f t="shared" si="4"/>
        <v>1322123.6364787149</v>
      </c>
      <c r="O48" s="543">
        <f>N48-N44</f>
        <v>354716.09759185044</v>
      </c>
    </row>
    <row r="49" spans="3:15" ht="15.75" thickBot="1">
      <c r="C49" t="s">
        <v>492</v>
      </c>
      <c r="D49" s="534">
        <f t="shared" si="1"/>
        <v>354000</v>
      </c>
      <c r="E49" s="534">
        <f t="shared" ref="E49:M49" si="8">D49*(1+$D$51)</f>
        <v>361080</v>
      </c>
      <c r="F49" s="534">
        <f t="shared" si="8"/>
        <v>368301.60000000003</v>
      </c>
      <c r="G49" s="534">
        <f t="shared" si="8"/>
        <v>375667.63200000004</v>
      </c>
      <c r="H49" s="534">
        <f t="shared" si="8"/>
        <v>383180.98464000004</v>
      </c>
      <c r="I49" s="534">
        <f t="shared" si="8"/>
        <v>390844.60433280002</v>
      </c>
      <c r="J49" s="534">
        <f t="shared" si="8"/>
        <v>398661.49641945603</v>
      </c>
      <c r="K49" s="534">
        <f t="shared" si="8"/>
        <v>406634.72634784516</v>
      </c>
      <c r="L49" s="534">
        <f t="shared" si="8"/>
        <v>414767.42087480205</v>
      </c>
      <c r="M49" s="534">
        <f t="shared" si="8"/>
        <v>423062.76929229812</v>
      </c>
      <c r="N49" s="535">
        <f t="shared" si="4"/>
        <v>1902568.1598108336</v>
      </c>
      <c r="O49" s="544">
        <f>N49-N44</f>
        <v>935160.6209239692</v>
      </c>
    </row>
    <row r="51" spans="3:15">
      <c r="C51" t="s">
        <v>513</v>
      </c>
      <c r="D51" s="80">
        <v>0.02</v>
      </c>
    </row>
    <row r="52" spans="3:15">
      <c r="C52" t="s">
        <v>517</v>
      </c>
      <c r="D52" s="80">
        <v>0.15</v>
      </c>
    </row>
  </sheetData>
  <pageMargins left="0.7" right="0.7" top="0.75" bottom="0.75" header="0.3" footer="0.3"/>
  <pageSetup orientation="portrait" horizontalDpi="4294967293" verticalDpi="429496729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3:M38"/>
  <sheetViews>
    <sheetView topLeftCell="A24" workbookViewId="0">
      <selection activeCell="I32" sqref="I32"/>
    </sheetView>
  </sheetViews>
  <sheetFormatPr defaultColWidth="8.85546875" defaultRowHeight="15"/>
  <cols>
    <col min="2" max="2" width="49" customWidth="1"/>
    <col min="3" max="3" width="18.42578125" customWidth="1"/>
    <col min="4" max="4" width="17" customWidth="1"/>
    <col min="5" max="5" width="18.7109375" customWidth="1"/>
    <col min="6" max="6" width="27.85546875" customWidth="1"/>
    <col min="7" max="7" width="14" customWidth="1"/>
    <col min="8" max="8" width="13.42578125" customWidth="1"/>
    <col min="9" max="9" width="17.85546875" customWidth="1"/>
    <col min="10" max="10" width="13.140625" bestFit="1" customWidth="1"/>
  </cols>
  <sheetData>
    <row r="3" spans="2:11">
      <c r="B3" s="12"/>
      <c r="C3" s="15"/>
      <c r="D3" s="29" t="s">
        <v>21</v>
      </c>
      <c r="E3" s="30"/>
      <c r="F3" s="31"/>
      <c r="G3" s="13"/>
      <c r="H3" s="13"/>
    </row>
    <row r="4" spans="2:11">
      <c r="B4" s="14"/>
      <c r="C4" s="32" t="s">
        <v>1</v>
      </c>
      <c r="D4" s="15" t="s">
        <v>22</v>
      </c>
      <c r="E4" s="15"/>
      <c r="F4" s="18" t="s">
        <v>2</v>
      </c>
      <c r="G4" s="18" t="s">
        <v>23</v>
      </c>
      <c r="H4" s="32" t="s">
        <v>24</v>
      </c>
      <c r="I4" s="77" t="s">
        <v>2</v>
      </c>
    </row>
    <row r="5" spans="2:11">
      <c r="B5" s="14"/>
      <c r="C5" s="33"/>
      <c r="D5" s="15" t="s">
        <v>3</v>
      </c>
      <c r="E5" s="15" t="s">
        <v>8</v>
      </c>
      <c r="F5" s="18"/>
      <c r="G5" s="18"/>
      <c r="H5" s="33"/>
      <c r="I5" s="58"/>
    </row>
    <row r="6" spans="2:11">
      <c r="B6" s="16"/>
      <c r="C6" s="19"/>
      <c r="D6" s="34">
        <v>1572245.7464788733</v>
      </c>
      <c r="E6" s="34">
        <v>2174021.7464788733</v>
      </c>
      <c r="F6" s="17"/>
      <c r="G6" s="18"/>
      <c r="H6" s="19"/>
      <c r="I6" s="58"/>
    </row>
    <row r="7" spans="2:11">
      <c r="B7" s="20" t="s">
        <v>25</v>
      </c>
      <c r="C7" s="29"/>
      <c r="D7" s="15" t="s">
        <v>10</v>
      </c>
      <c r="E7" s="15"/>
      <c r="F7" s="35">
        <v>0.70175438596491224</v>
      </c>
      <c r="G7" s="36">
        <v>18000</v>
      </c>
      <c r="H7" s="37"/>
      <c r="I7" s="78">
        <f>G7/G9</f>
        <v>0.71713147410358569</v>
      </c>
      <c r="J7" s="74">
        <f>C8/F8</f>
        <v>2174021.7464788733</v>
      </c>
    </row>
    <row r="8" spans="2:11" ht="15.75" thickBot="1">
      <c r="B8" s="21" t="s">
        <v>0</v>
      </c>
      <c r="C8" s="38">
        <v>601776</v>
      </c>
      <c r="D8" s="39"/>
      <c r="E8" s="40" t="s">
        <v>10</v>
      </c>
      <c r="F8" s="41">
        <v>0.27680311890838205</v>
      </c>
      <c r="G8" s="42">
        <v>7100</v>
      </c>
      <c r="H8" s="43">
        <v>84</v>
      </c>
      <c r="I8" s="78">
        <f>G8/G9</f>
        <v>0.28286852589641437</v>
      </c>
    </row>
    <row r="9" spans="2:11" ht="15.75" thickTop="1">
      <c r="B9" s="12" t="s">
        <v>26</v>
      </c>
      <c r="C9" s="44">
        <v>601776</v>
      </c>
      <c r="D9" s="13"/>
      <c r="E9" s="13"/>
      <c r="F9" s="45">
        <v>0.99999999999999989</v>
      </c>
      <c r="G9" s="46">
        <f>SUM(G7:G8)</f>
        <v>25100</v>
      </c>
      <c r="H9" s="47">
        <v>84</v>
      </c>
      <c r="I9" s="58">
        <f>SUM(I7:I8)</f>
        <v>1</v>
      </c>
    </row>
    <row r="10" spans="2:11">
      <c r="C10" s="7"/>
      <c r="D10" s="7"/>
      <c r="E10" s="7"/>
      <c r="F10" s="7"/>
      <c r="G10" s="7"/>
      <c r="H10" s="7"/>
      <c r="J10" s="78">
        <f>600/G9</f>
        <v>2.3904382470119521E-2</v>
      </c>
    </row>
    <row r="11" spans="2:11">
      <c r="C11" s="7"/>
      <c r="D11" s="7"/>
      <c r="E11" s="7"/>
      <c r="F11" s="7"/>
      <c r="G11" s="7"/>
      <c r="H11" s="7"/>
    </row>
    <row r="12" spans="2:11">
      <c r="B12" s="12"/>
      <c r="C12" s="15"/>
      <c r="D12" s="29" t="s">
        <v>4</v>
      </c>
      <c r="E12" s="30"/>
      <c r="F12" s="31"/>
      <c r="G12" s="13"/>
      <c r="H12" s="13"/>
    </row>
    <row r="13" spans="2:11">
      <c r="B13" s="14"/>
      <c r="C13" s="32" t="s">
        <v>5</v>
      </c>
      <c r="D13" s="15" t="s">
        <v>22</v>
      </c>
      <c r="E13" s="15"/>
      <c r="F13" s="18" t="s">
        <v>2</v>
      </c>
      <c r="G13" s="18" t="s">
        <v>23</v>
      </c>
      <c r="H13" s="32" t="s">
        <v>6</v>
      </c>
    </row>
    <row r="14" spans="2:11">
      <c r="B14" s="14"/>
      <c r="C14" s="33"/>
      <c r="D14" s="15" t="s">
        <v>7</v>
      </c>
      <c r="E14" s="15" t="s">
        <v>9</v>
      </c>
      <c r="F14" s="18"/>
      <c r="G14" s="18"/>
      <c r="H14" s="33"/>
    </row>
    <row r="15" spans="2:11">
      <c r="B15" s="16"/>
      <c r="C15" s="19"/>
      <c r="D15" s="34">
        <f>(G9)*H20</f>
        <v>2510000</v>
      </c>
      <c r="E15" s="34">
        <f>C20+D15</f>
        <v>5510000</v>
      </c>
      <c r="F15" s="17"/>
      <c r="G15" s="18"/>
      <c r="H15" s="19"/>
      <c r="J15" t="s">
        <v>98</v>
      </c>
    </row>
    <row r="16" spans="2:11">
      <c r="B16" s="20" t="s">
        <v>65</v>
      </c>
      <c r="C16" s="29"/>
      <c r="D16" s="15" t="s">
        <v>10</v>
      </c>
      <c r="E16" s="15"/>
      <c r="F16" s="35">
        <f>G16/G21</f>
        <v>0.22947166789737813</v>
      </c>
      <c r="G16" s="48">
        <v>16074.636363636364</v>
      </c>
      <c r="H16" s="37"/>
      <c r="J16" t="s">
        <v>97</v>
      </c>
      <c r="K16">
        <v>100</v>
      </c>
    </row>
    <row r="17" spans="1:13">
      <c r="B17" s="22" t="s">
        <v>87</v>
      </c>
      <c r="C17" s="34"/>
      <c r="D17" s="49"/>
      <c r="E17" s="50"/>
      <c r="F17" s="35">
        <f>G17/$G$21</f>
        <v>0.17881350763149254</v>
      </c>
      <c r="G17" s="48">
        <v>12526</v>
      </c>
      <c r="H17" s="51"/>
      <c r="J17" t="s">
        <v>99</v>
      </c>
      <c r="K17">
        <v>200</v>
      </c>
    </row>
    <row r="18" spans="1:13">
      <c r="B18" s="22" t="s">
        <v>165</v>
      </c>
      <c r="C18" s="98"/>
      <c r="D18" s="49"/>
      <c r="E18" s="50"/>
      <c r="F18" s="35">
        <f>G18/$G$21</f>
        <v>5.1391396093994339E-2</v>
      </c>
      <c r="G18" s="99">
        <v>3600</v>
      </c>
      <c r="H18" s="51"/>
    </row>
    <row r="19" spans="1:13">
      <c r="B19" s="22" t="s">
        <v>164</v>
      </c>
      <c r="C19" s="98">
        <v>1000000</v>
      </c>
      <c r="D19" s="49"/>
      <c r="E19" s="50"/>
      <c r="F19" s="35">
        <f>G19/G21</f>
        <v>0.11206179426051543</v>
      </c>
      <c r="G19" s="99">
        <v>7850</v>
      </c>
      <c r="H19" s="100">
        <f>C19/G19</f>
        <v>127.38853503184713</v>
      </c>
    </row>
    <row r="20" spans="1:13" ht="15.75" thickBot="1">
      <c r="A20" s="58"/>
      <c r="B20" s="21" t="s">
        <v>86</v>
      </c>
      <c r="C20" s="38">
        <v>3000000</v>
      </c>
      <c r="D20" s="39"/>
      <c r="E20" s="40" t="s">
        <v>10</v>
      </c>
      <c r="F20" s="41">
        <f>G20/G21</f>
        <v>0.42826163411661949</v>
      </c>
      <c r="G20" s="42">
        <v>30000</v>
      </c>
      <c r="H20" s="43">
        <f>C20/G20</f>
        <v>100</v>
      </c>
      <c r="I20">
        <f>C20/G20</f>
        <v>100</v>
      </c>
    </row>
    <row r="21" spans="1:13" ht="15.75" thickTop="1">
      <c r="B21" s="12" t="s">
        <v>26</v>
      </c>
      <c r="C21" s="44"/>
      <c r="D21" s="13"/>
      <c r="E21" s="13"/>
      <c r="F21" s="45">
        <v>1</v>
      </c>
      <c r="G21" s="46">
        <f>SUM(G16:G20)</f>
        <v>70050.636363636368</v>
      </c>
      <c r="H21" s="47"/>
      <c r="M21">
        <f xml:space="preserve"> 100*720/8*45</f>
        <v>405000</v>
      </c>
    </row>
    <row r="23" spans="1:13" ht="45">
      <c r="B23" s="23" t="s">
        <v>16</v>
      </c>
      <c r="C23" s="72" t="s">
        <v>11</v>
      </c>
      <c r="D23" s="71" t="s">
        <v>12</v>
      </c>
      <c r="E23" s="72" t="s">
        <v>13</v>
      </c>
      <c r="F23" s="71" t="s">
        <v>14</v>
      </c>
      <c r="G23" s="24"/>
      <c r="H23" s="24"/>
      <c r="I23" s="24"/>
      <c r="J23" s="24"/>
      <c r="K23" s="24"/>
    </row>
    <row r="24" spans="1:13">
      <c r="B24" s="25"/>
      <c r="C24" s="25"/>
      <c r="D24" s="25"/>
      <c r="E24" s="25"/>
      <c r="F24" s="25"/>
      <c r="G24" s="24"/>
      <c r="H24" s="24"/>
      <c r="I24" s="24"/>
      <c r="J24" s="24"/>
      <c r="K24" s="24"/>
    </row>
    <row r="25" spans="1:13">
      <c r="B25" s="25" t="s">
        <v>47</v>
      </c>
      <c r="C25" s="26"/>
      <c r="D25" s="25"/>
      <c r="E25" s="25"/>
      <c r="F25" s="25"/>
      <c r="G25" s="24"/>
      <c r="H25" s="24"/>
      <c r="I25" s="24"/>
      <c r="J25" s="24"/>
      <c r="K25" s="24"/>
    </row>
    <row r="26" spans="1:13">
      <c r="B26" s="24" t="s">
        <v>15</v>
      </c>
      <c r="C26" s="27">
        <f>E15</f>
        <v>5510000</v>
      </c>
      <c r="D26" s="27">
        <f>C20</f>
        <v>3000000</v>
      </c>
      <c r="E26" s="55">
        <f>C26-D26</f>
        <v>2510000</v>
      </c>
      <c r="F26" s="24" t="s">
        <v>89</v>
      </c>
      <c r="G26" s="24"/>
      <c r="H26" s="24"/>
      <c r="I26" s="24"/>
      <c r="J26" s="24"/>
      <c r="K26" s="24"/>
    </row>
    <row r="27" spans="1:13">
      <c r="B27" s="24" t="s">
        <v>503</v>
      </c>
      <c r="C27" s="27" t="e">
        <f>E27+D27</f>
        <v>#REF!</v>
      </c>
      <c r="D27" s="27">
        <f>D26</f>
        <v>3000000</v>
      </c>
      <c r="E27" s="27" t="e">
        <f>'Summary Cash Flows'!#REF!*7</f>
        <v>#REF!</v>
      </c>
      <c r="F27" s="24" t="s">
        <v>88</v>
      </c>
      <c r="G27" s="24"/>
      <c r="H27" s="24"/>
      <c r="I27" s="24"/>
      <c r="J27" s="24"/>
      <c r="K27" s="24"/>
    </row>
    <row r="28" spans="1:13">
      <c r="B28" s="24" t="s">
        <v>17</v>
      </c>
      <c r="C28" s="27">
        <f>D37+D28</f>
        <v>5720000</v>
      </c>
      <c r="D28" s="27">
        <f t="shared" ref="D28:D29" si="0">D27</f>
        <v>3000000</v>
      </c>
      <c r="E28" s="52">
        <f>D37</f>
        <v>2720000</v>
      </c>
      <c r="F28" s="24" t="s">
        <v>90</v>
      </c>
      <c r="G28" s="24"/>
      <c r="H28" s="24"/>
      <c r="I28" s="24"/>
      <c r="J28" s="24"/>
      <c r="K28" s="24"/>
    </row>
    <row r="29" spans="1:13">
      <c r="B29" s="24" t="s">
        <v>504</v>
      </c>
      <c r="C29" s="54">
        <f>NPV(0.15,'Summary Cash Flows'!C28:G28)</f>
        <v>-6782045.5713716093</v>
      </c>
      <c r="D29" s="27">
        <f t="shared" si="0"/>
        <v>3000000</v>
      </c>
      <c r="E29" s="56">
        <f>C29-D29</f>
        <v>-9782045.5713716093</v>
      </c>
      <c r="F29" s="24" t="s">
        <v>91</v>
      </c>
      <c r="G29" s="24"/>
      <c r="H29" s="24"/>
      <c r="I29" s="24"/>
      <c r="J29" s="24"/>
      <c r="K29" s="24"/>
    </row>
    <row r="30" spans="1:13">
      <c r="B30" s="24" t="s">
        <v>18</v>
      </c>
      <c r="C30" s="28"/>
      <c r="D30" s="28"/>
      <c r="E30" s="53" t="e">
        <f>AVERAGE(E27:E29)</f>
        <v>#REF!</v>
      </c>
      <c r="F30" s="24"/>
      <c r="G30" s="24"/>
      <c r="H30" s="24"/>
      <c r="I30" s="24"/>
      <c r="J30" s="24"/>
      <c r="K30" s="24"/>
    </row>
    <row r="31" spans="1:13">
      <c r="B31" s="24"/>
      <c r="C31" s="28"/>
      <c r="D31" s="28"/>
      <c r="E31" s="28"/>
      <c r="F31" s="24"/>
      <c r="G31" s="24"/>
      <c r="H31" s="24"/>
      <c r="I31" s="24"/>
      <c r="J31" s="24"/>
      <c r="K31" s="24"/>
    </row>
    <row r="32" spans="1:13">
      <c r="B32" s="59" t="s">
        <v>17</v>
      </c>
      <c r="C32" s="60"/>
      <c r="D32" s="60"/>
      <c r="E32" s="60"/>
      <c r="F32" s="61"/>
      <c r="G32" s="61"/>
      <c r="H32" s="61"/>
      <c r="I32" s="61"/>
      <c r="J32" s="61"/>
      <c r="K32" s="24"/>
    </row>
    <row r="33" spans="2:11">
      <c r="B33" s="66" t="s">
        <v>19</v>
      </c>
      <c r="C33" s="62"/>
      <c r="D33" s="63">
        <v>550000</v>
      </c>
      <c r="E33" s="66" t="s">
        <v>53</v>
      </c>
      <c r="F33" s="68"/>
      <c r="G33" s="68"/>
      <c r="H33" s="68"/>
      <c r="I33" s="69"/>
      <c r="J33" s="64"/>
      <c r="K33" s="24"/>
    </row>
    <row r="34" spans="2:11">
      <c r="B34" s="67" t="s">
        <v>44</v>
      </c>
      <c r="C34" s="62"/>
      <c r="D34" s="63">
        <v>1000000</v>
      </c>
      <c r="E34" s="68" t="s">
        <v>54</v>
      </c>
      <c r="F34" s="68"/>
      <c r="G34" s="68"/>
      <c r="H34" s="68"/>
      <c r="I34" s="69"/>
      <c r="J34" s="64"/>
      <c r="K34" s="24"/>
    </row>
    <row r="35" spans="2:11">
      <c r="B35" s="66" t="s">
        <v>45</v>
      </c>
      <c r="C35" s="62"/>
      <c r="D35" s="63">
        <v>670000</v>
      </c>
      <c r="E35" s="70" t="s">
        <v>45</v>
      </c>
      <c r="F35" s="68"/>
      <c r="G35" s="68"/>
      <c r="H35" s="68"/>
      <c r="I35" s="69"/>
      <c r="J35" s="64"/>
      <c r="K35" s="24"/>
    </row>
    <row r="36" spans="2:11">
      <c r="B36" s="66" t="s">
        <v>56</v>
      </c>
      <c r="C36" s="62"/>
      <c r="D36" s="65">
        <v>500000</v>
      </c>
      <c r="E36" s="68" t="s">
        <v>55</v>
      </c>
      <c r="F36" s="68"/>
      <c r="G36" s="68"/>
      <c r="H36" s="68"/>
      <c r="I36" s="69"/>
      <c r="J36" s="64"/>
      <c r="K36" s="24"/>
    </row>
    <row r="37" spans="2:11">
      <c r="B37" s="63"/>
      <c r="C37" s="62"/>
      <c r="D37" s="63">
        <f>SUM(D33:D36)</f>
        <v>2720000</v>
      </c>
      <c r="E37" s="68"/>
      <c r="F37" s="68"/>
      <c r="G37" s="68"/>
      <c r="H37" s="68"/>
      <c r="I37" s="69"/>
      <c r="J37" s="64"/>
      <c r="K37" s="24"/>
    </row>
    <row r="38" spans="2:11">
      <c r="B38" s="24"/>
      <c r="C38" s="24"/>
      <c r="D38" s="24"/>
      <c r="E38" s="24"/>
      <c r="F38" s="24"/>
      <c r="G38" s="24"/>
      <c r="H38" s="24"/>
      <c r="I38" s="24"/>
      <c r="J38" s="24"/>
      <c r="K38" s="24"/>
    </row>
  </sheetData>
  <phoneticPr fontId="12" type="noConversion"/>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G67"/>
  <sheetViews>
    <sheetView workbookViewId="0">
      <selection activeCell="F37" sqref="F37"/>
    </sheetView>
  </sheetViews>
  <sheetFormatPr defaultColWidth="8.85546875" defaultRowHeight="15"/>
  <cols>
    <col min="2" max="2" width="40.85546875" bestFit="1" customWidth="1"/>
    <col min="3" max="3" width="20.85546875" bestFit="1" customWidth="1"/>
    <col min="4" max="4" width="8.85546875" bestFit="1" customWidth="1"/>
    <col min="5" max="5" width="13.42578125" bestFit="1" customWidth="1"/>
    <col min="6" max="6" width="25.28515625" customWidth="1"/>
    <col min="7" max="7" width="40.42578125" customWidth="1"/>
    <col min="9" max="9" width="40.85546875" bestFit="1" customWidth="1"/>
    <col min="10" max="10" width="10" bestFit="1" customWidth="1"/>
    <col min="11" max="11" width="8.85546875" bestFit="1" customWidth="1"/>
    <col min="12" max="12" width="13.42578125" bestFit="1" customWidth="1"/>
  </cols>
  <sheetData>
    <row r="1" spans="2:7">
      <c r="B1" t="s">
        <v>276</v>
      </c>
    </row>
    <row r="3" spans="2:7">
      <c r="B3">
        <v>185</v>
      </c>
      <c r="G3" s="131" t="s">
        <v>261</v>
      </c>
    </row>
    <row r="4" spans="2:7">
      <c r="B4" s="2" t="s">
        <v>275</v>
      </c>
      <c r="C4" s="10" t="s">
        <v>259</v>
      </c>
      <c r="D4" s="10" t="s">
        <v>258</v>
      </c>
      <c r="E4" s="10" t="s">
        <v>257</v>
      </c>
      <c r="F4" s="10" t="s">
        <v>306</v>
      </c>
      <c r="G4" s="109" t="s">
        <v>274</v>
      </c>
    </row>
    <row r="5" spans="2:7">
      <c r="B5" t="s">
        <v>255</v>
      </c>
      <c r="C5" s="130">
        <v>0.1</v>
      </c>
      <c r="D5" s="7">
        <v>0.88</v>
      </c>
      <c r="E5" s="128">
        <f>D51/1000</f>
        <v>1.08</v>
      </c>
      <c r="F5" s="5">
        <f>C5*E5*$B$3/D5</f>
        <v>22.70454545454546</v>
      </c>
      <c r="G5" t="s">
        <v>254</v>
      </c>
    </row>
    <row r="6" spans="2:7">
      <c r="B6" t="s">
        <v>253</v>
      </c>
      <c r="C6" s="129" t="s">
        <v>273</v>
      </c>
      <c r="D6" s="7">
        <v>1.2</v>
      </c>
      <c r="E6" s="128">
        <f>D53/1000</f>
        <v>3.18</v>
      </c>
      <c r="F6" s="5">
        <f>0.05*E6*$B$3/D6</f>
        <v>24.512500000000006</v>
      </c>
      <c r="G6" t="s">
        <v>272</v>
      </c>
    </row>
    <row r="7" spans="2:7">
      <c r="B7" t="s">
        <v>251</v>
      </c>
      <c r="C7" s="129" t="s">
        <v>250</v>
      </c>
      <c r="D7" s="7">
        <v>0.92</v>
      </c>
      <c r="E7" s="128">
        <f>D54/1000</f>
        <v>4.1100000000000003</v>
      </c>
      <c r="F7" s="5">
        <f>0.003*E7*$B$3/D7</f>
        <v>2.4794021739130434</v>
      </c>
      <c r="G7" t="s">
        <v>249</v>
      </c>
    </row>
    <row r="8" spans="2:7">
      <c r="B8" t="s">
        <v>248</v>
      </c>
      <c r="C8" s="7"/>
      <c r="D8" s="7"/>
      <c r="E8" s="7"/>
      <c r="G8" t="s">
        <v>247</v>
      </c>
    </row>
    <row r="9" spans="2:7">
      <c r="B9" t="s">
        <v>246</v>
      </c>
      <c r="C9" s="7" t="s">
        <v>245</v>
      </c>
      <c r="D9" s="7">
        <v>0.92</v>
      </c>
      <c r="E9">
        <f>D55/1000</f>
        <v>9.1199999999999992</v>
      </c>
      <c r="F9" s="6">
        <f>0.0005*E9*B3/D9</f>
        <v>0.91695652173913045</v>
      </c>
    </row>
    <row r="10" spans="2:7">
      <c r="B10" s="2" t="s">
        <v>271</v>
      </c>
      <c r="C10" s="10" t="s">
        <v>270</v>
      </c>
      <c r="D10" s="10">
        <v>1.06</v>
      </c>
      <c r="E10" s="126">
        <f>D57/1000</f>
        <v>3.5750000000000002</v>
      </c>
      <c r="F10" s="125">
        <f>0.06*E10*200/D10</f>
        <v>40.471698113207545</v>
      </c>
      <c r="G10" t="s">
        <v>269</v>
      </c>
    </row>
    <row r="11" spans="2:7">
      <c r="F11" s="5">
        <f>SUM(F5:F10)</f>
        <v>91.08510226340519</v>
      </c>
    </row>
    <row r="13" spans="2:7">
      <c r="B13" s="132"/>
    </row>
    <row r="14" spans="2:7">
      <c r="B14">
        <v>185</v>
      </c>
      <c r="G14" s="131" t="s">
        <v>261</v>
      </c>
    </row>
    <row r="15" spans="2:7">
      <c r="B15" s="2" t="s">
        <v>268</v>
      </c>
      <c r="C15" s="10" t="s">
        <v>259</v>
      </c>
      <c r="D15" s="10" t="s">
        <v>258</v>
      </c>
      <c r="E15" s="10" t="s">
        <v>257</v>
      </c>
      <c r="F15" s="10" t="s">
        <v>306</v>
      </c>
      <c r="G15" s="109" t="s">
        <v>267</v>
      </c>
    </row>
    <row r="16" spans="2:7">
      <c r="B16" t="s">
        <v>255</v>
      </c>
      <c r="C16" s="130">
        <v>0.1</v>
      </c>
      <c r="D16" s="7">
        <v>0.88</v>
      </c>
      <c r="E16" s="128">
        <f>D51/1000</f>
        <v>1.08</v>
      </c>
      <c r="F16" s="5">
        <f>C16*E16*B14/D16</f>
        <v>22.70454545454546</v>
      </c>
      <c r="G16" t="s">
        <v>254</v>
      </c>
    </row>
    <row r="17" spans="2:7">
      <c r="B17" t="s">
        <v>253</v>
      </c>
      <c r="C17" s="129" t="s">
        <v>252</v>
      </c>
      <c r="D17" s="7">
        <v>1.2</v>
      </c>
      <c r="E17" s="128">
        <f>D64/1000</f>
        <v>4.55</v>
      </c>
      <c r="F17" s="5"/>
    </row>
    <row r="18" spans="2:7">
      <c r="B18" t="s">
        <v>251</v>
      </c>
      <c r="C18" s="129" t="s">
        <v>250</v>
      </c>
      <c r="D18" s="7">
        <v>0.92</v>
      </c>
      <c r="E18" s="128">
        <f>E7</f>
        <v>4.1100000000000003</v>
      </c>
      <c r="F18" s="5">
        <f>0.003*E18*$B$3/D18</f>
        <v>2.4794021739130434</v>
      </c>
      <c r="G18" t="s">
        <v>249</v>
      </c>
    </row>
    <row r="19" spans="2:7">
      <c r="B19" t="s">
        <v>248</v>
      </c>
      <c r="C19" s="7"/>
      <c r="D19" s="7"/>
      <c r="E19" s="7"/>
      <c r="G19" t="s">
        <v>247</v>
      </c>
    </row>
    <row r="20" spans="2:7">
      <c r="B20" t="s">
        <v>246</v>
      </c>
      <c r="C20" s="7" t="s">
        <v>245</v>
      </c>
      <c r="D20" s="7">
        <v>0.92</v>
      </c>
      <c r="E20">
        <f>E9</f>
        <v>9.1199999999999992</v>
      </c>
      <c r="F20" s="5">
        <f>F9</f>
        <v>0.91695652173913045</v>
      </c>
    </row>
    <row r="21" spans="2:7">
      <c r="B21" s="2" t="s">
        <v>266</v>
      </c>
      <c r="C21" s="127">
        <v>6.8000000000000005E-2</v>
      </c>
      <c r="D21" s="10">
        <v>0.99</v>
      </c>
      <c r="E21" s="126">
        <f>D56/1000</f>
        <v>3.65</v>
      </c>
      <c r="F21" s="125">
        <f>C21*E21*B14/D21</f>
        <v>46.38080808080808</v>
      </c>
      <c r="G21" t="s">
        <v>265</v>
      </c>
    </row>
    <row r="22" spans="2:7">
      <c r="F22" s="5">
        <f>SUM(F16:F21)</f>
        <v>72.481712231005716</v>
      </c>
    </row>
    <row r="23" spans="2:7">
      <c r="B23" s="132"/>
    </row>
    <row r="24" spans="2:7">
      <c r="B24" s="132"/>
    </row>
    <row r="25" spans="2:7">
      <c r="B25">
        <v>185</v>
      </c>
      <c r="G25" s="131" t="s">
        <v>261</v>
      </c>
    </row>
    <row r="26" spans="2:7">
      <c r="B26" s="2" t="s">
        <v>264</v>
      </c>
      <c r="C26" s="10" t="s">
        <v>259</v>
      </c>
      <c r="D26" s="10" t="s">
        <v>258</v>
      </c>
      <c r="E26" s="10" t="s">
        <v>257</v>
      </c>
      <c r="F26" s="10" t="s">
        <v>306</v>
      </c>
      <c r="G26" s="109" t="s">
        <v>263</v>
      </c>
    </row>
    <row r="27" spans="2:7">
      <c r="B27" t="s">
        <v>255</v>
      </c>
      <c r="C27" s="130">
        <v>0.05</v>
      </c>
      <c r="D27" s="7">
        <v>0.88</v>
      </c>
      <c r="E27" s="128">
        <f>E16</f>
        <v>1.08</v>
      </c>
      <c r="F27" s="5">
        <f>C27*E27*B25/D27</f>
        <v>11.35227272727273</v>
      </c>
      <c r="G27" t="s">
        <v>254</v>
      </c>
    </row>
    <row r="28" spans="2:7">
      <c r="B28" t="s">
        <v>253</v>
      </c>
      <c r="C28" s="129" t="s">
        <v>252</v>
      </c>
      <c r="D28" s="7">
        <v>1.2</v>
      </c>
      <c r="E28" s="128">
        <f>E17</f>
        <v>4.55</v>
      </c>
      <c r="F28" s="5"/>
    </row>
    <row r="29" spans="2:7">
      <c r="B29" t="s">
        <v>251</v>
      </c>
      <c r="C29" s="129" t="s">
        <v>250</v>
      </c>
      <c r="D29" s="7">
        <v>0.92</v>
      </c>
      <c r="E29" s="128">
        <f>E18</f>
        <v>4.1100000000000003</v>
      </c>
      <c r="F29" s="5">
        <f>0.003*E29*$B$3/D29</f>
        <v>2.4794021739130434</v>
      </c>
      <c r="G29" t="s">
        <v>249</v>
      </c>
    </row>
    <row r="30" spans="2:7">
      <c r="B30" t="s">
        <v>248</v>
      </c>
      <c r="C30" s="7"/>
      <c r="D30" s="7"/>
      <c r="E30" s="7"/>
      <c r="G30" t="s">
        <v>247</v>
      </c>
    </row>
    <row r="31" spans="2:7">
      <c r="B31" t="s">
        <v>246</v>
      </c>
      <c r="C31" s="7" t="s">
        <v>245</v>
      </c>
      <c r="D31" s="7">
        <v>0.92</v>
      </c>
      <c r="E31">
        <f>E20</f>
        <v>9.1199999999999992</v>
      </c>
      <c r="F31" s="5">
        <f>F20</f>
        <v>0.91695652173913045</v>
      </c>
    </row>
    <row r="32" spans="2:7">
      <c r="B32" s="2" t="s">
        <v>262</v>
      </c>
      <c r="C32" s="127">
        <v>1.2500000000000001E-2</v>
      </c>
      <c r="D32" s="10">
        <v>1.08</v>
      </c>
      <c r="E32" s="126">
        <f>D60/1000</f>
        <v>4.8499999999999996</v>
      </c>
      <c r="F32" s="125">
        <f>C32*E32*B25/D32</f>
        <v>10.384837962962962</v>
      </c>
      <c r="G32" t="s">
        <v>243</v>
      </c>
    </row>
    <row r="33" spans="2:7">
      <c r="B33" s="1"/>
      <c r="C33" s="124"/>
      <c r="D33" s="79"/>
      <c r="E33" s="123"/>
      <c r="F33" s="5">
        <f>SUM(F27:F32)</f>
        <v>25.133469385887867</v>
      </c>
    </row>
    <row r="34" spans="2:7">
      <c r="B34" s="1"/>
      <c r="C34" s="124"/>
      <c r="D34" s="79"/>
      <c r="E34" s="123"/>
      <c r="F34" s="5"/>
    </row>
    <row r="35" spans="2:7">
      <c r="B35" s="1"/>
      <c r="C35" s="124"/>
      <c r="D35" s="79"/>
      <c r="E35" s="123"/>
      <c r="F35" s="5"/>
    </row>
    <row r="36" spans="2:7">
      <c r="B36">
        <v>185</v>
      </c>
      <c r="G36" s="131" t="s">
        <v>261</v>
      </c>
    </row>
    <row r="37" spans="2:7">
      <c r="B37" s="2" t="s">
        <v>260</v>
      </c>
      <c r="C37" s="10" t="s">
        <v>259</v>
      </c>
      <c r="D37" s="10" t="s">
        <v>258</v>
      </c>
      <c r="E37" s="10" t="s">
        <v>257</v>
      </c>
      <c r="F37" s="10" t="s">
        <v>306</v>
      </c>
      <c r="G37" s="109" t="s">
        <v>256</v>
      </c>
    </row>
    <row r="38" spans="2:7">
      <c r="B38" t="s">
        <v>255</v>
      </c>
      <c r="C38" s="130">
        <v>0.05</v>
      </c>
      <c r="D38" s="7">
        <v>0.88</v>
      </c>
      <c r="E38" s="128">
        <f>E27</f>
        <v>1.08</v>
      </c>
      <c r="F38" s="5">
        <f>C38*E38*B36/D38</f>
        <v>11.35227272727273</v>
      </c>
      <c r="G38" t="s">
        <v>254</v>
      </c>
    </row>
    <row r="39" spans="2:7">
      <c r="B39" t="s">
        <v>253</v>
      </c>
      <c r="C39" s="129" t="s">
        <v>252</v>
      </c>
      <c r="D39" s="7">
        <v>1.2</v>
      </c>
      <c r="E39" s="128">
        <f>E28</f>
        <v>4.55</v>
      </c>
      <c r="F39" s="5"/>
    </row>
    <row r="40" spans="2:7">
      <c r="B40" t="s">
        <v>251</v>
      </c>
      <c r="C40" s="129" t="s">
        <v>250</v>
      </c>
      <c r="D40" s="7">
        <v>0.92</v>
      </c>
      <c r="E40" s="128">
        <f>E29</f>
        <v>4.1100000000000003</v>
      </c>
      <c r="F40" s="5">
        <f>0.003*E40*$B$3/D40</f>
        <v>2.4794021739130434</v>
      </c>
      <c r="G40" t="s">
        <v>249</v>
      </c>
    </row>
    <row r="41" spans="2:7">
      <c r="B41" t="s">
        <v>248</v>
      </c>
      <c r="C41" s="7"/>
      <c r="D41" s="7"/>
      <c r="E41" s="7"/>
      <c r="G41" t="s">
        <v>247</v>
      </c>
    </row>
    <row r="42" spans="2:7">
      <c r="B42" t="s">
        <v>246</v>
      </c>
      <c r="C42" s="7" t="s">
        <v>245</v>
      </c>
      <c r="D42" s="7">
        <v>0.92</v>
      </c>
      <c r="E42">
        <f>E31</f>
        <v>9.1199999999999992</v>
      </c>
      <c r="F42" s="5">
        <f>F31</f>
        <v>0.91695652173913045</v>
      </c>
    </row>
    <row r="43" spans="2:7">
      <c r="B43" s="2" t="s">
        <v>244</v>
      </c>
      <c r="C43" s="127">
        <v>0.04</v>
      </c>
      <c r="D43" s="10">
        <v>1.08</v>
      </c>
      <c r="E43" s="126">
        <f>D59/1000</f>
        <v>5.23</v>
      </c>
      <c r="F43" s="125">
        <f>C43*E43*B36/D43</f>
        <v>35.835185185185189</v>
      </c>
      <c r="G43" t="s">
        <v>243</v>
      </c>
    </row>
    <row r="44" spans="2:7">
      <c r="B44" s="1"/>
      <c r="C44" s="124"/>
      <c r="D44" s="79"/>
      <c r="E44" s="123"/>
      <c r="F44" s="5">
        <f>SUM(F38:F43)</f>
        <v>50.583816608110098</v>
      </c>
    </row>
    <row r="45" spans="2:7">
      <c r="B45" s="1"/>
      <c r="C45" s="124"/>
      <c r="D45" s="79"/>
      <c r="E45" s="123"/>
      <c r="F45" s="5"/>
    </row>
    <row r="46" spans="2:7">
      <c r="B46" s="1"/>
      <c r="C46" s="124"/>
      <c r="D46" s="79"/>
      <c r="E46" s="123"/>
      <c r="F46" s="5"/>
    </row>
    <row r="47" spans="2:7">
      <c r="B47" s="1"/>
      <c r="C47" s="124"/>
      <c r="D47" s="79"/>
      <c r="E47" s="123"/>
      <c r="F47" s="122"/>
    </row>
    <row r="48" spans="2:7" ht="15.75" thickBot="1"/>
    <row r="49" spans="2:5">
      <c r="B49" s="767" t="s">
        <v>242</v>
      </c>
      <c r="C49" s="769" t="s">
        <v>241</v>
      </c>
      <c r="D49" s="121" t="s">
        <v>240</v>
      </c>
      <c r="E49" s="769" t="s">
        <v>239</v>
      </c>
    </row>
    <row r="50" spans="2:5" ht="45.75" thickBot="1">
      <c r="B50" s="768"/>
      <c r="C50" s="770"/>
      <c r="D50" s="120" t="s">
        <v>238</v>
      </c>
      <c r="E50" s="770"/>
    </row>
    <row r="51" spans="2:5" ht="31.5" thickTop="1" thickBot="1">
      <c r="B51" s="116" t="s">
        <v>237</v>
      </c>
      <c r="C51" s="114">
        <v>175</v>
      </c>
      <c r="D51" s="115">
        <v>1080</v>
      </c>
      <c r="E51" s="114" t="s">
        <v>236</v>
      </c>
    </row>
    <row r="52" spans="2:5" ht="15.75" thickBot="1">
      <c r="B52" s="113" t="s">
        <v>235</v>
      </c>
      <c r="C52" s="112">
        <v>200</v>
      </c>
      <c r="D52" s="117">
        <v>3110</v>
      </c>
      <c r="E52" s="112" t="s">
        <v>234</v>
      </c>
    </row>
    <row r="53" spans="2:5" ht="15.75" thickBot="1">
      <c r="B53" s="116" t="s">
        <v>233</v>
      </c>
      <c r="C53" s="114">
        <v>200</v>
      </c>
      <c r="D53" s="115">
        <v>3180</v>
      </c>
      <c r="E53" s="114" t="s">
        <v>232</v>
      </c>
    </row>
    <row r="54" spans="2:5" ht="15.75" thickBot="1">
      <c r="B54" s="113" t="s">
        <v>231</v>
      </c>
      <c r="C54" s="112">
        <v>180</v>
      </c>
      <c r="D54" s="117">
        <v>4110</v>
      </c>
      <c r="E54" s="112" t="s">
        <v>230</v>
      </c>
    </row>
    <row r="55" spans="2:5" ht="15.75" thickBot="1">
      <c r="B55" s="116" t="s">
        <v>229</v>
      </c>
      <c r="C55" s="114">
        <v>200</v>
      </c>
      <c r="D55" s="115">
        <v>9120</v>
      </c>
      <c r="E55" s="114" t="s">
        <v>228</v>
      </c>
    </row>
    <row r="56" spans="2:5" ht="30.75" thickBot="1">
      <c r="B56" s="119" t="s">
        <v>227</v>
      </c>
      <c r="C56" s="112">
        <v>200</v>
      </c>
      <c r="D56" s="117">
        <v>3650</v>
      </c>
      <c r="E56" s="112" t="s">
        <v>226</v>
      </c>
    </row>
    <row r="57" spans="2:5" ht="30">
      <c r="B57" s="771" t="s">
        <v>225</v>
      </c>
      <c r="C57" s="771">
        <v>200</v>
      </c>
      <c r="D57" s="773">
        <v>3575</v>
      </c>
      <c r="E57" s="118" t="s">
        <v>224</v>
      </c>
    </row>
    <row r="58" spans="2:5" ht="15.75" thickBot="1">
      <c r="B58" s="772"/>
      <c r="C58" s="772"/>
      <c r="D58" s="774"/>
      <c r="E58" s="114" t="s">
        <v>223</v>
      </c>
    </row>
    <row r="59" spans="2:5" ht="15.75" thickBot="1">
      <c r="B59" s="113" t="s">
        <v>222</v>
      </c>
      <c r="C59" s="112">
        <v>220</v>
      </c>
      <c r="D59" s="117">
        <v>5230</v>
      </c>
      <c r="E59" s="112" t="s">
        <v>221</v>
      </c>
    </row>
    <row r="60" spans="2:5" ht="15.75" thickBot="1">
      <c r="B60" s="116" t="s">
        <v>220</v>
      </c>
      <c r="C60" s="114">
        <v>215</v>
      </c>
      <c r="D60" s="115">
        <v>4850</v>
      </c>
      <c r="E60" s="114" t="s">
        <v>219</v>
      </c>
    </row>
    <row r="61" spans="2:5" ht="30.75" thickBot="1">
      <c r="B61" s="113" t="s">
        <v>218</v>
      </c>
      <c r="C61" s="112">
        <v>180</v>
      </c>
      <c r="D61" s="117">
        <v>5500</v>
      </c>
      <c r="E61" s="112" t="s">
        <v>217</v>
      </c>
    </row>
    <row r="62" spans="2:5" ht="15.75" thickBot="1">
      <c r="B62" s="116" t="s">
        <v>216</v>
      </c>
      <c r="C62" s="114">
        <v>200</v>
      </c>
      <c r="D62" s="115">
        <v>3650</v>
      </c>
      <c r="E62" s="114" t="s">
        <v>215</v>
      </c>
    </row>
    <row r="63" spans="2:5" ht="15.75" thickBot="1">
      <c r="B63" s="113" t="s">
        <v>214</v>
      </c>
      <c r="C63" s="112">
        <v>180</v>
      </c>
      <c r="D63" s="117">
        <v>3895</v>
      </c>
      <c r="E63" s="112" t="s">
        <v>213</v>
      </c>
    </row>
    <row r="64" spans="2:5" ht="15.75" thickBot="1">
      <c r="B64" s="116" t="s">
        <v>212</v>
      </c>
      <c r="C64" s="114">
        <v>25</v>
      </c>
      <c r="D64" s="115">
        <v>4550</v>
      </c>
      <c r="E64" s="114" t="s">
        <v>211</v>
      </c>
    </row>
    <row r="65" spans="2:5" ht="15.75" thickBot="1">
      <c r="B65" s="113" t="s">
        <v>210</v>
      </c>
      <c r="C65" s="112">
        <v>220</v>
      </c>
      <c r="D65" s="117">
        <v>1290</v>
      </c>
      <c r="E65" s="112" t="s">
        <v>209</v>
      </c>
    </row>
    <row r="66" spans="2:5" ht="15.75" thickBot="1">
      <c r="B66" s="116" t="s">
        <v>208</v>
      </c>
      <c r="C66" s="114">
        <v>220</v>
      </c>
      <c r="D66" s="115">
        <v>1610</v>
      </c>
      <c r="E66" s="114" t="s">
        <v>207</v>
      </c>
    </row>
    <row r="67" spans="2:5" ht="15.75" thickBot="1">
      <c r="B67" s="113" t="s">
        <v>206</v>
      </c>
      <c r="C67" s="112">
        <v>220</v>
      </c>
      <c r="D67" s="112">
        <v>405</v>
      </c>
      <c r="E67" s="112" t="s">
        <v>205</v>
      </c>
    </row>
  </sheetData>
  <mergeCells count="6">
    <mergeCell ref="B49:B50"/>
    <mergeCell ref="C49:C50"/>
    <mergeCell ref="E49:E50"/>
    <mergeCell ref="B57:B58"/>
    <mergeCell ref="C57:C58"/>
    <mergeCell ref="D57:D58"/>
  </mergeCells>
  <pageMargins left="0.7" right="0.7" top="0.75" bottom="0.75" header="0.3" footer="0.3"/>
  <pageSetup orientation="portrait" horizontalDpi="4294967293" verticalDpi="4294967293"/>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3:JE18"/>
  <sheetViews>
    <sheetView zoomScale="80" zoomScaleNormal="80" zoomScalePageLayoutView="80" workbookViewId="0">
      <pane xSplit="1" ySplit="3" topLeftCell="K19" activePane="bottomRight" state="frozen"/>
      <selection pane="topRight" activeCell="B1" sqref="B1"/>
      <selection pane="bottomLeft" activeCell="A4" sqref="A4"/>
      <selection pane="bottomRight" activeCell="D17" sqref="D17"/>
    </sheetView>
  </sheetViews>
  <sheetFormatPr defaultColWidth="8.85546875" defaultRowHeight="15"/>
  <cols>
    <col min="1" max="1" width="42" bestFit="1" customWidth="1"/>
  </cols>
  <sheetData>
    <row r="3" spans="1:265">
      <c r="B3" s="97">
        <v>38292</v>
      </c>
      <c r="C3" s="97">
        <v>38322</v>
      </c>
      <c r="D3" s="97">
        <v>38353</v>
      </c>
      <c r="E3" s="97">
        <v>38384</v>
      </c>
      <c r="F3" s="97">
        <v>38412</v>
      </c>
      <c r="G3" s="97">
        <v>38443</v>
      </c>
      <c r="H3" s="97">
        <v>38473</v>
      </c>
      <c r="I3" s="97">
        <v>38504</v>
      </c>
      <c r="J3" s="97">
        <v>38534</v>
      </c>
      <c r="K3" s="97">
        <v>38565</v>
      </c>
      <c r="L3" s="97">
        <v>38596</v>
      </c>
      <c r="M3" s="97">
        <v>38626</v>
      </c>
      <c r="N3" s="97">
        <v>38657</v>
      </c>
      <c r="O3" s="97">
        <v>38687</v>
      </c>
      <c r="P3" s="97">
        <v>38718</v>
      </c>
      <c r="Q3" s="97">
        <v>38749</v>
      </c>
      <c r="R3" s="97">
        <v>38777</v>
      </c>
      <c r="S3" s="97">
        <v>38808</v>
      </c>
      <c r="T3" s="97">
        <v>38838</v>
      </c>
      <c r="U3" s="97">
        <v>38869</v>
      </c>
      <c r="V3" s="97">
        <v>38899</v>
      </c>
      <c r="W3" s="97">
        <v>38930</v>
      </c>
      <c r="X3" s="97">
        <v>38961</v>
      </c>
      <c r="Y3" s="97">
        <v>38991</v>
      </c>
      <c r="Z3" s="97">
        <v>39022</v>
      </c>
      <c r="AA3" s="97">
        <v>39052</v>
      </c>
      <c r="AB3" s="97">
        <v>39083</v>
      </c>
      <c r="AC3" s="97">
        <v>39114</v>
      </c>
      <c r="AD3" s="97">
        <v>39142</v>
      </c>
      <c r="AE3" s="97">
        <v>39173</v>
      </c>
      <c r="AF3" s="97">
        <v>39203</v>
      </c>
      <c r="AG3" s="97">
        <v>39234</v>
      </c>
      <c r="AH3" s="97">
        <v>39264</v>
      </c>
      <c r="AI3" s="97">
        <v>39295</v>
      </c>
      <c r="AJ3" s="97">
        <v>39326</v>
      </c>
      <c r="AK3" s="97">
        <v>39356</v>
      </c>
      <c r="AL3" s="97">
        <v>39387</v>
      </c>
      <c r="AM3" s="97">
        <v>39417</v>
      </c>
      <c r="AN3" s="97">
        <v>39448</v>
      </c>
      <c r="AO3" s="97">
        <v>39479</v>
      </c>
      <c r="AP3" s="97">
        <v>39508</v>
      </c>
      <c r="AQ3" s="97">
        <v>39539</v>
      </c>
      <c r="AR3" s="97">
        <v>39569</v>
      </c>
      <c r="AS3" s="97">
        <v>39600</v>
      </c>
      <c r="AT3" s="97">
        <v>39630</v>
      </c>
      <c r="AU3" s="97">
        <v>39661</v>
      </c>
      <c r="AV3" s="97">
        <v>39692</v>
      </c>
      <c r="AW3" s="97">
        <v>39722</v>
      </c>
      <c r="AX3" s="97">
        <v>39753</v>
      </c>
      <c r="AY3" s="97">
        <v>39783</v>
      </c>
      <c r="AZ3" s="97">
        <v>39814</v>
      </c>
      <c r="BA3" s="97">
        <v>39845</v>
      </c>
      <c r="BB3" s="97">
        <v>39873</v>
      </c>
      <c r="BC3" s="97">
        <v>39904</v>
      </c>
      <c r="BD3" s="97">
        <v>39934</v>
      </c>
      <c r="BE3" s="97">
        <v>39965</v>
      </c>
      <c r="BF3" s="97">
        <v>39995</v>
      </c>
      <c r="BG3" s="97">
        <v>40026</v>
      </c>
      <c r="BH3" s="97">
        <v>40057</v>
      </c>
      <c r="BI3" s="97">
        <v>40087</v>
      </c>
      <c r="BJ3" s="97">
        <v>40118</v>
      </c>
      <c r="BK3" s="97">
        <v>40148</v>
      </c>
      <c r="BL3" s="97">
        <v>40179</v>
      </c>
      <c r="BM3" s="97">
        <v>40210</v>
      </c>
      <c r="BN3" s="97">
        <v>40238</v>
      </c>
      <c r="BO3" s="97">
        <v>40269</v>
      </c>
      <c r="BP3" s="97">
        <v>40299</v>
      </c>
      <c r="BQ3" s="97">
        <v>40330</v>
      </c>
      <c r="BR3" s="97">
        <v>40360</v>
      </c>
      <c r="BS3" s="97">
        <v>40391</v>
      </c>
      <c r="BT3" s="97">
        <v>40422</v>
      </c>
      <c r="BU3" s="97">
        <v>40452</v>
      </c>
      <c r="BV3" s="97">
        <v>40483</v>
      </c>
      <c r="BW3" s="97">
        <v>40513</v>
      </c>
      <c r="BX3" s="97">
        <v>40544</v>
      </c>
      <c r="BY3" s="97">
        <v>40575</v>
      </c>
      <c r="BZ3" s="97">
        <v>40603</v>
      </c>
      <c r="CA3" s="97">
        <v>40634</v>
      </c>
      <c r="CB3" s="97">
        <v>40664</v>
      </c>
      <c r="CC3" s="97">
        <v>40695</v>
      </c>
      <c r="CD3" s="97">
        <v>40725</v>
      </c>
      <c r="CE3" s="97">
        <v>40756</v>
      </c>
      <c r="CF3" s="97">
        <v>40787</v>
      </c>
      <c r="CG3" s="97">
        <v>40817</v>
      </c>
      <c r="CH3" s="97">
        <v>40848</v>
      </c>
      <c r="CI3" s="97">
        <v>40878</v>
      </c>
      <c r="CJ3" s="97">
        <v>40909</v>
      </c>
      <c r="CK3" s="97">
        <v>40940</v>
      </c>
      <c r="CL3" s="97">
        <v>40969</v>
      </c>
      <c r="CM3" s="97">
        <v>41000</v>
      </c>
      <c r="CN3" s="97">
        <v>41030</v>
      </c>
      <c r="CO3" s="97">
        <v>41061</v>
      </c>
      <c r="CP3" s="97">
        <v>41091</v>
      </c>
      <c r="CQ3" s="97">
        <v>41122</v>
      </c>
      <c r="CR3" s="97">
        <v>41153</v>
      </c>
      <c r="CS3" s="97">
        <v>41183</v>
      </c>
      <c r="CT3" s="97">
        <v>41214</v>
      </c>
      <c r="CU3" s="97">
        <v>41244</v>
      </c>
      <c r="CV3" s="97">
        <v>41275</v>
      </c>
      <c r="CW3" s="97">
        <v>41306</v>
      </c>
      <c r="CX3" s="97">
        <v>41334</v>
      </c>
      <c r="CY3" s="97">
        <v>41365</v>
      </c>
      <c r="CZ3" s="97">
        <v>41395</v>
      </c>
      <c r="DA3" s="97">
        <v>41426</v>
      </c>
      <c r="DB3" s="97">
        <v>41456</v>
      </c>
      <c r="DC3" s="97">
        <v>41487</v>
      </c>
      <c r="DD3" s="97">
        <v>41518</v>
      </c>
      <c r="DE3" s="97">
        <v>41548</v>
      </c>
      <c r="DF3" s="97">
        <v>41579</v>
      </c>
      <c r="DG3" s="97">
        <v>41609</v>
      </c>
      <c r="DH3" s="97">
        <v>41640</v>
      </c>
      <c r="DI3" s="97">
        <v>41671</v>
      </c>
      <c r="DJ3" s="97">
        <v>41699</v>
      </c>
      <c r="DK3" s="97">
        <v>41730</v>
      </c>
      <c r="DL3" s="97">
        <v>41760</v>
      </c>
      <c r="DM3" s="97">
        <v>41791</v>
      </c>
      <c r="DN3" s="97">
        <v>41821</v>
      </c>
      <c r="DO3" s="97">
        <v>41852</v>
      </c>
      <c r="DP3" s="97">
        <v>41883</v>
      </c>
      <c r="DQ3" s="97">
        <v>41913</v>
      </c>
      <c r="DR3" s="97">
        <v>41944</v>
      </c>
      <c r="DS3" s="97">
        <v>41974</v>
      </c>
      <c r="DT3" s="97">
        <v>42005</v>
      </c>
      <c r="DU3" s="97">
        <v>42036</v>
      </c>
      <c r="DV3" s="97">
        <v>42064</v>
      </c>
      <c r="DW3" s="97">
        <v>42095</v>
      </c>
      <c r="DX3" s="97">
        <v>42125</v>
      </c>
      <c r="DY3" s="97">
        <v>42156</v>
      </c>
      <c r="DZ3" s="97">
        <v>42186</v>
      </c>
      <c r="EA3" s="97">
        <v>42217</v>
      </c>
      <c r="EB3" s="97">
        <v>42248</v>
      </c>
      <c r="EC3" s="97">
        <v>42278</v>
      </c>
      <c r="ED3" s="97">
        <v>42309</v>
      </c>
      <c r="EE3" s="97">
        <v>42339</v>
      </c>
      <c r="EF3" s="97">
        <v>42370</v>
      </c>
      <c r="EG3" s="97">
        <v>42401</v>
      </c>
      <c r="EH3" s="97">
        <v>42430</v>
      </c>
      <c r="EI3" s="97">
        <v>42461</v>
      </c>
      <c r="EJ3" s="97">
        <v>42491</v>
      </c>
      <c r="EK3" s="97">
        <v>42522</v>
      </c>
      <c r="EL3" s="97">
        <v>42552</v>
      </c>
      <c r="EM3" s="97">
        <v>42583</v>
      </c>
      <c r="EN3" s="97">
        <v>42614</v>
      </c>
      <c r="EO3" s="97">
        <v>42644</v>
      </c>
      <c r="EP3" s="97">
        <v>42675</v>
      </c>
      <c r="EQ3" s="97">
        <v>42705</v>
      </c>
      <c r="ER3" s="97">
        <v>42736</v>
      </c>
      <c r="ES3" s="97">
        <v>42767</v>
      </c>
      <c r="ET3" s="97">
        <v>42795</v>
      </c>
      <c r="EU3" s="97">
        <v>42826</v>
      </c>
      <c r="EV3" s="97">
        <v>42856</v>
      </c>
      <c r="EW3" s="97">
        <v>42887</v>
      </c>
      <c r="EX3" s="97">
        <v>42917</v>
      </c>
      <c r="EY3" s="97">
        <v>42948</v>
      </c>
      <c r="EZ3" s="97">
        <v>42979</v>
      </c>
      <c r="FA3" s="97">
        <v>43009</v>
      </c>
      <c r="FB3" s="97">
        <v>43040</v>
      </c>
      <c r="FC3" s="97">
        <v>43070</v>
      </c>
      <c r="FD3" s="97">
        <v>43101</v>
      </c>
      <c r="FE3" s="97">
        <v>43132</v>
      </c>
      <c r="FF3" s="97">
        <v>43160</v>
      </c>
      <c r="FG3" s="97">
        <v>43191</v>
      </c>
      <c r="FH3" s="97">
        <v>43221</v>
      </c>
      <c r="FI3" s="97">
        <v>43252</v>
      </c>
      <c r="FJ3" s="97">
        <v>43282</v>
      </c>
      <c r="FK3" s="97">
        <v>43313</v>
      </c>
      <c r="FL3" s="97">
        <v>43344</v>
      </c>
      <c r="FM3" s="97">
        <v>43374</v>
      </c>
      <c r="FN3" s="97">
        <v>43405</v>
      </c>
      <c r="FO3" s="97">
        <v>43435</v>
      </c>
      <c r="FP3" s="97">
        <v>43466</v>
      </c>
      <c r="FQ3" s="97">
        <v>43497</v>
      </c>
      <c r="FR3" s="97">
        <v>43525</v>
      </c>
      <c r="FS3" s="97">
        <v>43556</v>
      </c>
      <c r="FT3" s="97">
        <v>43586</v>
      </c>
      <c r="FU3" s="97">
        <v>43617</v>
      </c>
      <c r="FV3" s="97">
        <v>43647</v>
      </c>
      <c r="FW3" s="97">
        <v>43678</v>
      </c>
      <c r="FX3" s="97">
        <v>43709</v>
      </c>
      <c r="FY3" s="97">
        <v>43739</v>
      </c>
      <c r="FZ3" s="97">
        <v>43770</v>
      </c>
      <c r="GA3" s="97">
        <v>43800</v>
      </c>
      <c r="GB3" s="97">
        <v>43831</v>
      </c>
      <c r="GC3" s="97">
        <v>43862</v>
      </c>
      <c r="GD3" s="97">
        <v>43891</v>
      </c>
      <c r="GE3" s="97">
        <v>43922</v>
      </c>
      <c r="GF3" s="97">
        <v>43952</v>
      </c>
      <c r="GG3" s="97">
        <v>43983</v>
      </c>
      <c r="GH3" s="97">
        <v>44013</v>
      </c>
      <c r="GI3" s="97">
        <v>44044</v>
      </c>
      <c r="GJ3" s="97">
        <v>44075</v>
      </c>
      <c r="GK3" s="97">
        <v>44105</v>
      </c>
      <c r="GL3" s="97">
        <v>44136</v>
      </c>
      <c r="GM3" s="97">
        <v>44166</v>
      </c>
      <c r="GN3" s="97">
        <v>44197</v>
      </c>
      <c r="GO3" s="97">
        <v>44228</v>
      </c>
      <c r="GP3" s="97">
        <v>44256</v>
      </c>
      <c r="GQ3" s="97">
        <v>44287</v>
      </c>
      <c r="GR3" s="97">
        <v>44317</v>
      </c>
      <c r="GS3" s="97">
        <v>44348</v>
      </c>
      <c r="GT3" s="97">
        <v>44378</v>
      </c>
      <c r="GU3" s="97">
        <v>44409</v>
      </c>
      <c r="GV3" s="97">
        <v>44440</v>
      </c>
      <c r="GW3" s="97">
        <v>44470</v>
      </c>
      <c r="GX3" s="97">
        <v>44501</v>
      </c>
      <c r="GY3" s="97">
        <v>44531</v>
      </c>
      <c r="GZ3" s="97">
        <v>44562</v>
      </c>
      <c r="HA3" s="97">
        <v>44593</v>
      </c>
      <c r="HB3" s="97">
        <v>44621</v>
      </c>
      <c r="HC3" s="97">
        <v>44652</v>
      </c>
      <c r="HD3" s="97">
        <v>44682</v>
      </c>
      <c r="HE3" s="97">
        <v>44713</v>
      </c>
      <c r="HF3" s="97">
        <v>44743</v>
      </c>
      <c r="HG3" s="97">
        <v>44774</v>
      </c>
      <c r="HH3" s="97">
        <v>44805</v>
      </c>
      <c r="HI3" s="97">
        <v>44835</v>
      </c>
      <c r="HJ3" s="97">
        <v>44866</v>
      </c>
      <c r="HK3" s="97">
        <v>44896</v>
      </c>
      <c r="HL3" s="97">
        <v>44927</v>
      </c>
      <c r="HM3" s="97">
        <v>44958</v>
      </c>
      <c r="HN3" s="97">
        <v>44986</v>
      </c>
      <c r="HO3" s="97">
        <v>45017</v>
      </c>
      <c r="HP3" s="97">
        <v>45047</v>
      </c>
      <c r="HQ3" s="97">
        <v>45078</v>
      </c>
      <c r="HR3" s="97">
        <v>45108</v>
      </c>
      <c r="HS3" s="97">
        <v>45139</v>
      </c>
      <c r="HT3" s="97">
        <v>45170</v>
      </c>
      <c r="HU3" s="97">
        <v>45200</v>
      </c>
      <c r="HV3" s="97">
        <v>45231</v>
      </c>
      <c r="HW3" s="97">
        <v>45261</v>
      </c>
      <c r="HX3" s="97">
        <v>45292</v>
      </c>
      <c r="HY3" s="97">
        <v>45323</v>
      </c>
      <c r="HZ3" s="97">
        <v>45352</v>
      </c>
      <c r="IA3" s="97">
        <v>45383</v>
      </c>
      <c r="IB3" s="97">
        <v>45413</v>
      </c>
      <c r="IC3" s="97">
        <v>45444</v>
      </c>
      <c r="ID3" s="97">
        <v>45474</v>
      </c>
      <c r="IE3" s="97">
        <v>45505</v>
      </c>
      <c r="IF3" s="97">
        <v>45536</v>
      </c>
      <c r="IG3" s="97">
        <v>45566</v>
      </c>
      <c r="IH3" s="97">
        <v>45597</v>
      </c>
      <c r="II3" s="97">
        <v>45627</v>
      </c>
      <c r="IJ3" s="97">
        <v>45658</v>
      </c>
      <c r="IK3" s="97">
        <v>45689</v>
      </c>
      <c r="IL3" s="97">
        <v>45717</v>
      </c>
      <c r="IM3" s="97">
        <v>45748</v>
      </c>
      <c r="IN3" s="97">
        <v>45778</v>
      </c>
      <c r="IO3" s="97">
        <v>45809</v>
      </c>
      <c r="IP3" s="97">
        <v>45839</v>
      </c>
      <c r="IQ3" s="97">
        <v>45870</v>
      </c>
      <c r="IR3" s="97">
        <v>45901</v>
      </c>
      <c r="IS3" s="97">
        <v>45931</v>
      </c>
      <c r="IT3" s="97">
        <v>45962</v>
      </c>
      <c r="IU3" s="97">
        <v>45992</v>
      </c>
      <c r="IV3" s="97">
        <v>46023</v>
      </c>
      <c r="IW3" s="97">
        <v>46054</v>
      </c>
      <c r="IX3" s="97">
        <v>46082</v>
      </c>
      <c r="IY3" s="97">
        <v>46113</v>
      </c>
      <c r="IZ3" s="97">
        <v>46143</v>
      </c>
      <c r="JA3" s="97">
        <v>46174</v>
      </c>
      <c r="JB3" s="97">
        <v>46204</v>
      </c>
      <c r="JC3" s="97">
        <v>46235</v>
      </c>
      <c r="JD3" s="97">
        <v>46266</v>
      </c>
      <c r="JE3" s="97">
        <v>46296</v>
      </c>
    </row>
    <row r="4" spans="1:265">
      <c r="A4" t="s">
        <v>149</v>
      </c>
      <c r="B4" s="6">
        <v>1.78</v>
      </c>
      <c r="C4" s="6">
        <v>1.78</v>
      </c>
      <c r="D4" s="6">
        <v>1.78</v>
      </c>
      <c r="E4" s="6">
        <v>1.78</v>
      </c>
      <c r="F4" s="6">
        <v>1.8</v>
      </c>
      <c r="G4" s="6">
        <v>1.9</v>
      </c>
      <c r="H4" s="6">
        <v>1.9</v>
      </c>
      <c r="I4" s="6">
        <v>2</v>
      </c>
      <c r="J4" s="6">
        <v>2.0499999999999998</v>
      </c>
      <c r="K4" s="6">
        <v>2.23</v>
      </c>
      <c r="L4" s="6">
        <v>2.37</v>
      </c>
      <c r="M4" s="6">
        <v>2.42</v>
      </c>
      <c r="N4" s="6">
        <v>2.46</v>
      </c>
      <c r="O4" s="6">
        <v>2.46</v>
      </c>
      <c r="P4" s="6">
        <v>2.46</v>
      </c>
      <c r="Q4" s="6">
        <v>2.63</v>
      </c>
      <c r="R4" s="6">
        <v>2.73</v>
      </c>
      <c r="S4" s="6">
        <v>2.73</v>
      </c>
      <c r="T4" s="6">
        <v>2.82</v>
      </c>
      <c r="U4" s="6">
        <v>3</v>
      </c>
      <c r="V4" s="6">
        <v>3</v>
      </c>
      <c r="W4" s="6">
        <v>3.15</v>
      </c>
      <c r="X4" s="6">
        <v>3.15</v>
      </c>
      <c r="Y4" s="6">
        <v>3.15</v>
      </c>
      <c r="Z4" s="6">
        <v>3.05</v>
      </c>
      <c r="AA4" s="6">
        <v>3.05</v>
      </c>
      <c r="AB4" s="6">
        <v>3</v>
      </c>
      <c r="AC4" s="6">
        <v>2.87</v>
      </c>
      <c r="AD4" s="6">
        <v>2.87</v>
      </c>
      <c r="AE4" s="6">
        <v>2.87</v>
      </c>
      <c r="AF4" s="6">
        <v>2.87</v>
      </c>
      <c r="AG4" s="6">
        <v>3</v>
      </c>
      <c r="AH4" s="6">
        <v>3.05</v>
      </c>
      <c r="AI4" s="6">
        <v>3.1</v>
      </c>
      <c r="AJ4" s="6">
        <v>3.1</v>
      </c>
      <c r="AK4" s="6">
        <v>3.1</v>
      </c>
      <c r="AL4" s="6">
        <v>3.13</v>
      </c>
      <c r="AM4" s="6">
        <v>3.33</v>
      </c>
      <c r="AN4" s="6">
        <v>3.33</v>
      </c>
      <c r="AO4" s="6">
        <v>3.33</v>
      </c>
      <c r="AP4" s="6">
        <v>3.6</v>
      </c>
      <c r="AQ4" s="6">
        <v>3.8</v>
      </c>
      <c r="AR4" s="6">
        <v>3.95</v>
      </c>
      <c r="AS4" s="6">
        <v>4.25</v>
      </c>
      <c r="AT4" s="6">
        <v>5.05</v>
      </c>
      <c r="AU4" s="6">
        <v>5.05</v>
      </c>
      <c r="AV4" s="6">
        <v>5.15</v>
      </c>
      <c r="AW4" s="6">
        <v>5.15</v>
      </c>
      <c r="AX4" s="6">
        <v>4.95</v>
      </c>
      <c r="AY4" s="6">
        <v>3.75</v>
      </c>
      <c r="AZ4" s="6">
        <v>3.25</v>
      </c>
      <c r="BA4" s="6">
        <v>2.85</v>
      </c>
      <c r="BB4" s="6">
        <v>2.35</v>
      </c>
      <c r="BC4" s="6">
        <v>2.25</v>
      </c>
      <c r="BD4" s="6">
        <v>2.25</v>
      </c>
      <c r="BE4" s="6">
        <v>2.25</v>
      </c>
      <c r="BF4" s="6">
        <v>2.35</v>
      </c>
      <c r="BG4" s="6">
        <v>2.6</v>
      </c>
      <c r="BH4" s="6">
        <v>2.6</v>
      </c>
      <c r="BI4" s="6">
        <v>2.6</v>
      </c>
      <c r="BJ4" s="6">
        <v>2.6</v>
      </c>
      <c r="BK4" s="6">
        <v>2.6</v>
      </c>
      <c r="BL4" s="6">
        <v>2.6</v>
      </c>
      <c r="BM4" s="6">
        <v>2.95</v>
      </c>
      <c r="BN4" s="6">
        <v>2.95</v>
      </c>
      <c r="BO4" s="6">
        <v>3</v>
      </c>
      <c r="BP4" s="6">
        <v>3.15</v>
      </c>
      <c r="BQ4" s="6">
        <v>3.45</v>
      </c>
      <c r="BR4" s="6">
        <v>3.5</v>
      </c>
      <c r="BS4" s="6">
        <v>3.3</v>
      </c>
      <c r="BT4" s="6">
        <v>3.3</v>
      </c>
      <c r="BU4" s="6">
        <v>3.3</v>
      </c>
      <c r="BV4" s="6">
        <v>3.3</v>
      </c>
      <c r="BW4" s="6">
        <v>3.5</v>
      </c>
      <c r="BX4" s="6">
        <v>3.5</v>
      </c>
      <c r="BY4" s="6">
        <v>3.5</v>
      </c>
      <c r="BZ4" s="6">
        <v>4</v>
      </c>
      <c r="CA4" s="6">
        <v>4</v>
      </c>
      <c r="CB4" s="6">
        <v>4.3</v>
      </c>
      <c r="CC4" s="6">
        <v>4.75</v>
      </c>
      <c r="CD4" s="6">
        <v>4.75</v>
      </c>
      <c r="CE4" s="6">
        <v>4.75</v>
      </c>
      <c r="CF4" s="6">
        <v>4.5999999999999996</v>
      </c>
      <c r="CG4" s="6">
        <v>4.3499999999999996</v>
      </c>
      <c r="CH4" s="6">
        <v>4.3499999999999996</v>
      </c>
      <c r="CI4" s="6">
        <v>4.1500000000000004</v>
      </c>
      <c r="CJ4" s="6">
        <v>4.1500000000000004</v>
      </c>
      <c r="CK4" s="6">
        <v>4.1500000000000004</v>
      </c>
      <c r="CL4" s="6">
        <v>4.1500000000000004</v>
      </c>
      <c r="CM4" s="6">
        <v>4.45</v>
      </c>
      <c r="CN4" s="6">
        <v>4.45</v>
      </c>
      <c r="CO4" s="6">
        <v>4.3</v>
      </c>
      <c r="CP4" s="6">
        <v>4</v>
      </c>
      <c r="CQ4" s="6">
        <v>4</v>
      </c>
      <c r="CR4" s="6">
        <v>4</v>
      </c>
      <c r="CS4" s="6">
        <v>4</v>
      </c>
      <c r="CT4" s="6">
        <v>3.9</v>
      </c>
      <c r="CU4" s="6">
        <v>3.85</v>
      </c>
      <c r="CV4" s="6">
        <v>3.75</v>
      </c>
      <c r="CW4" s="6">
        <v>3.75</v>
      </c>
      <c r="CX4" s="6">
        <v>3.75</v>
      </c>
      <c r="CY4" s="6">
        <v>3.8</v>
      </c>
      <c r="CZ4" s="6">
        <v>3.8</v>
      </c>
      <c r="DA4" s="6">
        <v>3.8</v>
      </c>
      <c r="DB4" s="6">
        <v>3.8</v>
      </c>
      <c r="DC4" s="6">
        <v>3.8</v>
      </c>
      <c r="DD4" s="6">
        <v>3.9</v>
      </c>
      <c r="DE4" s="6">
        <v>3.9</v>
      </c>
      <c r="DF4" s="6">
        <v>4</v>
      </c>
      <c r="DG4" s="6">
        <v>4</v>
      </c>
      <c r="DH4" s="6">
        <v>4</v>
      </c>
      <c r="DI4" s="6">
        <v>3.85</v>
      </c>
      <c r="DJ4" s="6">
        <v>3.85</v>
      </c>
      <c r="DK4" s="6">
        <v>3.9</v>
      </c>
      <c r="DL4" s="6">
        <v>3.9</v>
      </c>
      <c r="DM4" s="6">
        <v>4</v>
      </c>
      <c r="DN4" s="6">
        <v>4</v>
      </c>
      <c r="DO4" s="6">
        <v>3.8</v>
      </c>
      <c r="DP4" s="6">
        <v>3.8</v>
      </c>
      <c r="DQ4" s="6">
        <v>3.65</v>
      </c>
      <c r="DR4" s="6">
        <v>3.3</v>
      </c>
      <c r="DS4" s="6">
        <v>2.8</v>
      </c>
      <c r="DT4" s="6">
        <v>2.8</v>
      </c>
      <c r="DU4" s="6">
        <v>2.8</v>
      </c>
      <c r="DV4" s="6">
        <v>2.8</v>
      </c>
      <c r="DW4" s="6">
        <v>2.8</v>
      </c>
      <c r="DX4" s="6">
        <v>2.8</v>
      </c>
      <c r="DY4" s="6">
        <v>2.8</v>
      </c>
      <c r="DZ4" s="6">
        <v>2.8</v>
      </c>
      <c r="EA4" s="6">
        <v>2.7</v>
      </c>
      <c r="EB4" s="6">
        <v>2.5</v>
      </c>
      <c r="EC4" s="6">
        <v>2.4</v>
      </c>
      <c r="ED4" s="6">
        <v>2.4</v>
      </c>
      <c r="EE4" s="6">
        <v>2.2999999999999998</v>
      </c>
      <c r="EF4" s="6">
        <v>2.1</v>
      </c>
      <c r="EG4" s="6">
        <v>1.8</v>
      </c>
      <c r="EH4" s="6">
        <v>1.8</v>
      </c>
      <c r="EI4" s="6">
        <v>1.9</v>
      </c>
      <c r="EJ4" s="6">
        <v>2</v>
      </c>
      <c r="EK4" s="6">
        <v>2.25</v>
      </c>
      <c r="EL4" s="6">
        <v>2.4</v>
      </c>
      <c r="EM4" s="6">
        <v>2.4</v>
      </c>
      <c r="EN4" s="6">
        <v>2.4</v>
      </c>
      <c r="EO4">
        <v>2.4</v>
      </c>
      <c r="EP4" s="6">
        <v>2.4</v>
      </c>
      <c r="EQ4" s="6">
        <v>2.4</v>
      </c>
    </row>
    <row r="5" spans="1:265">
      <c r="A5" t="s">
        <v>148</v>
      </c>
      <c r="B5" s="6">
        <v>1.85</v>
      </c>
      <c r="C5" s="6">
        <v>1.85</v>
      </c>
      <c r="D5" s="6">
        <v>1.85</v>
      </c>
      <c r="E5" s="6">
        <v>1.85</v>
      </c>
      <c r="F5" s="6">
        <v>1.82</v>
      </c>
      <c r="G5" s="6">
        <v>2.0499999999999998</v>
      </c>
      <c r="H5" s="6">
        <v>2.0499999999999998</v>
      </c>
      <c r="I5" s="6">
        <v>2.0699999999999998</v>
      </c>
      <c r="J5" s="6">
        <v>2.2000000000000002</v>
      </c>
      <c r="K5" s="6">
        <v>2.2799999999999998</v>
      </c>
      <c r="L5" s="6">
        <v>2.4</v>
      </c>
      <c r="M5" s="6">
        <v>2.48</v>
      </c>
      <c r="N5" s="6">
        <v>2.5499999999999998</v>
      </c>
      <c r="O5" s="6">
        <v>2.5499999999999998</v>
      </c>
      <c r="P5" s="6">
        <v>2.5499999999999998</v>
      </c>
      <c r="Q5" s="6">
        <v>2.7</v>
      </c>
      <c r="R5" s="6">
        <v>2.76</v>
      </c>
      <c r="S5" s="6">
        <v>2.82</v>
      </c>
      <c r="T5" s="6">
        <v>2.9</v>
      </c>
      <c r="U5" s="6">
        <v>3</v>
      </c>
      <c r="V5" s="6">
        <v>3.15</v>
      </c>
      <c r="W5" s="6">
        <v>3.15</v>
      </c>
      <c r="X5" s="6">
        <v>3.15</v>
      </c>
      <c r="Y5" s="6">
        <v>3.15</v>
      </c>
      <c r="Z5" s="6">
        <v>3</v>
      </c>
      <c r="AA5" s="6">
        <v>3</v>
      </c>
      <c r="AB5" s="6">
        <v>3</v>
      </c>
      <c r="AC5" s="6">
        <v>3</v>
      </c>
      <c r="AD5" s="6">
        <v>3</v>
      </c>
      <c r="AE5" s="6">
        <v>3</v>
      </c>
      <c r="AF5" s="6">
        <v>3</v>
      </c>
      <c r="AG5" s="6">
        <v>3.12</v>
      </c>
      <c r="AH5" s="6">
        <v>3.23</v>
      </c>
      <c r="AI5" s="6">
        <v>3.23</v>
      </c>
      <c r="AJ5" s="6">
        <v>3.23</v>
      </c>
      <c r="AK5" s="6">
        <v>3.23</v>
      </c>
      <c r="AL5" s="6">
        <v>3.23</v>
      </c>
      <c r="AM5" s="6">
        <v>3.3</v>
      </c>
      <c r="AN5" s="6">
        <v>3.33</v>
      </c>
      <c r="AO5" s="6">
        <v>3.33</v>
      </c>
      <c r="AP5" s="6">
        <v>3.6</v>
      </c>
      <c r="AQ5" s="6">
        <v>3.8</v>
      </c>
      <c r="AR5" s="6">
        <v>3.95</v>
      </c>
      <c r="AS5" s="6">
        <v>4.2</v>
      </c>
      <c r="AT5" s="6">
        <v>4.9000000000000004</v>
      </c>
      <c r="AU5" s="6">
        <v>5.05</v>
      </c>
      <c r="AV5" s="6">
        <v>5.05</v>
      </c>
      <c r="AW5" s="6">
        <v>4.95</v>
      </c>
      <c r="AX5" s="6">
        <v>4.8499999999999996</v>
      </c>
      <c r="AY5" s="6">
        <v>3.75</v>
      </c>
      <c r="AZ5" s="6">
        <v>3.2</v>
      </c>
      <c r="BA5" s="6">
        <v>2.85</v>
      </c>
      <c r="BB5" s="6">
        <v>2.4</v>
      </c>
      <c r="BC5" s="6">
        <v>2.25</v>
      </c>
      <c r="BD5" s="6">
        <v>2.25</v>
      </c>
      <c r="BE5" s="6">
        <v>2.25</v>
      </c>
      <c r="BF5" s="6">
        <v>2.35</v>
      </c>
      <c r="BG5" s="6">
        <v>2.7</v>
      </c>
      <c r="BH5" s="6">
        <v>2.7</v>
      </c>
      <c r="BI5" s="6">
        <v>2.7</v>
      </c>
      <c r="BJ5" s="6">
        <v>2.7</v>
      </c>
      <c r="BK5" s="6">
        <v>2.7</v>
      </c>
      <c r="BL5" s="6">
        <v>2.7</v>
      </c>
      <c r="BM5" s="6">
        <v>2.95</v>
      </c>
      <c r="BN5" s="6">
        <v>3</v>
      </c>
      <c r="BO5" s="6">
        <v>3.1</v>
      </c>
      <c r="BP5" s="6">
        <v>3.2</v>
      </c>
      <c r="BQ5" s="6">
        <v>3.5</v>
      </c>
      <c r="BR5" s="6">
        <v>3.5</v>
      </c>
      <c r="BS5" s="6">
        <v>3.5</v>
      </c>
      <c r="BT5" s="6">
        <v>3.5</v>
      </c>
      <c r="BU5" s="6">
        <v>3.5</v>
      </c>
      <c r="BV5" s="6">
        <v>3.5</v>
      </c>
      <c r="BW5" s="6">
        <v>3.85</v>
      </c>
      <c r="BX5" s="6">
        <v>3.85</v>
      </c>
      <c r="BY5" s="6">
        <v>3.85</v>
      </c>
      <c r="BZ5" s="6">
        <v>4.25</v>
      </c>
      <c r="CA5" s="6">
        <v>4.25</v>
      </c>
      <c r="CB5" s="6">
        <v>4.75</v>
      </c>
      <c r="CC5" s="6">
        <v>4.75</v>
      </c>
      <c r="CD5" s="6">
        <v>4.95</v>
      </c>
      <c r="CE5" s="6">
        <v>4.95</v>
      </c>
      <c r="CF5" s="6">
        <v>4.95</v>
      </c>
      <c r="CG5" s="6">
        <v>4.95</v>
      </c>
      <c r="CH5" s="6">
        <v>4.95</v>
      </c>
      <c r="CI5" s="6">
        <v>4.75</v>
      </c>
      <c r="CJ5" s="6">
        <v>4.75</v>
      </c>
      <c r="CK5" s="6">
        <v>4.75</v>
      </c>
      <c r="CL5" s="6">
        <v>4.75</v>
      </c>
      <c r="CM5" s="6">
        <v>4.75</v>
      </c>
      <c r="CN5" s="6">
        <v>5</v>
      </c>
      <c r="CO5" s="6">
        <v>4.75</v>
      </c>
      <c r="CP5" s="6">
        <v>4.3</v>
      </c>
      <c r="CQ5" s="6">
        <v>4.3</v>
      </c>
      <c r="CR5" s="6">
        <v>4.3</v>
      </c>
      <c r="CS5" s="6">
        <v>4.3</v>
      </c>
      <c r="CT5" s="6">
        <v>4</v>
      </c>
      <c r="CU5" s="6">
        <v>4</v>
      </c>
      <c r="CV5" s="6">
        <v>3.75</v>
      </c>
      <c r="CW5" s="6">
        <v>3.75</v>
      </c>
      <c r="CX5" s="6">
        <v>3.75</v>
      </c>
      <c r="CY5" s="6">
        <v>3.9</v>
      </c>
      <c r="CZ5" s="6">
        <v>3.9</v>
      </c>
      <c r="DA5" s="6">
        <v>3.9</v>
      </c>
      <c r="DB5" s="6">
        <v>3.9</v>
      </c>
      <c r="DC5" s="6">
        <v>3.9</v>
      </c>
      <c r="DD5" s="6">
        <v>4</v>
      </c>
      <c r="DE5" s="6">
        <v>4</v>
      </c>
      <c r="DF5" s="6">
        <v>3.9</v>
      </c>
      <c r="DG5" s="6">
        <v>3.9</v>
      </c>
      <c r="DH5" s="6">
        <v>3.9</v>
      </c>
      <c r="DI5" s="6">
        <v>3.85</v>
      </c>
      <c r="DJ5" s="6">
        <v>3.85</v>
      </c>
      <c r="DK5" s="6">
        <v>3.9</v>
      </c>
      <c r="DL5" s="6">
        <v>3.9</v>
      </c>
      <c r="DM5" s="6">
        <v>3.9</v>
      </c>
      <c r="DN5" s="6">
        <v>3.9</v>
      </c>
      <c r="DO5" s="6">
        <v>3.7</v>
      </c>
      <c r="DP5" s="6">
        <v>3.7</v>
      </c>
      <c r="DQ5" s="6">
        <v>3.55</v>
      </c>
      <c r="DR5" s="6">
        <v>3.3</v>
      </c>
      <c r="DS5" s="6">
        <v>2.8</v>
      </c>
      <c r="DT5" s="6">
        <v>2.8</v>
      </c>
      <c r="DU5" s="6">
        <v>2.8</v>
      </c>
      <c r="DV5" s="6">
        <v>2.8</v>
      </c>
      <c r="DW5" s="6">
        <v>2.8</v>
      </c>
      <c r="DX5" s="6">
        <v>2.8</v>
      </c>
      <c r="DY5" s="6">
        <v>2.8</v>
      </c>
      <c r="DZ5" s="6">
        <v>2.8</v>
      </c>
      <c r="EA5" s="6">
        <v>2.7</v>
      </c>
      <c r="EB5" s="6">
        <v>2.5</v>
      </c>
      <c r="EC5" s="6">
        <v>2.4</v>
      </c>
      <c r="ED5" s="6">
        <v>2.4</v>
      </c>
      <c r="EE5" s="6">
        <v>2.2999999999999998</v>
      </c>
      <c r="EF5" s="6">
        <v>2.1</v>
      </c>
      <c r="EG5" s="6">
        <v>1.8</v>
      </c>
      <c r="EH5" s="6">
        <v>1.8</v>
      </c>
      <c r="EI5" s="6">
        <v>1.8</v>
      </c>
      <c r="EJ5" s="6">
        <v>1.95</v>
      </c>
      <c r="EK5" s="6">
        <v>2.2000000000000002</v>
      </c>
      <c r="EL5" s="6">
        <v>2.2999999999999998</v>
      </c>
      <c r="EM5" s="6">
        <v>2.2999999999999998</v>
      </c>
      <c r="EN5" s="6">
        <v>2.2999999999999998</v>
      </c>
      <c r="EO5" s="6">
        <v>2.2000000000000002</v>
      </c>
      <c r="EP5" s="6">
        <v>2.2000000000000002</v>
      </c>
      <c r="EQ5" s="6">
        <v>2.2000000000000002</v>
      </c>
    </row>
    <row r="6" spans="1:265">
      <c r="A6" t="s">
        <v>147</v>
      </c>
      <c r="B6" s="6">
        <v>1.1499999999999999</v>
      </c>
      <c r="C6" s="6">
        <v>1</v>
      </c>
      <c r="D6" s="6">
        <v>1.1000000000000001</v>
      </c>
      <c r="E6" s="6">
        <v>1.1499999999999999</v>
      </c>
      <c r="F6" s="6">
        <v>1.28</v>
      </c>
      <c r="G6" s="6">
        <v>1.26</v>
      </c>
      <c r="H6" s="6">
        <v>1.18</v>
      </c>
      <c r="I6" s="6">
        <v>1.3</v>
      </c>
      <c r="J6" s="6">
        <v>1.4</v>
      </c>
      <c r="K6" s="6">
        <v>1.53</v>
      </c>
      <c r="L6" s="6">
        <v>1.53</v>
      </c>
      <c r="M6" s="6">
        <v>1.5</v>
      </c>
      <c r="N6" s="6">
        <v>1.4</v>
      </c>
      <c r="O6" s="6">
        <v>1.43</v>
      </c>
      <c r="P6" s="6">
        <v>1.53</v>
      </c>
      <c r="Q6" s="6">
        <v>1.48</v>
      </c>
      <c r="R6" s="6">
        <v>1.5</v>
      </c>
      <c r="S6" s="6">
        <v>1.65</v>
      </c>
      <c r="T6" s="6">
        <v>1.7</v>
      </c>
      <c r="U6" s="6">
        <v>1.7</v>
      </c>
      <c r="V6" s="6">
        <v>1.75</v>
      </c>
      <c r="W6" s="6">
        <v>1.72</v>
      </c>
      <c r="X6" s="6">
        <v>1.5</v>
      </c>
      <c r="Y6" s="6">
        <v>1.45</v>
      </c>
      <c r="Z6" s="6">
        <v>1.45</v>
      </c>
      <c r="AA6" s="6">
        <v>1.5</v>
      </c>
      <c r="AB6" s="6">
        <v>1.3</v>
      </c>
      <c r="AC6" s="6">
        <v>1.4</v>
      </c>
      <c r="AD6" s="6">
        <v>1.44</v>
      </c>
      <c r="AE6" s="6">
        <v>1.5</v>
      </c>
      <c r="AF6" s="6">
        <v>1.5</v>
      </c>
      <c r="AG6" s="6">
        <v>1.6</v>
      </c>
      <c r="AH6" s="6">
        <v>1.75</v>
      </c>
      <c r="AI6" s="6">
        <v>1.7</v>
      </c>
      <c r="AJ6" s="6">
        <v>1.92</v>
      </c>
      <c r="AK6" s="6">
        <v>2.0499999999999998</v>
      </c>
      <c r="AL6" s="6">
        <v>2.2000000000000002</v>
      </c>
      <c r="AM6" s="6">
        <v>2.16</v>
      </c>
      <c r="AN6" s="6">
        <v>2.1800000000000002</v>
      </c>
      <c r="AO6" s="6">
        <v>2.2000000000000002</v>
      </c>
      <c r="AP6" s="6">
        <v>2.5</v>
      </c>
      <c r="AQ6" s="6">
        <v>2.75</v>
      </c>
      <c r="AR6" s="6">
        <v>3</v>
      </c>
      <c r="AS6" s="6">
        <v>3.15</v>
      </c>
      <c r="AT6" s="6">
        <v>3.15</v>
      </c>
      <c r="AU6" s="6">
        <v>2.85</v>
      </c>
      <c r="AV6" s="6">
        <v>2.5</v>
      </c>
      <c r="AW6" s="6">
        <v>1.9</v>
      </c>
      <c r="AX6" s="6">
        <v>1.3</v>
      </c>
      <c r="AY6" s="6">
        <v>1</v>
      </c>
      <c r="AZ6" s="6">
        <v>1</v>
      </c>
      <c r="BA6" s="6">
        <v>0.9</v>
      </c>
      <c r="BB6" s="6">
        <v>1.1000000000000001</v>
      </c>
      <c r="BC6" s="6">
        <v>1.1200000000000001</v>
      </c>
      <c r="BD6" s="6">
        <v>1.4</v>
      </c>
      <c r="BE6" s="6">
        <v>1.75</v>
      </c>
      <c r="BF6" s="6">
        <v>1.7</v>
      </c>
      <c r="BG6" s="6">
        <v>1.85</v>
      </c>
      <c r="BH6" s="6">
        <v>1.8</v>
      </c>
      <c r="BI6" s="6">
        <v>1.88</v>
      </c>
      <c r="BJ6" s="6">
        <v>1.9</v>
      </c>
      <c r="BK6" s="6">
        <v>1.85</v>
      </c>
      <c r="BL6" s="6">
        <v>1.9</v>
      </c>
      <c r="BM6" s="6">
        <v>1.85</v>
      </c>
      <c r="BN6" s="6">
        <v>1.95</v>
      </c>
      <c r="BO6" s="6">
        <v>2</v>
      </c>
      <c r="BP6" s="6">
        <v>1.85</v>
      </c>
      <c r="BQ6" s="6">
        <v>1.9</v>
      </c>
      <c r="BR6" s="6">
        <v>1.95</v>
      </c>
      <c r="BS6" s="6">
        <v>1.95</v>
      </c>
      <c r="BT6" s="6">
        <v>1.9</v>
      </c>
      <c r="BU6" s="6">
        <v>2</v>
      </c>
      <c r="BV6" s="6">
        <v>2</v>
      </c>
      <c r="BW6" s="6">
        <v>2.1</v>
      </c>
      <c r="BX6" s="6">
        <v>2.1</v>
      </c>
      <c r="BY6" s="6">
        <v>2.1</v>
      </c>
      <c r="BZ6" s="6">
        <v>2.4</v>
      </c>
      <c r="CA6" s="6">
        <v>2.65</v>
      </c>
      <c r="CB6" s="6">
        <v>2.35</v>
      </c>
      <c r="CC6" s="6">
        <v>2.2000000000000002</v>
      </c>
      <c r="CD6" s="6">
        <v>2.2000000000000002</v>
      </c>
      <c r="CE6" s="6">
        <v>2</v>
      </c>
      <c r="CF6" s="6">
        <v>2</v>
      </c>
      <c r="CG6" s="6">
        <v>2</v>
      </c>
      <c r="CH6" s="6">
        <v>2.2000000000000002</v>
      </c>
      <c r="CI6" s="6">
        <v>2.2999999999999998</v>
      </c>
      <c r="CJ6" s="6">
        <v>2.35</v>
      </c>
      <c r="CK6" s="6">
        <v>2.4500000000000002</v>
      </c>
      <c r="CL6" s="6">
        <v>2.5499999999999998</v>
      </c>
      <c r="CM6" s="6">
        <v>2.5</v>
      </c>
      <c r="CN6" s="6">
        <v>2.2000000000000002</v>
      </c>
      <c r="CO6" s="6">
        <v>2</v>
      </c>
      <c r="CP6" s="6">
        <v>2.1</v>
      </c>
      <c r="CQ6" s="6">
        <v>2.2000000000000002</v>
      </c>
      <c r="CR6" s="6">
        <v>2.2000000000000002</v>
      </c>
      <c r="CS6" s="6">
        <v>2.1</v>
      </c>
      <c r="CT6" s="6">
        <v>2.1</v>
      </c>
      <c r="CU6" s="6">
        <v>2.15</v>
      </c>
      <c r="CV6" s="6">
        <v>2.25</v>
      </c>
      <c r="CW6" s="6">
        <v>2.25</v>
      </c>
      <c r="CX6" s="6">
        <v>2.25</v>
      </c>
      <c r="CY6" s="6">
        <v>2.2000000000000002</v>
      </c>
      <c r="CZ6" s="6">
        <v>2.2000000000000002</v>
      </c>
      <c r="DA6" s="6">
        <v>2.2000000000000002</v>
      </c>
      <c r="DB6" s="6">
        <v>2.5</v>
      </c>
      <c r="DC6" s="6">
        <v>2.6</v>
      </c>
      <c r="DD6" s="6">
        <v>2.6</v>
      </c>
      <c r="DE6" s="6">
        <v>2.4500000000000002</v>
      </c>
      <c r="DF6" s="6">
        <v>2.2999999999999998</v>
      </c>
      <c r="DG6" s="6">
        <v>2.35</v>
      </c>
      <c r="DH6" s="6">
        <v>2.2999999999999998</v>
      </c>
      <c r="DI6" s="6">
        <v>2.35</v>
      </c>
      <c r="DJ6" s="6">
        <v>2.35</v>
      </c>
      <c r="DK6" s="6">
        <v>2.35</v>
      </c>
      <c r="DL6" s="6">
        <v>2.35</v>
      </c>
      <c r="DM6" s="6">
        <v>2.4</v>
      </c>
      <c r="DN6" s="6">
        <v>2.2999999999999998</v>
      </c>
      <c r="DO6" s="6">
        <v>2.25</v>
      </c>
      <c r="DP6" s="6">
        <v>2.15</v>
      </c>
      <c r="DQ6" s="6">
        <v>2</v>
      </c>
      <c r="DR6" s="6">
        <v>1.85</v>
      </c>
      <c r="DS6" s="6">
        <v>1.35</v>
      </c>
      <c r="DT6" s="6">
        <v>1.1000000000000001</v>
      </c>
      <c r="DU6" s="6">
        <v>1.1499999999999999</v>
      </c>
      <c r="DV6" s="6">
        <v>1.05</v>
      </c>
      <c r="DW6" s="6">
        <v>1.2</v>
      </c>
      <c r="DX6" s="6">
        <v>1.35</v>
      </c>
      <c r="DY6" s="6">
        <v>1.35</v>
      </c>
      <c r="DZ6" s="6">
        <v>1.25</v>
      </c>
      <c r="EA6" s="6">
        <v>1</v>
      </c>
      <c r="EB6" s="6">
        <v>1.05</v>
      </c>
      <c r="EC6" s="6">
        <v>1.05</v>
      </c>
      <c r="ED6" s="6">
        <v>1</v>
      </c>
      <c r="EE6" s="6">
        <v>0.85</v>
      </c>
      <c r="EF6" s="6">
        <v>0.75</v>
      </c>
      <c r="EG6" s="6">
        <v>0.75</v>
      </c>
      <c r="EH6" s="6">
        <v>1</v>
      </c>
      <c r="EI6" s="6">
        <v>1.05</v>
      </c>
      <c r="EJ6" s="6">
        <v>1.25</v>
      </c>
      <c r="EK6" s="6">
        <v>1.3</v>
      </c>
      <c r="EL6" s="6">
        <v>1.2</v>
      </c>
      <c r="EM6" s="6">
        <v>1.2</v>
      </c>
      <c r="EN6" s="6">
        <v>1.2</v>
      </c>
      <c r="EO6" s="6">
        <v>1.3</v>
      </c>
      <c r="EP6" s="6">
        <v>1.25</v>
      </c>
    </row>
    <row r="7" spans="1:265">
      <c r="A7" t="s">
        <v>150</v>
      </c>
      <c r="B7" s="6">
        <f t="shared" ref="B7:AG7" si="0">B5*0.85</f>
        <v>1.5725</v>
      </c>
      <c r="C7" s="6">
        <f t="shared" si="0"/>
        <v>1.5725</v>
      </c>
      <c r="D7" s="6">
        <f t="shared" si="0"/>
        <v>1.5725</v>
      </c>
      <c r="E7" s="6">
        <f t="shared" si="0"/>
        <v>1.5725</v>
      </c>
      <c r="F7" s="6">
        <f t="shared" si="0"/>
        <v>1.5469999999999999</v>
      </c>
      <c r="G7" s="6">
        <f t="shared" si="0"/>
        <v>1.7424999999999997</v>
      </c>
      <c r="H7" s="6">
        <f t="shared" si="0"/>
        <v>1.7424999999999997</v>
      </c>
      <c r="I7" s="6">
        <f t="shared" si="0"/>
        <v>1.7594999999999998</v>
      </c>
      <c r="J7" s="6">
        <f t="shared" si="0"/>
        <v>1.87</v>
      </c>
      <c r="K7" s="6">
        <f t="shared" si="0"/>
        <v>1.9379999999999997</v>
      </c>
      <c r="L7" s="6">
        <f t="shared" si="0"/>
        <v>2.04</v>
      </c>
      <c r="M7" s="6">
        <f t="shared" si="0"/>
        <v>2.1080000000000001</v>
      </c>
      <c r="N7" s="6">
        <f t="shared" si="0"/>
        <v>2.1675</v>
      </c>
      <c r="O7" s="6">
        <f t="shared" si="0"/>
        <v>2.1675</v>
      </c>
      <c r="P7" s="6">
        <f t="shared" si="0"/>
        <v>2.1675</v>
      </c>
      <c r="Q7" s="6">
        <f t="shared" si="0"/>
        <v>2.2949999999999999</v>
      </c>
      <c r="R7" s="6">
        <f t="shared" si="0"/>
        <v>2.3459999999999996</v>
      </c>
      <c r="S7" s="6">
        <f t="shared" si="0"/>
        <v>2.3969999999999998</v>
      </c>
      <c r="T7" s="6">
        <f t="shared" si="0"/>
        <v>2.4649999999999999</v>
      </c>
      <c r="U7" s="6">
        <f t="shared" si="0"/>
        <v>2.5499999999999998</v>
      </c>
      <c r="V7" s="6">
        <f t="shared" si="0"/>
        <v>2.6774999999999998</v>
      </c>
      <c r="W7" s="6">
        <f t="shared" si="0"/>
        <v>2.6774999999999998</v>
      </c>
      <c r="X7" s="6">
        <f t="shared" si="0"/>
        <v>2.6774999999999998</v>
      </c>
      <c r="Y7" s="6">
        <f t="shared" si="0"/>
        <v>2.6774999999999998</v>
      </c>
      <c r="Z7" s="6">
        <f t="shared" si="0"/>
        <v>2.5499999999999998</v>
      </c>
      <c r="AA7" s="6">
        <f t="shared" si="0"/>
        <v>2.5499999999999998</v>
      </c>
      <c r="AB7" s="6">
        <f t="shared" si="0"/>
        <v>2.5499999999999998</v>
      </c>
      <c r="AC7" s="6">
        <f t="shared" si="0"/>
        <v>2.5499999999999998</v>
      </c>
      <c r="AD7" s="6">
        <f t="shared" si="0"/>
        <v>2.5499999999999998</v>
      </c>
      <c r="AE7" s="6">
        <f t="shared" si="0"/>
        <v>2.5499999999999998</v>
      </c>
      <c r="AF7" s="6">
        <f t="shared" si="0"/>
        <v>2.5499999999999998</v>
      </c>
      <c r="AG7" s="6">
        <f t="shared" si="0"/>
        <v>2.6520000000000001</v>
      </c>
      <c r="AH7" s="6">
        <f t="shared" ref="AH7:BM7" si="1">AH5*0.85</f>
        <v>2.7454999999999998</v>
      </c>
      <c r="AI7" s="6">
        <f t="shared" si="1"/>
        <v>2.7454999999999998</v>
      </c>
      <c r="AJ7" s="6">
        <f t="shared" si="1"/>
        <v>2.7454999999999998</v>
      </c>
      <c r="AK7" s="6">
        <f t="shared" si="1"/>
        <v>2.7454999999999998</v>
      </c>
      <c r="AL7" s="6">
        <f t="shared" si="1"/>
        <v>2.7454999999999998</v>
      </c>
      <c r="AM7" s="6">
        <f t="shared" si="1"/>
        <v>2.8049999999999997</v>
      </c>
      <c r="AN7" s="6">
        <f t="shared" si="1"/>
        <v>2.8304999999999998</v>
      </c>
      <c r="AO7" s="6">
        <f t="shared" si="1"/>
        <v>2.8304999999999998</v>
      </c>
      <c r="AP7" s="6">
        <f t="shared" si="1"/>
        <v>3.06</v>
      </c>
      <c r="AQ7" s="6">
        <f t="shared" si="1"/>
        <v>3.23</v>
      </c>
      <c r="AR7" s="6">
        <f t="shared" si="1"/>
        <v>3.3574999999999999</v>
      </c>
      <c r="AS7" s="6">
        <f t="shared" si="1"/>
        <v>3.57</v>
      </c>
      <c r="AT7" s="6">
        <f t="shared" si="1"/>
        <v>4.165</v>
      </c>
      <c r="AU7" s="6">
        <f t="shared" si="1"/>
        <v>4.2924999999999995</v>
      </c>
      <c r="AV7" s="6">
        <f t="shared" si="1"/>
        <v>4.2924999999999995</v>
      </c>
      <c r="AW7" s="6">
        <f t="shared" si="1"/>
        <v>4.2075000000000005</v>
      </c>
      <c r="AX7" s="6">
        <f t="shared" si="1"/>
        <v>4.1224999999999996</v>
      </c>
      <c r="AY7" s="6">
        <f t="shared" si="1"/>
        <v>3.1875</v>
      </c>
      <c r="AZ7" s="6">
        <f t="shared" si="1"/>
        <v>2.72</v>
      </c>
      <c r="BA7" s="6">
        <f t="shared" si="1"/>
        <v>2.4224999999999999</v>
      </c>
      <c r="BB7" s="6">
        <f t="shared" si="1"/>
        <v>2.04</v>
      </c>
      <c r="BC7" s="6">
        <f t="shared" si="1"/>
        <v>1.9124999999999999</v>
      </c>
      <c r="BD7" s="6">
        <f t="shared" si="1"/>
        <v>1.9124999999999999</v>
      </c>
      <c r="BE7" s="6">
        <f t="shared" si="1"/>
        <v>1.9124999999999999</v>
      </c>
      <c r="BF7" s="6">
        <f t="shared" si="1"/>
        <v>1.9975000000000001</v>
      </c>
      <c r="BG7" s="6">
        <f t="shared" si="1"/>
        <v>2.2949999999999999</v>
      </c>
      <c r="BH7" s="6">
        <f t="shared" si="1"/>
        <v>2.2949999999999999</v>
      </c>
      <c r="BI7" s="6">
        <f t="shared" si="1"/>
        <v>2.2949999999999999</v>
      </c>
      <c r="BJ7" s="6">
        <f t="shared" si="1"/>
        <v>2.2949999999999999</v>
      </c>
      <c r="BK7" s="6">
        <f t="shared" si="1"/>
        <v>2.2949999999999999</v>
      </c>
      <c r="BL7" s="6">
        <f t="shared" si="1"/>
        <v>2.2949999999999999</v>
      </c>
      <c r="BM7" s="6">
        <f t="shared" si="1"/>
        <v>2.5075000000000003</v>
      </c>
      <c r="BN7" s="6">
        <f t="shared" ref="BN7:CS7" si="2">BN5*0.85</f>
        <v>2.5499999999999998</v>
      </c>
      <c r="BO7" s="6">
        <f t="shared" si="2"/>
        <v>2.6349999999999998</v>
      </c>
      <c r="BP7" s="6">
        <f t="shared" si="2"/>
        <v>2.72</v>
      </c>
      <c r="BQ7" s="6">
        <f t="shared" si="2"/>
        <v>2.9750000000000001</v>
      </c>
      <c r="BR7" s="6">
        <f t="shared" si="2"/>
        <v>2.9750000000000001</v>
      </c>
      <c r="BS7" s="6">
        <f t="shared" si="2"/>
        <v>2.9750000000000001</v>
      </c>
      <c r="BT7" s="6">
        <f t="shared" si="2"/>
        <v>2.9750000000000001</v>
      </c>
      <c r="BU7" s="6">
        <f t="shared" si="2"/>
        <v>2.9750000000000001</v>
      </c>
      <c r="BV7" s="6">
        <f t="shared" si="2"/>
        <v>2.9750000000000001</v>
      </c>
      <c r="BW7" s="6">
        <f t="shared" si="2"/>
        <v>3.2725</v>
      </c>
      <c r="BX7" s="6">
        <f t="shared" si="2"/>
        <v>3.2725</v>
      </c>
      <c r="BY7" s="6">
        <f t="shared" si="2"/>
        <v>3.2725</v>
      </c>
      <c r="BZ7" s="6">
        <f t="shared" si="2"/>
        <v>3.6124999999999998</v>
      </c>
      <c r="CA7" s="6">
        <f t="shared" si="2"/>
        <v>3.6124999999999998</v>
      </c>
      <c r="CB7" s="6">
        <f t="shared" si="2"/>
        <v>4.0374999999999996</v>
      </c>
      <c r="CC7" s="6">
        <f t="shared" si="2"/>
        <v>4.0374999999999996</v>
      </c>
      <c r="CD7" s="6">
        <f t="shared" si="2"/>
        <v>4.2075000000000005</v>
      </c>
      <c r="CE7" s="6">
        <f t="shared" si="2"/>
        <v>4.2075000000000005</v>
      </c>
      <c r="CF7" s="6">
        <f t="shared" si="2"/>
        <v>4.2075000000000005</v>
      </c>
      <c r="CG7" s="6">
        <f t="shared" si="2"/>
        <v>4.2075000000000005</v>
      </c>
      <c r="CH7" s="6">
        <f t="shared" si="2"/>
        <v>4.2075000000000005</v>
      </c>
      <c r="CI7" s="6">
        <f t="shared" si="2"/>
        <v>4.0374999999999996</v>
      </c>
      <c r="CJ7" s="6">
        <f t="shared" si="2"/>
        <v>4.0374999999999996</v>
      </c>
      <c r="CK7" s="6">
        <f t="shared" si="2"/>
        <v>4.0374999999999996</v>
      </c>
      <c r="CL7" s="6">
        <f t="shared" si="2"/>
        <v>4.0374999999999996</v>
      </c>
      <c r="CM7" s="6">
        <f t="shared" si="2"/>
        <v>4.0374999999999996</v>
      </c>
      <c r="CN7" s="6">
        <f t="shared" si="2"/>
        <v>4.25</v>
      </c>
      <c r="CO7" s="6">
        <f t="shared" si="2"/>
        <v>4.0374999999999996</v>
      </c>
      <c r="CP7" s="6">
        <f t="shared" si="2"/>
        <v>3.6549999999999998</v>
      </c>
      <c r="CQ7" s="6">
        <f t="shared" si="2"/>
        <v>3.6549999999999998</v>
      </c>
      <c r="CR7" s="6">
        <f t="shared" si="2"/>
        <v>3.6549999999999998</v>
      </c>
      <c r="CS7" s="6">
        <f t="shared" si="2"/>
        <v>3.6549999999999998</v>
      </c>
      <c r="CT7" s="6">
        <f t="shared" ref="CT7:DY7" si="3">CT5*0.85</f>
        <v>3.4</v>
      </c>
      <c r="CU7" s="6">
        <f t="shared" si="3"/>
        <v>3.4</v>
      </c>
      <c r="CV7" s="6">
        <f t="shared" si="3"/>
        <v>3.1875</v>
      </c>
      <c r="CW7" s="6">
        <f t="shared" si="3"/>
        <v>3.1875</v>
      </c>
      <c r="CX7" s="6">
        <f t="shared" si="3"/>
        <v>3.1875</v>
      </c>
      <c r="CY7" s="6">
        <f t="shared" si="3"/>
        <v>3.3149999999999999</v>
      </c>
      <c r="CZ7" s="6">
        <f t="shared" si="3"/>
        <v>3.3149999999999999</v>
      </c>
      <c r="DA7" s="6">
        <f t="shared" si="3"/>
        <v>3.3149999999999999</v>
      </c>
      <c r="DB7" s="6">
        <f t="shared" si="3"/>
        <v>3.3149999999999999</v>
      </c>
      <c r="DC7" s="6">
        <f t="shared" si="3"/>
        <v>3.3149999999999999</v>
      </c>
      <c r="DD7" s="6">
        <f t="shared" si="3"/>
        <v>3.4</v>
      </c>
      <c r="DE7" s="6">
        <f t="shared" si="3"/>
        <v>3.4</v>
      </c>
      <c r="DF7" s="6">
        <f t="shared" si="3"/>
        <v>3.3149999999999999</v>
      </c>
      <c r="DG7" s="6">
        <f t="shared" si="3"/>
        <v>3.3149999999999999</v>
      </c>
      <c r="DH7" s="6">
        <f t="shared" si="3"/>
        <v>3.3149999999999999</v>
      </c>
      <c r="DI7" s="6">
        <f t="shared" si="3"/>
        <v>3.2725</v>
      </c>
      <c r="DJ7" s="6">
        <f t="shared" si="3"/>
        <v>3.2725</v>
      </c>
      <c r="DK7" s="6">
        <f t="shared" si="3"/>
        <v>3.3149999999999999</v>
      </c>
      <c r="DL7" s="6">
        <f t="shared" si="3"/>
        <v>3.3149999999999999</v>
      </c>
      <c r="DM7" s="6">
        <f t="shared" si="3"/>
        <v>3.3149999999999999</v>
      </c>
      <c r="DN7" s="6">
        <f t="shared" si="3"/>
        <v>3.3149999999999999</v>
      </c>
      <c r="DO7" s="6">
        <f t="shared" si="3"/>
        <v>3.145</v>
      </c>
      <c r="DP7" s="6">
        <f t="shared" si="3"/>
        <v>3.145</v>
      </c>
      <c r="DQ7" s="6">
        <f t="shared" si="3"/>
        <v>3.0174999999999996</v>
      </c>
      <c r="DR7" s="6">
        <f t="shared" si="3"/>
        <v>2.8049999999999997</v>
      </c>
      <c r="DS7" s="6">
        <f t="shared" si="3"/>
        <v>2.38</v>
      </c>
      <c r="DT7" s="6">
        <f t="shared" si="3"/>
        <v>2.38</v>
      </c>
      <c r="DU7" s="6">
        <f t="shared" si="3"/>
        <v>2.38</v>
      </c>
      <c r="DV7" s="6">
        <f t="shared" si="3"/>
        <v>2.38</v>
      </c>
      <c r="DW7" s="6">
        <f t="shared" si="3"/>
        <v>2.38</v>
      </c>
      <c r="DX7" s="6">
        <f t="shared" si="3"/>
        <v>2.38</v>
      </c>
      <c r="DY7" s="6">
        <f t="shared" si="3"/>
        <v>2.38</v>
      </c>
      <c r="DZ7" s="6">
        <f t="shared" ref="DZ7:EQ7" si="4">DZ5*0.85</f>
        <v>2.38</v>
      </c>
      <c r="EA7" s="6">
        <f t="shared" si="4"/>
        <v>2.2949999999999999</v>
      </c>
      <c r="EB7" s="6">
        <f t="shared" si="4"/>
        <v>2.125</v>
      </c>
      <c r="EC7" s="6">
        <f t="shared" si="4"/>
        <v>2.04</v>
      </c>
      <c r="ED7" s="6">
        <f t="shared" si="4"/>
        <v>2.04</v>
      </c>
      <c r="EE7" s="6">
        <f t="shared" si="4"/>
        <v>1.9549999999999998</v>
      </c>
      <c r="EF7" s="6">
        <f t="shared" si="4"/>
        <v>1.7849999999999999</v>
      </c>
      <c r="EG7" s="6">
        <f t="shared" si="4"/>
        <v>1.53</v>
      </c>
      <c r="EH7" s="6">
        <f t="shared" si="4"/>
        <v>1.53</v>
      </c>
      <c r="EI7" s="6">
        <f t="shared" si="4"/>
        <v>1.53</v>
      </c>
      <c r="EJ7" s="6">
        <f t="shared" si="4"/>
        <v>1.6575</v>
      </c>
      <c r="EK7" s="6">
        <f t="shared" si="4"/>
        <v>1.87</v>
      </c>
      <c r="EL7" s="6">
        <f t="shared" si="4"/>
        <v>1.9549999999999998</v>
      </c>
      <c r="EM7" s="6">
        <f t="shared" si="4"/>
        <v>1.9549999999999998</v>
      </c>
      <c r="EN7" s="6">
        <f t="shared" si="4"/>
        <v>1.9549999999999998</v>
      </c>
      <c r="EO7" s="6">
        <f t="shared" si="4"/>
        <v>1.87</v>
      </c>
      <c r="EP7" s="6">
        <f t="shared" si="4"/>
        <v>1.87</v>
      </c>
      <c r="EQ7" s="6">
        <f t="shared" si="4"/>
        <v>1.87</v>
      </c>
    </row>
    <row r="8" spans="1:265">
      <c r="A8" t="s">
        <v>771</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FD8" s="6">
        <f>' Crude Oil-Base Oil'!E38</f>
        <v>2.4409010804126083</v>
      </c>
      <c r="FE8" s="6">
        <f>FD8</f>
        <v>2.4409010804126083</v>
      </c>
      <c r="FF8" s="6">
        <f t="shared" ref="FF8:FO8" si="5">FE8</f>
        <v>2.4409010804126083</v>
      </c>
      <c r="FG8" s="6">
        <f t="shared" si="5"/>
        <v>2.4409010804126083</v>
      </c>
      <c r="FH8" s="6">
        <f t="shared" si="5"/>
        <v>2.4409010804126083</v>
      </c>
      <c r="FI8" s="6">
        <f t="shared" si="5"/>
        <v>2.4409010804126083</v>
      </c>
      <c r="FJ8" s="6">
        <f t="shared" si="5"/>
        <v>2.4409010804126083</v>
      </c>
      <c r="FK8" s="6">
        <f t="shared" si="5"/>
        <v>2.4409010804126083</v>
      </c>
      <c r="FL8" s="6">
        <f t="shared" si="5"/>
        <v>2.4409010804126083</v>
      </c>
      <c r="FM8" s="6">
        <f t="shared" si="5"/>
        <v>2.4409010804126083</v>
      </c>
      <c r="FN8" s="6">
        <f t="shared" si="5"/>
        <v>2.4409010804126083</v>
      </c>
      <c r="FO8" s="6">
        <f t="shared" si="5"/>
        <v>2.4409010804126083</v>
      </c>
      <c r="FP8" s="6">
        <f>' Crude Oil-Base Oil'!F38</f>
        <v>2.4093111482859104</v>
      </c>
      <c r="FQ8" s="6">
        <f>FP8</f>
        <v>2.4093111482859104</v>
      </c>
      <c r="FR8" s="6">
        <f t="shared" ref="FR8:GA8" si="6">FQ8</f>
        <v>2.4093111482859104</v>
      </c>
      <c r="FS8" s="6">
        <f t="shared" si="6"/>
        <v>2.4093111482859104</v>
      </c>
      <c r="FT8" s="6">
        <f t="shared" si="6"/>
        <v>2.4093111482859104</v>
      </c>
      <c r="FU8" s="6">
        <f t="shared" si="6"/>
        <v>2.4093111482859104</v>
      </c>
      <c r="FV8" s="6">
        <f t="shared" si="6"/>
        <v>2.4093111482859104</v>
      </c>
      <c r="FW8" s="6">
        <f t="shared" si="6"/>
        <v>2.4093111482859104</v>
      </c>
      <c r="FX8" s="6">
        <f t="shared" si="6"/>
        <v>2.4093111482859104</v>
      </c>
      <c r="FY8" s="6">
        <f t="shared" si="6"/>
        <v>2.4093111482859104</v>
      </c>
      <c r="FZ8" s="6">
        <f t="shared" si="6"/>
        <v>2.4093111482859104</v>
      </c>
      <c r="GA8" s="6">
        <f t="shared" si="6"/>
        <v>2.4093111482859104</v>
      </c>
      <c r="GB8" s="6">
        <f>' Crude Oil-Base Oil'!G38</f>
        <v>2.4160485490643455</v>
      </c>
      <c r="GC8" s="6">
        <f>GB8</f>
        <v>2.4160485490643455</v>
      </c>
      <c r="GD8" s="6">
        <f t="shared" ref="GD8:GM8" si="7">GC8</f>
        <v>2.4160485490643455</v>
      </c>
      <c r="GE8" s="6">
        <f t="shared" si="7"/>
        <v>2.4160485490643455</v>
      </c>
      <c r="GF8" s="6">
        <f t="shared" si="7"/>
        <v>2.4160485490643455</v>
      </c>
      <c r="GG8" s="6">
        <f t="shared" si="7"/>
        <v>2.4160485490643455</v>
      </c>
      <c r="GH8" s="6">
        <f t="shared" si="7"/>
        <v>2.4160485490643455</v>
      </c>
      <c r="GI8" s="6">
        <f t="shared" si="7"/>
        <v>2.4160485490643455</v>
      </c>
      <c r="GJ8" s="6">
        <f t="shared" si="7"/>
        <v>2.4160485490643455</v>
      </c>
      <c r="GK8" s="6">
        <f t="shared" si="7"/>
        <v>2.4160485490643455</v>
      </c>
      <c r="GL8" s="6">
        <f t="shared" si="7"/>
        <v>2.4160485490643455</v>
      </c>
      <c r="GM8" s="6">
        <f t="shared" si="7"/>
        <v>2.4160485490643455</v>
      </c>
      <c r="GN8" s="6">
        <f>' Crude Oil-Base Oil'!H38</f>
        <v>2.4566960464759564</v>
      </c>
      <c r="GO8" s="6">
        <f>GN8</f>
        <v>2.4566960464759564</v>
      </c>
      <c r="GP8" s="6">
        <f t="shared" ref="GP8:GY8" si="8">GO8</f>
        <v>2.4566960464759564</v>
      </c>
      <c r="GQ8" s="6">
        <f t="shared" si="8"/>
        <v>2.4566960464759564</v>
      </c>
      <c r="GR8" s="6">
        <f t="shared" si="8"/>
        <v>2.4566960464759564</v>
      </c>
      <c r="GS8" s="6">
        <f t="shared" si="8"/>
        <v>2.4566960464759564</v>
      </c>
      <c r="GT8" s="6">
        <f t="shared" si="8"/>
        <v>2.4566960464759564</v>
      </c>
      <c r="GU8" s="6">
        <f t="shared" si="8"/>
        <v>2.4566960464759564</v>
      </c>
      <c r="GV8" s="6">
        <f t="shared" si="8"/>
        <v>2.4566960464759564</v>
      </c>
      <c r="GW8" s="6">
        <f t="shared" si="8"/>
        <v>2.4566960464759564</v>
      </c>
      <c r="GX8" s="6">
        <f t="shared" si="8"/>
        <v>2.4566960464759564</v>
      </c>
      <c r="GY8" s="6">
        <f t="shared" si="8"/>
        <v>2.4566960464759564</v>
      </c>
      <c r="GZ8" s="6">
        <f>' Crude Oil-Base Oil'!I38</f>
        <v>2.516797230903443</v>
      </c>
      <c r="HA8" s="6">
        <f>GZ8</f>
        <v>2.516797230903443</v>
      </c>
      <c r="HB8" s="6">
        <f t="shared" ref="HB8:HK8" si="9">HA8</f>
        <v>2.516797230903443</v>
      </c>
      <c r="HC8" s="6">
        <f t="shared" si="9"/>
        <v>2.516797230903443</v>
      </c>
      <c r="HD8" s="6">
        <f t="shared" si="9"/>
        <v>2.516797230903443</v>
      </c>
      <c r="HE8" s="6">
        <f t="shared" si="9"/>
        <v>2.516797230903443</v>
      </c>
      <c r="HF8" s="6">
        <f t="shared" si="9"/>
        <v>2.516797230903443</v>
      </c>
      <c r="HG8" s="6">
        <f t="shared" si="9"/>
        <v>2.516797230903443</v>
      </c>
      <c r="HH8" s="6">
        <f t="shared" si="9"/>
        <v>2.516797230903443</v>
      </c>
      <c r="HI8" s="6">
        <f t="shared" si="9"/>
        <v>2.516797230903443</v>
      </c>
      <c r="HJ8" s="6">
        <f t="shared" si="9"/>
        <v>2.516797230903443</v>
      </c>
      <c r="HK8" s="6">
        <f t="shared" si="9"/>
        <v>2.516797230903443</v>
      </c>
      <c r="HL8" s="6">
        <f>' Crude Oil-Base Oil'!J38</f>
        <v>2.5904624539842014</v>
      </c>
      <c r="HM8" s="6">
        <f>HL8</f>
        <v>2.5904624539842014</v>
      </c>
      <c r="HN8" s="6">
        <f t="shared" ref="HN8:HW8" si="10">HM8</f>
        <v>2.5904624539842014</v>
      </c>
      <c r="HO8" s="6">
        <f t="shared" si="10"/>
        <v>2.5904624539842014</v>
      </c>
      <c r="HP8" s="6">
        <f t="shared" si="10"/>
        <v>2.5904624539842014</v>
      </c>
      <c r="HQ8" s="6">
        <f t="shared" si="10"/>
        <v>2.5904624539842014</v>
      </c>
      <c r="HR8" s="6">
        <f t="shared" si="10"/>
        <v>2.5904624539842014</v>
      </c>
      <c r="HS8" s="6">
        <f t="shared" si="10"/>
        <v>2.5904624539842014</v>
      </c>
      <c r="HT8" s="6">
        <f t="shared" si="10"/>
        <v>2.5904624539842014</v>
      </c>
      <c r="HU8" s="6">
        <f t="shared" si="10"/>
        <v>2.5904624539842014</v>
      </c>
      <c r="HV8" s="6">
        <f t="shared" si="10"/>
        <v>2.5904624539842014</v>
      </c>
      <c r="HW8" s="6">
        <f t="shared" si="10"/>
        <v>2.5904624539842014</v>
      </c>
      <c r="HX8" s="6">
        <f>' Crude Oil-Base Oil'!K38</f>
        <v>2.6357056618605719</v>
      </c>
      <c r="HY8" s="6">
        <f>HX8</f>
        <v>2.6357056618605719</v>
      </c>
      <c r="HZ8" s="6">
        <f t="shared" ref="HZ8:II8" si="11">HY8</f>
        <v>2.6357056618605719</v>
      </c>
      <c r="IA8" s="6">
        <f t="shared" si="11"/>
        <v>2.6357056618605719</v>
      </c>
      <c r="IB8" s="6">
        <f t="shared" si="11"/>
        <v>2.6357056618605719</v>
      </c>
      <c r="IC8" s="6">
        <f t="shared" si="11"/>
        <v>2.6357056618605719</v>
      </c>
      <c r="ID8" s="6">
        <f t="shared" si="11"/>
        <v>2.6357056618605719</v>
      </c>
      <c r="IE8" s="6">
        <f t="shared" si="11"/>
        <v>2.6357056618605719</v>
      </c>
      <c r="IF8" s="6">
        <f t="shared" si="11"/>
        <v>2.6357056618605719</v>
      </c>
      <c r="IG8" s="6">
        <f t="shared" si="11"/>
        <v>2.6357056618605719</v>
      </c>
      <c r="IH8" s="6">
        <f t="shared" si="11"/>
        <v>2.6357056618605719</v>
      </c>
      <c r="II8" s="6">
        <f t="shared" si="11"/>
        <v>2.6357056618605719</v>
      </c>
      <c r="IJ8" s="6">
        <f>' Crude Oil-Base Oil'!L38</f>
        <v>2.6643507698059667</v>
      </c>
      <c r="IK8" s="6">
        <f>IJ8</f>
        <v>2.6643507698059667</v>
      </c>
      <c r="IL8" s="6">
        <f t="shared" ref="IL8:IU8" si="12">IK8</f>
        <v>2.6643507698059667</v>
      </c>
      <c r="IM8" s="6">
        <f t="shared" si="12"/>
        <v>2.6643507698059667</v>
      </c>
      <c r="IN8" s="6">
        <f t="shared" si="12"/>
        <v>2.6643507698059667</v>
      </c>
      <c r="IO8" s="6">
        <f t="shared" si="12"/>
        <v>2.6643507698059667</v>
      </c>
      <c r="IP8" s="6">
        <f t="shared" si="12"/>
        <v>2.6643507698059667</v>
      </c>
      <c r="IQ8" s="6">
        <f t="shared" si="12"/>
        <v>2.6643507698059667</v>
      </c>
      <c r="IR8" s="6">
        <f t="shared" si="12"/>
        <v>2.6643507698059667</v>
      </c>
      <c r="IS8" s="6">
        <f t="shared" si="12"/>
        <v>2.6643507698059667</v>
      </c>
      <c r="IT8" s="6">
        <f t="shared" si="12"/>
        <v>2.6643507698059667</v>
      </c>
      <c r="IU8" s="6">
        <f t="shared" si="12"/>
        <v>2.6643507698059667</v>
      </c>
    </row>
    <row r="9" spans="1:26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row>
    <row r="10" spans="1:265">
      <c r="B10" s="97">
        <v>38292</v>
      </c>
      <c r="C10" s="97">
        <v>38322</v>
      </c>
      <c r="D10" s="97">
        <v>38353</v>
      </c>
      <c r="E10" s="97">
        <v>38384</v>
      </c>
      <c r="F10" s="97">
        <v>38412</v>
      </c>
      <c r="G10" s="97">
        <v>38443</v>
      </c>
      <c r="H10" s="97">
        <v>38473</v>
      </c>
      <c r="I10" s="97">
        <v>38504</v>
      </c>
      <c r="J10" s="97">
        <v>38534</v>
      </c>
      <c r="K10" s="97">
        <v>38565</v>
      </c>
      <c r="L10" s="97">
        <v>38596</v>
      </c>
      <c r="M10" s="97">
        <v>38626</v>
      </c>
      <c r="N10" s="97">
        <v>38657</v>
      </c>
      <c r="O10" s="97">
        <v>38687</v>
      </c>
      <c r="P10" s="97">
        <v>38718</v>
      </c>
      <c r="Q10" s="97">
        <v>38749</v>
      </c>
      <c r="R10" s="97">
        <v>38777</v>
      </c>
      <c r="S10" s="97">
        <v>38808</v>
      </c>
      <c r="T10" s="97">
        <v>38838</v>
      </c>
      <c r="U10" s="97">
        <v>38869</v>
      </c>
      <c r="V10" s="97">
        <v>38899</v>
      </c>
      <c r="W10" s="97">
        <v>38930</v>
      </c>
      <c r="X10" s="97">
        <v>38961</v>
      </c>
      <c r="Y10" s="97">
        <v>38991</v>
      </c>
      <c r="Z10" s="97">
        <v>39022</v>
      </c>
      <c r="AA10" s="97">
        <v>39052</v>
      </c>
      <c r="AB10" s="97">
        <v>39083</v>
      </c>
      <c r="AC10" s="97">
        <v>39114</v>
      </c>
      <c r="AD10" s="97">
        <v>39142</v>
      </c>
      <c r="AE10" s="97">
        <v>39173</v>
      </c>
      <c r="AF10" s="97">
        <v>39203</v>
      </c>
      <c r="AG10" s="97">
        <v>39234</v>
      </c>
      <c r="AH10" s="97">
        <v>39264</v>
      </c>
      <c r="AI10" s="97">
        <v>39295</v>
      </c>
      <c r="AJ10" s="97">
        <v>39326</v>
      </c>
      <c r="AK10" s="97">
        <v>39356</v>
      </c>
      <c r="AL10" s="97">
        <v>39387</v>
      </c>
      <c r="AM10" s="97">
        <v>39417</v>
      </c>
      <c r="AN10" s="97">
        <v>39448</v>
      </c>
      <c r="AO10" s="97">
        <v>39479</v>
      </c>
      <c r="AP10" s="97">
        <v>39508</v>
      </c>
      <c r="AQ10" s="97">
        <v>39539</v>
      </c>
      <c r="AR10" s="97">
        <v>39569</v>
      </c>
      <c r="AS10" s="97">
        <v>39600</v>
      </c>
      <c r="AT10" s="97">
        <v>39630</v>
      </c>
      <c r="AU10" s="97">
        <v>39661</v>
      </c>
      <c r="AV10" s="97">
        <v>39692</v>
      </c>
      <c r="AW10" s="97">
        <v>39722</v>
      </c>
      <c r="AX10" s="97">
        <v>39753</v>
      </c>
      <c r="AY10" s="97">
        <v>39783</v>
      </c>
      <c r="AZ10" s="97">
        <v>39814</v>
      </c>
      <c r="BA10" s="97">
        <v>39845</v>
      </c>
      <c r="BB10" s="97">
        <v>39873</v>
      </c>
      <c r="BC10" s="97">
        <v>39904</v>
      </c>
      <c r="BD10" s="97">
        <v>39934</v>
      </c>
      <c r="BE10" s="97">
        <v>39965</v>
      </c>
      <c r="BF10" s="97">
        <v>39995</v>
      </c>
      <c r="BG10" s="97">
        <v>40026</v>
      </c>
      <c r="BH10" s="97">
        <v>40057</v>
      </c>
      <c r="BI10" s="97">
        <v>40087</v>
      </c>
      <c r="BJ10" s="97">
        <v>40118</v>
      </c>
      <c r="BK10" s="97">
        <v>40148</v>
      </c>
      <c r="BL10" s="97">
        <v>40179</v>
      </c>
      <c r="BM10" s="97">
        <v>40210</v>
      </c>
      <c r="BN10" s="97">
        <v>40238</v>
      </c>
      <c r="BO10" s="97">
        <v>40269</v>
      </c>
      <c r="BP10" s="97">
        <v>40299</v>
      </c>
      <c r="BQ10" s="97">
        <v>40330</v>
      </c>
      <c r="BR10" s="97">
        <v>40360</v>
      </c>
      <c r="BS10" s="97">
        <v>40391</v>
      </c>
      <c r="BT10" s="97">
        <v>40422</v>
      </c>
      <c r="BU10" s="97">
        <v>40452</v>
      </c>
      <c r="BV10" s="97">
        <v>40483</v>
      </c>
      <c r="BW10" s="97">
        <v>40513</v>
      </c>
      <c r="BX10" s="97">
        <v>40544</v>
      </c>
      <c r="BY10" s="97">
        <v>40575</v>
      </c>
      <c r="BZ10" s="97">
        <v>40603</v>
      </c>
      <c r="CA10" s="97">
        <v>40634</v>
      </c>
      <c r="CB10" s="97">
        <v>40664</v>
      </c>
      <c r="CC10" s="97">
        <v>40695</v>
      </c>
      <c r="CD10" s="97">
        <v>40725</v>
      </c>
      <c r="CE10" s="97">
        <v>40756</v>
      </c>
      <c r="CF10" s="97">
        <v>40787</v>
      </c>
      <c r="CG10" s="97">
        <v>40817</v>
      </c>
      <c r="CH10" s="97">
        <v>40848</v>
      </c>
      <c r="CI10" s="97">
        <v>40878</v>
      </c>
      <c r="CJ10" s="97">
        <v>40909</v>
      </c>
      <c r="CK10" s="97">
        <v>40940</v>
      </c>
      <c r="CL10" s="97">
        <v>40969</v>
      </c>
      <c r="CM10" s="97">
        <v>41000</v>
      </c>
      <c r="CN10" s="97">
        <v>41030</v>
      </c>
      <c r="CO10" s="97">
        <v>41061</v>
      </c>
      <c r="CP10" s="97">
        <v>41091</v>
      </c>
      <c r="CQ10" s="97">
        <v>41122</v>
      </c>
      <c r="CR10" s="97">
        <v>41153</v>
      </c>
      <c r="CS10" s="97">
        <v>41183</v>
      </c>
      <c r="CT10" s="97">
        <v>41214</v>
      </c>
      <c r="CU10" s="97">
        <v>41244</v>
      </c>
      <c r="CV10" s="97">
        <v>41275</v>
      </c>
      <c r="CW10" s="97">
        <v>41306</v>
      </c>
      <c r="CX10" s="97">
        <v>41334</v>
      </c>
      <c r="CY10" s="97">
        <v>41365</v>
      </c>
      <c r="CZ10" s="97">
        <v>41395</v>
      </c>
      <c r="DA10" s="97">
        <v>41426</v>
      </c>
      <c r="DB10" s="97">
        <v>41456</v>
      </c>
      <c r="DC10" s="97">
        <v>41487</v>
      </c>
      <c r="DD10" s="97">
        <v>41518</v>
      </c>
      <c r="DE10" s="97">
        <v>41548</v>
      </c>
      <c r="DF10" s="97">
        <v>41579</v>
      </c>
      <c r="DG10" s="97">
        <v>41609</v>
      </c>
      <c r="DH10" s="97">
        <v>41640</v>
      </c>
      <c r="DI10" s="97">
        <v>41671</v>
      </c>
      <c r="DJ10" s="97">
        <v>41699</v>
      </c>
      <c r="DK10" s="97">
        <v>41730</v>
      </c>
      <c r="DL10" s="97">
        <v>41760</v>
      </c>
      <c r="DM10" s="97">
        <v>41791</v>
      </c>
      <c r="DN10" s="97">
        <v>41821</v>
      </c>
      <c r="DO10" s="97">
        <v>41852</v>
      </c>
      <c r="DP10" s="97">
        <v>41883</v>
      </c>
      <c r="DQ10" s="97">
        <v>41913</v>
      </c>
      <c r="DR10" s="97">
        <v>41944</v>
      </c>
      <c r="DS10" s="97">
        <v>41974</v>
      </c>
      <c r="DT10" s="97">
        <v>42005</v>
      </c>
      <c r="DU10" s="97">
        <v>42036</v>
      </c>
      <c r="DV10" s="97">
        <v>42064</v>
      </c>
      <c r="DW10" s="97">
        <v>42095</v>
      </c>
      <c r="DX10" s="97">
        <v>42125</v>
      </c>
      <c r="DY10" s="97">
        <v>42156</v>
      </c>
      <c r="DZ10" s="97">
        <v>42186</v>
      </c>
      <c r="EA10" s="97">
        <v>42217</v>
      </c>
      <c r="EB10" s="97">
        <v>42248</v>
      </c>
      <c r="EC10" s="97">
        <v>42278</v>
      </c>
      <c r="ED10" s="97">
        <v>42309</v>
      </c>
      <c r="EE10" s="97">
        <v>42339</v>
      </c>
      <c r="EF10" s="97">
        <v>42370</v>
      </c>
      <c r="EG10" s="97">
        <v>42401</v>
      </c>
      <c r="EH10" s="97">
        <v>42430</v>
      </c>
      <c r="EI10" s="97">
        <v>42461</v>
      </c>
      <c r="EJ10" s="97">
        <v>42491</v>
      </c>
      <c r="EK10" s="97">
        <v>42522</v>
      </c>
      <c r="EL10" s="97">
        <v>42552</v>
      </c>
      <c r="EM10" s="97">
        <v>42583</v>
      </c>
      <c r="EN10" s="97">
        <v>42614</v>
      </c>
      <c r="EO10" s="97">
        <v>42644</v>
      </c>
      <c r="EP10" s="97">
        <v>42675</v>
      </c>
      <c r="EQ10" s="97">
        <v>42705</v>
      </c>
      <c r="ER10" s="97">
        <v>42736</v>
      </c>
      <c r="ES10" s="97">
        <v>42767</v>
      </c>
      <c r="ET10" s="97">
        <v>42795</v>
      </c>
      <c r="EU10" s="97">
        <v>42826</v>
      </c>
      <c r="EV10" s="97">
        <v>42856</v>
      </c>
      <c r="EW10" s="97">
        <v>42887</v>
      </c>
      <c r="EX10" s="97">
        <v>42917</v>
      </c>
      <c r="EY10" s="97">
        <v>42948</v>
      </c>
      <c r="EZ10" s="97">
        <v>42979</v>
      </c>
      <c r="FA10" s="97">
        <v>43009</v>
      </c>
      <c r="FB10" s="97">
        <v>43040</v>
      </c>
      <c r="FC10" s="97">
        <v>43070</v>
      </c>
      <c r="FD10" s="97">
        <v>43101</v>
      </c>
      <c r="FE10" s="97">
        <v>43132</v>
      </c>
      <c r="FF10" s="97">
        <v>43160</v>
      </c>
      <c r="FG10" s="97">
        <v>43191</v>
      </c>
      <c r="FH10" s="97">
        <v>43221</v>
      </c>
      <c r="FI10" s="97">
        <v>43252</v>
      </c>
      <c r="FJ10" s="97">
        <v>43282</v>
      </c>
      <c r="FK10" s="97">
        <v>43313</v>
      </c>
      <c r="FL10" s="97">
        <v>43344</v>
      </c>
      <c r="FM10" s="97">
        <v>43374</v>
      </c>
      <c r="FN10" s="97">
        <v>43405</v>
      </c>
      <c r="FO10" s="97">
        <v>43435</v>
      </c>
      <c r="FP10" s="97">
        <v>43466</v>
      </c>
      <c r="FQ10" s="97">
        <v>43497</v>
      </c>
      <c r="FR10" s="97">
        <v>43525</v>
      </c>
      <c r="FS10" s="97">
        <v>43556</v>
      </c>
      <c r="FT10" s="97">
        <v>43586</v>
      </c>
      <c r="FU10" s="97">
        <v>43617</v>
      </c>
      <c r="FV10" s="97">
        <v>43647</v>
      </c>
      <c r="FW10" s="97">
        <v>43678</v>
      </c>
      <c r="FX10" s="97">
        <v>43709</v>
      </c>
      <c r="FY10" s="97">
        <v>43739</v>
      </c>
      <c r="FZ10" s="97">
        <v>43770</v>
      </c>
      <c r="GA10" s="97">
        <v>43800</v>
      </c>
      <c r="GB10" s="97">
        <v>43831</v>
      </c>
      <c r="GC10" s="97">
        <v>43862</v>
      </c>
      <c r="GD10" s="97">
        <v>43891</v>
      </c>
      <c r="GE10" s="97">
        <v>43922</v>
      </c>
      <c r="GF10" s="97">
        <v>43952</v>
      </c>
      <c r="GG10" s="97">
        <v>43983</v>
      </c>
      <c r="GH10" s="97">
        <v>44013</v>
      </c>
      <c r="GI10" s="97">
        <v>44044</v>
      </c>
      <c r="GJ10" s="97">
        <v>44075</v>
      </c>
      <c r="GK10" s="97">
        <v>44105</v>
      </c>
      <c r="GL10" s="97">
        <v>44136</v>
      </c>
      <c r="GM10" s="97">
        <v>44166</v>
      </c>
      <c r="GN10" s="97">
        <v>44197</v>
      </c>
      <c r="GO10" s="97">
        <v>44228</v>
      </c>
    </row>
    <row r="11" spans="1:265">
      <c r="A11" t="s">
        <v>149</v>
      </c>
    </row>
    <row r="12" spans="1:265">
      <c r="A12" t="s">
        <v>148</v>
      </c>
    </row>
    <row r="13" spans="1:265">
      <c r="A13" t="s">
        <v>147</v>
      </c>
    </row>
    <row r="15" spans="1:265">
      <c r="A15" t="s">
        <v>770</v>
      </c>
      <c r="D15">
        <f>AVERAGE(B7:EQ7)</f>
        <v>2.8024383561643806</v>
      </c>
    </row>
    <row r="16" spans="1:265">
      <c r="A16" t="s">
        <v>769</v>
      </c>
      <c r="D16">
        <f>AVERAGE(B6:EP6)</f>
        <v>1.7995862068965509</v>
      </c>
      <c r="E16">
        <f>D15-D16</f>
        <v>1.0028521492678297</v>
      </c>
    </row>
    <row r="17" spans="1:4">
      <c r="A17" t="s">
        <v>772</v>
      </c>
      <c r="D17">
        <f>AVERAGE(FD8:IU8)</f>
        <v>2.5162841175991266</v>
      </c>
    </row>
    <row r="18" spans="1:4">
      <c r="A18">
        <f>1.85/2.75</f>
        <v>0.67272727272727273</v>
      </c>
    </row>
  </sheetData>
  <pageMargins left="0.7" right="0.7" top="0.75" bottom="0.75" header="0.3" footer="0.3"/>
  <drawing r:id="rId1"/>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0"/>
  <sheetViews>
    <sheetView showGridLines="0" topLeftCell="A30" zoomScale="125" zoomScaleNormal="125" zoomScalePageLayoutView="125" workbookViewId="0">
      <selection activeCell="B38" sqref="B38"/>
    </sheetView>
  </sheetViews>
  <sheetFormatPr defaultColWidth="8.85546875" defaultRowHeight="15"/>
  <cols>
    <col min="1" max="1" width="2.85546875" customWidth="1"/>
    <col min="2" max="2" width="30.85546875" customWidth="1"/>
    <col min="3" max="3" width="14.5703125" bestFit="1" customWidth="1"/>
    <col min="4" max="4" width="10.85546875" bestFit="1" customWidth="1"/>
    <col min="5" max="7" width="11.5703125" bestFit="1" customWidth="1"/>
    <col min="8" max="11" width="11.85546875" bestFit="1" customWidth="1"/>
    <col min="12" max="12" width="12.5703125" bestFit="1" customWidth="1"/>
    <col min="13" max="13" width="11.85546875" bestFit="1" customWidth="1"/>
  </cols>
  <sheetData>
    <row r="1" spans="1:13" ht="15.75">
      <c r="A1" s="145" t="s">
        <v>429</v>
      </c>
    </row>
    <row r="2" spans="1:13" ht="15.75">
      <c r="A2" s="145"/>
    </row>
    <row r="3" spans="1:13">
      <c r="B3" s="11" t="s">
        <v>72</v>
      </c>
    </row>
    <row r="5" spans="1:13">
      <c r="B5" s="389" t="s">
        <v>66</v>
      </c>
      <c r="C5" s="458" t="s">
        <v>36</v>
      </c>
      <c r="D5" s="458" t="s">
        <v>37</v>
      </c>
      <c r="E5" s="458" t="s">
        <v>38</v>
      </c>
      <c r="F5" s="458" t="s">
        <v>39</v>
      </c>
      <c r="G5" s="458" t="s">
        <v>40</v>
      </c>
      <c r="H5" s="458" t="s">
        <v>41</v>
      </c>
      <c r="I5" s="458" t="s">
        <v>42</v>
      </c>
      <c r="J5" s="458" t="s">
        <v>43</v>
      </c>
      <c r="K5" s="458" t="s">
        <v>168</v>
      </c>
      <c r="L5" s="458" t="s">
        <v>729</v>
      </c>
      <c r="M5" s="458" t="s">
        <v>730</v>
      </c>
    </row>
    <row r="6" spans="1:13">
      <c r="B6" s="390" t="s">
        <v>560</v>
      </c>
      <c r="C6" s="391">
        <f>'P&amp;L and Cash Flow'!D5</f>
        <v>184799.99999999997</v>
      </c>
      <c r="D6" s="391">
        <f>'P&amp;L and Cash Flow'!E5</f>
        <v>0</v>
      </c>
      <c r="E6" s="391">
        <f>'P&amp;L and Cash Flow'!F5</f>
        <v>0</v>
      </c>
      <c r="F6" s="391">
        <f>'P&amp;L and Cash Flow'!G5</f>
        <v>0</v>
      </c>
      <c r="G6" s="391">
        <f>'P&amp;L and Cash Flow'!H5</f>
        <v>0</v>
      </c>
      <c r="H6" s="391">
        <f>'P&amp;L and Cash Flow'!I5</f>
        <v>0</v>
      </c>
      <c r="I6" s="391">
        <f>'P&amp;L and Cash Flow'!J5</f>
        <v>0</v>
      </c>
      <c r="J6" s="391">
        <f>'P&amp;L and Cash Flow'!K5</f>
        <v>0</v>
      </c>
      <c r="K6" s="391">
        <f>'P&amp;L and Cash Flow'!L5</f>
        <v>0</v>
      </c>
      <c r="L6" s="391">
        <f>'P&amp;L and Cash Flow'!M5</f>
        <v>0</v>
      </c>
      <c r="M6" s="391">
        <f>'P&amp;L and Cash Flow'!N5</f>
        <v>0</v>
      </c>
    </row>
    <row r="7" spans="1:13">
      <c r="B7" s="390" t="s">
        <v>67</v>
      </c>
      <c r="C7" s="391">
        <f>'P&amp;L and Cash Flow'!D6</f>
        <v>0</v>
      </c>
      <c r="D7" s="391">
        <f>'P&amp;L and Cash Flow'!E6</f>
        <v>2291550.8940103771</v>
      </c>
      <c r="E7" s="391">
        <f>'P&amp;L and Cash Flow'!F6</f>
        <v>1867091.679263728</v>
      </c>
      <c r="F7" s="391">
        <f>'P&amp;L and Cash Flow'!G6</f>
        <v>1606426.0805886374</v>
      </c>
      <c r="G7" s="391">
        <f>'P&amp;L and Cash Flow'!H6</f>
        <v>1271697.4119162047</v>
      </c>
      <c r="H7" s="391">
        <f>'P&amp;L and Cash Flow'!I6</f>
        <v>1255022.5957710776</v>
      </c>
      <c r="I7" s="392">
        <f>'P&amp;L and Cash Flow'!J6</f>
        <v>1220380.4663281897</v>
      </c>
      <c r="J7" s="392">
        <f>'P&amp;L and Cash Flow'!K6</f>
        <v>1174475.0321592535</v>
      </c>
      <c r="K7" s="392">
        <f>'P&amp;L and Cash Flow'!L6</f>
        <v>1131803.6580796672</v>
      </c>
      <c r="L7" s="392">
        <f>'P&amp;L and Cash Flow'!M6</f>
        <v>1084673.8844081783</v>
      </c>
      <c r="M7" s="392">
        <f>'P&amp;L and Cash Flow'!N6</f>
        <v>1032564.1944177373</v>
      </c>
    </row>
    <row r="8" spans="1:13">
      <c r="B8" s="390" t="s">
        <v>676</v>
      </c>
      <c r="C8" s="391">
        <f>'P&amp;L and Cash Flow'!D7</f>
        <v>0</v>
      </c>
      <c r="D8" s="391">
        <f>'P&amp;L and Cash Flow'!E7</f>
        <v>0</v>
      </c>
      <c r="E8" s="391">
        <f>'P&amp;L and Cash Flow'!F7</f>
        <v>0</v>
      </c>
      <c r="F8" s="391">
        <f>'P&amp;L and Cash Flow'!G7</f>
        <v>310802.68741743715</v>
      </c>
      <c r="G8" s="391">
        <f>'P&amp;L and Cash Flow'!H7</f>
        <v>473197.09159304807</v>
      </c>
      <c r="H8" s="391">
        <f>'P&amp;L and Cash Flow'!I7</f>
        <v>528324.5527636382</v>
      </c>
      <c r="I8" s="392">
        <f>'P&amp;L and Cash Flow'!J7</f>
        <v>589874.36316060193</v>
      </c>
      <c r="J8" s="392">
        <f>'P&amp;L and Cash Flow'!K7</f>
        <v>658594.72646881209</v>
      </c>
      <c r="K8" s="392">
        <f>'P&amp;L and Cash Flow'!L7</f>
        <v>735321.01210242871</v>
      </c>
      <c r="L8" s="392">
        <f>'P&amp;L and Cash Flow'!M7</f>
        <v>820985.91001236183</v>
      </c>
      <c r="M8" s="392">
        <f>'P&amp;L and Cash Flow'!N7</f>
        <v>916630.76852880185</v>
      </c>
    </row>
    <row r="9" spans="1:13">
      <c r="B9" s="390" t="s">
        <v>96</v>
      </c>
      <c r="C9" s="391">
        <f>'P&amp;L and Cash Flow'!D8</f>
        <v>0</v>
      </c>
      <c r="D9" s="391">
        <f>'P&amp;L and Cash Flow'!E8</f>
        <v>306000</v>
      </c>
      <c r="E9" s="391">
        <f>'P&amp;L and Cash Flow'!F8</f>
        <v>312120</v>
      </c>
      <c r="F9" s="391">
        <f>'P&amp;L and Cash Flow'!G8</f>
        <v>318362.39999999997</v>
      </c>
      <c r="G9" s="391">
        <f>'P&amp;L and Cash Flow'!H8</f>
        <v>324729.64799999999</v>
      </c>
      <c r="H9" s="391">
        <f>'P&amp;L and Cash Flow'!I8</f>
        <v>331224.24096000002</v>
      </c>
      <c r="I9" s="392">
        <f>'P&amp;L and Cash Flow'!J8</f>
        <v>337848.72577920003</v>
      </c>
      <c r="J9" s="392">
        <f>'P&amp;L and Cash Flow'!K8</f>
        <v>344605.70029478404</v>
      </c>
      <c r="K9" s="392">
        <f>'P&amp;L and Cash Flow'!L8</f>
        <v>351497.81430067972</v>
      </c>
      <c r="L9" s="392">
        <f>'P&amp;L and Cash Flow'!M8</f>
        <v>358527.77058669331</v>
      </c>
      <c r="M9" s="392">
        <f>'P&amp;L and Cash Flow'!N8</f>
        <v>365698.32599842723</v>
      </c>
    </row>
    <row r="10" spans="1:13">
      <c r="B10" s="393" t="s">
        <v>94</v>
      </c>
      <c r="C10" s="391">
        <f>'P&amp;L and Cash Flow'!D9</f>
        <v>0</v>
      </c>
      <c r="D10" s="391">
        <f>'P&amp;L and Cash Flow'!E9</f>
        <v>2364802.677939232</v>
      </c>
      <c r="E10" s="391">
        <f>'P&amp;L and Cash Flow'!F9</f>
        <v>4355873.9328496885</v>
      </c>
      <c r="F10" s="391">
        <f>'P&amp;L and Cash Flow'!G9</f>
        <v>5729824.3499326939</v>
      </c>
      <c r="G10" s="391">
        <f>'P&amp;L and Cash Flow'!H9</f>
        <v>7476885.9884419106</v>
      </c>
      <c r="H10" s="391">
        <f>'P&amp;L and Cash Flow'!I9</f>
        <v>7792101.9604568621</v>
      </c>
      <c r="I10" s="392">
        <f>'P&amp;L and Cash Flow'!J9</f>
        <v>8120203.6060693897</v>
      </c>
      <c r="J10" s="392">
        <f>'P&amp;L and Cash Flow'!K9</f>
        <v>8473927.7046428546</v>
      </c>
      <c r="K10" s="392">
        <f>'P&amp;L and Cash Flow'!L9</f>
        <v>8845160.9200001173</v>
      </c>
      <c r="L10" s="392">
        <f>'P&amp;L and Cash Flow'!M9</f>
        <v>9235777.7214412782</v>
      </c>
      <c r="M10" s="392">
        <f>'P&amp;L and Cash Flow'!N9</f>
        <v>9647868.9952924922</v>
      </c>
    </row>
    <row r="11" spans="1:13">
      <c r="B11" s="393" t="s">
        <v>68</v>
      </c>
      <c r="C11" s="391">
        <f>'P&amp;L and Cash Flow'!D10</f>
        <v>1392981.8181818179</v>
      </c>
      <c r="D11" s="391">
        <f>'P&amp;L and Cash Flow'!E10</f>
        <v>843652.34999999974</v>
      </c>
      <c r="E11" s="391">
        <f>'P&amp;L and Cash Flow'!F10</f>
        <v>872016.34224272694</v>
      </c>
      <c r="F11" s="391">
        <f>'P&amp;L and Cash Flow'!G10</f>
        <v>901353.50897860294</v>
      </c>
      <c r="G11" s="391">
        <f>'P&amp;L and Cash Flow'!H10</f>
        <v>931697.94998718821</v>
      </c>
      <c r="H11" s="391">
        <f>'P&amp;L and Cash Flow'!I10</f>
        <v>963084.98514174484</v>
      </c>
      <c r="I11" s="391">
        <f>'P&amp;L and Cash Flow'!J10</f>
        <v>995551.19894339296</v>
      </c>
      <c r="J11" s="391">
        <f>'P&amp;L and Cash Flow'!K10</f>
        <v>1029134.4867107654</v>
      </c>
      <c r="K11" s="391">
        <f>'P&amp;L and Cash Flow'!L10</f>
        <v>1063874.102487708</v>
      </c>
      <c r="L11" s="391">
        <f>'P&amp;L and Cash Flow'!M10</f>
        <v>1099810.7087339563</v>
      </c>
      <c r="M11" s="391">
        <f>'P&amp;L and Cash Flow'!N10</f>
        <v>1136986.4278662265</v>
      </c>
    </row>
    <row r="12" spans="1:13">
      <c r="B12" s="394" t="s">
        <v>69</v>
      </c>
      <c r="C12" s="395">
        <f>'P&amp;L and Cash Flow'!D11</f>
        <v>296640</v>
      </c>
      <c r="D12" s="395">
        <f>'P&amp;L and Cash Flow'!E11</f>
        <v>814771.20000000007</v>
      </c>
      <c r="E12" s="395">
        <f>'P&amp;L and Cash Flow'!F11</f>
        <v>906351.48288000026</v>
      </c>
      <c r="F12" s="395">
        <f>'P&amp;L and Cash Flow'!G11</f>
        <v>1008225.3895557123</v>
      </c>
      <c r="G12" s="395">
        <f>'P&amp;L and Cash Flow'!H11</f>
        <v>1121549.9233417744</v>
      </c>
      <c r="H12" s="395">
        <f>'P&amp;L and Cash Flow'!I11</f>
        <v>1247612.13472539</v>
      </c>
      <c r="I12" s="396">
        <f>'P&amp;L and Cash Flow'!J11</f>
        <v>1387843.7386685242</v>
      </c>
      <c r="J12" s="396">
        <f>'P&amp;L and Cash Flow'!K11</f>
        <v>1500953.0033700089</v>
      </c>
      <c r="K12" s="396">
        <f>'P&amp;L and Cash Flow'!L11</f>
        <v>1623280.6731446646</v>
      </c>
      <c r="L12" s="396">
        <f>'P&amp;L and Cash Flow'!M11</f>
        <v>1755578.0480059548</v>
      </c>
      <c r="M12" s="396">
        <f>'P&amp;L and Cash Flow'!N11</f>
        <v>1898657.6589184406</v>
      </c>
    </row>
    <row r="13" spans="1:13">
      <c r="B13" s="397" t="s">
        <v>339</v>
      </c>
      <c r="C13" s="398">
        <f t="shared" ref="C13:K13" si="0">SUM(C6:C12)</f>
        <v>1874421.8181818179</v>
      </c>
      <c r="D13" s="398">
        <f t="shared" si="0"/>
        <v>6620777.1219496084</v>
      </c>
      <c r="E13" s="398">
        <f t="shared" si="0"/>
        <v>8313453.4372361433</v>
      </c>
      <c r="F13" s="398">
        <f t="shared" si="0"/>
        <v>9874994.4164730851</v>
      </c>
      <c r="G13" s="398">
        <f t="shared" si="0"/>
        <v>11599758.013280127</v>
      </c>
      <c r="H13" s="398">
        <f t="shared" si="0"/>
        <v>12117370.469818713</v>
      </c>
      <c r="I13" s="398">
        <f t="shared" si="0"/>
        <v>12651702.098949298</v>
      </c>
      <c r="J13" s="398">
        <f t="shared" si="0"/>
        <v>13181690.65364648</v>
      </c>
      <c r="K13" s="398">
        <f t="shared" si="0"/>
        <v>13750938.180115266</v>
      </c>
      <c r="L13" s="398">
        <f t="shared" ref="L13:M13" si="1">SUM(L6:L12)</f>
        <v>14355354.043188425</v>
      </c>
      <c r="M13" s="398">
        <f t="shared" si="1"/>
        <v>14998406.371022126</v>
      </c>
    </row>
    <row r="14" spans="1:13">
      <c r="B14" s="400"/>
      <c r="C14" s="391"/>
      <c r="D14" s="391"/>
      <c r="E14" s="391"/>
      <c r="F14" s="391"/>
      <c r="G14" s="391"/>
      <c r="H14" s="391"/>
      <c r="I14" s="392"/>
      <c r="J14" s="392"/>
      <c r="K14" s="392"/>
      <c r="L14" s="392"/>
      <c r="M14" s="392"/>
    </row>
    <row r="15" spans="1:13">
      <c r="B15" s="401" t="s">
        <v>434</v>
      </c>
      <c r="C15" s="395"/>
      <c r="D15" s="395"/>
      <c r="E15" s="395"/>
      <c r="F15" s="395"/>
      <c r="G15" s="395"/>
      <c r="H15" s="395"/>
      <c r="I15" s="396"/>
      <c r="J15" s="396"/>
      <c r="K15" s="396"/>
      <c r="L15" s="396"/>
      <c r="M15" s="396"/>
    </row>
    <row r="16" spans="1:13">
      <c r="B16" s="390" t="s">
        <v>431</v>
      </c>
      <c r="C16" s="391">
        <f>'P&amp;L and Cash Flow'!D20</f>
        <v>649962</v>
      </c>
      <c r="D16" s="391">
        <f>'P&amp;L and Cash Flow'!E20</f>
        <v>2093381.2992439324</v>
      </c>
      <c r="E16" s="391">
        <f>'P&amp;L and Cash Flow'!F20</f>
        <v>2513823.2824865421</v>
      </c>
      <c r="F16" s="391">
        <f>'P&amp;L and Cash Flow'!G20</f>
        <v>2537802.0191796822</v>
      </c>
      <c r="G16" s="391">
        <f>'P&amp;L and Cash Flow'!H20</f>
        <v>2611041.7496187058</v>
      </c>
      <c r="H16" s="391">
        <f>'P&amp;L and Cash Flow'!I20</f>
        <v>2681592.7628841647</v>
      </c>
      <c r="I16" s="391">
        <f>'P&amp;L and Cash Flow'!J20</f>
        <v>2754940.6778142895</v>
      </c>
      <c r="J16" s="391">
        <f>'P&amp;L and Cash Flow'!K20</f>
        <v>2833578.7123406222</v>
      </c>
      <c r="K16" s="391">
        <f>'P&amp;L and Cash Flow'!L20</f>
        <v>2915917.0892142248</v>
      </c>
      <c r="L16" s="391">
        <f>'P&amp;L and Cash Flow'!M20</f>
        <v>3002334.6854048478</v>
      </c>
      <c r="M16" s="391">
        <f>'P&amp;L and Cash Flow'!N20</f>
        <v>3093244.3150535142</v>
      </c>
    </row>
    <row r="17" spans="2:13">
      <c r="B17" s="390" t="s">
        <v>726</v>
      </c>
      <c r="C17" s="391">
        <f>'P&amp;L and Cash Flow'!D31</f>
        <v>621200</v>
      </c>
      <c r="D17" s="391">
        <f>'P&amp;L and Cash Flow'!E31</f>
        <v>1523210.9396565389</v>
      </c>
      <c r="E17" s="391">
        <f>'P&amp;L and Cash Flow'!F31</f>
        <v>1630064.702688375</v>
      </c>
      <c r="F17" s="391">
        <f>'P&amp;L and Cash Flow'!G31</f>
        <v>1754929.8641919787</v>
      </c>
      <c r="G17" s="391">
        <f>'P&amp;L and Cash Flow'!H31</f>
        <v>1888898.0781747443</v>
      </c>
      <c r="H17" s="391">
        <f>'P&amp;L and Cash Flow'!I31</f>
        <v>1945094.6449786837</v>
      </c>
      <c r="I17" s="391">
        <f>'P&amp;L and Cash Flow'!J31</f>
        <v>2005288.2180960297</v>
      </c>
      <c r="J17" s="391">
        <f>'P&amp;L and Cash Flow'!K31</f>
        <v>2055367.6068400207</v>
      </c>
      <c r="K17" s="391">
        <f>'P&amp;L and Cash Flow'!L31</f>
        <v>2108255.8965807902</v>
      </c>
      <c r="L17" s="391">
        <f>'P&amp;L and Cash Flow'!M31</f>
        <v>2164155.2984644123</v>
      </c>
      <c r="M17" s="391">
        <f>'P&amp;L and Cash Flow'!N31</f>
        <v>2223286.8630991518</v>
      </c>
    </row>
    <row r="18" spans="2:13">
      <c r="B18" s="394" t="s">
        <v>433</v>
      </c>
      <c r="C18" s="395">
        <f>'P&amp;L and Cash Flow'!D47</f>
        <v>326610</v>
      </c>
      <c r="D18" s="395">
        <f>'P&amp;L and Cash Flow'!E47</f>
        <v>1029311.7569352707</v>
      </c>
      <c r="E18" s="395">
        <f>'P&amp;L and Cash Flow'!F47</f>
        <v>1097465.5746367238</v>
      </c>
      <c r="F18" s="395">
        <f>'P&amp;L and Cash Flow'!G47</f>
        <v>1153386.8531043592</v>
      </c>
      <c r="G18" s="395">
        <f>'P&amp;L and Cash Flow'!H47</f>
        <v>1216716.2671889036</v>
      </c>
      <c r="H18" s="395">
        <f>'P&amp;L and Cash Flow'!I47</f>
        <v>1252821.6328207399</v>
      </c>
      <c r="I18" s="395">
        <f>'P&amp;L and Cash Flow'!J47</f>
        <v>1289989.328296748</v>
      </c>
      <c r="J18" s="395">
        <f>'P&amp;L and Cash Flow'!K47</f>
        <v>1328477.1555892429</v>
      </c>
      <c r="K18" s="395">
        <f>'P&amp;L and Cash Flow'!L47</f>
        <v>1368149.8073728986</v>
      </c>
      <c r="L18" s="395">
        <f>'P&amp;L and Cash Flow'!M47</f>
        <v>1409061.5370312275</v>
      </c>
      <c r="M18" s="395">
        <f>'P&amp;L and Cash Flow'!N47</f>
        <v>1451269.8179043827</v>
      </c>
    </row>
    <row r="19" spans="2:13">
      <c r="B19" s="402" t="s">
        <v>435</v>
      </c>
      <c r="C19" s="398">
        <f t="shared" ref="C19:J19" si="2">C16+C17+C18</f>
        <v>1597772</v>
      </c>
      <c r="D19" s="398">
        <f t="shared" si="2"/>
        <v>4645903.995835742</v>
      </c>
      <c r="E19" s="398">
        <f t="shared" si="2"/>
        <v>5241353.5598116405</v>
      </c>
      <c r="F19" s="398">
        <f t="shared" si="2"/>
        <v>5446118.73647602</v>
      </c>
      <c r="G19" s="398">
        <f t="shared" si="2"/>
        <v>5716656.094982354</v>
      </c>
      <c r="H19" s="398">
        <f t="shared" si="2"/>
        <v>5879509.040683588</v>
      </c>
      <c r="I19" s="399">
        <f t="shared" si="2"/>
        <v>6050218.2242070669</v>
      </c>
      <c r="J19" s="399">
        <f t="shared" si="2"/>
        <v>6217423.4747698866</v>
      </c>
      <c r="K19" s="399">
        <f t="shared" ref="K19:M19" si="3">K16+K17+K18</f>
        <v>6392322.7931679143</v>
      </c>
      <c r="L19" s="399">
        <f t="shared" si="3"/>
        <v>6575551.5209004879</v>
      </c>
      <c r="M19" s="399">
        <f t="shared" si="3"/>
        <v>6767800.9960570484</v>
      </c>
    </row>
    <row r="20" spans="2:13">
      <c r="B20" s="403"/>
      <c r="C20" s="391"/>
      <c r="D20" s="391"/>
      <c r="E20" s="391"/>
      <c r="F20" s="391"/>
      <c r="G20" s="391"/>
      <c r="H20" s="391"/>
      <c r="I20" s="392"/>
      <c r="J20" s="392"/>
      <c r="K20" s="392"/>
      <c r="L20" s="392"/>
      <c r="M20" s="392"/>
    </row>
    <row r="21" spans="2:13">
      <c r="B21" s="404" t="s">
        <v>28</v>
      </c>
      <c r="C21" s="398">
        <f t="shared" ref="C21:J21" si="4">C13-C19</f>
        <v>276649.81818181789</v>
      </c>
      <c r="D21" s="398">
        <f t="shared" si="4"/>
        <v>1974873.1261138665</v>
      </c>
      <c r="E21" s="398">
        <f t="shared" si="4"/>
        <v>3072099.8774245027</v>
      </c>
      <c r="F21" s="398">
        <f t="shared" si="4"/>
        <v>4428875.6799970651</v>
      </c>
      <c r="G21" s="398">
        <f t="shared" si="4"/>
        <v>5883101.9182977732</v>
      </c>
      <c r="H21" s="398">
        <f t="shared" si="4"/>
        <v>6237861.4291351251</v>
      </c>
      <c r="I21" s="398">
        <f t="shared" si="4"/>
        <v>6601483.8747422313</v>
      </c>
      <c r="J21" s="398">
        <f t="shared" si="4"/>
        <v>6964267.1788765937</v>
      </c>
      <c r="K21" s="398">
        <f t="shared" ref="K21:M21" si="5">K13-K19</f>
        <v>7358615.3869473515</v>
      </c>
      <c r="L21" s="398">
        <f t="shared" si="5"/>
        <v>7779802.5222879369</v>
      </c>
      <c r="M21" s="398">
        <f t="shared" si="5"/>
        <v>8230605.3749650773</v>
      </c>
    </row>
    <row r="22" spans="2:13">
      <c r="B22" s="403"/>
      <c r="C22" s="391"/>
      <c r="D22" s="391"/>
      <c r="E22" s="391"/>
      <c r="F22" s="391"/>
      <c r="G22" s="391"/>
      <c r="H22" s="391"/>
      <c r="I22" s="392"/>
      <c r="J22" s="392"/>
      <c r="K22" s="392"/>
      <c r="L22" s="392"/>
      <c r="M22" s="392"/>
    </row>
    <row r="23" spans="2:13">
      <c r="B23" s="405" t="s">
        <v>436</v>
      </c>
      <c r="C23" s="406">
        <f>'P&amp;L and Cash Flow'!D57</f>
        <v>0</v>
      </c>
      <c r="D23" s="406">
        <f>'P&amp;L and Cash Flow'!E57</f>
        <v>0</v>
      </c>
      <c r="E23" s="406">
        <f>'P&amp;L and Cash Flow'!F57</f>
        <v>0</v>
      </c>
      <c r="F23" s="406">
        <f>'P&amp;L and Cash Flow'!G57</f>
        <v>0</v>
      </c>
      <c r="G23" s="406">
        <f>'P&amp;L and Cash Flow'!H57</f>
        <v>0</v>
      </c>
      <c r="H23" s="406">
        <f>'P&amp;L and Cash Flow'!I57</f>
        <v>0</v>
      </c>
      <c r="I23" s="406">
        <f>'P&amp;L and Cash Flow'!J57</f>
        <v>262884.61170909967</v>
      </c>
      <c r="J23" s="406">
        <f>'P&amp;L and Cash Flow'!K57</f>
        <v>285355.9218403679</v>
      </c>
      <c r="K23" s="406">
        <f>'P&amp;L and Cash Flow'!L57</f>
        <v>309620.99221820547</v>
      </c>
      <c r="L23" s="406">
        <f>'P&amp;L and Cash Flow'!M57</f>
        <v>335508.49809987354</v>
      </c>
      <c r="M23" s="406">
        <f>'P&amp;L and Cash Flow'!N57</f>
        <v>360768.51874825387</v>
      </c>
    </row>
    <row r="24" spans="2:13">
      <c r="B24" s="407" t="s">
        <v>430</v>
      </c>
      <c r="C24" s="395">
        <f>Offering!C19</f>
        <v>14885211.714285716</v>
      </c>
      <c r="D24" s="395">
        <f>'P&amp;L and Cash Flow'!E76</f>
        <v>35000</v>
      </c>
      <c r="E24" s="395">
        <f>'P&amp;L and Cash Flow'!F76+Offering!D13</f>
        <v>36750</v>
      </c>
      <c r="F24" s="395">
        <f>'P&amp;L and Cash Flow'!G76</f>
        <v>38587.5</v>
      </c>
      <c r="G24" s="395">
        <f>'P&amp;L and Cash Flow'!H76</f>
        <v>40516.875</v>
      </c>
      <c r="H24" s="395">
        <f>'P&amp;L and Cash Flow'!I76</f>
        <v>42542.71875</v>
      </c>
      <c r="I24" s="395">
        <f>'P&amp;L and Cash Flow'!J76</f>
        <v>44669.854687500003</v>
      </c>
      <c r="J24" s="395">
        <f>'P&amp;L and Cash Flow'!K76</f>
        <v>46903.347421875005</v>
      </c>
      <c r="K24" s="395">
        <f>'P&amp;L and Cash Flow'!L76</f>
        <v>49248.514792968759</v>
      </c>
      <c r="L24" s="395">
        <f>'P&amp;L and Cash Flow'!M76</f>
        <v>51710.940532617198</v>
      </c>
      <c r="M24" s="395">
        <f>'P&amp;L and Cash Flow'!N76</f>
        <v>54296.48755924806</v>
      </c>
    </row>
    <row r="25" spans="2:13">
      <c r="B25" s="405" t="s">
        <v>440</v>
      </c>
      <c r="C25" s="391">
        <f>C21-C23-C24</f>
        <v>-14608561.896103898</v>
      </c>
      <c r="D25" s="391">
        <f t="shared" ref="D25:K25" si="6">D21-D23-D24</f>
        <v>1939873.1261138665</v>
      </c>
      <c r="E25" s="391">
        <f t="shared" si="6"/>
        <v>3035349.8774245027</v>
      </c>
      <c r="F25" s="391">
        <f t="shared" si="6"/>
        <v>4390288.1799970651</v>
      </c>
      <c r="G25" s="391">
        <f t="shared" si="6"/>
        <v>5842585.0432977732</v>
      </c>
      <c r="H25" s="391">
        <f t="shared" si="6"/>
        <v>6195318.7103851251</v>
      </c>
      <c r="I25" s="391">
        <f t="shared" si="6"/>
        <v>6293929.4083456323</v>
      </c>
      <c r="J25" s="391">
        <f t="shared" si="6"/>
        <v>6632007.9096143506</v>
      </c>
      <c r="K25" s="391">
        <f t="shared" si="6"/>
        <v>6999745.8799361773</v>
      </c>
      <c r="L25" s="391">
        <f t="shared" ref="L25:M25" si="7">L21-L23-L24</f>
        <v>7392583.0836554458</v>
      </c>
      <c r="M25" s="391">
        <f t="shared" si="7"/>
        <v>7815540.3686575759</v>
      </c>
    </row>
    <row r="26" spans="2:13">
      <c r="B26" s="405"/>
      <c r="C26" s="391"/>
      <c r="D26" s="391"/>
      <c r="E26" s="391"/>
      <c r="F26" s="391"/>
      <c r="G26" s="391"/>
      <c r="H26" s="391"/>
      <c r="I26" s="391"/>
      <c r="J26" s="391"/>
      <c r="K26" s="391"/>
      <c r="L26" s="391"/>
      <c r="M26" s="391"/>
    </row>
    <row r="27" spans="2:13">
      <c r="B27" s="404" t="s">
        <v>437</v>
      </c>
      <c r="C27" s="458" t="s">
        <v>36</v>
      </c>
      <c r="D27" s="458" t="s">
        <v>37</v>
      </c>
      <c r="E27" s="458" t="s">
        <v>38</v>
      </c>
      <c r="F27" s="458" t="s">
        <v>39</v>
      </c>
      <c r="G27" s="458" t="s">
        <v>40</v>
      </c>
      <c r="H27" s="458" t="s">
        <v>41</v>
      </c>
      <c r="I27" s="458" t="s">
        <v>42</v>
      </c>
      <c r="J27" s="458" t="s">
        <v>43</v>
      </c>
      <c r="K27" s="458" t="s">
        <v>168</v>
      </c>
      <c r="L27" s="458" t="s">
        <v>729</v>
      </c>
      <c r="M27" s="458" t="s">
        <v>730</v>
      </c>
    </row>
    <row r="28" spans="2:13">
      <c r="B28" s="400"/>
      <c r="C28" s="391">
        <f>C25-Offering!C5</f>
        <v>-18008561.896103896</v>
      </c>
      <c r="D28" s="391">
        <f>D25</f>
        <v>1939873.1261138665</v>
      </c>
      <c r="E28" s="391">
        <f t="shared" ref="E28:K28" si="8">E25</f>
        <v>3035349.8774245027</v>
      </c>
      <c r="F28" s="391">
        <f>F25</f>
        <v>4390288.1799970651</v>
      </c>
      <c r="G28" s="391">
        <f t="shared" si="8"/>
        <v>5842585.0432977732</v>
      </c>
      <c r="H28" s="391">
        <f t="shared" si="8"/>
        <v>6195318.7103851251</v>
      </c>
      <c r="I28" s="391">
        <f t="shared" si="8"/>
        <v>6293929.4083456323</v>
      </c>
      <c r="J28" s="391">
        <f t="shared" si="8"/>
        <v>6632007.9096143506</v>
      </c>
      <c r="K28" s="391">
        <f t="shared" si="8"/>
        <v>6999745.8799361773</v>
      </c>
      <c r="L28" s="391">
        <f t="shared" ref="L28:M28" si="9">L25</f>
        <v>7392583.0836554458</v>
      </c>
      <c r="M28" s="391">
        <f t="shared" si="9"/>
        <v>7815540.3686575759</v>
      </c>
    </row>
    <row r="29" spans="2:13">
      <c r="B29" s="390" t="s">
        <v>731</v>
      </c>
      <c r="C29" s="594">
        <f>IRR(C27:M28)</f>
        <v>0.2234699640468647</v>
      </c>
      <c r="D29" s="392"/>
      <c r="E29" s="392"/>
      <c r="F29" s="392"/>
      <c r="G29" s="392"/>
      <c r="H29" s="392"/>
      <c r="I29" s="392"/>
      <c r="J29" s="392"/>
      <c r="K29" s="392"/>
      <c r="L29" s="392"/>
      <c r="M29" s="392"/>
    </row>
    <row r="30" spans="2:13">
      <c r="B30" s="390" t="s">
        <v>732</v>
      </c>
      <c r="C30" s="606">
        <f>NPV(0.1,C28:M28)</f>
        <v>12517488.932992702</v>
      </c>
      <c r="D30" s="400"/>
      <c r="E30" s="400"/>
      <c r="F30" s="400"/>
      <c r="G30" s="400"/>
      <c r="H30" s="400"/>
      <c r="I30" s="400"/>
      <c r="J30" s="400"/>
      <c r="K30" s="400"/>
      <c r="L30" s="400"/>
      <c r="M30" s="400"/>
    </row>
    <row r="33" spans="2:13">
      <c r="B33" s="11" t="s">
        <v>71</v>
      </c>
    </row>
    <row r="34" spans="2:13">
      <c r="B34" s="388"/>
      <c r="C34" s="459" t="s">
        <v>36</v>
      </c>
      <c r="D34" s="459" t="s">
        <v>37</v>
      </c>
      <c r="E34" s="459" t="s">
        <v>38</v>
      </c>
      <c r="F34" s="459" t="s">
        <v>39</v>
      </c>
      <c r="G34" s="459" t="s">
        <v>40</v>
      </c>
      <c r="H34" s="459" t="s">
        <v>41</v>
      </c>
      <c r="I34" s="459" t="s">
        <v>42</v>
      </c>
      <c r="J34" s="459" t="s">
        <v>43</v>
      </c>
      <c r="K34" s="459" t="s">
        <v>168</v>
      </c>
      <c r="L34" s="459" t="s">
        <v>729</v>
      </c>
      <c r="M34" s="459" t="s">
        <v>730</v>
      </c>
    </row>
    <row r="35" spans="2:13" s="215" customFormat="1">
      <c r="B35" s="408" t="s">
        <v>440</v>
      </c>
      <c r="C35" s="551">
        <f t="shared" ref="C35:K35" si="10">C25</f>
        <v>-14608561.896103898</v>
      </c>
      <c r="D35" s="551">
        <f t="shared" si="10"/>
        <v>1939873.1261138665</v>
      </c>
      <c r="E35" s="551">
        <f t="shared" si="10"/>
        <v>3035349.8774245027</v>
      </c>
      <c r="F35" s="551">
        <f t="shared" si="10"/>
        <v>4390288.1799970651</v>
      </c>
      <c r="G35" s="551">
        <f t="shared" si="10"/>
        <v>5842585.0432977732</v>
      </c>
      <c r="H35" s="551">
        <f t="shared" si="10"/>
        <v>6195318.7103851251</v>
      </c>
      <c r="I35" s="551">
        <f t="shared" si="10"/>
        <v>6293929.4083456323</v>
      </c>
      <c r="J35" s="551">
        <f t="shared" si="10"/>
        <v>6632007.9096143506</v>
      </c>
      <c r="K35" s="551">
        <f t="shared" si="10"/>
        <v>6999745.8799361773</v>
      </c>
      <c r="L35" s="551">
        <f t="shared" ref="L35:M35" si="11">L25</f>
        <v>7392583.0836554458</v>
      </c>
      <c r="M35" s="551">
        <f t="shared" si="11"/>
        <v>7815540.3686575759</v>
      </c>
    </row>
    <row r="36" spans="2:13" s="215" customFormat="1">
      <c r="B36" s="408" t="s">
        <v>747</v>
      </c>
      <c r="C36" s="551">
        <f>Offering!C18+Offering!C17</f>
        <v>12885211.714285716</v>
      </c>
      <c r="D36" s="551"/>
      <c r="E36" s="551">
        <f>Offering!D13</f>
        <v>0</v>
      </c>
      <c r="F36" s="551"/>
      <c r="G36" s="551"/>
      <c r="H36" s="551"/>
      <c r="I36" s="551"/>
      <c r="J36" s="551"/>
      <c r="K36" s="551"/>
      <c r="L36" s="551"/>
      <c r="M36" s="551"/>
    </row>
    <row r="37" spans="2:13">
      <c r="B37" s="57" t="s">
        <v>735</v>
      </c>
      <c r="C37" s="526"/>
      <c r="D37" s="526">
        <f>'P&amp;L and Cash Flow'!E75</f>
        <v>653112.70285714313</v>
      </c>
      <c r="E37" s="526">
        <f>'P&amp;L and Cash Flow'!F75</f>
        <v>1716567.0007905057</v>
      </c>
      <c r="F37" s="526">
        <f>'P&amp;L and Cash Flow'!G75</f>
        <v>1716567.0007905057</v>
      </c>
      <c r="G37" s="526">
        <f>'P&amp;L and Cash Flow'!H75</f>
        <v>1716567.0007905057</v>
      </c>
      <c r="H37" s="526">
        <f>'P&amp;L and Cash Flow'!I75</f>
        <v>1716567.0007905059</v>
      </c>
      <c r="I37" s="526">
        <f>'P&amp;L and Cash Flow'!J75</f>
        <v>1716567.0007905057</v>
      </c>
      <c r="J37" s="526">
        <f>'P&amp;L and Cash Flow'!K75</f>
        <v>1716567.0007905059</v>
      </c>
      <c r="K37" s="526">
        <f>'P&amp;L and Cash Flow'!L75</f>
        <v>2041235.2078936067</v>
      </c>
      <c r="L37" s="526">
        <f>'P&amp;L and Cash Flow'!M75</f>
        <v>1716567.0007905059</v>
      </c>
      <c r="M37" s="526">
        <f>'P&amp;L and Cash Flow'!N75</f>
        <v>1015235</v>
      </c>
    </row>
    <row r="38" spans="2:13">
      <c r="B38" s="57"/>
      <c r="C38" s="526"/>
      <c r="D38" s="526"/>
      <c r="E38" s="526"/>
      <c r="F38" s="526"/>
      <c r="G38" s="526"/>
      <c r="H38" s="526"/>
      <c r="I38" s="526"/>
      <c r="J38" s="526"/>
      <c r="K38" s="526"/>
      <c r="L38" s="526"/>
      <c r="M38" s="526"/>
    </row>
    <row r="39" spans="2:13">
      <c r="B39" s="57" t="s">
        <v>734</v>
      </c>
      <c r="C39" s="527">
        <f>'P&amp;L and Cash Flow'!D77</f>
        <v>0</v>
      </c>
      <c r="D39" s="527">
        <f>'P&amp;L and Cash Flow'!E77</f>
        <v>240000.00000000003</v>
      </c>
      <c r="E39" s="527">
        <f>'P&amp;L and Cash Flow'!F77</f>
        <v>240000.00000000003</v>
      </c>
      <c r="F39" s="527">
        <f>'P&amp;L and Cash Flow'!G77</f>
        <v>390068.1942177281</v>
      </c>
      <c r="G39" s="527">
        <f>'P&amp;L and Cash Flow'!H77</f>
        <v>390068.1942177281</v>
      </c>
      <c r="H39" s="527">
        <f>'P&amp;L and Cash Flow'!I77</f>
        <v>390068.1942177281</v>
      </c>
      <c r="I39" s="527">
        <f>'P&amp;L and Cash Flow'!J77</f>
        <v>390068.1942177281</v>
      </c>
      <c r="J39" s="527">
        <f>'P&amp;L and Cash Flow'!K77</f>
        <v>390068.1942177281</v>
      </c>
      <c r="K39" s="527">
        <f>'P&amp;L and Cash Flow'!L77</f>
        <v>390068.1942177281</v>
      </c>
      <c r="L39" s="527">
        <f>'P&amp;L and Cash Flow'!M77</f>
        <v>390068.1942177281</v>
      </c>
      <c r="M39" s="527"/>
    </row>
    <row r="40" spans="2:13">
      <c r="B40" s="57" t="s">
        <v>1014</v>
      </c>
      <c r="C40" s="528">
        <f>'Summary CF '!D39</f>
        <v>276649.81818181789</v>
      </c>
      <c r="D40" s="528">
        <f>'Summary CF '!E39</f>
        <v>300000</v>
      </c>
      <c r="E40" s="528">
        <f>'Summary CF '!F39</f>
        <v>400000</v>
      </c>
      <c r="F40" s="528">
        <f>'Summary CF '!G39</f>
        <v>500000</v>
      </c>
      <c r="G40" s="528">
        <f>'Summary CF '!H39</f>
        <v>500000</v>
      </c>
      <c r="H40" s="528">
        <f>'Summary CF '!I39</f>
        <v>500000</v>
      </c>
      <c r="I40" s="528">
        <f>'Summary CF '!J39</f>
        <v>500000</v>
      </c>
      <c r="J40" s="528">
        <f>'Summary CF '!K39</f>
        <v>500000</v>
      </c>
      <c r="K40" s="528">
        <f>'Summary CF '!L39</f>
        <v>500000</v>
      </c>
      <c r="L40" s="528">
        <f>'Summary CF '!M39</f>
        <v>500000</v>
      </c>
      <c r="M40" s="528">
        <f>'Summary CF '!N39</f>
        <v>500000</v>
      </c>
    </row>
    <row r="41" spans="2:13">
      <c r="B41" s="57"/>
      <c r="C41" s="528"/>
      <c r="D41" s="528"/>
      <c r="E41" s="528"/>
      <c r="F41" s="528"/>
      <c r="G41" s="528"/>
      <c r="H41" s="528"/>
      <c r="I41" s="528"/>
      <c r="J41" s="528"/>
      <c r="K41" s="528"/>
      <c r="L41" s="528"/>
      <c r="M41" s="528"/>
    </row>
    <row r="42" spans="2:13">
      <c r="B42" s="57" t="s">
        <v>442</v>
      </c>
      <c r="C42" s="528">
        <v>0</v>
      </c>
      <c r="D42" s="528">
        <f t="shared" ref="D42:M42" si="12">D35-D37-D39+D36+C40-D40</f>
        <v>1023410.2414385411</v>
      </c>
      <c r="E42" s="528">
        <f t="shared" si="12"/>
        <v>978782.87663399708</v>
      </c>
      <c r="F42" s="528">
        <f t="shared" si="12"/>
        <v>2183652.9849888314</v>
      </c>
      <c r="G42" s="528">
        <f t="shared" si="12"/>
        <v>3735949.84828954</v>
      </c>
      <c r="H42" s="528">
        <f t="shared" si="12"/>
        <v>4088683.5153768919</v>
      </c>
      <c r="I42" s="528">
        <f t="shared" si="12"/>
        <v>4187294.2133373991</v>
      </c>
      <c r="J42" s="528">
        <f t="shared" si="12"/>
        <v>4525372.7146061165</v>
      </c>
      <c r="K42" s="528">
        <f t="shared" si="12"/>
        <v>4568442.4778248426</v>
      </c>
      <c r="L42" s="528">
        <f t="shared" si="12"/>
        <v>5285947.8886472117</v>
      </c>
      <c r="M42" s="528">
        <f t="shared" si="12"/>
        <v>6800305.3686575759</v>
      </c>
    </row>
    <row r="43" spans="2:13">
      <c r="B43" s="57"/>
      <c r="C43" s="75"/>
      <c r="D43" s="75"/>
      <c r="E43" s="75"/>
      <c r="F43" s="75"/>
      <c r="G43" s="75"/>
      <c r="H43" s="75"/>
      <c r="I43" s="75"/>
      <c r="J43" s="75"/>
      <c r="K43" s="75"/>
      <c r="L43" s="75"/>
      <c r="M43" s="75"/>
    </row>
    <row r="44" spans="2:13">
      <c r="B44" s="3" t="s">
        <v>728</v>
      </c>
      <c r="C44" s="460"/>
      <c r="D44" s="460">
        <f>'P&amp;L and Cash Flow'!E72</f>
        <v>3.0237861206411645</v>
      </c>
      <c r="E44" s="460">
        <f>'P&amp;L and Cash Flow'!F72</f>
        <v>1.7896766488052918</v>
      </c>
      <c r="F44" s="460">
        <f>'P&amp;L and Cash Flow'!G72</f>
        <v>2.5800773741761898</v>
      </c>
      <c r="G44" s="460">
        <f>'P&amp;L and Cash Flow'!H72</f>
        <v>3.4272486396327748</v>
      </c>
      <c r="H44" s="460">
        <f>'P&amp;L and Cash Flow'!I72</f>
        <v>3.6339166640524327</v>
      </c>
      <c r="I44" s="460">
        <f>'P&amp;L and Cash Flow'!J72</f>
        <v>3.692602304549784</v>
      </c>
      <c r="J44" s="460">
        <f>'P&amp;L and Cash Flow'!K72</f>
        <v>3.890853811101159</v>
      </c>
      <c r="K44" s="460">
        <f>'P&amp;L and Cash Flow'!L72</f>
        <v>3.453298457458585</v>
      </c>
      <c r="L44" s="460">
        <f>'P&amp;L and Cash Flow'!M72</f>
        <v>4.3367337370227022</v>
      </c>
      <c r="M44" s="460">
        <f>'P&amp;L and Cash Flow'!N72</f>
        <v>7.7517391108628289</v>
      </c>
    </row>
    <row r="45" spans="2:13">
      <c r="B45" s="3"/>
      <c r="C45" s="101"/>
      <c r="D45" s="101"/>
      <c r="E45" s="101"/>
      <c r="F45" s="101"/>
      <c r="G45" s="101"/>
      <c r="H45" s="101"/>
      <c r="I45" s="101"/>
      <c r="J45" s="101"/>
      <c r="K45" s="101"/>
      <c r="L45" s="101"/>
      <c r="M45" s="101"/>
    </row>
    <row r="46" spans="2:13">
      <c r="B46" s="404" t="s">
        <v>443</v>
      </c>
      <c r="C46" s="458" t="s">
        <v>36</v>
      </c>
      <c r="D46" s="458" t="s">
        <v>37</v>
      </c>
      <c r="E46" s="458" t="s">
        <v>38</v>
      </c>
      <c r="F46" s="458" t="s">
        <v>39</v>
      </c>
      <c r="G46" s="458" t="s">
        <v>40</v>
      </c>
      <c r="H46" s="458" t="s">
        <v>41</v>
      </c>
      <c r="I46" s="458" t="s">
        <v>42</v>
      </c>
      <c r="J46" s="458" t="s">
        <v>43</v>
      </c>
      <c r="K46" s="458" t="s">
        <v>168</v>
      </c>
      <c r="L46" s="458" t="s">
        <v>729</v>
      </c>
      <c r="M46" s="458" t="s">
        <v>730</v>
      </c>
    </row>
    <row r="47" spans="2:13">
      <c r="B47" s="400" t="s">
        <v>603</v>
      </c>
      <c r="C47" s="391">
        <f>'Summary CF '!D46</f>
        <v>-7400000</v>
      </c>
      <c r="D47" s="391">
        <f>D42</f>
        <v>1023410.2414385411</v>
      </c>
      <c r="E47" s="391">
        <f t="shared" ref="E47:K47" si="13">E42</f>
        <v>978782.87663399708</v>
      </c>
      <c r="F47" s="391">
        <f t="shared" si="13"/>
        <v>2183652.9849888314</v>
      </c>
      <c r="G47" s="391">
        <f t="shared" si="13"/>
        <v>3735949.84828954</v>
      </c>
      <c r="H47" s="391">
        <f t="shared" si="13"/>
        <v>4088683.5153768919</v>
      </c>
      <c r="I47" s="391">
        <f t="shared" si="13"/>
        <v>4187294.2133373991</v>
      </c>
      <c r="J47" s="391">
        <f t="shared" si="13"/>
        <v>4525372.7146061165</v>
      </c>
      <c r="K47" s="391">
        <f t="shared" si="13"/>
        <v>4568442.4778248426</v>
      </c>
      <c r="L47" s="391">
        <f t="shared" ref="L47:M47" si="14">L42</f>
        <v>5285947.8886472117</v>
      </c>
      <c r="M47" s="391">
        <f t="shared" si="14"/>
        <v>6800305.3686575759</v>
      </c>
    </row>
    <row r="48" spans="2:13">
      <c r="B48" s="245" t="s">
        <v>731</v>
      </c>
      <c r="C48" s="8">
        <f>IRR(C47:M47)</f>
        <v>0.31748226460952433</v>
      </c>
      <c r="K48" s="76"/>
    </row>
    <row r="49" spans="2:3">
      <c r="B49" s="245" t="s">
        <v>733</v>
      </c>
      <c r="C49" s="606">
        <f>NPV(0.1,C47:M47)</f>
        <v>11591802.114868537</v>
      </c>
    </row>
    <row r="50" spans="2:3">
      <c r="B50" s="245"/>
    </row>
  </sheetData>
  <phoneticPr fontId="12" type="noConversion"/>
  <printOptions horizontalCentered="1"/>
  <pageMargins left="0.19685039370078741" right="0.19685039370078741" top="0.39370078740157483" bottom="0.19685039370078741" header="0.30000000000000004" footer="0.30000000000000004"/>
  <pageSetup scale="80"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U38"/>
  <sheetViews>
    <sheetView topLeftCell="B4" workbookViewId="0">
      <selection activeCell="L38" sqref="L38"/>
    </sheetView>
  </sheetViews>
  <sheetFormatPr defaultRowHeight="15"/>
  <cols>
    <col min="1" max="1" width="4.42578125" customWidth="1"/>
    <col min="3" max="3" width="49.85546875" customWidth="1"/>
    <col min="4" max="4" width="12" customWidth="1"/>
    <col min="5" max="5" width="9.5703125" customWidth="1"/>
    <col min="6" max="11" width="9.28515625" bestFit="1" customWidth="1"/>
  </cols>
  <sheetData>
    <row r="2" spans="2:21">
      <c r="C2" s="613" t="s">
        <v>576</v>
      </c>
      <c r="D2" s="2">
        <v>2017</v>
      </c>
      <c r="E2" s="2">
        <v>2018</v>
      </c>
      <c r="F2" s="2">
        <v>2019</v>
      </c>
      <c r="G2" s="2">
        <v>2020</v>
      </c>
      <c r="H2" s="2">
        <v>2021</v>
      </c>
      <c r="I2" s="2">
        <v>2022</v>
      </c>
      <c r="J2" s="2">
        <v>2023</v>
      </c>
      <c r="K2" s="2">
        <v>2024</v>
      </c>
      <c r="L2" s="2">
        <v>2025</v>
      </c>
      <c r="M2" s="2">
        <v>2026</v>
      </c>
      <c r="N2" s="2">
        <v>2027</v>
      </c>
      <c r="O2" s="2">
        <v>2028</v>
      </c>
      <c r="P2" s="2">
        <v>2029</v>
      </c>
      <c r="Q2" s="2">
        <v>2030</v>
      </c>
      <c r="R2" s="2">
        <v>2031</v>
      </c>
      <c r="S2" s="2">
        <v>2032</v>
      </c>
      <c r="T2" s="2">
        <v>2033</v>
      </c>
      <c r="U2" s="2">
        <v>2034</v>
      </c>
    </row>
    <row r="3" spans="2:21">
      <c r="B3" s="540">
        <v>1</v>
      </c>
      <c r="C3" s="614" t="s">
        <v>658</v>
      </c>
      <c r="D3" s="615">
        <v>52</v>
      </c>
      <c r="E3" s="616">
        <f>'[9]Macrotrends-crude-oil-prices'!AN9</f>
        <v>58.1</v>
      </c>
      <c r="F3" s="616">
        <f>'[9]Macrotrends-crude-oil-prices'!AO9</f>
        <v>73</v>
      </c>
      <c r="G3" s="616">
        <f>'[9]Macrotrends-crude-oil-prices'!AP9</f>
        <v>76</v>
      </c>
      <c r="H3" s="616">
        <f>'[9]Macrotrends-crude-oil-prices'!AQ9</f>
        <v>78</v>
      </c>
      <c r="I3" s="616">
        <f>'[9]Macrotrends-crude-oil-prices'!AR9</f>
        <v>81</v>
      </c>
      <c r="J3" s="616">
        <f>'[9]Macrotrends-crude-oil-prices'!AS9</f>
        <v>82</v>
      </c>
      <c r="K3" s="616">
        <f>'[9]Macrotrends-crude-oil-prices'!AT9</f>
        <v>83</v>
      </c>
      <c r="L3" s="616">
        <f>'[9]Macrotrends-crude-oil-prices'!AU9</f>
        <v>85</v>
      </c>
      <c r="M3" s="651">
        <f>'[9]Macrotrends-crude-oil-prices'!AV9</f>
        <v>85</v>
      </c>
      <c r="N3" s="651">
        <f>'[9]Macrotrends-crude-oil-prices'!AW9</f>
        <v>86</v>
      </c>
      <c r="O3" s="651">
        <f>'[9]Macrotrends-crude-oil-prices'!AX9</f>
        <v>88</v>
      </c>
      <c r="P3" s="651">
        <f>'[9]Macrotrends-crude-oil-prices'!AY9</f>
        <v>90.5</v>
      </c>
      <c r="Q3" s="651">
        <f>'[9]Macrotrends-crude-oil-prices'!AZ9</f>
        <v>91</v>
      </c>
      <c r="R3" s="616">
        <f>'[9]Macrotrends-crude-oil-prices'!BA9</f>
        <v>92</v>
      </c>
      <c r="S3" s="616">
        <f>'[9]Macrotrends-crude-oil-prices'!BB9</f>
        <v>92.5</v>
      </c>
      <c r="T3" s="616">
        <f>'[9]Macrotrends-crude-oil-prices'!BC9</f>
        <v>93</v>
      </c>
      <c r="U3" s="616">
        <f>T3</f>
        <v>93</v>
      </c>
    </row>
    <row r="4" spans="2:21">
      <c r="B4" s="540">
        <v>2</v>
      </c>
      <c r="C4" s="614" t="s">
        <v>657</v>
      </c>
      <c r="E4" s="615">
        <f>'[9]WTI NYMEX Futures May 24 2017'!$K20</f>
        <v>51.751666666666672</v>
      </c>
      <c r="F4" s="615">
        <f>'[9]WTI NYMEX Futures May 24 2017'!$K32</f>
        <v>51.161666666666655</v>
      </c>
      <c r="G4" s="615">
        <f>'[9]WTI NYMEX Futures May 24 2017'!$K44</f>
        <v>51.287500000000001</v>
      </c>
      <c r="H4" s="615">
        <f>'[9]WTI NYMEX Futures May 24 2017'!$K56</f>
        <v>52.04666666666666</v>
      </c>
      <c r="I4" s="615">
        <f>'[9]WTI NYMEX Futures May 24 2017'!$K68</f>
        <v>53.169166666666662</v>
      </c>
      <c r="J4" s="615">
        <f>'[9]WTI NYMEX Futures May 24 2017'!$K70</f>
        <v>54.545000000000002</v>
      </c>
      <c r="K4" s="615">
        <f>'[9]WTI NYMEX Futures May 24 2017'!$K72</f>
        <v>55.39</v>
      </c>
      <c r="L4" s="615">
        <f>'[9]WTI NYMEX Futures May 24 2017'!$K74</f>
        <v>55.924999999999997</v>
      </c>
      <c r="M4" s="650">
        <f>L4*1.015</f>
        <v>56.763874999999992</v>
      </c>
      <c r="N4" s="652">
        <f t="shared" ref="N4:U5" si="0">M4*1.015</f>
        <v>57.615333124999985</v>
      </c>
      <c r="O4" s="652">
        <f t="shared" si="0"/>
        <v>58.479563121874982</v>
      </c>
      <c r="P4" s="652">
        <f t="shared" si="0"/>
        <v>59.356756568703098</v>
      </c>
      <c r="Q4" s="652">
        <f t="shared" si="0"/>
        <v>60.247107917233642</v>
      </c>
      <c r="R4" s="617">
        <f t="shared" si="0"/>
        <v>61.15081453599214</v>
      </c>
      <c r="S4" s="617">
        <f t="shared" si="0"/>
        <v>62.068076754032013</v>
      </c>
      <c r="T4" s="617">
        <f t="shared" si="0"/>
        <v>62.999097905342488</v>
      </c>
      <c r="U4" s="617">
        <f t="shared" si="0"/>
        <v>63.944084373922621</v>
      </c>
    </row>
    <row r="5" spans="2:21">
      <c r="B5" s="540">
        <v>3</v>
      </c>
      <c r="C5" s="614" t="s">
        <v>674</v>
      </c>
      <c r="E5" s="615">
        <f>(E3+E4)/2</f>
        <v>54.925833333333337</v>
      </c>
      <c r="F5" s="615">
        <f t="shared" ref="F5:L5" si="1">(F3+F4)/2</f>
        <v>62.080833333333331</v>
      </c>
      <c r="G5" s="615">
        <f t="shared" si="1"/>
        <v>63.643749999999997</v>
      </c>
      <c r="H5" s="615">
        <f t="shared" si="1"/>
        <v>65.023333333333326</v>
      </c>
      <c r="I5" s="615">
        <f t="shared" si="1"/>
        <v>67.084583333333327</v>
      </c>
      <c r="J5" s="615">
        <f t="shared" si="1"/>
        <v>68.272500000000008</v>
      </c>
      <c r="K5" s="615">
        <f t="shared" si="1"/>
        <v>69.194999999999993</v>
      </c>
      <c r="L5" s="615">
        <f t="shared" si="1"/>
        <v>70.462500000000006</v>
      </c>
      <c r="M5" s="650">
        <f>L5*1.015</f>
        <v>71.519437499999995</v>
      </c>
      <c r="N5" s="652">
        <f t="shared" si="0"/>
        <v>72.592229062499982</v>
      </c>
      <c r="O5" s="652">
        <f t="shared" si="0"/>
        <v>73.681112498437471</v>
      </c>
      <c r="P5" s="652">
        <f t="shared" si="0"/>
        <v>74.786329185914028</v>
      </c>
      <c r="Q5" s="652">
        <f t="shared" si="0"/>
        <v>75.908124123702734</v>
      </c>
      <c r="R5" s="617">
        <f t="shared" si="0"/>
        <v>77.046745985558275</v>
      </c>
      <c r="S5" s="617">
        <f t="shared" si="0"/>
        <v>78.202447175341646</v>
      </c>
      <c r="T5" s="617">
        <f t="shared" si="0"/>
        <v>79.375483882971764</v>
      </c>
      <c r="U5" s="617">
        <f t="shared" si="0"/>
        <v>80.566116141216327</v>
      </c>
    </row>
    <row r="6" spans="2:21">
      <c r="B6" s="540"/>
      <c r="C6" s="614"/>
      <c r="E6" s="615"/>
      <c r="F6" s="615"/>
      <c r="G6" s="615"/>
      <c r="H6" s="615"/>
      <c r="I6" s="615"/>
      <c r="M6" s="618"/>
      <c r="N6" s="615"/>
      <c r="O6" s="615"/>
      <c r="P6" s="615"/>
      <c r="Q6" s="615"/>
      <c r="R6" s="615"/>
      <c r="S6" s="615"/>
      <c r="T6" s="615"/>
      <c r="U6" s="615"/>
    </row>
    <row r="7" spans="2:21" ht="15.75" thickBot="1">
      <c r="C7" s="619" t="s">
        <v>577</v>
      </c>
      <c r="E7" s="615"/>
      <c r="F7" s="615"/>
      <c r="G7" s="615"/>
      <c r="H7" s="615"/>
      <c r="I7" s="615"/>
      <c r="J7" s="615"/>
      <c r="K7" s="615"/>
      <c r="L7" s="615"/>
      <c r="M7" s="620" t="s">
        <v>578</v>
      </c>
      <c r="N7" s="621"/>
      <c r="O7" s="621"/>
      <c r="P7" s="621"/>
      <c r="Q7" s="621"/>
      <c r="R7" s="615"/>
      <c r="S7" s="615"/>
      <c r="T7" s="615"/>
      <c r="U7" s="615"/>
    </row>
    <row r="8" spans="2:21">
      <c r="C8" s="614" t="s">
        <v>675</v>
      </c>
      <c r="D8" s="622">
        <v>2</v>
      </c>
      <c r="E8" s="615"/>
      <c r="F8" s="615"/>
      <c r="G8" s="615"/>
      <c r="H8" s="615"/>
      <c r="I8" s="615"/>
      <c r="J8" s="615"/>
      <c r="K8" s="615"/>
      <c r="L8" s="615"/>
      <c r="M8" s="615"/>
      <c r="N8" s="615"/>
      <c r="O8" s="615"/>
      <c r="P8" s="615"/>
      <c r="Q8" s="615"/>
      <c r="R8" s="615"/>
      <c r="S8" s="615"/>
      <c r="T8" s="615"/>
      <c r="U8" s="615"/>
    </row>
    <row r="9" spans="2:21">
      <c r="C9" s="614" t="s">
        <v>579</v>
      </c>
      <c r="D9" s="622" t="s">
        <v>660</v>
      </c>
      <c r="E9" s="615"/>
      <c r="F9" s="615"/>
      <c r="G9" s="615"/>
      <c r="H9" s="615"/>
      <c r="I9" s="615"/>
      <c r="J9" s="615"/>
      <c r="K9" s="615"/>
      <c r="L9" s="615"/>
      <c r="M9" s="615"/>
      <c r="N9" s="615"/>
      <c r="O9" s="615"/>
      <c r="P9" s="615"/>
      <c r="Q9" s="615"/>
      <c r="R9" s="615"/>
      <c r="S9" s="615"/>
      <c r="T9" s="615"/>
      <c r="U9" s="615"/>
    </row>
    <row r="10" spans="2:21">
      <c r="C10" s="614" t="s">
        <v>581</v>
      </c>
      <c r="D10" s="623">
        <v>1.5</v>
      </c>
      <c r="E10" s="615"/>
      <c r="F10" s="615"/>
      <c r="G10" s="615"/>
      <c r="H10" s="615"/>
      <c r="I10" s="615"/>
      <c r="J10" s="615"/>
      <c r="K10" s="615"/>
      <c r="L10" s="615"/>
      <c r="M10" s="615"/>
      <c r="N10" s="615"/>
      <c r="O10" s="615"/>
      <c r="P10" s="615"/>
      <c r="Q10" s="615"/>
      <c r="R10" s="615"/>
      <c r="S10" s="615"/>
      <c r="T10" s="615"/>
      <c r="U10" s="615"/>
    </row>
    <row r="11" spans="2:21">
      <c r="C11" s="614"/>
      <c r="E11" s="615"/>
      <c r="F11" s="615"/>
      <c r="G11" s="615"/>
      <c r="H11" s="615"/>
      <c r="I11" s="615"/>
      <c r="J11" s="615"/>
      <c r="K11" s="615"/>
      <c r="L11" s="615"/>
      <c r="M11" s="615"/>
      <c r="N11" s="615"/>
      <c r="O11" s="615"/>
      <c r="P11" s="615"/>
      <c r="Q11" s="615"/>
      <c r="R11" s="615"/>
      <c r="S11" s="615"/>
      <c r="T11" s="615"/>
      <c r="U11" s="615"/>
    </row>
    <row r="12" spans="2:21">
      <c r="B12" s="540" t="s">
        <v>582</v>
      </c>
      <c r="C12" s="614" t="s">
        <v>583</v>
      </c>
      <c r="E12" s="615"/>
      <c r="F12" s="615"/>
      <c r="G12" s="615"/>
      <c r="H12" s="615"/>
      <c r="I12" s="615"/>
      <c r="J12" s="615"/>
      <c r="K12" s="615"/>
      <c r="L12" s="615"/>
      <c r="M12" s="615"/>
      <c r="N12" s="615"/>
      <c r="O12" s="615"/>
      <c r="P12" s="615"/>
      <c r="Q12" s="615"/>
      <c r="R12" s="615"/>
      <c r="S12" s="615"/>
      <c r="T12" s="615"/>
      <c r="U12" s="615"/>
    </row>
    <row r="13" spans="2:21">
      <c r="B13" s="540" t="s">
        <v>580</v>
      </c>
      <c r="C13" s="614" t="s">
        <v>584</v>
      </c>
      <c r="E13" s="615"/>
      <c r="F13" s="615"/>
      <c r="G13" s="615"/>
      <c r="H13" s="615"/>
      <c r="I13" s="615"/>
      <c r="J13" s="615"/>
      <c r="K13" s="615"/>
      <c r="L13" s="615"/>
      <c r="M13" s="615"/>
      <c r="N13" s="615"/>
      <c r="O13" s="615"/>
      <c r="P13" s="615"/>
      <c r="Q13" s="615"/>
      <c r="R13" s="615"/>
      <c r="S13" s="615"/>
      <c r="T13" s="615"/>
      <c r="U13" s="615"/>
    </row>
    <row r="14" spans="2:21">
      <c r="C14" s="614"/>
      <c r="E14" s="615"/>
      <c r="F14" s="615"/>
      <c r="G14" s="615"/>
      <c r="H14" s="615"/>
      <c r="I14" s="615"/>
      <c r="J14" s="615"/>
      <c r="K14" s="615"/>
      <c r="L14" s="615"/>
      <c r="M14" s="615"/>
      <c r="N14" s="615"/>
      <c r="O14" s="615"/>
      <c r="P14" s="615"/>
      <c r="Q14" s="615"/>
      <c r="R14" s="615"/>
      <c r="S14" s="615"/>
      <c r="T14" s="615"/>
      <c r="U14" s="615"/>
    </row>
    <row r="15" spans="2:21">
      <c r="C15" s="613" t="s">
        <v>659</v>
      </c>
      <c r="D15" s="2">
        <v>2017</v>
      </c>
      <c r="E15" s="2">
        <v>2018</v>
      </c>
      <c r="F15" s="2">
        <v>2019</v>
      </c>
      <c r="G15" s="2">
        <v>2020</v>
      </c>
      <c r="H15" s="2">
        <v>2021</v>
      </c>
      <c r="I15" s="2">
        <v>2022</v>
      </c>
      <c r="J15" s="2">
        <v>2023</v>
      </c>
      <c r="K15" s="2">
        <v>2024</v>
      </c>
      <c r="L15" s="2">
        <v>2025</v>
      </c>
      <c r="M15" s="2">
        <v>2026</v>
      </c>
      <c r="N15" s="2">
        <v>2027</v>
      </c>
      <c r="O15" s="2">
        <v>2028</v>
      </c>
      <c r="P15" s="2">
        <v>2029</v>
      </c>
      <c r="Q15" s="2">
        <v>2030</v>
      </c>
      <c r="R15" s="2">
        <v>2031</v>
      </c>
      <c r="S15" s="2">
        <v>2032</v>
      </c>
      <c r="T15" s="2">
        <v>2033</v>
      </c>
      <c r="U15" s="2">
        <v>2034</v>
      </c>
    </row>
    <row r="16" spans="2:21">
      <c r="C16" s="624" t="s">
        <v>585</v>
      </c>
      <c r="D16" s="614"/>
      <c r="E16" s="625">
        <f>(E17/D17)-1</f>
        <v>-4.7756410256408754E-3</v>
      </c>
      <c r="F16" s="625">
        <f t="shared" ref="F16:U16" si="2">(F17/E17)-1</f>
        <v>-1.1400599014524837E-2</v>
      </c>
      <c r="G16" s="625">
        <f t="shared" si="2"/>
        <v>2.4595237319611218E-3</v>
      </c>
      <c r="H16" s="625">
        <f t="shared" si="2"/>
        <v>1.4802177268665062E-2</v>
      </c>
      <c r="I16" s="625">
        <f t="shared" si="2"/>
        <v>2.1567183297041215E-2</v>
      </c>
      <c r="J16" s="625">
        <f t="shared" si="2"/>
        <v>2.5876526182154524E-2</v>
      </c>
      <c r="K16" s="625">
        <f t="shared" si="2"/>
        <v>1.5491795764964733E-2</v>
      </c>
      <c r="L16" s="625">
        <f t="shared" si="2"/>
        <v>9.6587831738579322E-3</v>
      </c>
      <c r="M16" s="625">
        <f t="shared" si="2"/>
        <v>1.4999999999999902E-2</v>
      </c>
      <c r="N16" s="625">
        <f t="shared" si="2"/>
        <v>1.4999999999999902E-2</v>
      </c>
      <c r="O16" s="625">
        <f t="shared" si="2"/>
        <v>1.4999999999999902E-2</v>
      </c>
      <c r="P16" s="625">
        <f t="shared" si="2"/>
        <v>1.4999999999999902E-2</v>
      </c>
      <c r="Q16" s="625">
        <f t="shared" si="2"/>
        <v>1.4999999999999902E-2</v>
      </c>
      <c r="R16" s="625">
        <f t="shared" si="2"/>
        <v>1.4999999999999902E-2</v>
      </c>
      <c r="S16" s="625">
        <f t="shared" si="2"/>
        <v>1.4999999999999902E-2</v>
      </c>
      <c r="T16" s="625">
        <f t="shared" si="2"/>
        <v>1.4999999999999902E-2</v>
      </c>
      <c r="U16" s="625">
        <f t="shared" si="2"/>
        <v>1.4999999999999902E-2</v>
      </c>
    </row>
    <row r="17" spans="3:21">
      <c r="C17" s="626" t="s">
        <v>586</v>
      </c>
      <c r="D17" s="615">
        <f>D3</f>
        <v>52</v>
      </c>
      <c r="E17" s="616">
        <f>IF($D$8=1,E3,IF($D$8=2,E4,IF($D$8+3,E5,E5)))</f>
        <v>51.751666666666672</v>
      </c>
      <c r="F17" s="616">
        <f t="shared" ref="F17:U17" si="3">IF($D$8=1,F3,IF($D$8=2,F4,IF($D$8+3,F5,F5)))</f>
        <v>51.161666666666655</v>
      </c>
      <c r="G17" s="616">
        <f t="shared" si="3"/>
        <v>51.287500000000001</v>
      </c>
      <c r="H17" s="616">
        <f t="shared" si="3"/>
        <v>52.04666666666666</v>
      </c>
      <c r="I17" s="616">
        <f t="shared" si="3"/>
        <v>53.169166666666662</v>
      </c>
      <c r="J17" s="616">
        <f t="shared" si="3"/>
        <v>54.545000000000002</v>
      </c>
      <c r="K17" s="616">
        <f t="shared" si="3"/>
        <v>55.39</v>
      </c>
      <c r="L17" s="616">
        <f t="shared" si="3"/>
        <v>55.924999999999997</v>
      </c>
      <c r="M17" s="616">
        <f t="shared" si="3"/>
        <v>56.763874999999992</v>
      </c>
      <c r="N17" s="616">
        <f t="shared" si="3"/>
        <v>57.615333124999985</v>
      </c>
      <c r="O17" s="616">
        <f t="shared" si="3"/>
        <v>58.479563121874982</v>
      </c>
      <c r="P17" s="616">
        <f t="shared" si="3"/>
        <v>59.356756568703098</v>
      </c>
      <c r="Q17" s="616">
        <f t="shared" si="3"/>
        <v>60.247107917233642</v>
      </c>
      <c r="R17" s="616">
        <f t="shared" si="3"/>
        <v>61.15081453599214</v>
      </c>
      <c r="S17" s="616">
        <f t="shared" si="3"/>
        <v>62.068076754032013</v>
      </c>
      <c r="T17" s="616">
        <f t="shared" si="3"/>
        <v>62.999097905342488</v>
      </c>
      <c r="U17" s="616">
        <f t="shared" si="3"/>
        <v>63.944084373922621</v>
      </c>
    </row>
    <row r="18" spans="3:21">
      <c r="C18" s="626"/>
      <c r="D18" s="615"/>
      <c r="E18" s="616"/>
      <c r="F18" s="616"/>
      <c r="G18" s="616"/>
      <c r="H18" s="616"/>
      <c r="I18" s="616"/>
      <c r="J18" s="616"/>
      <c r="K18" s="616"/>
      <c r="L18" s="616"/>
      <c r="M18" s="616"/>
      <c r="N18" s="616"/>
      <c r="O18" s="616"/>
      <c r="P18" s="616"/>
      <c r="Q18" s="616"/>
      <c r="R18" s="616"/>
      <c r="S18" s="616"/>
      <c r="T18" s="616"/>
      <c r="U18" s="616"/>
    </row>
    <row r="19" spans="3:21">
      <c r="C19" s="626"/>
      <c r="D19" s="2">
        <v>2017</v>
      </c>
      <c r="E19" s="2">
        <v>2018</v>
      </c>
      <c r="F19" s="2">
        <v>2019</v>
      </c>
      <c r="G19" s="2">
        <v>2020</v>
      </c>
      <c r="H19" s="2">
        <v>2021</v>
      </c>
      <c r="I19" s="2">
        <v>2022</v>
      </c>
      <c r="J19" s="2">
        <v>2023</v>
      </c>
      <c r="K19" s="2">
        <v>2024</v>
      </c>
      <c r="L19" s="2">
        <v>2025</v>
      </c>
      <c r="M19" s="2">
        <v>2026</v>
      </c>
      <c r="N19" s="2">
        <v>2027</v>
      </c>
      <c r="O19" s="2">
        <v>2028</v>
      </c>
      <c r="P19" s="2">
        <v>2029</v>
      </c>
      <c r="Q19" s="2">
        <v>2030</v>
      </c>
      <c r="R19" s="2">
        <v>2031</v>
      </c>
      <c r="S19" s="2">
        <v>2032</v>
      </c>
      <c r="T19" s="2">
        <v>2033</v>
      </c>
      <c r="U19" s="2">
        <v>2034</v>
      </c>
    </row>
    <row r="20" spans="3:21">
      <c r="C20" s="627" t="s">
        <v>587</v>
      </c>
      <c r="D20" s="627"/>
      <c r="E20" s="616">
        <f>E17+'[9]Key Assumptions'!$C$27</f>
        <v>54.751666666666672</v>
      </c>
      <c r="F20" s="616">
        <f>F17+'[9]Key Assumptions'!$C$27</f>
        <v>54.161666666666655</v>
      </c>
      <c r="G20" s="616">
        <f>G17+'[9]Key Assumptions'!$C$27</f>
        <v>54.287500000000001</v>
      </c>
      <c r="H20" s="616">
        <f>H17+'[9]Key Assumptions'!$C$27</f>
        <v>55.04666666666666</v>
      </c>
      <c r="I20" s="616">
        <f>I17+'[9]Key Assumptions'!$C$27</f>
        <v>56.169166666666662</v>
      </c>
      <c r="J20" s="616">
        <f>J17+'[9]Key Assumptions'!$C$27</f>
        <v>57.545000000000002</v>
      </c>
      <c r="K20" s="616">
        <f>K17+'[9]Key Assumptions'!$C$27</f>
        <v>58.39</v>
      </c>
      <c r="L20" s="616">
        <f>L17+'[9]Key Assumptions'!$C$27</f>
        <v>58.924999999999997</v>
      </c>
      <c r="M20" s="616">
        <f>M17+'[9]Key Assumptions'!$C$27</f>
        <v>59.763874999999992</v>
      </c>
      <c r="N20" s="616">
        <f>N17+'[9]Key Assumptions'!$C$27</f>
        <v>60.615333124999985</v>
      </c>
      <c r="O20" s="616">
        <f>O17+'[9]Key Assumptions'!$C$27</f>
        <v>61.479563121874982</v>
      </c>
      <c r="P20" s="616">
        <f>P17+'[9]Key Assumptions'!$C$27</f>
        <v>62.356756568703098</v>
      </c>
      <c r="Q20" s="616">
        <f>Q17+'[9]Key Assumptions'!$C$27</f>
        <v>63.247107917233642</v>
      </c>
      <c r="R20" s="616">
        <f>R17+'[9]Key Assumptions'!$C$27</f>
        <v>64.15081453599214</v>
      </c>
      <c r="S20" s="616">
        <f>S17+'[9]Key Assumptions'!$C$27</f>
        <v>65.068076754032006</v>
      </c>
      <c r="T20" s="616">
        <f>T17+'[9]Key Assumptions'!$C$27</f>
        <v>65.999097905342495</v>
      </c>
      <c r="U20" s="616">
        <f>U17+'[9]Key Assumptions'!$C$27</f>
        <v>66.944084373922621</v>
      </c>
    </row>
    <row r="21" spans="3:21">
      <c r="C21" s="627" t="s">
        <v>588</v>
      </c>
      <c r="D21" s="627"/>
      <c r="E21" s="615">
        <f>E20/42</f>
        <v>1.3036111111111113</v>
      </c>
      <c r="F21" s="615">
        <f t="shared" ref="F21:U21" si="4">F20/42</f>
        <v>1.2895634920634917</v>
      </c>
      <c r="G21" s="615">
        <f t="shared" si="4"/>
        <v>1.2925595238095238</v>
      </c>
      <c r="H21" s="615">
        <f t="shared" si="4"/>
        <v>1.3106349206349204</v>
      </c>
      <c r="I21" s="615">
        <f t="shared" si="4"/>
        <v>1.337361111111111</v>
      </c>
      <c r="J21" s="615">
        <f t="shared" si="4"/>
        <v>1.3701190476190477</v>
      </c>
      <c r="K21" s="615">
        <f t="shared" si="4"/>
        <v>1.3902380952380953</v>
      </c>
      <c r="L21" s="615">
        <f t="shared" si="4"/>
        <v>1.4029761904761904</v>
      </c>
      <c r="M21" s="615">
        <f t="shared" si="4"/>
        <v>1.4229494047619045</v>
      </c>
      <c r="N21" s="615">
        <f t="shared" si="4"/>
        <v>1.4432222172619045</v>
      </c>
      <c r="O21" s="615">
        <f t="shared" si="4"/>
        <v>1.4637991219494044</v>
      </c>
      <c r="P21" s="615">
        <f t="shared" si="4"/>
        <v>1.4846846802072167</v>
      </c>
      <c r="Q21" s="615">
        <f t="shared" si="4"/>
        <v>1.5058835218388962</v>
      </c>
      <c r="R21" s="615">
        <f t="shared" si="4"/>
        <v>1.5274003460950509</v>
      </c>
      <c r="S21" s="615">
        <f t="shared" si="4"/>
        <v>1.5492399227150477</v>
      </c>
      <c r="T21" s="615">
        <f t="shared" si="4"/>
        <v>1.5714070929843451</v>
      </c>
      <c r="U21" s="615">
        <f t="shared" si="4"/>
        <v>1.5939067708076815</v>
      </c>
    </row>
    <row r="22" spans="3:21">
      <c r="C22" s="627"/>
      <c r="D22" s="627"/>
      <c r="E22" s="615"/>
      <c r="F22" s="615"/>
      <c r="G22" s="615"/>
      <c r="H22" s="615"/>
      <c r="I22" s="615"/>
      <c r="J22" s="615"/>
      <c r="K22" s="615"/>
      <c r="L22" s="615"/>
      <c r="M22" s="615"/>
      <c r="N22" s="615"/>
      <c r="O22" s="615"/>
      <c r="P22" s="615"/>
      <c r="Q22" s="615"/>
      <c r="R22" s="615"/>
      <c r="S22" s="615"/>
      <c r="T22" s="615"/>
      <c r="U22" s="615"/>
    </row>
    <row r="23" spans="3:21">
      <c r="C23" s="627" t="s">
        <v>589</v>
      </c>
      <c r="E23" s="615">
        <f>(E17/42)+$D$10</f>
        <v>2.7321825396825399</v>
      </c>
      <c r="F23" s="615">
        <f t="shared" ref="F23:U23" si="5">(F17/42)+$D$10</f>
        <v>2.7181349206349203</v>
      </c>
      <c r="G23" s="615">
        <f t="shared" si="5"/>
        <v>2.7211309523809524</v>
      </c>
      <c r="H23" s="615">
        <f t="shared" si="5"/>
        <v>2.739206349206349</v>
      </c>
      <c r="I23" s="615">
        <f t="shared" si="5"/>
        <v>2.7659325396825398</v>
      </c>
      <c r="J23" s="615">
        <f t="shared" si="5"/>
        <v>2.7986904761904761</v>
      </c>
      <c r="K23" s="615">
        <f t="shared" si="5"/>
        <v>2.8188095238095237</v>
      </c>
      <c r="L23" s="615">
        <f t="shared" si="5"/>
        <v>2.831547619047619</v>
      </c>
      <c r="M23" s="615">
        <f t="shared" si="5"/>
        <v>2.8515208333333328</v>
      </c>
      <c r="N23" s="615">
        <f t="shared" si="5"/>
        <v>2.8717936458333329</v>
      </c>
      <c r="O23" s="615">
        <f t="shared" si="5"/>
        <v>2.892370550520833</v>
      </c>
      <c r="P23" s="615">
        <f t="shared" si="5"/>
        <v>2.9132561087786453</v>
      </c>
      <c r="Q23" s="615">
        <f t="shared" si="5"/>
        <v>2.9344549504103248</v>
      </c>
      <c r="R23" s="615">
        <f t="shared" si="5"/>
        <v>2.9559717746664793</v>
      </c>
      <c r="S23" s="615">
        <f t="shared" si="5"/>
        <v>2.9778113512864763</v>
      </c>
      <c r="T23" s="615">
        <f t="shared" si="5"/>
        <v>2.9999785215557733</v>
      </c>
      <c r="U23" s="615">
        <f t="shared" si="5"/>
        <v>3.0224781993791101</v>
      </c>
    </row>
    <row r="24" spans="3:21">
      <c r="C24" s="627"/>
      <c r="E24" s="615"/>
      <c r="F24" s="615"/>
      <c r="G24" s="615"/>
      <c r="H24" s="615"/>
      <c r="I24" s="615"/>
      <c r="J24" s="615"/>
      <c r="K24" s="615"/>
      <c r="L24" s="615"/>
      <c r="M24" s="615"/>
      <c r="N24" s="615"/>
      <c r="O24" s="615"/>
      <c r="P24" s="615"/>
      <c r="Q24" s="615"/>
      <c r="R24" s="615"/>
      <c r="S24" s="615"/>
      <c r="T24" s="615"/>
      <c r="U24" s="615"/>
    </row>
    <row r="25" spans="3:21">
      <c r="C25" s="628" t="s">
        <v>590</v>
      </c>
      <c r="D25" s="2">
        <v>2017</v>
      </c>
      <c r="E25" s="2">
        <v>2018</v>
      </c>
      <c r="F25" s="2">
        <v>2019</v>
      </c>
      <c r="G25" s="2">
        <v>2020</v>
      </c>
      <c r="H25" s="2">
        <v>2021</v>
      </c>
      <c r="I25" s="2">
        <v>2022</v>
      </c>
      <c r="J25" s="2">
        <v>2023</v>
      </c>
      <c r="K25" s="2">
        <v>2024</v>
      </c>
      <c r="L25" s="2">
        <v>2025</v>
      </c>
      <c r="M25" s="2">
        <v>2026</v>
      </c>
      <c r="N25" s="2">
        <v>2027</v>
      </c>
      <c r="O25" s="2">
        <v>2028</v>
      </c>
      <c r="P25" s="2">
        <v>2029</v>
      </c>
      <c r="Q25" s="2">
        <v>2030</v>
      </c>
      <c r="R25" s="2">
        <v>2031</v>
      </c>
      <c r="S25" s="2">
        <v>2032</v>
      </c>
      <c r="T25" s="2">
        <v>2033</v>
      </c>
      <c r="U25" s="2">
        <v>2034</v>
      </c>
    </row>
    <row r="26" spans="3:21">
      <c r="C26" s="627" t="s">
        <v>591</v>
      </c>
      <c r="D26" s="615">
        <f>AVERAGE('[9]Vertex''s WTI &amp; Commodity price'!AH18:AR18)</f>
        <v>2.7538243451463789</v>
      </c>
      <c r="E26" s="615">
        <f>D26+D26*E16</f>
        <v>2.7406730686262892</v>
      </c>
      <c r="F26" s="615">
        <f t="shared" ref="F26:T26" si="6">E26+E26*F16</f>
        <v>2.7094277539409735</v>
      </c>
      <c r="G26" s="615">
        <f t="shared" si="6"/>
        <v>2.7160916558018253</v>
      </c>
      <c r="H26" s="615">
        <f t="shared" si="6"/>
        <v>2.756295725968946</v>
      </c>
      <c r="I26" s="615">
        <f t="shared" si="6"/>
        <v>2.8157412611117696</v>
      </c>
      <c r="J26" s="615">
        <f t="shared" si="6"/>
        <v>2.8886028635771011</v>
      </c>
      <c r="K26" s="615">
        <f t="shared" si="6"/>
        <v>2.9333525091857298</v>
      </c>
      <c r="L26" s="615">
        <f t="shared" si="6"/>
        <v>2.9616851250444469</v>
      </c>
      <c r="M26" s="615">
        <f t="shared" si="6"/>
        <v>3.0061104019201133</v>
      </c>
      <c r="N26" s="615">
        <f t="shared" si="6"/>
        <v>3.0512020579489145</v>
      </c>
      <c r="O26" s="615">
        <f t="shared" si="6"/>
        <v>3.0969700888181482</v>
      </c>
      <c r="P26" s="615">
        <f t="shared" si="6"/>
        <v>3.1434246401504202</v>
      </c>
      <c r="Q26" s="615">
        <f t="shared" si="6"/>
        <v>3.1905760097526761</v>
      </c>
      <c r="R26" s="615">
        <f t="shared" si="6"/>
        <v>3.238434649898966</v>
      </c>
      <c r="S26" s="615">
        <f t="shared" si="6"/>
        <v>3.28701116964745</v>
      </c>
      <c r="T26" s="615">
        <f t="shared" si="6"/>
        <v>3.3363163371921614</v>
      </c>
      <c r="U26" s="615">
        <f>T26+T26*U16</f>
        <v>3.3863610822500436</v>
      </c>
    </row>
    <row r="27" spans="3:21">
      <c r="C27" s="627" t="s">
        <v>592</v>
      </c>
      <c r="D27" s="615">
        <f>AVERAGE('[9]Vertex''s WTI &amp; Commodity price'!AH19:AR19)</f>
        <v>2.7538243451463789</v>
      </c>
      <c r="E27" s="615">
        <f>D27+D27*E16</f>
        <v>2.7406730686262892</v>
      </c>
      <c r="F27" s="615">
        <f t="shared" ref="F27:U27" si="7">E27+E27*F16</f>
        <v>2.7094277539409735</v>
      </c>
      <c r="G27" s="615">
        <f t="shared" si="7"/>
        <v>2.7160916558018253</v>
      </c>
      <c r="H27" s="615">
        <f t="shared" si="7"/>
        <v>2.756295725968946</v>
      </c>
      <c r="I27" s="615">
        <f t="shared" si="7"/>
        <v>2.8157412611117696</v>
      </c>
      <c r="J27" s="615">
        <f t="shared" si="7"/>
        <v>2.8886028635771011</v>
      </c>
      <c r="K27" s="615">
        <f t="shared" si="7"/>
        <v>2.9333525091857298</v>
      </c>
      <c r="L27" s="615">
        <f t="shared" si="7"/>
        <v>2.9616851250444469</v>
      </c>
      <c r="M27" s="615">
        <f t="shared" si="7"/>
        <v>3.0061104019201133</v>
      </c>
      <c r="N27" s="615">
        <f t="shared" si="7"/>
        <v>3.0512020579489145</v>
      </c>
      <c r="O27" s="615">
        <f t="shared" si="7"/>
        <v>3.0969700888181482</v>
      </c>
      <c r="P27" s="615">
        <f t="shared" si="7"/>
        <v>3.1434246401504202</v>
      </c>
      <c r="Q27" s="615">
        <f t="shared" si="7"/>
        <v>3.1905760097526761</v>
      </c>
      <c r="R27" s="615">
        <f t="shared" si="7"/>
        <v>3.238434649898966</v>
      </c>
      <c r="S27" s="615">
        <f t="shared" si="7"/>
        <v>3.28701116964745</v>
      </c>
      <c r="T27" s="615">
        <f t="shared" si="7"/>
        <v>3.3363163371921614</v>
      </c>
      <c r="U27" s="615">
        <f t="shared" si="7"/>
        <v>3.3863610822500436</v>
      </c>
    </row>
    <row r="28" spans="3:21">
      <c r="C28" s="628" t="s">
        <v>593</v>
      </c>
      <c r="D28" s="621">
        <f>AVERAGE('[9]Vertex''s WTI &amp; Commodity price'!AH20:AR20)</f>
        <v>2.844943533037251</v>
      </c>
      <c r="E28" s="621">
        <f>D28+D28*E16</f>
        <v>2.8313571039852468</v>
      </c>
      <c r="F28" s="621">
        <f t="shared" ref="F28:U28" si="8">E28+E28*F16</f>
        <v>2.7990779369757846</v>
      </c>
      <c r="G28" s="621">
        <f t="shared" si="8"/>
        <v>2.8059623355893852</v>
      </c>
      <c r="H28" s="621">
        <f t="shared" si="8"/>
        <v>2.847496687489977</v>
      </c>
      <c r="I28" s="621">
        <f t="shared" si="8"/>
        <v>2.9089091704867909</v>
      </c>
      <c r="J28" s="621">
        <f t="shared" si="8"/>
        <v>2.9841816347984018</v>
      </c>
      <c r="K28" s="621">
        <f t="shared" si="8"/>
        <v>3.0304119672102572</v>
      </c>
      <c r="L28" s="621">
        <f t="shared" si="8"/>
        <v>3.0596820593290053</v>
      </c>
      <c r="M28" s="621">
        <f t="shared" si="8"/>
        <v>3.1055772902189402</v>
      </c>
      <c r="N28" s="621">
        <f t="shared" si="8"/>
        <v>3.1521609495722243</v>
      </c>
      <c r="O28" s="621">
        <f t="shared" si="8"/>
        <v>3.1994433638158073</v>
      </c>
      <c r="P28" s="621">
        <f t="shared" si="8"/>
        <v>3.2474350142730439</v>
      </c>
      <c r="Q28" s="621">
        <f t="shared" si="8"/>
        <v>3.2961465394871392</v>
      </c>
      <c r="R28" s="621">
        <f t="shared" si="8"/>
        <v>3.3455887375794457</v>
      </c>
      <c r="S28" s="621">
        <f t="shared" si="8"/>
        <v>3.395772568643137</v>
      </c>
      <c r="T28" s="621">
        <f t="shared" si="8"/>
        <v>3.4467091571727839</v>
      </c>
      <c r="U28" s="621">
        <f t="shared" si="8"/>
        <v>3.4984097945303754</v>
      </c>
    </row>
    <row r="29" spans="3:21">
      <c r="C29" s="627" t="s">
        <v>594</v>
      </c>
      <c r="D29" s="615">
        <f>AVERAGE(D26:D28)</f>
        <v>2.7841974077766696</v>
      </c>
      <c r="E29" s="615">
        <f t="shared" ref="E29:U29" si="9">AVERAGE(E26:E28)</f>
        <v>2.7709010804126084</v>
      </c>
      <c r="F29" s="615">
        <f t="shared" si="9"/>
        <v>2.7393111482859105</v>
      </c>
      <c r="G29" s="615">
        <f t="shared" si="9"/>
        <v>2.7460485490643456</v>
      </c>
      <c r="H29" s="615">
        <f t="shared" si="9"/>
        <v>2.7866960464759565</v>
      </c>
      <c r="I29" s="615">
        <f t="shared" si="9"/>
        <v>2.8467972309034431</v>
      </c>
      <c r="J29" s="615">
        <f t="shared" si="9"/>
        <v>2.9204624539842015</v>
      </c>
      <c r="K29" s="615">
        <f t="shared" si="9"/>
        <v>2.9657056618605719</v>
      </c>
      <c r="L29" s="615">
        <f t="shared" si="9"/>
        <v>2.9943507698059668</v>
      </c>
      <c r="M29" s="615">
        <f t="shared" si="9"/>
        <v>3.0392660313530553</v>
      </c>
      <c r="N29" s="615">
        <f t="shared" si="9"/>
        <v>3.0848550218233513</v>
      </c>
      <c r="O29" s="615">
        <f t="shared" si="9"/>
        <v>3.1311278471507009</v>
      </c>
      <c r="P29" s="615">
        <f t="shared" si="9"/>
        <v>3.1780947648579616</v>
      </c>
      <c r="Q29" s="615">
        <f t="shared" si="9"/>
        <v>3.2257661863308305</v>
      </c>
      <c r="R29" s="615">
        <f t="shared" si="9"/>
        <v>3.2741526791257924</v>
      </c>
      <c r="S29" s="615">
        <f t="shared" si="9"/>
        <v>3.3232649693126795</v>
      </c>
      <c r="T29" s="615">
        <f t="shared" si="9"/>
        <v>3.3731139438523687</v>
      </c>
      <c r="U29" s="615">
        <f t="shared" si="9"/>
        <v>3.4237106530101542</v>
      </c>
    </row>
    <row r="30" spans="3:21">
      <c r="C30" s="627"/>
      <c r="D30" s="615"/>
      <c r="E30" s="615"/>
      <c r="F30" s="615"/>
      <c r="G30" s="615"/>
      <c r="H30" s="615"/>
      <c r="I30" s="615"/>
      <c r="J30" s="615"/>
      <c r="K30" s="615"/>
      <c r="L30" s="615"/>
      <c r="M30" s="615"/>
      <c r="N30" s="615"/>
      <c r="O30" s="615"/>
      <c r="P30" s="615"/>
      <c r="Q30" s="615"/>
      <c r="R30" s="615"/>
      <c r="S30" s="615"/>
      <c r="T30" s="615"/>
      <c r="U30" s="615"/>
    </row>
    <row r="31" spans="3:21">
      <c r="C31" s="628" t="s">
        <v>595</v>
      </c>
      <c r="D31" s="2">
        <v>2017</v>
      </c>
      <c r="E31" s="2">
        <v>2018</v>
      </c>
      <c r="F31" s="2">
        <v>2019</v>
      </c>
      <c r="G31" s="2">
        <v>2020</v>
      </c>
      <c r="H31" s="2">
        <v>2021</v>
      </c>
      <c r="I31" s="2">
        <v>2022</v>
      </c>
      <c r="J31" s="2">
        <v>2023</v>
      </c>
      <c r="K31" s="2">
        <v>2024</v>
      </c>
      <c r="L31" s="2">
        <v>2025</v>
      </c>
      <c r="M31" s="2">
        <v>2026</v>
      </c>
      <c r="N31" s="2">
        <v>2027</v>
      </c>
      <c r="O31" s="2">
        <v>2028</v>
      </c>
      <c r="P31" s="2">
        <v>2029</v>
      </c>
      <c r="Q31" s="2">
        <v>2030</v>
      </c>
      <c r="R31" s="2">
        <v>2031</v>
      </c>
      <c r="S31" s="2">
        <v>2032</v>
      </c>
      <c r="T31" s="2">
        <v>2033</v>
      </c>
      <c r="U31" s="2">
        <v>2034</v>
      </c>
    </row>
    <row r="32" spans="3:21">
      <c r="C32" s="627" t="s">
        <v>596</v>
      </c>
      <c r="D32" s="615">
        <v>1.35</v>
      </c>
      <c r="E32" s="615">
        <f>D32+D32*E16</f>
        <v>1.3435528846153848</v>
      </c>
      <c r="F32" s="615">
        <f t="shared" ref="F32:U32" si="10">E32+E32*F16</f>
        <v>1.3282355769230767</v>
      </c>
      <c r="G32" s="615">
        <f t="shared" si="10"/>
        <v>1.331502403846154</v>
      </c>
      <c r="H32" s="615">
        <f t="shared" si="10"/>
        <v>1.3512115384615384</v>
      </c>
      <c r="I32" s="615">
        <f t="shared" si="10"/>
        <v>1.3803533653846154</v>
      </c>
      <c r="J32" s="615">
        <f t="shared" si="10"/>
        <v>1.4160721153846154</v>
      </c>
      <c r="K32" s="615">
        <f t="shared" si="10"/>
        <v>1.4380096153846154</v>
      </c>
      <c r="L32" s="615">
        <f t="shared" si="10"/>
        <v>1.4518990384615382</v>
      </c>
      <c r="M32" s="615">
        <f t="shared" si="10"/>
        <v>1.4736775240384612</v>
      </c>
      <c r="N32" s="615">
        <f t="shared" si="10"/>
        <v>1.495782686899038</v>
      </c>
      <c r="O32" s="615">
        <f t="shared" si="10"/>
        <v>1.5182194272025236</v>
      </c>
      <c r="P32" s="615">
        <f t="shared" si="10"/>
        <v>1.5409927186105612</v>
      </c>
      <c r="Q32" s="615">
        <f t="shared" si="10"/>
        <v>1.5641076093897195</v>
      </c>
      <c r="R32" s="615">
        <f t="shared" si="10"/>
        <v>1.5875692235305652</v>
      </c>
      <c r="S32" s="615">
        <f t="shared" si="10"/>
        <v>1.6113827618835235</v>
      </c>
      <c r="T32" s="615">
        <f t="shared" si="10"/>
        <v>1.6355535033117761</v>
      </c>
      <c r="U32" s="615">
        <f t="shared" si="10"/>
        <v>1.6600868058614526</v>
      </c>
    </row>
    <row r="33" spans="3:21">
      <c r="C33" s="627" t="s">
        <v>597</v>
      </c>
      <c r="E33" s="615">
        <f>AVERAGE('[9]Vertex''s WTI &amp; Commodity price'!AH22:AR22)</f>
        <v>423.0869090909091</v>
      </c>
      <c r="F33" s="5">
        <f>E33+E33*F16</f>
        <v>418.26346489206895</v>
      </c>
      <c r="G33" s="5">
        <f t="shared" ref="G33:U33" si="11">F33+F33*G16</f>
        <v>419.29219381018328</v>
      </c>
      <c r="H33" s="5">
        <f t="shared" si="11"/>
        <v>425.49863119032909</v>
      </c>
      <c r="I33" s="5">
        <f t="shared" si="11"/>
        <v>434.67543816185105</v>
      </c>
      <c r="J33" s="5">
        <f t="shared" si="11"/>
        <v>445.92332851818566</v>
      </c>
      <c r="K33" s="5">
        <f t="shared" si="11"/>
        <v>452.83148165042269</v>
      </c>
      <c r="L33" s="5">
        <f t="shared" si="11"/>
        <v>457.20528274598092</v>
      </c>
      <c r="M33" s="5">
        <f t="shared" si="11"/>
        <v>464.06336198717059</v>
      </c>
      <c r="N33" s="5">
        <f t="shared" si="11"/>
        <v>471.02431241697809</v>
      </c>
      <c r="O33" s="5">
        <f t="shared" si="11"/>
        <v>478.0896771032327</v>
      </c>
      <c r="P33" s="5">
        <f t="shared" si="11"/>
        <v>485.26102225978116</v>
      </c>
      <c r="Q33" s="5">
        <f t="shared" si="11"/>
        <v>492.53993759367785</v>
      </c>
      <c r="R33" s="5">
        <f t="shared" si="11"/>
        <v>499.92803665758299</v>
      </c>
      <c r="S33" s="5">
        <f t="shared" si="11"/>
        <v>507.42695720744666</v>
      </c>
      <c r="T33" s="5">
        <f t="shared" si="11"/>
        <v>515.03836156555826</v>
      </c>
      <c r="U33" s="5">
        <f t="shared" si="11"/>
        <v>522.76393698904155</v>
      </c>
    </row>
    <row r="34" spans="3:21">
      <c r="C34" s="614" t="s">
        <v>598</v>
      </c>
      <c r="E34" s="615">
        <f t="shared" ref="E34:U34" si="12">(E33*0.66/1000*3.785)</f>
        <v>1.0569134076000002</v>
      </c>
      <c r="F34" s="615">
        <f t="shared" si="12"/>
        <v>1.0448639616468776</v>
      </c>
      <c r="G34" s="615">
        <f t="shared" si="12"/>
        <v>1.047433829357219</v>
      </c>
      <c r="H34" s="615">
        <f t="shared" si="12"/>
        <v>1.0629381305765613</v>
      </c>
      <c r="I34" s="615">
        <f t="shared" si="12"/>
        <v>1.08586271207212</v>
      </c>
      <c r="J34" s="615">
        <f t="shared" si="12"/>
        <v>1.1139610669712798</v>
      </c>
      <c r="K34" s="615">
        <f t="shared" si="12"/>
        <v>1.1312183243109211</v>
      </c>
      <c r="L34" s="615">
        <f t="shared" si="12"/>
        <v>1.1421445168277351</v>
      </c>
      <c r="M34" s="615">
        <f t="shared" si="12"/>
        <v>1.1592766845801508</v>
      </c>
      <c r="N34" s="615">
        <f t="shared" si="12"/>
        <v>1.176665834848853</v>
      </c>
      <c r="O34" s="615">
        <f t="shared" si="12"/>
        <v>1.1943158223715857</v>
      </c>
      <c r="P34" s="615">
        <f t="shared" si="12"/>
        <v>1.2122305597071594</v>
      </c>
      <c r="Q34" s="615">
        <f t="shared" si="12"/>
        <v>1.2304140181027667</v>
      </c>
      <c r="R34" s="615">
        <f t="shared" si="12"/>
        <v>1.2488702283743083</v>
      </c>
      <c r="S34" s="615">
        <f t="shared" si="12"/>
        <v>1.2676032817999225</v>
      </c>
      <c r="T34" s="615">
        <f t="shared" si="12"/>
        <v>1.2866173310269211</v>
      </c>
      <c r="U34" s="615">
        <f t="shared" si="12"/>
        <v>1.3059165909923247</v>
      </c>
    </row>
    <row r="36" spans="3:21" ht="15.75" thickBot="1">
      <c r="C36" s="614"/>
      <c r="D36" s="2">
        <v>2017</v>
      </c>
      <c r="E36" s="2">
        <v>2018</v>
      </c>
      <c r="F36" s="2">
        <v>2019</v>
      </c>
      <c r="G36" s="2">
        <v>2020</v>
      </c>
      <c r="H36" s="2">
        <v>2021</v>
      </c>
      <c r="I36" s="2">
        <v>2022</v>
      </c>
      <c r="J36" s="2">
        <v>2023</v>
      </c>
      <c r="K36" s="2">
        <v>2024</v>
      </c>
      <c r="L36" s="2">
        <v>2025</v>
      </c>
      <c r="M36" s="2">
        <v>2026</v>
      </c>
      <c r="N36" s="2">
        <v>2027</v>
      </c>
      <c r="O36" s="2">
        <v>2028</v>
      </c>
      <c r="P36" s="2">
        <v>2029</v>
      </c>
      <c r="Q36" s="2">
        <v>2030</v>
      </c>
      <c r="R36" s="2">
        <v>2031</v>
      </c>
      <c r="S36" s="2">
        <v>2032</v>
      </c>
      <c r="T36" s="2">
        <v>2033</v>
      </c>
      <c r="U36" s="2">
        <v>2034</v>
      </c>
    </row>
    <row r="37" spans="3:21" ht="15.75" thickBot="1">
      <c r="C37" s="629" t="s">
        <v>611</v>
      </c>
      <c r="D37" s="630"/>
      <c r="E37" s="631">
        <f>IF($D$9="A",E23,E29)</f>
        <v>2.7709010804126084</v>
      </c>
      <c r="F37" s="631">
        <f t="shared" ref="F37:U37" si="13">IF($D$9="a",F23,F29)</f>
        <v>2.7393111482859105</v>
      </c>
      <c r="G37" s="631">
        <f t="shared" si="13"/>
        <v>2.7460485490643456</v>
      </c>
      <c r="H37" s="631">
        <f t="shared" si="13"/>
        <v>2.7866960464759565</v>
      </c>
      <c r="I37" s="631">
        <f t="shared" si="13"/>
        <v>2.8467972309034431</v>
      </c>
      <c r="J37" s="631">
        <f t="shared" si="13"/>
        <v>2.9204624539842015</v>
      </c>
      <c r="K37" s="631">
        <f t="shared" si="13"/>
        <v>2.9657056618605719</v>
      </c>
      <c r="L37" s="631">
        <f t="shared" si="13"/>
        <v>2.9943507698059668</v>
      </c>
      <c r="M37" s="631">
        <f t="shared" si="13"/>
        <v>3.0392660313530553</v>
      </c>
      <c r="N37" s="631">
        <f t="shared" si="13"/>
        <v>3.0848550218233513</v>
      </c>
      <c r="O37" s="631">
        <f t="shared" si="13"/>
        <v>3.1311278471507009</v>
      </c>
      <c r="P37" s="631">
        <f t="shared" si="13"/>
        <v>3.1780947648579616</v>
      </c>
      <c r="Q37" s="631">
        <f t="shared" si="13"/>
        <v>3.2257661863308305</v>
      </c>
      <c r="R37" s="631">
        <f t="shared" si="13"/>
        <v>3.2741526791257924</v>
      </c>
      <c r="S37" s="631">
        <f t="shared" si="13"/>
        <v>3.3232649693126795</v>
      </c>
      <c r="T37" s="631">
        <f t="shared" si="13"/>
        <v>3.3731139438523687</v>
      </c>
      <c r="U37" s="632">
        <f t="shared" si="13"/>
        <v>3.4237106530101542</v>
      </c>
    </row>
    <row r="38" spans="3:21" ht="15.75" thickBot="1">
      <c r="C38" s="629" t="s">
        <v>656</v>
      </c>
      <c r="D38" s="643"/>
      <c r="E38" s="644">
        <f>E37-0.33</f>
        <v>2.4409010804126083</v>
      </c>
      <c r="F38" s="644">
        <f t="shared" ref="F38:U38" si="14">F37-0.33</f>
        <v>2.4093111482859104</v>
      </c>
      <c r="G38" s="644">
        <f t="shared" si="14"/>
        <v>2.4160485490643455</v>
      </c>
      <c r="H38" s="644">
        <f t="shared" si="14"/>
        <v>2.4566960464759564</v>
      </c>
      <c r="I38" s="644">
        <f t="shared" si="14"/>
        <v>2.516797230903443</v>
      </c>
      <c r="J38" s="644">
        <f t="shared" si="14"/>
        <v>2.5904624539842014</v>
      </c>
      <c r="K38" s="644">
        <f t="shared" si="14"/>
        <v>2.6357056618605719</v>
      </c>
      <c r="L38" s="644">
        <f t="shared" si="14"/>
        <v>2.6643507698059667</v>
      </c>
      <c r="M38" s="644">
        <f t="shared" si="14"/>
        <v>2.7092660313530552</v>
      </c>
      <c r="N38" s="644">
        <f t="shared" si="14"/>
        <v>2.7548550218233512</v>
      </c>
      <c r="O38" s="644">
        <f t="shared" si="14"/>
        <v>2.8011278471507008</v>
      </c>
      <c r="P38" s="644">
        <f t="shared" si="14"/>
        <v>2.8480947648579615</v>
      </c>
      <c r="Q38" s="644">
        <f t="shared" si="14"/>
        <v>2.8957661863308304</v>
      </c>
      <c r="R38" s="644">
        <f t="shared" si="14"/>
        <v>2.9441526791257924</v>
      </c>
      <c r="S38" s="644">
        <f t="shared" si="14"/>
        <v>2.9932649693126794</v>
      </c>
      <c r="T38" s="644">
        <f t="shared" si="14"/>
        <v>3.0431139438523687</v>
      </c>
      <c r="U38" s="644">
        <f t="shared" si="14"/>
        <v>3.0937106530101541</v>
      </c>
    </row>
  </sheetData>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2"/>
  <sheetViews>
    <sheetView topLeftCell="A52" zoomScale="125" zoomScaleNormal="125" zoomScalePageLayoutView="125" workbookViewId="0">
      <selection activeCell="F69" sqref="F69"/>
    </sheetView>
  </sheetViews>
  <sheetFormatPr defaultColWidth="8.85546875" defaultRowHeight="12.75"/>
  <cols>
    <col min="1" max="1" width="2.85546875" style="133" customWidth="1"/>
    <col min="2" max="2" width="61.28515625" style="133" bestFit="1" customWidth="1"/>
    <col min="3" max="3" width="48" style="133" customWidth="1"/>
    <col min="4" max="4" width="7.85546875" style="133" customWidth="1"/>
    <col min="5" max="5" width="10.7109375" style="133" bestFit="1" customWidth="1"/>
    <col min="6" max="6" width="11.85546875" style="133" bestFit="1" customWidth="1"/>
    <col min="7" max="7" width="1.85546875" style="133" customWidth="1"/>
    <col min="8" max="8" width="11.42578125" style="133" bestFit="1" customWidth="1"/>
    <col min="9" max="18" width="10.7109375" style="133" bestFit="1" customWidth="1"/>
    <col min="19" max="16384" width="8.85546875" style="133"/>
  </cols>
  <sheetData>
    <row r="1" spans="1:18" ht="15.75">
      <c r="A1" s="145" t="s">
        <v>317</v>
      </c>
    </row>
    <row r="3" spans="1:18" ht="13.5" thickBot="1"/>
    <row r="4" spans="1:18">
      <c r="A4" s="151">
        <v>1</v>
      </c>
      <c r="B4" s="152" t="s">
        <v>303</v>
      </c>
      <c r="C4" s="739" t="s">
        <v>862</v>
      </c>
      <c r="D4" s="153" t="s">
        <v>318</v>
      </c>
      <c r="E4" s="153" t="s">
        <v>29</v>
      </c>
      <c r="F4" s="154" t="s">
        <v>26</v>
      </c>
      <c r="G4" s="135"/>
      <c r="H4" s="185" t="s">
        <v>70</v>
      </c>
      <c r="I4" s="192">
        <v>1</v>
      </c>
      <c r="J4" s="192">
        <v>2</v>
      </c>
      <c r="K4" s="192">
        <v>3</v>
      </c>
      <c r="L4" s="192">
        <v>4</v>
      </c>
      <c r="M4" s="192">
        <v>5</v>
      </c>
      <c r="N4" s="192">
        <v>6</v>
      </c>
      <c r="O4" s="192">
        <v>7</v>
      </c>
      <c r="P4" s="192">
        <v>8</v>
      </c>
      <c r="Q4" s="192">
        <v>9</v>
      </c>
      <c r="R4" s="192">
        <v>10</v>
      </c>
    </row>
    <row r="5" spans="1:18">
      <c r="A5" s="134"/>
      <c r="B5" s="213" t="s">
        <v>874</v>
      </c>
      <c r="C5" s="740" t="s">
        <v>875</v>
      </c>
      <c r="D5" s="136">
        <v>1</v>
      </c>
      <c r="E5" s="146">
        <f>3800000</f>
        <v>3800000</v>
      </c>
      <c r="F5" s="156">
        <f t="shared" ref="F5:F17" si="0">+E5*D5</f>
        <v>3800000</v>
      </c>
      <c r="G5" s="135"/>
      <c r="H5" s="186">
        <f>F5/10</f>
        <v>380000</v>
      </c>
      <c r="I5" s="193">
        <f>H5</f>
        <v>380000</v>
      </c>
      <c r="J5" s="194">
        <f>I5</f>
        <v>380000</v>
      </c>
      <c r="K5" s="194">
        <f t="shared" ref="K5:R5" si="1">J5</f>
        <v>380000</v>
      </c>
      <c r="L5" s="194">
        <f t="shared" si="1"/>
        <v>380000</v>
      </c>
      <c r="M5" s="194">
        <f t="shared" si="1"/>
        <v>380000</v>
      </c>
      <c r="N5" s="194">
        <f t="shared" si="1"/>
        <v>380000</v>
      </c>
      <c r="O5" s="194">
        <f t="shared" si="1"/>
        <v>380000</v>
      </c>
      <c r="P5" s="194">
        <f t="shared" si="1"/>
        <v>380000</v>
      </c>
      <c r="Q5" s="194">
        <f t="shared" si="1"/>
        <v>380000</v>
      </c>
      <c r="R5" s="195">
        <f t="shared" si="1"/>
        <v>380000</v>
      </c>
    </row>
    <row r="6" spans="1:18">
      <c r="A6" s="134"/>
      <c r="B6" s="213" t="s">
        <v>471</v>
      </c>
      <c r="C6" s="740" t="s">
        <v>863</v>
      </c>
      <c r="D6" s="136">
        <v>1</v>
      </c>
      <c r="E6" s="146">
        <v>500000</v>
      </c>
      <c r="F6" s="156">
        <f t="shared" si="0"/>
        <v>500000</v>
      </c>
      <c r="G6" s="135"/>
      <c r="H6" s="187">
        <f>F6/10</f>
        <v>50000</v>
      </c>
      <c r="I6" s="196">
        <f t="shared" ref="I6:J6" si="2">H6</f>
        <v>50000</v>
      </c>
      <c r="J6" s="197">
        <f t="shared" si="2"/>
        <v>50000</v>
      </c>
      <c r="K6" s="197">
        <f t="shared" ref="K6:R6" si="3">J6</f>
        <v>50000</v>
      </c>
      <c r="L6" s="197">
        <f t="shared" si="3"/>
        <v>50000</v>
      </c>
      <c r="M6" s="197">
        <f t="shared" si="3"/>
        <v>50000</v>
      </c>
      <c r="N6" s="197">
        <f t="shared" si="3"/>
        <v>50000</v>
      </c>
      <c r="O6" s="197">
        <f t="shared" si="3"/>
        <v>50000</v>
      </c>
      <c r="P6" s="197">
        <f t="shared" si="3"/>
        <v>50000</v>
      </c>
      <c r="Q6" s="197">
        <f t="shared" si="3"/>
        <v>50000</v>
      </c>
      <c r="R6" s="198">
        <f t="shared" si="3"/>
        <v>50000</v>
      </c>
    </row>
    <row r="7" spans="1:18">
      <c r="A7" s="134"/>
      <c r="B7" s="213" t="s">
        <v>282</v>
      </c>
      <c r="C7" s="740" t="s">
        <v>864</v>
      </c>
      <c r="D7" s="136">
        <v>1</v>
      </c>
      <c r="E7" s="146">
        <v>350000</v>
      </c>
      <c r="F7" s="156">
        <f t="shared" si="0"/>
        <v>350000</v>
      </c>
      <c r="G7" s="135"/>
      <c r="H7" s="187">
        <f t="shared" ref="H7:H15" si="4">F7/10</f>
        <v>35000</v>
      </c>
      <c r="I7" s="196">
        <f t="shared" ref="I7:J7" si="5">H7</f>
        <v>35000</v>
      </c>
      <c r="J7" s="197">
        <f t="shared" si="5"/>
        <v>35000</v>
      </c>
      <c r="K7" s="197">
        <f t="shared" ref="K7:R7" si="6">J7</f>
        <v>35000</v>
      </c>
      <c r="L7" s="197">
        <f t="shared" si="6"/>
        <v>35000</v>
      </c>
      <c r="M7" s="197">
        <f t="shared" si="6"/>
        <v>35000</v>
      </c>
      <c r="N7" s="197">
        <f t="shared" si="6"/>
        <v>35000</v>
      </c>
      <c r="O7" s="197">
        <f t="shared" si="6"/>
        <v>35000</v>
      </c>
      <c r="P7" s="197">
        <f t="shared" si="6"/>
        <v>35000</v>
      </c>
      <c r="Q7" s="197">
        <f t="shared" si="6"/>
        <v>35000</v>
      </c>
      <c r="R7" s="198">
        <f t="shared" si="6"/>
        <v>35000</v>
      </c>
    </row>
    <row r="8" spans="1:18">
      <c r="A8" s="134"/>
      <c r="B8" s="213" t="s">
        <v>157</v>
      </c>
      <c r="C8" s="741" t="s">
        <v>865</v>
      </c>
      <c r="D8" s="211">
        <v>1</v>
      </c>
      <c r="E8" s="146">
        <v>500000</v>
      </c>
      <c r="F8" s="156">
        <f t="shared" si="0"/>
        <v>500000</v>
      </c>
      <c r="G8" s="135"/>
      <c r="H8" s="187">
        <f t="shared" si="4"/>
        <v>50000</v>
      </c>
      <c r="I8" s="196">
        <f t="shared" ref="I8:J8" si="7">H8</f>
        <v>50000</v>
      </c>
      <c r="J8" s="197">
        <f t="shared" si="7"/>
        <v>50000</v>
      </c>
      <c r="K8" s="197">
        <f t="shared" ref="K8:R8" si="8">J8</f>
        <v>50000</v>
      </c>
      <c r="L8" s="197">
        <f t="shared" si="8"/>
        <v>50000</v>
      </c>
      <c r="M8" s="197">
        <f t="shared" si="8"/>
        <v>50000</v>
      </c>
      <c r="N8" s="197">
        <f t="shared" si="8"/>
        <v>50000</v>
      </c>
      <c r="O8" s="197">
        <f t="shared" si="8"/>
        <v>50000</v>
      </c>
      <c r="P8" s="197">
        <f t="shared" si="8"/>
        <v>50000</v>
      </c>
      <c r="Q8" s="197">
        <f t="shared" si="8"/>
        <v>50000</v>
      </c>
      <c r="R8" s="198">
        <f t="shared" si="8"/>
        <v>50000</v>
      </c>
    </row>
    <row r="9" spans="1:18">
      <c r="A9" s="135"/>
      <c r="B9" s="213" t="s">
        <v>323</v>
      </c>
      <c r="C9" s="229" t="s">
        <v>866</v>
      </c>
      <c r="D9" s="137">
        <v>1</v>
      </c>
      <c r="E9" s="147">
        <v>750000</v>
      </c>
      <c r="F9" s="156">
        <f t="shared" si="0"/>
        <v>750000</v>
      </c>
      <c r="G9" s="134"/>
      <c r="H9" s="187">
        <f t="shared" si="4"/>
        <v>75000</v>
      </c>
      <c r="I9" s="196">
        <f t="shared" ref="I9:J9" si="9">H9</f>
        <v>75000</v>
      </c>
      <c r="J9" s="197">
        <f t="shared" si="9"/>
        <v>75000</v>
      </c>
      <c r="K9" s="197">
        <f t="shared" ref="K9:R9" si="10">J9</f>
        <v>75000</v>
      </c>
      <c r="L9" s="197">
        <f t="shared" si="10"/>
        <v>75000</v>
      </c>
      <c r="M9" s="197">
        <f t="shared" si="10"/>
        <v>75000</v>
      </c>
      <c r="N9" s="197">
        <f t="shared" si="10"/>
        <v>75000</v>
      </c>
      <c r="O9" s="197">
        <f t="shared" si="10"/>
        <v>75000</v>
      </c>
      <c r="P9" s="197">
        <f t="shared" si="10"/>
        <v>75000</v>
      </c>
      <c r="Q9" s="197">
        <f t="shared" si="10"/>
        <v>75000</v>
      </c>
      <c r="R9" s="198">
        <f t="shared" si="10"/>
        <v>75000</v>
      </c>
    </row>
    <row r="10" spans="1:18">
      <c r="A10" s="135"/>
      <c r="B10" s="213" t="s">
        <v>95</v>
      </c>
      <c r="C10" s="229" t="s">
        <v>867</v>
      </c>
      <c r="D10" s="137">
        <v>5</v>
      </c>
      <c r="E10" s="147">
        <v>50000</v>
      </c>
      <c r="F10" s="156">
        <f t="shared" si="0"/>
        <v>250000</v>
      </c>
      <c r="G10" s="134"/>
      <c r="H10" s="187">
        <v>0</v>
      </c>
      <c r="I10" s="196">
        <f t="shared" ref="I10:J10" si="11">H10</f>
        <v>0</v>
      </c>
      <c r="J10" s="197">
        <f t="shared" si="11"/>
        <v>0</v>
      </c>
      <c r="K10" s="197">
        <f t="shared" ref="K10:R10" si="12">J10</f>
        <v>0</v>
      </c>
      <c r="L10" s="197">
        <f t="shared" si="12"/>
        <v>0</v>
      </c>
      <c r="M10" s="197">
        <f t="shared" si="12"/>
        <v>0</v>
      </c>
      <c r="N10" s="197">
        <f t="shared" si="12"/>
        <v>0</v>
      </c>
      <c r="O10" s="197">
        <f t="shared" si="12"/>
        <v>0</v>
      </c>
      <c r="P10" s="197">
        <f t="shared" si="12"/>
        <v>0</v>
      </c>
      <c r="Q10" s="197">
        <f t="shared" si="12"/>
        <v>0</v>
      </c>
      <c r="R10" s="198">
        <f t="shared" si="12"/>
        <v>0</v>
      </c>
    </row>
    <row r="11" spans="1:18">
      <c r="A11" s="135"/>
      <c r="B11" s="213" t="s">
        <v>280</v>
      </c>
      <c r="C11" s="740" t="s">
        <v>868</v>
      </c>
      <c r="D11" s="136">
        <v>2</v>
      </c>
      <c r="E11" s="146">
        <v>80000</v>
      </c>
      <c r="F11" s="156">
        <f t="shared" si="0"/>
        <v>160000</v>
      </c>
      <c r="G11" s="134"/>
      <c r="H11" s="187">
        <f t="shared" si="4"/>
        <v>16000</v>
      </c>
      <c r="I11" s="196">
        <f t="shared" ref="I11:J11" si="13">H11</f>
        <v>16000</v>
      </c>
      <c r="J11" s="197">
        <f t="shared" si="13"/>
        <v>16000</v>
      </c>
      <c r="K11" s="197">
        <f t="shared" ref="K11:R11" si="14">J11</f>
        <v>16000</v>
      </c>
      <c r="L11" s="197">
        <f t="shared" si="14"/>
        <v>16000</v>
      </c>
      <c r="M11" s="197">
        <f t="shared" si="14"/>
        <v>16000</v>
      </c>
      <c r="N11" s="197">
        <f t="shared" si="14"/>
        <v>16000</v>
      </c>
      <c r="O11" s="197">
        <f t="shared" si="14"/>
        <v>16000</v>
      </c>
      <c r="P11" s="197">
        <f t="shared" si="14"/>
        <v>16000</v>
      </c>
      <c r="Q11" s="197">
        <f t="shared" si="14"/>
        <v>16000</v>
      </c>
      <c r="R11" s="198">
        <f t="shared" si="14"/>
        <v>16000</v>
      </c>
    </row>
    <row r="12" spans="1:18">
      <c r="A12" s="134"/>
      <c r="B12" s="213" t="s">
        <v>281</v>
      </c>
      <c r="C12" s="741" t="s">
        <v>869</v>
      </c>
      <c r="D12" s="211">
        <v>1</v>
      </c>
      <c r="E12" s="146">
        <v>150000</v>
      </c>
      <c r="F12" s="156">
        <f t="shared" si="0"/>
        <v>150000</v>
      </c>
      <c r="G12" s="134"/>
      <c r="H12" s="187">
        <f t="shared" si="4"/>
        <v>15000</v>
      </c>
      <c r="I12" s="196">
        <f t="shared" ref="I12:J12" si="15">H12</f>
        <v>15000</v>
      </c>
      <c r="J12" s="197">
        <f t="shared" si="15"/>
        <v>15000</v>
      </c>
      <c r="K12" s="197">
        <f t="shared" ref="K12:R12" si="16">J12</f>
        <v>15000</v>
      </c>
      <c r="L12" s="197">
        <f t="shared" si="16"/>
        <v>15000</v>
      </c>
      <c r="M12" s="197">
        <f t="shared" si="16"/>
        <v>15000</v>
      </c>
      <c r="N12" s="197">
        <f t="shared" si="16"/>
        <v>15000</v>
      </c>
      <c r="O12" s="197">
        <f t="shared" si="16"/>
        <v>15000</v>
      </c>
      <c r="P12" s="197">
        <f t="shared" si="16"/>
        <v>15000</v>
      </c>
      <c r="Q12" s="197">
        <f t="shared" si="16"/>
        <v>15000</v>
      </c>
      <c r="R12" s="198">
        <f t="shared" si="16"/>
        <v>15000</v>
      </c>
    </row>
    <row r="13" spans="1:18">
      <c r="A13" s="134"/>
      <c r="B13" s="213" t="s">
        <v>284</v>
      </c>
      <c r="C13" s="741" t="s">
        <v>870</v>
      </c>
      <c r="D13" s="211">
        <v>1</v>
      </c>
      <c r="E13" s="146">
        <v>150000</v>
      </c>
      <c r="F13" s="156">
        <f t="shared" si="0"/>
        <v>150000</v>
      </c>
      <c r="G13" s="134"/>
      <c r="H13" s="187">
        <f t="shared" si="4"/>
        <v>15000</v>
      </c>
      <c r="I13" s="196">
        <f t="shared" ref="I13:J13" si="17">H13</f>
        <v>15000</v>
      </c>
      <c r="J13" s="197">
        <f t="shared" si="17"/>
        <v>15000</v>
      </c>
      <c r="K13" s="197">
        <f t="shared" ref="K13:R13" si="18">J13</f>
        <v>15000</v>
      </c>
      <c r="L13" s="197">
        <f t="shared" si="18"/>
        <v>15000</v>
      </c>
      <c r="M13" s="197">
        <f t="shared" si="18"/>
        <v>15000</v>
      </c>
      <c r="N13" s="197">
        <f t="shared" si="18"/>
        <v>15000</v>
      </c>
      <c r="O13" s="197">
        <f t="shared" si="18"/>
        <v>15000</v>
      </c>
      <c r="P13" s="197">
        <f t="shared" si="18"/>
        <v>15000</v>
      </c>
      <c r="Q13" s="197">
        <f t="shared" si="18"/>
        <v>15000</v>
      </c>
      <c r="R13" s="198">
        <f t="shared" si="18"/>
        <v>15000</v>
      </c>
    </row>
    <row r="14" spans="1:18">
      <c r="A14" s="134"/>
      <c r="B14" s="213" t="s">
        <v>285</v>
      </c>
      <c r="C14" s="741" t="s">
        <v>876</v>
      </c>
      <c r="D14" s="211">
        <v>1</v>
      </c>
      <c r="E14" s="146">
        <v>150000</v>
      </c>
      <c r="F14" s="156">
        <f t="shared" si="0"/>
        <v>150000</v>
      </c>
      <c r="G14" s="202"/>
      <c r="H14" s="187">
        <f t="shared" si="4"/>
        <v>15000</v>
      </c>
      <c r="I14" s="196">
        <f t="shared" ref="I14:J17" si="19">H14</f>
        <v>15000</v>
      </c>
      <c r="J14" s="197">
        <f t="shared" si="19"/>
        <v>15000</v>
      </c>
      <c r="K14" s="197">
        <f t="shared" ref="K14:R16" si="20">J14</f>
        <v>15000</v>
      </c>
      <c r="L14" s="197">
        <f t="shared" si="20"/>
        <v>15000</v>
      </c>
      <c r="M14" s="197">
        <f t="shared" si="20"/>
        <v>15000</v>
      </c>
      <c r="N14" s="197">
        <f t="shared" si="20"/>
        <v>15000</v>
      </c>
      <c r="O14" s="197">
        <f t="shared" si="20"/>
        <v>15000</v>
      </c>
      <c r="P14" s="197">
        <f t="shared" si="20"/>
        <v>15000</v>
      </c>
      <c r="Q14" s="197">
        <f t="shared" si="20"/>
        <v>15000</v>
      </c>
      <c r="R14" s="198">
        <f t="shared" si="20"/>
        <v>15000</v>
      </c>
    </row>
    <row r="15" spans="1:18">
      <c r="A15" s="134"/>
      <c r="B15" s="213" t="s">
        <v>283</v>
      </c>
      <c r="C15" s="741" t="s">
        <v>871</v>
      </c>
      <c r="D15" s="212">
        <v>1</v>
      </c>
      <c r="E15" s="148">
        <v>75000</v>
      </c>
      <c r="F15" s="156">
        <f>+E15*D15</f>
        <v>75000</v>
      </c>
      <c r="G15" s="135"/>
      <c r="H15" s="187">
        <f t="shared" si="4"/>
        <v>7500</v>
      </c>
      <c r="I15" s="196">
        <f>H15</f>
        <v>7500</v>
      </c>
      <c r="J15" s="197">
        <f t="shared" si="19"/>
        <v>7500</v>
      </c>
      <c r="K15" s="197">
        <f t="shared" si="20"/>
        <v>7500</v>
      </c>
      <c r="L15" s="197">
        <f t="shared" si="20"/>
        <v>7500</v>
      </c>
      <c r="M15" s="197">
        <f t="shared" si="20"/>
        <v>7500</v>
      </c>
      <c r="N15" s="197">
        <f t="shared" si="20"/>
        <v>7500</v>
      </c>
      <c r="O15" s="197">
        <f t="shared" si="20"/>
        <v>7500</v>
      </c>
      <c r="P15" s="197">
        <f t="shared" si="20"/>
        <v>7500</v>
      </c>
      <c r="Q15" s="197">
        <f t="shared" si="20"/>
        <v>7500</v>
      </c>
      <c r="R15" s="198">
        <f t="shared" si="20"/>
        <v>7500</v>
      </c>
    </row>
    <row r="16" spans="1:18">
      <c r="A16" s="134"/>
      <c r="B16" s="213" t="s">
        <v>666</v>
      </c>
      <c r="C16" s="741" t="s">
        <v>872</v>
      </c>
      <c r="D16" s="212">
        <v>1</v>
      </c>
      <c r="E16" s="148">
        <v>550000</v>
      </c>
      <c r="F16" s="156">
        <f>+E16*D16</f>
        <v>550000</v>
      </c>
      <c r="G16" s="135"/>
      <c r="H16" s="187">
        <f>E16/10</f>
        <v>55000</v>
      </c>
      <c r="I16" s="197">
        <f>H16</f>
        <v>55000</v>
      </c>
      <c r="J16" s="197">
        <f t="shared" si="19"/>
        <v>55000</v>
      </c>
      <c r="K16" s="197">
        <f t="shared" ref="K16:K17" si="21">J16</f>
        <v>55000</v>
      </c>
      <c r="L16" s="197">
        <f t="shared" si="20"/>
        <v>55000</v>
      </c>
      <c r="M16" s="197">
        <f t="shared" si="20"/>
        <v>55000</v>
      </c>
      <c r="N16" s="197">
        <f t="shared" si="20"/>
        <v>55000</v>
      </c>
      <c r="O16" s="197">
        <f t="shared" si="20"/>
        <v>55000</v>
      </c>
      <c r="P16" s="197">
        <f t="shared" si="20"/>
        <v>55000</v>
      </c>
      <c r="Q16" s="197">
        <f t="shared" si="20"/>
        <v>55000</v>
      </c>
      <c r="R16" s="198">
        <f t="shared" si="20"/>
        <v>55000</v>
      </c>
    </row>
    <row r="17" spans="1:18" ht="13.5" thickBot="1">
      <c r="A17" s="134"/>
      <c r="B17" s="214" t="s">
        <v>667</v>
      </c>
      <c r="C17" s="741" t="s">
        <v>873</v>
      </c>
      <c r="D17" s="211">
        <v>1</v>
      </c>
      <c r="E17" s="146">
        <v>1500000</v>
      </c>
      <c r="F17" s="155">
        <f t="shared" si="0"/>
        <v>1500000</v>
      </c>
      <c r="G17" s="135"/>
      <c r="H17" s="187">
        <f>E17/10</f>
        <v>150000</v>
      </c>
      <c r="I17" s="197">
        <f>H17</f>
        <v>150000</v>
      </c>
      <c r="J17" s="197">
        <f t="shared" si="19"/>
        <v>150000</v>
      </c>
      <c r="K17" s="197">
        <f t="shared" si="21"/>
        <v>150000</v>
      </c>
      <c r="L17" s="197">
        <f t="shared" ref="L17:R17" si="22">K17</f>
        <v>150000</v>
      </c>
      <c r="M17" s="197">
        <f t="shared" si="22"/>
        <v>150000</v>
      </c>
      <c r="N17" s="197">
        <f t="shared" si="22"/>
        <v>150000</v>
      </c>
      <c r="O17" s="197">
        <f t="shared" si="22"/>
        <v>150000</v>
      </c>
      <c r="P17" s="197">
        <f t="shared" si="22"/>
        <v>150000</v>
      </c>
      <c r="Q17" s="197">
        <f t="shared" si="22"/>
        <v>150000</v>
      </c>
      <c r="R17" s="198">
        <f t="shared" si="22"/>
        <v>150000</v>
      </c>
    </row>
    <row r="18" spans="1:18" ht="13.5" thickBot="1">
      <c r="A18" s="134"/>
      <c r="B18" s="157" t="s">
        <v>26</v>
      </c>
      <c r="C18" s="742"/>
      <c r="D18" s="158"/>
      <c r="E18" s="159"/>
      <c r="F18" s="160">
        <f>SUM(F5:F17)</f>
        <v>8885000</v>
      </c>
      <c r="G18" s="139"/>
      <c r="H18" s="188">
        <f t="shared" ref="H18:R18" si="23">SUM(H5:H17)</f>
        <v>863500</v>
      </c>
      <c r="I18" s="188">
        <f t="shared" si="23"/>
        <v>863500</v>
      </c>
      <c r="J18" s="188">
        <f t="shared" si="23"/>
        <v>863500</v>
      </c>
      <c r="K18" s="188">
        <f t="shared" si="23"/>
        <v>863500</v>
      </c>
      <c r="L18" s="188">
        <f t="shared" si="23"/>
        <v>863500</v>
      </c>
      <c r="M18" s="188">
        <f t="shared" si="23"/>
        <v>863500</v>
      </c>
      <c r="N18" s="188">
        <f t="shared" si="23"/>
        <v>863500</v>
      </c>
      <c r="O18" s="188">
        <f t="shared" si="23"/>
        <v>863500</v>
      </c>
      <c r="P18" s="188">
        <f t="shared" si="23"/>
        <v>863500</v>
      </c>
      <c r="Q18" s="188">
        <f t="shared" si="23"/>
        <v>863500</v>
      </c>
      <c r="R18" s="188">
        <f t="shared" si="23"/>
        <v>863500</v>
      </c>
    </row>
    <row r="19" spans="1:18" ht="13.5" thickBot="1">
      <c r="A19" s="134"/>
      <c r="G19" s="134"/>
    </row>
    <row r="20" spans="1:18">
      <c r="A20" s="161">
        <v>2</v>
      </c>
      <c r="B20" s="152" t="s">
        <v>749</v>
      </c>
      <c r="C20" s="739" t="s">
        <v>877</v>
      </c>
      <c r="D20" s="153" t="s">
        <v>318</v>
      </c>
      <c r="E20" s="153" t="s">
        <v>29</v>
      </c>
      <c r="F20" s="154" t="s">
        <v>26</v>
      </c>
      <c r="G20" s="134"/>
      <c r="H20" s="185" t="s">
        <v>70</v>
      </c>
      <c r="I20" s="192">
        <v>1</v>
      </c>
      <c r="J20" s="192">
        <v>2</v>
      </c>
      <c r="K20" s="192">
        <v>3</v>
      </c>
      <c r="L20" s="192">
        <v>4</v>
      </c>
      <c r="M20" s="192">
        <v>5</v>
      </c>
      <c r="N20" s="192">
        <v>6</v>
      </c>
      <c r="O20" s="192">
        <v>7</v>
      </c>
      <c r="P20" s="192">
        <v>8</v>
      </c>
      <c r="Q20" s="192">
        <v>9</v>
      </c>
      <c r="R20" s="192">
        <v>10</v>
      </c>
    </row>
    <row r="21" spans="1:18">
      <c r="A21" s="134"/>
      <c r="B21" s="162" t="s">
        <v>286</v>
      </c>
      <c r="C21" s="144" t="s">
        <v>878</v>
      </c>
      <c r="D21" s="138">
        <v>2</v>
      </c>
      <c r="E21" s="148">
        <v>50000</v>
      </c>
      <c r="F21" s="163">
        <f>+E21*D21</f>
        <v>100000</v>
      </c>
      <c r="G21" s="134"/>
      <c r="H21" s="186">
        <f>F21/10</f>
        <v>10000</v>
      </c>
      <c r="I21" s="193">
        <f>H21</f>
        <v>10000</v>
      </c>
      <c r="J21" s="194">
        <f>I21</f>
        <v>10000</v>
      </c>
      <c r="K21" s="194">
        <f t="shared" ref="K21:R21" si="24">J21</f>
        <v>10000</v>
      </c>
      <c r="L21" s="194">
        <f t="shared" si="24"/>
        <v>10000</v>
      </c>
      <c r="M21" s="194">
        <f t="shared" si="24"/>
        <v>10000</v>
      </c>
      <c r="N21" s="194">
        <f t="shared" si="24"/>
        <v>10000</v>
      </c>
      <c r="O21" s="194">
        <f t="shared" si="24"/>
        <v>10000</v>
      </c>
      <c r="P21" s="194">
        <f t="shared" si="24"/>
        <v>10000</v>
      </c>
      <c r="Q21" s="194">
        <f t="shared" si="24"/>
        <v>10000</v>
      </c>
      <c r="R21" s="195">
        <f t="shared" si="24"/>
        <v>10000</v>
      </c>
    </row>
    <row r="22" spans="1:18">
      <c r="A22" s="134"/>
      <c r="B22" s="162" t="s">
        <v>288</v>
      </c>
      <c r="C22" s="144" t="s">
        <v>879</v>
      </c>
      <c r="D22" s="138">
        <v>1</v>
      </c>
      <c r="E22" s="148">
        <v>35000</v>
      </c>
      <c r="F22" s="163">
        <f>+E22*D22</f>
        <v>35000</v>
      </c>
      <c r="G22" s="134"/>
      <c r="H22" s="187">
        <f>F22/10</f>
        <v>3500</v>
      </c>
      <c r="I22" s="196">
        <f t="shared" ref="I22:J22" si="25">H22</f>
        <v>3500</v>
      </c>
      <c r="J22" s="197">
        <f t="shared" si="25"/>
        <v>3500</v>
      </c>
      <c r="K22" s="197">
        <f t="shared" ref="K22:R22" si="26">J22</f>
        <v>3500</v>
      </c>
      <c r="L22" s="197">
        <f t="shared" si="26"/>
        <v>3500</v>
      </c>
      <c r="M22" s="197">
        <f t="shared" si="26"/>
        <v>3500</v>
      </c>
      <c r="N22" s="197">
        <f t="shared" si="26"/>
        <v>3500</v>
      </c>
      <c r="O22" s="197">
        <f t="shared" si="26"/>
        <v>3500</v>
      </c>
      <c r="P22" s="197">
        <f t="shared" si="26"/>
        <v>3500</v>
      </c>
      <c r="Q22" s="197">
        <f t="shared" si="26"/>
        <v>3500</v>
      </c>
      <c r="R22" s="198">
        <f t="shared" si="26"/>
        <v>3500</v>
      </c>
    </row>
    <row r="23" spans="1:18">
      <c r="A23" s="134"/>
      <c r="B23" s="164" t="s">
        <v>287</v>
      </c>
      <c r="C23" s="743" t="s">
        <v>880</v>
      </c>
      <c r="D23" s="140">
        <v>2</v>
      </c>
      <c r="E23" s="149">
        <v>20000</v>
      </c>
      <c r="F23" s="165">
        <f>+E23*D23</f>
        <v>40000</v>
      </c>
      <c r="G23" s="134"/>
      <c r="H23" s="187">
        <f>F23/10</f>
        <v>4000</v>
      </c>
      <c r="I23" s="199">
        <f t="shared" ref="I23:J23" si="27">H23</f>
        <v>4000</v>
      </c>
      <c r="J23" s="200">
        <f t="shared" si="27"/>
        <v>4000</v>
      </c>
      <c r="K23" s="200">
        <f t="shared" ref="K23:R23" si="28">J23</f>
        <v>4000</v>
      </c>
      <c r="L23" s="200">
        <f t="shared" si="28"/>
        <v>4000</v>
      </c>
      <c r="M23" s="200">
        <f t="shared" si="28"/>
        <v>4000</v>
      </c>
      <c r="N23" s="200">
        <f t="shared" si="28"/>
        <v>4000</v>
      </c>
      <c r="O23" s="200">
        <f t="shared" si="28"/>
        <v>4000</v>
      </c>
      <c r="P23" s="200">
        <f t="shared" si="28"/>
        <v>4000</v>
      </c>
      <c r="Q23" s="200">
        <f t="shared" si="28"/>
        <v>4000</v>
      </c>
      <c r="R23" s="201">
        <f t="shared" si="28"/>
        <v>4000</v>
      </c>
    </row>
    <row r="24" spans="1:18" ht="13.5" thickBot="1">
      <c r="A24" s="134"/>
      <c r="B24" s="166" t="s">
        <v>26</v>
      </c>
      <c r="C24" s="744"/>
      <c r="D24" s="167"/>
      <c r="E24" s="168"/>
      <c r="F24" s="169">
        <f>SUM(F19:F23)</f>
        <v>175000</v>
      </c>
      <c r="G24" s="134"/>
      <c r="H24" s="188">
        <f>SUM(H21:H23)</f>
        <v>17500</v>
      </c>
      <c r="I24" s="188">
        <f t="shared" ref="I24:J24" si="29">SUM(I21:I23)</f>
        <v>17500</v>
      </c>
      <c r="J24" s="188">
        <f t="shared" si="29"/>
        <v>17500</v>
      </c>
      <c r="K24" s="188">
        <f t="shared" ref="K24" si="30">SUM(K21:K23)</f>
        <v>17500</v>
      </c>
      <c r="L24" s="188">
        <f t="shared" ref="L24" si="31">SUM(L21:L23)</f>
        <v>17500</v>
      </c>
      <c r="M24" s="188">
        <f t="shared" ref="M24" si="32">SUM(M21:M23)</f>
        <v>17500</v>
      </c>
      <c r="N24" s="188">
        <f t="shared" ref="N24" si="33">SUM(N21:N23)</f>
        <v>17500</v>
      </c>
      <c r="O24" s="188">
        <f t="shared" ref="O24" si="34">SUM(O21:O23)</f>
        <v>17500</v>
      </c>
      <c r="P24" s="188">
        <f t="shared" ref="P24" si="35">SUM(P21:P23)</f>
        <v>17500</v>
      </c>
      <c r="Q24" s="188">
        <f t="shared" ref="Q24" si="36">SUM(Q21:Q23)</f>
        <v>17500</v>
      </c>
      <c r="R24" s="188">
        <f t="shared" ref="R24" si="37">SUM(R21:R23)</f>
        <v>17500</v>
      </c>
    </row>
    <row r="25" spans="1:18" ht="13.5" thickBot="1">
      <c r="A25" s="134"/>
      <c r="G25" s="134"/>
    </row>
    <row r="26" spans="1:18">
      <c r="A26" s="161">
        <v>3</v>
      </c>
      <c r="B26" s="173" t="s">
        <v>319</v>
      </c>
      <c r="C26" s="745" t="s">
        <v>881</v>
      </c>
      <c r="D26" s="153" t="s">
        <v>318</v>
      </c>
      <c r="E26" s="153" t="s">
        <v>29</v>
      </c>
      <c r="F26" s="154" t="s">
        <v>26</v>
      </c>
      <c r="G26" s="134"/>
      <c r="H26" s="185" t="s">
        <v>70</v>
      </c>
      <c r="I26" s="192">
        <v>1</v>
      </c>
      <c r="J26" s="192">
        <v>2</v>
      </c>
      <c r="K26" s="192">
        <v>3</v>
      </c>
      <c r="L26" s="192">
        <v>4</v>
      </c>
      <c r="M26" s="192">
        <v>5</v>
      </c>
      <c r="N26" s="192">
        <v>6</v>
      </c>
      <c r="O26" s="192">
        <v>7</v>
      </c>
      <c r="P26" s="192">
        <v>8</v>
      </c>
      <c r="Q26" s="192">
        <v>9</v>
      </c>
      <c r="R26" s="192">
        <v>10</v>
      </c>
    </row>
    <row r="27" spans="1:18">
      <c r="A27" s="134"/>
      <c r="B27" s="174" t="s">
        <v>324</v>
      </c>
      <c r="C27" s="746" t="s">
        <v>882</v>
      </c>
      <c r="D27" s="142">
        <v>1</v>
      </c>
      <c r="E27" s="148">
        <v>300000</v>
      </c>
      <c r="F27" s="163">
        <f>E27*D27</f>
        <v>300000</v>
      </c>
      <c r="G27" s="134"/>
      <c r="H27" s="186">
        <f>F27/10</f>
        <v>30000</v>
      </c>
      <c r="I27" s="193">
        <f t="shared" ref="I27:J30" si="38">H27</f>
        <v>30000</v>
      </c>
      <c r="J27" s="194">
        <f t="shared" si="38"/>
        <v>30000</v>
      </c>
      <c r="K27" s="194">
        <f t="shared" ref="K27:R27" si="39">J27</f>
        <v>30000</v>
      </c>
      <c r="L27" s="194">
        <f t="shared" si="39"/>
        <v>30000</v>
      </c>
      <c r="M27" s="194">
        <f t="shared" si="39"/>
        <v>30000</v>
      </c>
      <c r="N27" s="194">
        <f t="shared" si="39"/>
        <v>30000</v>
      </c>
      <c r="O27" s="194">
        <f t="shared" si="39"/>
        <v>30000</v>
      </c>
      <c r="P27" s="194">
        <f t="shared" si="39"/>
        <v>30000</v>
      </c>
      <c r="Q27" s="194">
        <f t="shared" si="39"/>
        <v>30000</v>
      </c>
      <c r="R27" s="195">
        <f t="shared" si="39"/>
        <v>30000</v>
      </c>
    </row>
    <row r="28" spans="1:18">
      <c r="A28" s="134"/>
      <c r="B28" s="162" t="s">
        <v>167</v>
      </c>
      <c r="C28" s="144" t="s">
        <v>883</v>
      </c>
      <c r="D28" s="138">
        <v>1</v>
      </c>
      <c r="E28" s="148">
        <v>250000</v>
      </c>
      <c r="F28" s="163">
        <f>+E28*D28</f>
        <v>250000</v>
      </c>
      <c r="G28" s="134"/>
      <c r="H28" s="187">
        <f>F28/5</f>
        <v>50000</v>
      </c>
      <c r="I28" s="196">
        <f t="shared" si="38"/>
        <v>50000</v>
      </c>
      <c r="J28" s="197">
        <f t="shared" si="38"/>
        <v>50000</v>
      </c>
      <c r="K28" s="197">
        <f t="shared" ref="K28:M28" si="40">J28</f>
        <v>50000</v>
      </c>
      <c r="L28" s="197">
        <f t="shared" si="40"/>
        <v>50000</v>
      </c>
      <c r="M28" s="197">
        <f t="shared" si="40"/>
        <v>50000</v>
      </c>
      <c r="N28" s="197">
        <v>0</v>
      </c>
      <c r="O28" s="197">
        <v>0</v>
      </c>
      <c r="P28" s="197">
        <v>0</v>
      </c>
      <c r="Q28" s="197">
        <v>0</v>
      </c>
      <c r="R28" s="198">
        <v>0</v>
      </c>
    </row>
    <row r="29" spans="1:18">
      <c r="A29" s="134"/>
      <c r="B29" s="175" t="s">
        <v>310</v>
      </c>
      <c r="C29" s="747" t="s">
        <v>884</v>
      </c>
      <c r="D29" s="143">
        <v>1</v>
      </c>
      <c r="E29" s="150">
        <v>120000</v>
      </c>
      <c r="F29" s="163">
        <f>+E29*D29</f>
        <v>120000</v>
      </c>
      <c r="G29" s="134"/>
      <c r="H29" s="187">
        <v>0</v>
      </c>
      <c r="I29" s="196">
        <f t="shared" si="38"/>
        <v>0</v>
      </c>
      <c r="J29" s="197">
        <f t="shared" si="38"/>
        <v>0</v>
      </c>
      <c r="K29" s="197">
        <f t="shared" ref="K29:R29" si="41">J29</f>
        <v>0</v>
      </c>
      <c r="L29" s="197">
        <f t="shared" si="41"/>
        <v>0</v>
      </c>
      <c r="M29" s="197">
        <f t="shared" si="41"/>
        <v>0</v>
      </c>
      <c r="N29" s="197">
        <f t="shared" si="41"/>
        <v>0</v>
      </c>
      <c r="O29" s="197">
        <f t="shared" si="41"/>
        <v>0</v>
      </c>
      <c r="P29" s="197">
        <f t="shared" si="41"/>
        <v>0</v>
      </c>
      <c r="Q29" s="197">
        <f t="shared" si="41"/>
        <v>0</v>
      </c>
      <c r="R29" s="198">
        <f t="shared" si="41"/>
        <v>0</v>
      </c>
    </row>
    <row r="30" spans="1:18">
      <c r="A30" s="134"/>
      <c r="B30" s="175" t="s">
        <v>638</v>
      </c>
      <c r="C30" s="747" t="s">
        <v>885</v>
      </c>
      <c r="D30" s="143">
        <v>1</v>
      </c>
      <c r="E30" s="150">
        <v>350000</v>
      </c>
      <c r="F30" s="163">
        <f>+E30*D30</f>
        <v>350000</v>
      </c>
      <c r="G30" s="134"/>
      <c r="H30" s="187">
        <f>0</f>
        <v>0</v>
      </c>
      <c r="I30" s="196">
        <f t="shared" si="38"/>
        <v>0</v>
      </c>
      <c r="J30" s="197">
        <f t="shared" si="38"/>
        <v>0</v>
      </c>
      <c r="K30" s="197">
        <f t="shared" ref="K30:R30" si="42">J30</f>
        <v>0</v>
      </c>
      <c r="L30" s="197">
        <f t="shared" si="42"/>
        <v>0</v>
      </c>
      <c r="M30" s="197">
        <f t="shared" si="42"/>
        <v>0</v>
      </c>
      <c r="N30" s="197">
        <f t="shared" si="42"/>
        <v>0</v>
      </c>
      <c r="O30" s="197">
        <f t="shared" si="42"/>
        <v>0</v>
      </c>
      <c r="P30" s="197">
        <f t="shared" si="42"/>
        <v>0</v>
      </c>
      <c r="Q30" s="197">
        <f t="shared" si="42"/>
        <v>0</v>
      </c>
      <c r="R30" s="198">
        <f t="shared" si="42"/>
        <v>0</v>
      </c>
    </row>
    <row r="31" spans="1:18">
      <c r="A31" s="134"/>
      <c r="B31" s="175" t="s">
        <v>74</v>
      </c>
      <c r="C31" s="747" t="s">
        <v>886</v>
      </c>
      <c r="D31" s="143">
        <v>1</v>
      </c>
      <c r="E31" s="150">
        <v>225000</v>
      </c>
      <c r="F31" s="163">
        <f>E31*D31</f>
        <v>225000</v>
      </c>
      <c r="G31" s="134"/>
      <c r="H31" s="187">
        <f>0</f>
        <v>0</v>
      </c>
      <c r="I31" s="196">
        <f>H31</f>
        <v>0</v>
      </c>
      <c r="J31" s="197">
        <f t="shared" ref="J31:R33" si="43">I31</f>
        <v>0</v>
      </c>
      <c r="K31" s="197">
        <f t="shared" si="43"/>
        <v>0</v>
      </c>
      <c r="L31" s="197">
        <f t="shared" si="43"/>
        <v>0</v>
      </c>
      <c r="M31" s="197">
        <f t="shared" si="43"/>
        <v>0</v>
      </c>
      <c r="N31" s="197">
        <f t="shared" si="43"/>
        <v>0</v>
      </c>
      <c r="O31" s="197">
        <f t="shared" si="43"/>
        <v>0</v>
      </c>
      <c r="P31" s="197">
        <f t="shared" si="43"/>
        <v>0</v>
      </c>
      <c r="Q31" s="197">
        <f t="shared" si="43"/>
        <v>0</v>
      </c>
      <c r="R31" s="198">
        <f t="shared" si="43"/>
        <v>0</v>
      </c>
    </row>
    <row r="32" spans="1:18">
      <c r="A32" s="134"/>
      <c r="B32" s="175" t="s">
        <v>289</v>
      </c>
      <c r="C32" s="747" t="s">
        <v>878</v>
      </c>
      <c r="D32" s="143">
        <v>2</v>
      </c>
      <c r="E32" s="150">
        <v>50000</v>
      </c>
      <c r="F32" s="176">
        <f>+E32*D32</f>
        <v>100000</v>
      </c>
      <c r="G32" s="134"/>
      <c r="H32" s="187">
        <f>F32/3</f>
        <v>33333.333333333336</v>
      </c>
      <c r="I32" s="196">
        <f>H32</f>
        <v>33333.333333333336</v>
      </c>
      <c r="J32" s="197">
        <f t="shared" si="43"/>
        <v>33333.333333333336</v>
      </c>
      <c r="K32" s="197">
        <f t="shared" si="43"/>
        <v>33333.333333333336</v>
      </c>
      <c r="L32" s="197">
        <v>0</v>
      </c>
      <c r="M32" s="197">
        <v>0</v>
      </c>
      <c r="N32" s="197">
        <v>0</v>
      </c>
      <c r="O32" s="197">
        <v>0</v>
      </c>
      <c r="P32" s="197">
        <v>0</v>
      </c>
      <c r="Q32" s="197">
        <v>0</v>
      </c>
      <c r="R32" s="198">
        <v>0</v>
      </c>
    </row>
    <row r="33" spans="1:18">
      <c r="A33" s="134"/>
      <c r="B33" s="164" t="s">
        <v>290</v>
      </c>
      <c r="C33" s="743" t="s">
        <v>879</v>
      </c>
      <c r="D33" s="140">
        <v>2</v>
      </c>
      <c r="E33" s="149">
        <v>35000</v>
      </c>
      <c r="F33" s="165">
        <f>+E33*D33</f>
        <v>70000</v>
      </c>
      <c r="G33" s="134"/>
      <c r="H33" s="204">
        <f>F33/5</f>
        <v>14000</v>
      </c>
      <c r="I33" s="199">
        <f>H33</f>
        <v>14000</v>
      </c>
      <c r="J33" s="200">
        <f t="shared" si="43"/>
        <v>14000</v>
      </c>
      <c r="K33" s="200">
        <f t="shared" si="43"/>
        <v>14000</v>
      </c>
      <c r="L33" s="200">
        <f t="shared" si="43"/>
        <v>14000</v>
      </c>
      <c r="M33" s="200">
        <f t="shared" si="43"/>
        <v>14000</v>
      </c>
      <c r="N33" s="200">
        <v>0</v>
      </c>
      <c r="O33" s="200">
        <v>0</v>
      </c>
      <c r="P33" s="200">
        <v>0</v>
      </c>
      <c r="Q33" s="200">
        <v>0</v>
      </c>
      <c r="R33" s="201">
        <v>0</v>
      </c>
    </row>
    <row r="34" spans="1:18" ht="13.5" thickBot="1">
      <c r="A34" s="134"/>
      <c r="B34" s="166" t="s">
        <v>26</v>
      </c>
      <c r="C34" s="744"/>
      <c r="D34" s="167"/>
      <c r="E34" s="168"/>
      <c r="F34" s="169">
        <f>SUM(F27:F33)</f>
        <v>1415000</v>
      </c>
      <c r="G34" s="134"/>
      <c r="H34" s="205">
        <f t="shared" ref="H34:R34" si="44">SUM(H27:H33)</f>
        <v>127333.33333333334</v>
      </c>
      <c r="I34" s="189">
        <f t="shared" si="44"/>
        <v>127333.33333333334</v>
      </c>
      <c r="J34" s="189">
        <f t="shared" si="44"/>
        <v>127333.33333333334</v>
      </c>
      <c r="K34" s="189">
        <f t="shared" si="44"/>
        <v>127333.33333333334</v>
      </c>
      <c r="L34" s="189">
        <f t="shared" si="44"/>
        <v>94000</v>
      </c>
      <c r="M34" s="189">
        <f t="shared" si="44"/>
        <v>94000</v>
      </c>
      <c r="N34" s="189">
        <f t="shared" si="44"/>
        <v>30000</v>
      </c>
      <c r="O34" s="189">
        <f t="shared" si="44"/>
        <v>30000</v>
      </c>
      <c r="P34" s="189">
        <f t="shared" si="44"/>
        <v>30000</v>
      </c>
      <c r="Q34" s="189">
        <f t="shared" si="44"/>
        <v>30000</v>
      </c>
      <c r="R34" s="189">
        <f t="shared" si="44"/>
        <v>30000</v>
      </c>
    </row>
    <row r="35" spans="1:18" ht="13.5" thickBot="1">
      <c r="A35" s="135"/>
      <c r="B35" s="170"/>
      <c r="C35" s="170"/>
      <c r="D35" s="171"/>
      <c r="E35" s="171"/>
      <c r="F35" s="172"/>
      <c r="G35" s="134"/>
    </row>
    <row r="36" spans="1:18">
      <c r="A36" s="161">
        <v>4</v>
      </c>
      <c r="B36" s="554" t="s">
        <v>304</v>
      </c>
      <c r="C36" s="748" t="s">
        <v>887</v>
      </c>
      <c r="D36" s="555" t="s">
        <v>318</v>
      </c>
      <c r="E36" s="555" t="s">
        <v>29</v>
      </c>
      <c r="F36" s="556" t="s">
        <v>26</v>
      </c>
      <c r="G36" s="134"/>
      <c r="H36" s="185" t="s">
        <v>70</v>
      </c>
      <c r="I36" s="192">
        <v>1</v>
      </c>
      <c r="J36" s="192">
        <v>2</v>
      </c>
      <c r="K36" s="192">
        <v>3</v>
      </c>
      <c r="L36" s="192">
        <v>4</v>
      </c>
      <c r="M36" s="192">
        <v>5</v>
      </c>
      <c r="N36" s="192">
        <v>6</v>
      </c>
      <c r="O36" s="192">
        <v>7</v>
      </c>
      <c r="P36" s="192">
        <v>8</v>
      </c>
      <c r="Q36" s="192">
        <v>9</v>
      </c>
      <c r="R36" s="192">
        <v>10</v>
      </c>
    </row>
    <row r="37" spans="1:18">
      <c r="A37" s="134"/>
      <c r="B37" s="557" t="s">
        <v>502</v>
      </c>
      <c r="C37" s="749" t="s">
        <v>888</v>
      </c>
      <c r="D37" s="558">
        <v>10000</v>
      </c>
      <c r="E37" s="559">
        <v>22</v>
      </c>
      <c r="F37" s="560">
        <f t="shared" ref="F37:F47" si="45">D37*E37</f>
        <v>220000</v>
      </c>
      <c r="G37" s="134"/>
      <c r="H37" s="203">
        <v>0</v>
      </c>
      <c r="I37" s="193">
        <f>H37</f>
        <v>0</v>
      </c>
      <c r="J37" s="194">
        <f>I37</f>
        <v>0</v>
      </c>
      <c r="K37" s="194">
        <f t="shared" ref="K37:R37" si="46">J37</f>
        <v>0</v>
      </c>
      <c r="L37" s="194">
        <f t="shared" si="46"/>
        <v>0</v>
      </c>
      <c r="M37" s="194">
        <f t="shared" si="46"/>
        <v>0</v>
      </c>
      <c r="N37" s="194">
        <f t="shared" si="46"/>
        <v>0</v>
      </c>
      <c r="O37" s="194">
        <f t="shared" si="46"/>
        <v>0</v>
      </c>
      <c r="P37" s="194">
        <f t="shared" si="46"/>
        <v>0</v>
      </c>
      <c r="Q37" s="194">
        <f t="shared" si="46"/>
        <v>0</v>
      </c>
      <c r="R37" s="195">
        <f t="shared" si="46"/>
        <v>0</v>
      </c>
    </row>
    <row r="38" spans="1:18">
      <c r="A38" s="134"/>
      <c r="B38" s="557" t="s">
        <v>647</v>
      </c>
      <c r="C38" s="749" t="s">
        <v>910</v>
      </c>
      <c r="D38" s="558">
        <v>900</v>
      </c>
      <c r="E38" s="559">
        <v>400</v>
      </c>
      <c r="F38" s="560">
        <f t="shared" si="45"/>
        <v>360000</v>
      </c>
      <c r="G38" s="134"/>
      <c r="H38" s="187">
        <f>F38/25</f>
        <v>14400</v>
      </c>
      <c r="I38" s="196">
        <f>H38</f>
        <v>14400</v>
      </c>
      <c r="J38" s="197">
        <f t="shared" ref="J38:R45" si="47">I38</f>
        <v>14400</v>
      </c>
      <c r="K38" s="197">
        <f t="shared" si="47"/>
        <v>14400</v>
      </c>
      <c r="L38" s="197">
        <f t="shared" si="47"/>
        <v>14400</v>
      </c>
      <c r="M38" s="197">
        <f t="shared" si="47"/>
        <v>14400</v>
      </c>
      <c r="N38" s="197">
        <f t="shared" si="47"/>
        <v>14400</v>
      </c>
      <c r="O38" s="197">
        <f t="shared" si="47"/>
        <v>14400</v>
      </c>
      <c r="P38" s="197">
        <f t="shared" si="47"/>
        <v>14400</v>
      </c>
      <c r="Q38" s="197">
        <f t="shared" si="47"/>
        <v>14400</v>
      </c>
      <c r="R38" s="198">
        <f t="shared" si="47"/>
        <v>14400</v>
      </c>
    </row>
    <row r="39" spans="1:18">
      <c r="A39" s="134"/>
      <c r="B39" s="557" t="s">
        <v>648</v>
      </c>
      <c r="C39" s="749" t="s">
        <v>889</v>
      </c>
      <c r="D39" s="558">
        <v>1</v>
      </c>
      <c r="E39" s="559">
        <v>150000</v>
      </c>
      <c r="F39" s="560">
        <f t="shared" si="45"/>
        <v>150000</v>
      </c>
      <c r="G39" s="134"/>
      <c r="H39" s="187">
        <f>F39/10</f>
        <v>15000</v>
      </c>
      <c r="I39" s="196">
        <f>H39</f>
        <v>15000</v>
      </c>
      <c r="J39" s="197">
        <f>I39</f>
        <v>15000</v>
      </c>
      <c r="K39" s="197">
        <f t="shared" si="47"/>
        <v>15000</v>
      </c>
      <c r="L39" s="197">
        <f t="shared" si="47"/>
        <v>15000</v>
      </c>
      <c r="M39" s="197">
        <f t="shared" si="47"/>
        <v>15000</v>
      </c>
      <c r="N39" s="197">
        <f t="shared" si="47"/>
        <v>15000</v>
      </c>
      <c r="O39" s="197">
        <f t="shared" si="47"/>
        <v>15000</v>
      </c>
      <c r="P39" s="197">
        <f t="shared" si="47"/>
        <v>15000</v>
      </c>
      <c r="Q39" s="197">
        <f t="shared" si="47"/>
        <v>15000</v>
      </c>
      <c r="R39" s="197">
        <f t="shared" si="47"/>
        <v>15000</v>
      </c>
    </row>
    <row r="40" spans="1:18">
      <c r="A40" s="134"/>
      <c r="B40" s="557" t="s">
        <v>646</v>
      </c>
      <c r="C40" s="749" t="s">
        <v>911</v>
      </c>
      <c r="D40" s="558">
        <f>[10]Budget!$D7</f>
        <v>517</v>
      </c>
      <c r="E40" s="559">
        <v>450</v>
      </c>
      <c r="F40" s="560">
        <f t="shared" si="45"/>
        <v>232650</v>
      </c>
      <c r="G40" s="134"/>
      <c r="H40" s="187">
        <f>F40/30</f>
        <v>7755</v>
      </c>
      <c r="I40" s="196">
        <f>H40</f>
        <v>7755</v>
      </c>
      <c r="J40" s="197">
        <f t="shared" si="47"/>
        <v>7755</v>
      </c>
      <c r="K40" s="197">
        <f t="shared" si="47"/>
        <v>7755</v>
      </c>
      <c r="L40" s="197">
        <f t="shared" si="47"/>
        <v>7755</v>
      </c>
      <c r="M40" s="197">
        <f t="shared" si="47"/>
        <v>7755</v>
      </c>
      <c r="N40" s="197">
        <f t="shared" si="47"/>
        <v>7755</v>
      </c>
      <c r="O40" s="197">
        <f t="shared" si="47"/>
        <v>7755</v>
      </c>
      <c r="P40" s="197">
        <f t="shared" si="47"/>
        <v>7755</v>
      </c>
      <c r="Q40" s="197">
        <f t="shared" si="47"/>
        <v>7755</v>
      </c>
      <c r="R40" s="198">
        <f t="shared" si="47"/>
        <v>7755</v>
      </c>
    </row>
    <row r="41" spans="1:18">
      <c r="A41" s="134"/>
      <c r="B41" s="557" t="s">
        <v>33</v>
      </c>
      <c r="C41" s="749" t="s">
        <v>890</v>
      </c>
      <c r="D41" s="558">
        <v>5800</v>
      </c>
      <c r="E41" s="559">
        <v>15</v>
      </c>
      <c r="F41" s="560">
        <f>D41*E41</f>
        <v>87000</v>
      </c>
      <c r="G41" s="134"/>
      <c r="H41" s="187">
        <f>F41/25</f>
        <v>3480</v>
      </c>
      <c r="I41" s="196">
        <f t="shared" ref="I41:I45" si="48">H41</f>
        <v>3480</v>
      </c>
      <c r="J41" s="197">
        <f t="shared" si="47"/>
        <v>3480</v>
      </c>
      <c r="K41" s="197">
        <f t="shared" si="47"/>
        <v>3480</v>
      </c>
      <c r="L41" s="197">
        <f t="shared" si="47"/>
        <v>3480</v>
      </c>
      <c r="M41" s="197">
        <f t="shared" si="47"/>
        <v>3480</v>
      </c>
      <c r="N41" s="197">
        <f t="shared" si="47"/>
        <v>3480</v>
      </c>
      <c r="O41" s="197">
        <f t="shared" si="47"/>
        <v>3480</v>
      </c>
      <c r="P41" s="197">
        <f t="shared" si="47"/>
        <v>3480</v>
      </c>
      <c r="Q41" s="197">
        <f t="shared" si="47"/>
        <v>3480</v>
      </c>
      <c r="R41" s="198">
        <f t="shared" si="47"/>
        <v>3480</v>
      </c>
    </row>
    <row r="42" spans="1:18">
      <c r="A42" s="134"/>
      <c r="B42" s="557" t="s">
        <v>527</v>
      </c>
      <c r="C42" s="749" t="s">
        <v>891</v>
      </c>
      <c r="D42" s="558">
        <v>1600</v>
      </c>
      <c r="E42" s="559">
        <v>100</v>
      </c>
      <c r="F42" s="560">
        <f t="shared" si="45"/>
        <v>160000</v>
      </c>
      <c r="G42" s="134"/>
      <c r="H42" s="187">
        <f>F42/25</f>
        <v>6400</v>
      </c>
      <c r="I42" s="196">
        <f t="shared" si="48"/>
        <v>6400</v>
      </c>
      <c r="J42" s="197">
        <f t="shared" si="47"/>
        <v>6400</v>
      </c>
      <c r="K42" s="197">
        <f t="shared" si="47"/>
        <v>6400</v>
      </c>
      <c r="L42" s="197">
        <f t="shared" si="47"/>
        <v>6400</v>
      </c>
      <c r="M42" s="197">
        <f t="shared" si="47"/>
        <v>6400</v>
      </c>
      <c r="N42" s="197">
        <f t="shared" si="47"/>
        <v>6400</v>
      </c>
      <c r="O42" s="197">
        <f t="shared" si="47"/>
        <v>6400</v>
      </c>
      <c r="P42" s="197">
        <f t="shared" si="47"/>
        <v>6400</v>
      </c>
      <c r="Q42" s="197">
        <f t="shared" si="47"/>
        <v>6400</v>
      </c>
      <c r="R42" s="198">
        <f t="shared" si="47"/>
        <v>6400</v>
      </c>
    </row>
    <row r="43" spans="1:18">
      <c r="A43" s="134"/>
      <c r="B43" s="557" t="s">
        <v>30</v>
      </c>
      <c r="C43" s="749" t="s">
        <v>892</v>
      </c>
      <c r="D43" s="558">
        <v>300</v>
      </c>
      <c r="E43" s="559">
        <v>1000</v>
      </c>
      <c r="F43" s="560">
        <f t="shared" si="45"/>
        <v>300000</v>
      </c>
      <c r="G43" s="134"/>
      <c r="H43" s="187">
        <f>F43/25</f>
        <v>12000</v>
      </c>
      <c r="I43" s="196">
        <f t="shared" si="48"/>
        <v>12000</v>
      </c>
      <c r="J43" s="197">
        <f t="shared" si="47"/>
        <v>12000</v>
      </c>
      <c r="K43" s="197">
        <f t="shared" si="47"/>
        <v>12000</v>
      </c>
      <c r="L43" s="197">
        <f t="shared" si="47"/>
        <v>12000</v>
      </c>
      <c r="M43" s="197">
        <f t="shared" si="47"/>
        <v>12000</v>
      </c>
      <c r="N43" s="197">
        <f t="shared" si="47"/>
        <v>12000</v>
      </c>
      <c r="O43" s="197">
        <f t="shared" si="47"/>
        <v>12000</v>
      </c>
      <c r="P43" s="197">
        <f t="shared" si="47"/>
        <v>12000</v>
      </c>
      <c r="Q43" s="197">
        <f t="shared" si="47"/>
        <v>12000</v>
      </c>
      <c r="R43" s="198">
        <f t="shared" si="47"/>
        <v>12000</v>
      </c>
    </row>
    <row r="44" spans="1:18">
      <c r="A44" s="134"/>
      <c r="B44" s="557" t="s">
        <v>528</v>
      </c>
      <c r="C44" s="749" t="s">
        <v>893</v>
      </c>
      <c r="D44" s="558">
        <v>300</v>
      </c>
      <c r="E44" s="559">
        <v>800</v>
      </c>
      <c r="F44" s="560">
        <f t="shared" si="45"/>
        <v>240000</v>
      </c>
      <c r="G44" s="134"/>
      <c r="H44" s="187">
        <f>F44/10</f>
        <v>24000</v>
      </c>
      <c r="I44" s="196">
        <f t="shared" si="48"/>
        <v>24000</v>
      </c>
      <c r="J44" s="197">
        <f t="shared" si="47"/>
        <v>24000</v>
      </c>
      <c r="K44" s="197">
        <f t="shared" si="47"/>
        <v>24000</v>
      </c>
      <c r="L44" s="197">
        <f t="shared" si="47"/>
        <v>24000</v>
      </c>
      <c r="M44" s="197">
        <f t="shared" si="47"/>
        <v>24000</v>
      </c>
      <c r="N44" s="197">
        <f t="shared" si="47"/>
        <v>24000</v>
      </c>
      <c r="O44" s="197">
        <f t="shared" si="47"/>
        <v>24000</v>
      </c>
      <c r="P44" s="197">
        <f t="shared" si="47"/>
        <v>24000</v>
      </c>
      <c r="Q44" s="197">
        <f t="shared" si="47"/>
        <v>24000</v>
      </c>
      <c r="R44" s="198">
        <f t="shared" si="47"/>
        <v>24000</v>
      </c>
    </row>
    <row r="45" spans="1:18">
      <c r="A45" s="134"/>
      <c r="B45" s="557" t="s">
        <v>32</v>
      </c>
      <c r="C45" s="749" t="s">
        <v>912</v>
      </c>
      <c r="D45" s="558">
        <f>[10]Budget!$D12</f>
        <v>1</v>
      </c>
      <c r="E45" s="559">
        <v>50000</v>
      </c>
      <c r="F45" s="560">
        <f t="shared" si="45"/>
        <v>50000</v>
      </c>
      <c r="G45" s="134"/>
      <c r="H45" s="187">
        <f>F45/10</f>
        <v>5000</v>
      </c>
      <c r="I45" s="196">
        <f t="shared" si="48"/>
        <v>5000</v>
      </c>
      <c r="J45" s="197">
        <f t="shared" si="47"/>
        <v>5000</v>
      </c>
      <c r="K45" s="197">
        <f t="shared" si="47"/>
        <v>5000</v>
      </c>
      <c r="L45" s="197">
        <f t="shared" si="47"/>
        <v>5000</v>
      </c>
      <c r="M45" s="197">
        <f t="shared" si="47"/>
        <v>5000</v>
      </c>
      <c r="N45" s="197">
        <f t="shared" si="47"/>
        <v>5000</v>
      </c>
      <c r="O45" s="197">
        <f t="shared" si="47"/>
        <v>5000</v>
      </c>
      <c r="P45" s="197">
        <f t="shared" si="47"/>
        <v>5000</v>
      </c>
      <c r="Q45" s="197">
        <f t="shared" si="47"/>
        <v>5000</v>
      </c>
      <c r="R45" s="198">
        <f t="shared" si="47"/>
        <v>5000</v>
      </c>
    </row>
    <row r="46" spans="1:18">
      <c r="A46" s="134"/>
      <c r="B46" s="557" t="s">
        <v>325</v>
      </c>
      <c r="C46" s="749" t="s">
        <v>894</v>
      </c>
      <c r="D46" s="558">
        <f>[10]Budget!$D13</f>
        <v>1</v>
      </c>
      <c r="E46" s="559">
        <v>50000</v>
      </c>
      <c r="F46" s="560">
        <f t="shared" si="45"/>
        <v>50000</v>
      </c>
      <c r="G46" s="134"/>
      <c r="H46" s="187">
        <f t="shared" ref="H46:H47" si="49">F46/10</f>
        <v>5000</v>
      </c>
      <c r="I46" s="196">
        <f t="shared" ref="I46:I47" si="50">H46</f>
        <v>5000</v>
      </c>
      <c r="J46" s="197">
        <f t="shared" ref="J46:J47" si="51">I46</f>
        <v>5000</v>
      </c>
      <c r="K46" s="197">
        <f t="shared" ref="K46:K47" si="52">J46</f>
        <v>5000</v>
      </c>
      <c r="L46" s="197">
        <f t="shared" ref="L46:L47" si="53">K46</f>
        <v>5000</v>
      </c>
      <c r="M46" s="197">
        <f t="shared" ref="M46:M47" si="54">L46</f>
        <v>5000</v>
      </c>
      <c r="N46" s="197">
        <f t="shared" ref="N46:N47" si="55">M46</f>
        <v>5000</v>
      </c>
      <c r="O46" s="197">
        <f t="shared" ref="O46:O47" si="56">N46</f>
        <v>5000</v>
      </c>
      <c r="P46" s="197">
        <f t="shared" ref="P46:P47" si="57">O46</f>
        <v>5000</v>
      </c>
      <c r="Q46" s="197">
        <f t="shared" ref="Q46:Q47" si="58">P46</f>
        <v>5000</v>
      </c>
      <c r="R46" s="198">
        <f t="shared" ref="R46:R47" si="59">Q46</f>
        <v>5000</v>
      </c>
    </row>
    <row r="47" spans="1:18" ht="13.5" thickBot="1">
      <c r="A47" s="134"/>
      <c r="B47" s="561" t="s">
        <v>31</v>
      </c>
      <c r="C47" s="750" t="s">
        <v>895</v>
      </c>
      <c r="D47" s="590">
        <v>1120</v>
      </c>
      <c r="E47" s="562">
        <v>100</v>
      </c>
      <c r="F47" s="563">
        <f t="shared" si="45"/>
        <v>112000</v>
      </c>
      <c r="G47" s="134"/>
      <c r="H47" s="568">
        <f t="shared" si="49"/>
        <v>11200</v>
      </c>
      <c r="I47" s="569">
        <f t="shared" si="50"/>
        <v>11200</v>
      </c>
      <c r="J47" s="570">
        <f t="shared" si="51"/>
        <v>11200</v>
      </c>
      <c r="K47" s="570">
        <f t="shared" si="52"/>
        <v>11200</v>
      </c>
      <c r="L47" s="570">
        <f t="shared" si="53"/>
        <v>11200</v>
      </c>
      <c r="M47" s="570">
        <f t="shared" si="54"/>
        <v>11200</v>
      </c>
      <c r="N47" s="570">
        <f t="shared" si="55"/>
        <v>11200</v>
      </c>
      <c r="O47" s="570">
        <f t="shared" si="56"/>
        <v>11200</v>
      </c>
      <c r="P47" s="570">
        <f t="shared" si="57"/>
        <v>11200</v>
      </c>
      <c r="Q47" s="570">
        <f t="shared" si="58"/>
        <v>11200</v>
      </c>
      <c r="R47" s="571">
        <f t="shared" si="59"/>
        <v>11200</v>
      </c>
    </row>
    <row r="48" spans="1:18">
      <c r="A48" s="134"/>
      <c r="B48" s="564" t="s">
        <v>26</v>
      </c>
      <c r="C48" s="751"/>
      <c r="D48" s="565"/>
      <c r="E48" s="566"/>
      <c r="F48" s="567">
        <v>1916307.142857143</v>
      </c>
      <c r="G48" s="134"/>
      <c r="H48" s="205">
        <f>SUM(H38:H47)</f>
        <v>104235</v>
      </c>
      <c r="I48" s="205">
        <f t="shared" ref="I48:R48" si="60">SUM(I38:I47)</f>
        <v>104235</v>
      </c>
      <c r="J48" s="205">
        <f t="shared" si="60"/>
        <v>104235</v>
      </c>
      <c r="K48" s="205">
        <f t="shared" si="60"/>
        <v>104235</v>
      </c>
      <c r="L48" s="205">
        <f t="shared" si="60"/>
        <v>104235</v>
      </c>
      <c r="M48" s="205">
        <f t="shared" si="60"/>
        <v>104235</v>
      </c>
      <c r="N48" s="205">
        <f t="shared" si="60"/>
        <v>104235</v>
      </c>
      <c r="O48" s="205">
        <f t="shared" si="60"/>
        <v>104235</v>
      </c>
      <c r="P48" s="205">
        <f t="shared" si="60"/>
        <v>104235</v>
      </c>
      <c r="Q48" s="205">
        <f t="shared" si="60"/>
        <v>104235</v>
      </c>
      <c r="R48" s="205">
        <f t="shared" si="60"/>
        <v>104235</v>
      </c>
    </row>
    <row r="49" spans="1:18" ht="13.5" thickBot="1">
      <c r="B49" s="141"/>
      <c r="C49" s="141"/>
      <c r="G49" s="206"/>
      <c r="H49" s="236"/>
      <c r="I49" s="553"/>
      <c r="J49" s="553"/>
      <c r="K49" s="553"/>
      <c r="L49" s="553"/>
      <c r="M49" s="553"/>
      <c r="N49" s="553"/>
      <c r="O49" s="553"/>
      <c r="P49" s="553"/>
      <c r="Q49" s="553"/>
      <c r="R49" s="553"/>
    </row>
    <row r="50" spans="1:18">
      <c r="A50" s="161">
        <v>5</v>
      </c>
      <c r="B50" s="177" t="s">
        <v>34</v>
      </c>
      <c r="C50" s="745" t="s">
        <v>896</v>
      </c>
      <c r="D50" s="153" t="s">
        <v>318</v>
      </c>
      <c r="E50" s="153" t="s">
        <v>29</v>
      </c>
      <c r="F50" s="154" t="s">
        <v>26</v>
      </c>
      <c r="G50" s="207"/>
      <c r="H50" s="185" t="s">
        <v>320</v>
      </c>
      <c r="I50" s="192">
        <v>1</v>
      </c>
      <c r="J50" s="192">
        <v>2</v>
      </c>
      <c r="K50" s="192">
        <v>3</v>
      </c>
      <c r="L50" s="192">
        <v>4</v>
      </c>
      <c r="M50" s="192">
        <v>5</v>
      </c>
      <c r="N50" s="192">
        <v>6</v>
      </c>
      <c r="O50" s="192">
        <v>7</v>
      </c>
      <c r="P50" s="192">
        <v>8</v>
      </c>
      <c r="Q50" s="192">
        <v>9</v>
      </c>
      <c r="R50" s="192">
        <v>10</v>
      </c>
    </row>
    <row r="51" spans="1:18">
      <c r="A51" s="134"/>
      <c r="B51" s="209" t="s">
        <v>295</v>
      </c>
      <c r="C51" s="752" t="s">
        <v>897</v>
      </c>
      <c r="D51" s="144"/>
      <c r="E51" s="144"/>
      <c r="F51" s="178">
        <v>120000</v>
      </c>
      <c r="G51" s="207"/>
      <c r="H51" s="190">
        <f t="shared" ref="H51:H55" si="61">F51/3</f>
        <v>40000</v>
      </c>
      <c r="I51" s="193">
        <f t="shared" ref="I51:K56" si="62">H51</f>
        <v>40000</v>
      </c>
      <c r="J51" s="194">
        <f t="shared" si="62"/>
        <v>40000</v>
      </c>
      <c r="K51" s="194">
        <f t="shared" si="62"/>
        <v>40000</v>
      </c>
      <c r="L51" s="194">
        <v>0</v>
      </c>
      <c r="M51" s="194">
        <v>0</v>
      </c>
      <c r="N51" s="194">
        <v>0</v>
      </c>
      <c r="O51" s="194">
        <v>0</v>
      </c>
      <c r="P51" s="194">
        <v>0</v>
      </c>
      <c r="Q51" s="194">
        <v>0</v>
      </c>
      <c r="R51" s="195">
        <v>0</v>
      </c>
    </row>
    <row r="52" spans="1:18">
      <c r="A52" s="134"/>
      <c r="B52" s="210" t="s">
        <v>293</v>
      </c>
      <c r="C52" s="753" t="s">
        <v>898</v>
      </c>
      <c r="D52" s="144"/>
      <c r="E52" s="144"/>
      <c r="F52" s="179">
        <f>F48*0.08</f>
        <v>153304.57142857145</v>
      </c>
      <c r="G52" s="207"/>
      <c r="H52" s="191">
        <f t="shared" si="61"/>
        <v>51101.523809523816</v>
      </c>
      <c r="I52" s="196">
        <f t="shared" si="62"/>
        <v>51101.523809523816</v>
      </c>
      <c r="J52" s="197">
        <f t="shared" si="62"/>
        <v>51101.523809523816</v>
      </c>
      <c r="K52" s="197">
        <f t="shared" si="62"/>
        <v>51101.523809523816</v>
      </c>
      <c r="L52" s="197">
        <v>0</v>
      </c>
      <c r="M52" s="197">
        <v>0</v>
      </c>
      <c r="N52" s="197">
        <v>0</v>
      </c>
      <c r="O52" s="197">
        <v>0</v>
      </c>
      <c r="P52" s="197">
        <v>0</v>
      </c>
      <c r="Q52" s="197">
        <v>0</v>
      </c>
      <c r="R52" s="198">
        <v>0</v>
      </c>
    </row>
    <row r="53" spans="1:18">
      <c r="A53" s="134"/>
      <c r="B53" s="180" t="s">
        <v>292</v>
      </c>
      <c r="C53" s="207" t="s">
        <v>899</v>
      </c>
      <c r="D53" s="144"/>
      <c r="E53" s="144"/>
      <c r="F53" s="179">
        <v>40000</v>
      </c>
      <c r="G53" s="207"/>
      <c r="H53" s="191">
        <v>0</v>
      </c>
      <c r="I53" s="196">
        <f t="shared" si="62"/>
        <v>0</v>
      </c>
      <c r="J53" s="197">
        <f t="shared" si="62"/>
        <v>0</v>
      </c>
      <c r="K53" s="197">
        <f t="shared" si="62"/>
        <v>0</v>
      </c>
      <c r="L53" s="197">
        <v>0</v>
      </c>
      <c r="M53" s="197">
        <v>0</v>
      </c>
      <c r="N53" s="197">
        <v>0</v>
      </c>
      <c r="O53" s="197">
        <v>0</v>
      </c>
      <c r="P53" s="197">
        <v>0</v>
      </c>
      <c r="Q53" s="197">
        <v>0</v>
      </c>
      <c r="R53" s="198">
        <v>0</v>
      </c>
    </row>
    <row r="54" spans="1:18">
      <c r="A54" s="134"/>
      <c r="B54" s="162" t="s">
        <v>297</v>
      </c>
      <c r="C54" s="144" t="s">
        <v>900</v>
      </c>
      <c r="D54" s="144"/>
      <c r="E54" s="144"/>
      <c r="F54" s="179">
        <v>30000</v>
      </c>
      <c r="G54" s="207"/>
      <c r="H54" s="191">
        <f t="shared" si="61"/>
        <v>10000</v>
      </c>
      <c r="I54" s="196">
        <f t="shared" si="62"/>
        <v>10000</v>
      </c>
      <c r="J54" s="197">
        <f t="shared" si="62"/>
        <v>10000</v>
      </c>
      <c r="K54" s="197">
        <f t="shared" si="62"/>
        <v>10000</v>
      </c>
      <c r="L54" s="197">
        <v>0</v>
      </c>
      <c r="M54" s="197">
        <v>0</v>
      </c>
      <c r="N54" s="197">
        <v>0</v>
      </c>
      <c r="O54" s="197">
        <v>0</v>
      </c>
      <c r="P54" s="197">
        <v>0</v>
      </c>
      <c r="Q54" s="197">
        <v>0</v>
      </c>
      <c r="R54" s="198">
        <v>0</v>
      </c>
    </row>
    <row r="55" spans="1:18">
      <c r="A55" s="134"/>
      <c r="B55" s="162" t="s">
        <v>296</v>
      </c>
      <c r="C55" s="144" t="s">
        <v>901</v>
      </c>
      <c r="D55" s="144"/>
      <c r="E55" s="144"/>
      <c r="F55" s="179">
        <v>25000</v>
      </c>
      <c r="G55" s="207"/>
      <c r="H55" s="191">
        <f t="shared" si="61"/>
        <v>8333.3333333333339</v>
      </c>
      <c r="I55" s="196">
        <f t="shared" si="62"/>
        <v>8333.3333333333339</v>
      </c>
      <c r="J55" s="197">
        <f t="shared" si="62"/>
        <v>8333.3333333333339</v>
      </c>
      <c r="K55" s="197">
        <f t="shared" si="62"/>
        <v>8333.3333333333339</v>
      </c>
      <c r="L55" s="197">
        <v>0</v>
      </c>
      <c r="M55" s="197">
        <v>0</v>
      </c>
      <c r="N55" s="197">
        <v>0</v>
      </c>
      <c r="O55" s="197">
        <v>0</v>
      </c>
      <c r="P55" s="197">
        <v>0</v>
      </c>
      <c r="Q55" s="197">
        <v>0</v>
      </c>
      <c r="R55" s="198">
        <v>0</v>
      </c>
    </row>
    <row r="56" spans="1:18">
      <c r="A56" s="134"/>
      <c r="B56" s="162" t="s">
        <v>294</v>
      </c>
      <c r="C56" s="144" t="s">
        <v>902</v>
      </c>
      <c r="D56" s="144"/>
      <c r="E56" s="144"/>
      <c r="F56" s="179">
        <v>20000</v>
      </c>
      <c r="G56" s="207"/>
      <c r="H56" s="191">
        <v>0</v>
      </c>
      <c r="I56" s="196">
        <f t="shared" si="62"/>
        <v>0</v>
      </c>
      <c r="J56" s="197">
        <f t="shared" si="62"/>
        <v>0</v>
      </c>
      <c r="K56" s="197">
        <f t="shared" si="62"/>
        <v>0</v>
      </c>
      <c r="L56" s="197">
        <v>0</v>
      </c>
      <c r="M56" s="197">
        <v>0</v>
      </c>
      <c r="N56" s="197">
        <v>0</v>
      </c>
      <c r="O56" s="197">
        <v>0</v>
      </c>
      <c r="P56" s="197">
        <v>0</v>
      </c>
      <c r="Q56" s="197">
        <v>0</v>
      </c>
      <c r="R56" s="198">
        <v>0</v>
      </c>
    </row>
    <row r="57" spans="1:18">
      <c r="A57" s="134"/>
      <c r="B57" s="162" t="s">
        <v>298</v>
      </c>
      <c r="C57" s="144" t="s">
        <v>903</v>
      </c>
      <c r="D57" s="144"/>
      <c r="E57" s="144"/>
      <c r="F57" s="179">
        <v>15000</v>
      </c>
      <c r="G57" s="207"/>
      <c r="H57" s="191">
        <v>0</v>
      </c>
      <c r="I57" s="196">
        <f t="shared" ref="I57:K57" si="63">H57</f>
        <v>0</v>
      </c>
      <c r="J57" s="197">
        <f t="shared" si="63"/>
        <v>0</v>
      </c>
      <c r="K57" s="197">
        <f t="shared" si="63"/>
        <v>0</v>
      </c>
      <c r="L57" s="197">
        <v>0</v>
      </c>
      <c r="M57" s="197">
        <v>0</v>
      </c>
      <c r="N57" s="197">
        <v>0</v>
      </c>
      <c r="O57" s="197">
        <v>0</v>
      </c>
      <c r="P57" s="197">
        <v>0</v>
      </c>
      <c r="Q57" s="197">
        <v>0</v>
      </c>
      <c r="R57" s="198">
        <v>0</v>
      </c>
    </row>
    <row r="58" spans="1:18" ht="13.5" thickBot="1">
      <c r="A58" s="134"/>
      <c r="B58" s="162" t="s">
        <v>291</v>
      </c>
      <c r="C58" s="144" t="s">
        <v>904</v>
      </c>
      <c r="D58" s="144"/>
      <c r="E58" s="144"/>
      <c r="F58" s="179">
        <v>10000</v>
      </c>
      <c r="G58" s="207"/>
      <c r="H58" s="191">
        <v>0</v>
      </c>
      <c r="I58" s="199">
        <f t="shared" ref="I58:K58" si="64">H58</f>
        <v>0</v>
      </c>
      <c r="J58" s="200">
        <f t="shared" si="64"/>
        <v>0</v>
      </c>
      <c r="K58" s="200">
        <f t="shared" si="64"/>
        <v>0</v>
      </c>
      <c r="L58" s="200">
        <v>0</v>
      </c>
      <c r="M58" s="200">
        <v>0</v>
      </c>
      <c r="N58" s="200">
        <v>0</v>
      </c>
      <c r="O58" s="200">
        <v>0</v>
      </c>
      <c r="P58" s="200">
        <v>0</v>
      </c>
      <c r="Q58" s="200">
        <v>0</v>
      </c>
      <c r="R58" s="201">
        <v>0</v>
      </c>
    </row>
    <row r="59" spans="1:18" ht="13.5" thickBot="1">
      <c r="A59" s="134"/>
      <c r="B59" s="181" t="s">
        <v>26</v>
      </c>
      <c r="C59" s="182"/>
      <c r="D59" s="182"/>
      <c r="E59" s="182"/>
      <c r="F59" s="183">
        <f>SUM(F51:F58)</f>
        <v>413304.57142857148</v>
      </c>
      <c r="G59" s="134"/>
      <c r="H59" s="188">
        <f t="shared" ref="H59:R59" si="65">SUM(H51:H58)</f>
        <v>109434.85714285714</v>
      </c>
      <c r="I59" s="189">
        <f t="shared" si="65"/>
        <v>109434.85714285714</v>
      </c>
      <c r="J59" s="189">
        <f t="shared" si="65"/>
        <v>109434.85714285714</v>
      </c>
      <c r="K59" s="189">
        <f t="shared" si="65"/>
        <v>109434.85714285714</v>
      </c>
      <c r="L59" s="189">
        <f t="shared" si="65"/>
        <v>0</v>
      </c>
      <c r="M59" s="189">
        <f t="shared" si="65"/>
        <v>0</v>
      </c>
      <c r="N59" s="189">
        <f t="shared" si="65"/>
        <v>0</v>
      </c>
      <c r="O59" s="189">
        <f t="shared" si="65"/>
        <v>0</v>
      </c>
      <c r="P59" s="189">
        <f t="shared" si="65"/>
        <v>0</v>
      </c>
      <c r="Q59" s="189">
        <f t="shared" si="65"/>
        <v>0</v>
      </c>
      <c r="R59" s="189">
        <f t="shared" si="65"/>
        <v>0</v>
      </c>
    </row>
    <row r="60" spans="1:18" ht="13.5" thickBot="1">
      <c r="A60" s="134"/>
      <c r="G60" s="134"/>
    </row>
    <row r="61" spans="1:18">
      <c r="A61" s="161">
        <v>6</v>
      </c>
      <c r="B61" s="177" t="s">
        <v>69</v>
      </c>
      <c r="C61" s="745" t="s">
        <v>763</v>
      </c>
      <c r="D61" s="153" t="s">
        <v>318</v>
      </c>
      <c r="E61" s="153" t="s">
        <v>29</v>
      </c>
      <c r="F61" s="154" t="s">
        <v>26</v>
      </c>
      <c r="G61" s="134"/>
      <c r="H61" s="185" t="s">
        <v>70</v>
      </c>
      <c r="I61" s="192">
        <v>1</v>
      </c>
      <c r="J61" s="192">
        <v>2</v>
      </c>
      <c r="K61" s="192">
        <v>3</v>
      </c>
      <c r="L61" s="192">
        <v>4</v>
      </c>
      <c r="M61" s="192">
        <v>5</v>
      </c>
      <c r="N61" s="192">
        <v>6</v>
      </c>
      <c r="O61" s="192">
        <v>7</v>
      </c>
      <c r="P61" s="192">
        <v>8</v>
      </c>
      <c r="Q61" s="192">
        <v>9</v>
      </c>
      <c r="R61" s="192">
        <v>10</v>
      </c>
    </row>
    <row r="62" spans="1:18">
      <c r="A62" s="134"/>
      <c r="B62" s="162" t="s">
        <v>300</v>
      </c>
      <c r="C62" s="144" t="s">
        <v>905</v>
      </c>
      <c r="D62" s="138">
        <v>1</v>
      </c>
      <c r="E62" s="148">
        <v>370000</v>
      </c>
      <c r="F62" s="163">
        <f>E62*D62</f>
        <v>370000</v>
      </c>
      <c r="G62" s="134"/>
      <c r="H62" s="186">
        <v>0</v>
      </c>
      <c r="I62" s="193">
        <f>H62</f>
        <v>0</v>
      </c>
      <c r="J62" s="194">
        <f>I62</f>
        <v>0</v>
      </c>
      <c r="K62" s="194">
        <f t="shared" ref="K62:M62" si="66">J62</f>
        <v>0</v>
      </c>
      <c r="L62" s="194">
        <f t="shared" si="66"/>
        <v>0</v>
      </c>
      <c r="M62" s="194">
        <f t="shared" si="66"/>
        <v>0</v>
      </c>
      <c r="N62" s="194">
        <v>0</v>
      </c>
      <c r="O62" s="194">
        <v>0</v>
      </c>
      <c r="P62" s="194">
        <v>0</v>
      </c>
      <c r="Q62" s="194">
        <v>0</v>
      </c>
      <c r="R62" s="195">
        <v>0</v>
      </c>
    </row>
    <row r="63" spans="1:18">
      <c r="A63" s="134"/>
      <c r="B63" s="162" t="s">
        <v>299</v>
      </c>
      <c r="C63" s="144" t="s">
        <v>906</v>
      </c>
      <c r="D63" s="138">
        <v>4</v>
      </c>
      <c r="E63" s="148">
        <v>20000</v>
      </c>
      <c r="F63" s="163">
        <f>E63*D63</f>
        <v>80000</v>
      </c>
      <c r="G63" s="134"/>
      <c r="H63" s="187">
        <f>F63/5</f>
        <v>16000</v>
      </c>
      <c r="I63" s="196">
        <f t="shared" ref="I63:M63" si="67">H63</f>
        <v>16000</v>
      </c>
      <c r="J63" s="197">
        <f t="shared" si="67"/>
        <v>16000</v>
      </c>
      <c r="K63" s="197">
        <f t="shared" si="67"/>
        <v>16000</v>
      </c>
      <c r="L63" s="197">
        <f t="shared" si="67"/>
        <v>16000</v>
      </c>
      <c r="M63" s="197">
        <f t="shared" si="67"/>
        <v>16000</v>
      </c>
      <c r="N63" s="197">
        <v>0</v>
      </c>
      <c r="O63" s="197">
        <v>0</v>
      </c>
      <c r="P63" s="197">
        <v>0</v>
      </c>
      <c r="Q63" s="197">
        <v>0</v>
      </c>
      <c r="R63" s="198">
        <v>0</v>
      </c>
    </row>
    <row r="64" spans="1:18">
      <c r="A64" s="134"/>
      <c r="B64" s="162" t="s">
        <v>301</v>
      </c>
      <c r="C64" s="144" t="s">
        <v>907</v>
      </c>
      <c r="D64" s="138">
        <v>4</v>
      </c>
      <c r="E64" s="148">
        <v>15000</v>
      </c>
      <c r="F64" s="163">
        <f>E64*D64</f>
        <v>60000</v>
      </c>
      <c r="G64" s="134"/>
      <c r="H64" s="187">
        <f>F64/5</f>
        <v>12000</v>
      </c>
      <c r="I64" s="196">
        <f t="shared" ref="I64:M64" si="68">H64</f>
        <v>12000</v>
      </c>
      <c r="J64" s="197">
        <f t="shared" si="68"/>
        <v>12000</v>
      </c>
      <c r="K64" s="197">
        <f t="shared" si="68"/>
        <v>12000</v>
      </c>
      <c r="L64" s="197">
        <f t="shared" si="68"/>
        <v>12000</v>
      </c>
      <c r="M64" s="197">
        <f t="shared" si="68"/>
        <v>12000</v>
      </c>
      <c r="N64" s="197">
        <v>0</v>
      </c>
      <c r="O64" s="197">
        <v>0</v>
      </c>
      <c r="P64" s="197">
        <v>0</v>
      </c>
      <c r="Q64" s="197">
        <v>0</v>
      </c>
      <c r="R64" s="198">
        <v>0</v>
      </c>
    </row>
    <row r="65" spans="1:18" ht="13.5" thickBot="1">
      <c r="A65" s="134"/>
      <c r="B65" s="162" t="s">
        <v>302</v>
      </c>
      <c r="C65" s="144" t="s">
        <v>908</v>
      </c>
      <c r="D65" s="138">
        <v>4</v>
      </c>
      <c r="E65" s="148">
        <v>25000</v>
      </c>
      <c r="F65" s="163">
        <f>E65*D65</f>
        <v>100000</v>
      </c>
      <c r="G65" s="134"/>
      <c r="H65" s="204">
        <v>0</v>
      </c>
      <c r="I65" s="199">
        <f t="shared" ref="I65:M65" si="69">H65</f>
        <v>0</v>
      </c>
      <c r="J65" s="200">
        <f t="shared" si="69"/>
        <v>0</v>
      </c>
      <c r="K65" s="200">
        <f t="shared" si="69"/>
        <v>0</v>
      </c>
      <c r="L65" s="200">
        <f t="shared" si="69"/>
        <v>0</v>
      </c>
      <c r="M65" s="200">
        <f t="shared" si="69"/>
        <v>0</v>
      </c>
      <c r="N65" s="200">
        <v>0</v>
      </c>
      <c r="O65" s="200">
        <v>0</v>
      </c>
      <c r="P65" s="200">
        <v>0</v>
      </c>
      <c r="Q65" s="200">
        <v>0</v>
      </c>
      <c r="R65" s="201">
        <v>0</v>
      </c>
    </row>
    <row r="66" spans="1:18" ht="13.5" thickBot="1">
      <c r="A66" s="134"/>
      <c r="B66" s="181" t="s">
        <v>26</v>
      </c>
      <c r="C66" s="182"/>
      <c r="D66" s="182"/>
      <c r="E66" s="184"/>
      <c r="F66" s="183">
        <f>SUM(F62:F65)</f>
        <v>610000</v>
      </c>
      <c r="G66" s="134"/>
      <c r="H66" s="189">
        <f>SUM(H62:H65)</f>
        <v>28000</v>
      </c>
      <c r="I66" s="189">
        <f t="shared" ref="I66:R66" si="70">SUM(I62:I65)</f>
        <v>28000</v>
      </c>
      <c r="J66" s="189">
        <f t="shared" si="70"/>
        <v>28000</v>
      </c>
      <c r="K66" s="189">
        <f t="shared" si="70"/>
        <v>28000</v>
      </c>
      <c r="L66" s="189">
        <f t="shared" si="70"/>
        <v>28000</v>
      </c>
      <c r="M66" s="189">
        <f t="shared" si="70"/>
        <v>28000</v>
      </c>
      <c r="N66" s="189">
        <f t="shared" si="70"/>
        <v>0</v>
      </c>
      <c r="O66" s="189">
        <f t="shared" si="70"/>
        <v>0</v>
      </c>
      <c r="P66" s="189">
        <f t="shared" si="70"/>
        <v>0</v>
      </c>
      <c r="Q66" s="189">
        <f t="shared" si="70"/>
        <v>0</v>
      </c>
      <c r="R66" s="189">
        <f t="shared" si="70"/>
        <v>0</v>
      </c>
    </row>
    <row r="67" spans="1:18" ht="13.5" thickBot="1">
      <c r="A67" s="134"/>
      <c r="B67" s="134"/>
      <c r="C67" s="134"/>
      <c r="D67" s="134"/>
      <c r="E67" s="134"/>
      <c r="F67" s="134"/>
      <c r="G67" s="134"/>
    </row>
    <row r="68" spans="1:18">
      <c r="A68" s="134"/>
      <c r="B68" s="470" t="s">
        <v>469</v>
      </c>
      <c r="C68" s="486"/>
      <c r="D68" s="486"/>
      <c r="E68" s="486"/>
      <c r="F68" s="487">
        <f>F18+F24+F34+F48+F59+F66</f>
        <v>13414611.714285715</v>
      </c>
      <c r="G68" s="134"/>
      <c r="H68" s="185" t="s">
        <v>316</v>
      </c>
      <c r="I68" s="192">
        <v>1</v>
      </c>
      <c r="J68" s="192">
        <v>2</v>
      </c>
      <c r="K68" s="192">
        <v>3</v>
      </c>
      <c r="L68" s="192">
        <v>4</v>
      </c>
      <c r="M68" s="192">
        <v>5</v>
      </c>
      <c r="N68" s="192">
        <v>6</v>
      </c>
      <c r="O68" s="192">
        <v>7</v>
      </c>
      <c r="P68" s="192">
        <v>8</v>
      </c>
      <c r="Q68" s="192">
        <v>9</v>
      </c>
      <c r="R68" s="192">
        <v>10</v>
      </c>
    </row>
    <row r="69" spans="1:18">
      <c r="A69" s="134"/>
      <c r="B69" s="488" t="s">
        <v>570</v>
      </c>
      <c r="C69" s="456" t="s">
        <v>909</v>
      </c>
      <c r="D69" s="135"/>
      <c r="E69" s="135"/>
      <c r="F69" s="491">
        <f>'Disbursement Plan'!L69</f>
        <v>1470600</v>
      </c>
      <c r="G69" s="134"/>
      <c r="H69" s="188">
        <f t="shared" ref="H69:R69" si="71">H18+H24+H34+H48+H59+H66</f>
        <v>1250003.1904761905</v>
      </c>
      <c r="I69" s="188">
        <f t="shared" si="71"/>
        <v>1250003.1904761905</v>
      </c>
      <c r="J69" s="188">
        <f t="shared" si="71"/>
        <v>1250003.1904761905</v>
      </c>
      <c r="K69" s="188">
        <f t="shared" si="71"/>
        <v>1250003.1904761905</v>
      </c>
      <c r="L69" s="188">
        <f t="shared" si="71"/>
        <v>1107235</v>
      </c>
      <c r="M69" s="188">
        <f t="shared" si="71"/>
        <v>1107235</v>
      </c>
      <c r="N69" s="188">
        <f t="shared" si="71"/>
        <v>1015235</v>
      </c>
      <c r="O69" s="188">
        <f t="shared" si="71"/>
        <v>1015235</v>
      </c>
      <c r="P69" s="188">
        <f t="shared" si="71"/>
        <v>1015235</v>
      </c>
      <c r="Q69" s="188">
        <f t="shared" si="71"/>
        <v>1015235</v>
      </c>
      <c r="R69" s="188">
        <f t="shared" si="71"/>
        <v>1015235</v>
      </c>
    </row>
    <row r="70" spans="1:18" ht="13.5" thickBot="1">
      <c r="B70" s="489" t="s">
        <v>316</v>
      </c>
      <c r="C70" s="754"/>
      <c r="D70" s="472"/>
      <c r="E70" s="472"/>
      <c r="F70" s="490">
        <f>SUM(F68:F69)</f>
        <v>14885211.714285715</v>
      </c>
    </row>
    <row r="72" spans="1:18">
      <c r="F72" s="760">
        <f>F70+Offering!C5</f>
        <v>18285211.714285716</v>
      </c>
    </row>
  </sheetData>
  <sortState ref="B37:F45">
    <sortCondition descending="1" ref="F37:F45"/>
  </sortState>
  <phoneticPr fontId="12" type="noConversion"/>
  <printOptions horizontalCentered="1"/>
  <pageMargins left="0.2" right="0.2" top="0.5868503937007874" bottom="0.2" header="0.30000000000000004" footer="0.30000000000000004"/>
  <pageSetup scale="70" orientation="landscape" horizontalDpi="4294967292" verticalDpi="4294967292"/>
  <rowBreaks count="1" manualBreakCount="1">
    <brk id="49"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F84"/>
  <sheetViews>
    <sheetView workbookViewId="0">
      <selection activeCell="J61" sqref="J61"/>
    </sheetView>
  </sheetViews>
  <sheetFormatPr defaultRowHeight="15"/>
  <cols>
    <col min="3" max="3" width="57.7109375" bestFit="1" customWidth="1"/>
    <col min="4" max="4" width="14" customWidth="1"/>
    <col min="5" max="5" width="13.7109375" bestFit="1" customWidth="1"/>
    <col min="6" max="6" width="11.85546875" bestFit="1" customWidth="1"/>
  </cols>
  <sheetData>
    <row r="3" spans="3:6" ht="15.75" thickBot="1"/>
    <row r="4" spans="3:6">
      <c r="C4" s="656" t="s">
        <v>682</v>
      </c>
      <c r="D4" s="657"/>
      <c r="E4" s="657"/>
      <c r="F4" s="658"/>
    </row>
    <row r="5" spans="3:6">
      <c r="C5" s="659"/>
      <c r="D5" s="1"/>
      <c r="E5" s="1"/>
      <c r="F5" s="660"/>
    </row>
    <row r="6" spans="3:6">
      <c r="C6" s="661" t="s">
        <v>693</v>
      </c>
      <c r="D6" s="684">
        <v>12589</v>
      </c>
      <c r="E6" s="1"/>
      <c r="F6" s="660"/>
    </row>
    <row r="7" spans="3:6">
      <c r="C7" s="659"/>
      <c r="D7" s="1"/>
      <c r="E7" s="1"/>
      <c r="F7" s="660"/>
    </row>
    <row r="8" spans="3:6">
      <c r="C8" s="681" t="s">
        <v>694</v>
      </c>
      <c r="D8" s="1"/>
      <c r="E8" s="1"/>
      <c r="F8" s="660"/>
    </row>
    <row r="9" spans="3:6">
      <c r="C9" s="659" t="s">
        <v>684</v>
      </c>
      <c r="D9" s="1"/>
      <c r="E9" s="1"/>
      <c r="F9" s="660"/>
    </row>
    <row r="10" spans="3:6">
      <c r="C10" s="659" t="s">
        <v>695</v>
      </c>
      <c r="D10" s="662">
        <v>1042</v>
      </c>
      <c r="E10" s="1"/>
      <c r="F10" s="660"/>
    </row>
    <row r="11" spans="3:6">
      <c r="C11" s="659" t="s">
        <v>696</v>
      </c>
      <c r="D11" s="685">
        <v>2205</v>
      </c>
      <c r="E11" s="1"/>
      <c r="F11" s="660"/>
    </row>
    <row r="12" spans="3:6">
      <c r="C12" s="659"/>
      <c r="D12" s="1"/>
      <c r="E12" s="1"/>
      <c r="F12" s="660"/>
    </row>
    <row r="13" spans="3:6">
      <c r="C13" s="659" t="s">
        <v>685</v>
      </c>
      <c r="D13" s="685">
        <v>602</v>
      </c>
      <c r="E13" s="1"/>
      <c r="F13" s="660"/>
    </row>
    <row r="14" spans="3:6">
      <c r="C14" s="659" t="s">
        <v>686</v>
      </c>
      <c r="D14" s="685">
        <v>9461</v>
      </c>
      <c r="E14" s="1"/>
      <c r="F14" s="660"/>
    </row>
    <row r="15" spans="3:6">
      <c r="C15" s="659"/>
      <c r="D15" s="1"/>
      <c r="E15" s="1"/>
      <c r="F15" s="660"/>
    </row>
    <row r="16" spans="3:6">
      <c r="C16" s="659" t="s">
        <v>687</v>
      </c>
      <c r="D16" s="685">
        <v>7243</v>
      </c>
      <c r="E16" s="1"/>
      <c r="F16" s="660"/>
    </row>
    <row r="17" spans="3:6">
      <c r="C17" s="659"/>
      <c r="D17" s="1"/>
      <c r="E17" s="1"/>
      <c r="F17" s="660"/>
    </row>
    <row r="18" spans="3:6">
      <c r="C18" s="659" t="s">
        <v>688</v>
      </c>
      <c r="D18" s="685">
        <v>5867</v>
      </c>
      <c r="E18" s="1"/>
      <c r="F18" s="660"/>
    </row>
    <row r="19" spans="3:6">
      <c r="C19" s="659"/>
      <c r="D19" s="1"/>
      <c r="E19" s="1"/>
      <c r="F19" s="660"/>
    </row>
    <row r="20" spans="3:6">
      <c r="C20" s="659" t="s">
        <v>689</v>
      </c>
      <c r="D20" s="685">
        <v>392</v>
      </c>
      <c r="E20" s="1"/>
      <c r="F20" s="660"/>
    </row>
    <row r="21" spans="3:6">
      <c r="C21" s="659"/>
      <c r="D21" s="1"/>
      <c r="E21" s="1"/>
      <c r="F21" s="660"/>
    </row>
    <row r="22" spans="3:6">
      <c r="C22" s="659" t="s">
        <v>690</v>
      </c>
      <c r="D22" s="685">
        <v>4725</v>
      </c>
      <c r="E22" s="1"/>
      <c r="F22" s="660"/>
    </row>
    <row r="23" spans="3:6">
      <c r="C23" s="659" t="s">
        <v>691</v>
      </c>
      <c r="D23" s="685">
        <v>4717</v>
      </c>
      <c r="E23" s="1"/>
      <c r="F23" s="660"/>
    </row>
    <row r="24" spans="3:6">
      <c r="C24" s="659"/>
      <c r="D24" s="1"/>
      <c r="E24" s="1"/>
      <c r="F24" s="660"/>
    </row>
    <row r="25" spans="3:6">
      <c r="C25" s="661" t="s">
        <v>692</v>
      </c>
      <c r="D25" s="684">
        <v>4617</v>
      </c>
      <c r="E25" s="2"/>
      <c r="F25" s="663"/>
    </row>
    <row r="26" spans="3:6" ht="15.75" thickBot="1">
      <c r="C26" s="583"/>
      <c r="D26" s="664">
        <f>SUM(D11:D25)</f>
        <v>39829</v>
      </c>
      <c r="E26" s="665"/>
      <c r="F26" s="666">
        <f>D6+D26</f>
        <v>52418</v>
      </c>
    </row>
    <row r="28" spans="3:6" ht="15.75" thickBot="1"/>
    <row r="29" spans="3:6">
      <c r="C29" s="656" t="s">
        <v>708</v>
      </c>
      <c r="D29" s="657"/>
      <c r="E29" s="657"/>
      <c r="F29" s="658"/>
    </row>
    <row r="30" spans="3:6">
      <c r="C30" s="667" t="s">
        <v>697</v>
      </c>
      <c r="D30" s="1"/>
      <c r="E30" s="1"/>
      <c r="F30" s="660"/>
    </row>
    <row r="31" spans="3:6">
      <c r="C31" s="667" t="s">
        <v>698</v>
      </c>
      <c r="D31" s="668"/>
      <c r="E31" s="1"/>
      <c r="F31" s="660"/>
    </row>
    <row r="32" spans="3:6">
      <c r="C32" s="669" t="s">
        <v>699</v>
      </c>
      <c r="D32" s="684">
        <v>19995</v>
      </c>
      <c r="E32" s="1"/>
      <c r="F32" s="670"/>
    </row>
    <row r="33" spans="3:6">
      <c r="C33" s="659"/>
      <c r="D33" s="1"/>
      <c r="E33" s="1"/>
      <c r="F33" s="660"/>
    </row>
    <row r="34" spans="3:6">
      <c r="C34" s="671"/>
      <c r="D34" s="662"/>
      <c r="E34" s="1"/>
      <c r="F34" s="660"/>
    </row>
    <row r="35" spans="3:6">
      <c r="C35" s="682" t="s">
        <v>700</v>
      </c>
      <c r="D35" s="662"/>
      <c r="E35" s="1"/>
      <c r="F35" s="660"/>
    </row>
    <row r="36" spans="3:6">
      <c r="C36" s="667" t="s">
        <v>701</v>
      </c>
      <c r="D36" s="662"/>
      <c r="E36" s="1"/>
      <c r="F36" s="660"/>
    </row>
    <row r="37" spans="3:6">
      <c r="C37" s="667" t="s">
        <v>702</v>
      </c>
      <c r="D37" s="662">
        <v>10000</v>
      </c>
      <c r="E37" s="1"/>
      <c r="F37" s="660"/>
    </row>
    <row r="38" spans="3:6">
      <c r="C38" s="667"/>
      <c r="D38" s="662"/>
      <c r="E38" s="1"/>
      <c r="F38" s="660"/>
    </row>
    <row r="39" spans="3:6">
      <c r="C39" s="667" t="s">
        <v>703</v>
      </c>
      <c r="D39" s="685">
        <v>8396</v>
      </c>
      <c r="E39" s="1"/>
      <c r="F39" s="660"/>
    </row>
    <row r="40" spans="3:6">
      <c r="C40" s="672" t="s">
        <v>704</v>
      </c>
      <c r="D40" s="662">
        <v>10896</v>
      </c>
      <c r="E40" s="1"/>
      <c r="F40" s="660"/>
    </row>
    <row r="41" spans="3:6">
      <c r="C41" s="672"/>
      <c r="D41" s="662"/>
      <c r="E41" s="1"/>
      <c r="F41" s="660"/>
    </row>
    <row r="42" spans="3:6">
      <c r="C42" s="667" t="s">
        <v>705</v>
      </c>
      <c r="D42" s="662"/>
      <c r="E42" s="1"/>
      <c r="F42" s="660"/>
    </row>
    <row r="43" spans="3:6">
      <c r="C43" s="667" t="s">
        <v>706</v>
      </c>
      <c r="D43" s="685">
        <v>8925</v>
      </c>
      <c r="E43" s="1"/>
      <c r="F43" s="660"/>
    </row>
    <row r="44" spans="3:6">
      <c r="C44" s="669" t="s">
        <v>707</v>
      </c>
      <c r="D44" s="655"/>
      <c r="E44" s="2"/>
      <c r="F44" s="663"/>
    </row>
    <row r="45" spans="3:6" ht="15.75" thickBot="1">
      <c r="C45" s="583"/>
      <c r="D45" s="664">
        <f>D39+D43</f>
        <v>17321</v>
      </c>
      <c r="E45" s="665"/>
      <c r="F45" s="666">
        <f>D32+D45</f>
        <v>37316</v>
      </c>
    </row>
    <row r="46" spans="3:6">
      <c r="D46" s="606"/>
    </row>
    <row r="48" spans="3:6" ht="15.75" thickBot="1">
      <c r="C48" s="654"/>
    </row>
    <row r="49" spans="3:6">
      <c r="C49" s="656" t="s">
        <v>725</v>
      </c>
      <c r="D49" s="657"/>
      <c r="E49" s="657"/>
      <c r="F49" s="658"/>
    </row>
    <row r="50" spans="3:6">
      <c r="C50" s="676" t="s">
        <v>709</v>
      </c>
      <c r="D50" s="686">
        <v>45765</v>
      </c>
      <c r="E50" s="1"/>
      <c r="F50" s="660"/>
    </row>
    <row r="51" spans="3:6">
      <c r="C51" s="673"/>
      <c r="D51" s="674"/>
      <c r="E51" s="1"/>
      <c r="F51" s="660"/>
    </row>
    <row r="52" spans="3:6">
      <c r="C52" s="673" t="s">
        <v>710</v>
      </c>
      <c r="D52" s="675">
        <v>1500</v>
      </c>
      <c r="E52" s="1"/>
      <c r="F52" s="660"/>
    </row>
    <row r="53" spans="3:6">
      <c r="C53" s="673"/>
      <c r="D53" s="675"/>
      <c r="E53" s="1"/>
      <c r="F53" s="660"/>
    </row>
    <row r="54" spans="3:6">
      <c r="C54" s="683" t="s">
        <v>711</v>
      </c>
      <c r="D54" s="674"/>
      <c r="E54" s="1"/>
      <c r="F54" s="660"/>
    </row>
    <row r="55" spans="3:6">
      <c r="C55" s="673"/>
      <c r="D55" s="674"/>
      <c r="E55" s="1"/>
      <c r="F55" s="660"/>
    </row>
    <row r="56" spans="3:6">
      <c r="C56" s="673" t="s">
        <v>712</v>
      </c>
      <c r="D56" s="687">
        <v>4925</v>
      </c>
      <c r="E56" s="1"/>
      <c r="F56" s="660"/>
    </row>
    <row r="57" spans="3:6">
      <c r="C57" s="659"/>
      <c r="D57" s="674"/>
      <c r="E57" s="1"/>
      <c r="F57" s="660"/>
    </row>
    <row r="58" spans="3:6">
      <c r="C58" s="673" t="s">
        <v>713</v>
      </c>
      <c r="D58" s="675">
        <v>4797</v>
      </c>
      <c r="E58" s="1"/>
      <c r="F58" s="660"/>
    </row>
    <row r="59" spans="3:6">
      <c r="C59" s="659"/>
      <c r="D59" s="674"/>
      <c r="E59" s="1"/>
      <c r="F59" s="660"/>
    </row>
    <row r="60" spans="3:6">
      <c r="C60" s="673" t="s">
        <v>714</v>
      </c>
      <c r="D60" s="687">
        <v>6759</v>
      </c>
      <c r="E60" s="1"/>
      <c r="F60" s="660"/>
    </row>
    <row r="61" spans="3:6">
      <c r="C61" s="659"/>
      <c r="D61" s="674"/>
      <c r="E61" s="1"/>
      <c r="F61" s="660"/>
    </row>
    <row r="62" spans="3:6">
      <c r="C62" s="673" t="s">
        <v>715</v>
      </c>
      <c r="D62" s="687">
        <v>708</v>
      </c>
      <c r="E62" s="1"/>
      <c r="F62" s="660"/>
    </row>
    <row r="63" spans="3:6">
      <c r="C63" s="659"/>
      <c r="D63" s="674"/>
      <c r="E63" s="1"/>
      <c r="F63" s="660"/>
    </row>
    <row r="64" spans="3:6">
      <c r="C64" s="673" t="s">
        <v>716</v>
      </c>
      <c r="D64" s="687">
        <v>1338</v>
      </c>
      <c r="E64" s="1"/>
      <c r="F64" s="660"/>
    </row>
    <row r="65" spans="3:6">
      <c r="C65" s="659"/>
      <c r="D65" s="674"/>
      <c r="E65" s="1"/>
      <c r="F65" s="660"/>
    </row>
    <row r="66" spans="3:6">
      <c r="C66" s="673" t="s">
        <v>717</v>
      </c>
      <c r="D66" s="675">
        <v>9300</v>
      </c>
      <c r="E66" s="1"/>
      <c r="F66" s="660"/>
    </row>
    <row r="67" spans="3:6">
      <c r="C67" s="659"/>
      <c r="D67" s="674"/>
      <c r="E67" s="1"/>
      <c r="F67" s="660"/>
    </row>
    <row r="68" spans="3:6">
      <c r="C68" s="673" t="s">
        <v>718</v>
      </c>
      <c r="D68" s="687">
        <v>14676</v>
      </c>
      <c r="E68" s="1"/>
      <c r="F68" s="660"/>
    </row>
    <row r="69" spans="3:6">
      <c r="C69" s="659"/>
      <c r="D69" s="674"/>
      <c r="E69" s="1"/>
      <c r="F69" s="660"/>
    </row>
    <row r="70" spans="3:6">
      <c r="C70" s="673" t="s">
        <v>719</v>
      </c>
      <c r="D70" s="688">
        <v>15000</v>
      </c>
      <c r="E70" s="1"/>
      <c r="F70" s="660"/>
    </row>
    <row r="71" spans="3:6">
      <c r="C71" s="659"/>
      <c r="D71" s="674"/>
      <c r="E71" s="1"/>
      <c r="F71" s="660"/>
    </row>
    <row r="72" spans="3:6">
      <c r="C72" s="676" t="s">
        <v>724</v>
      </c>
      <c r="D72" s="686">
        <v>2400</v>
      </c>
      <c r="E72" s="2"/>
      <c r="F72" s="663"/>
    </row>
    <row r="73" spans="3:6" ht="15.75" thickBot="1">
      <c r="C73" s="583"/>
      <c r="D73" s="664">
        <f>D56+D60+D62+D64+D68+D72</f>
        <v>30806</v>
      </c>
      <c r="E73" s="665"/>
      <c r="F73" s="666">
        <f>D50+D73</f>
        <v>76571</v>
      </c>
    </row>
    <row r="74" spans="3:6" ht="15.75" thickBot="1"/>
    <row r="75" spans="3:6" ht="18">
      <c r="C75" s="677" t="s">
        <v>720</v>
      </c>
      <c r="D75" s="657"/>
      <c r="E75" s="657"/>
      <c r="F75" s="658"/>
    </row>
    <row r="76" spans="3:6">
      <c r="C76" s="673" t="s">
        <v>721</v>
      </c>
      <c r="D76" s="689">
        <v>256684</v>
      </c>
      <c r="E76" s="1"/>
      <c r="F76" s="660"/>
    </row>
    <row r="77" spans="3:6">
      <c r="C77" s="673"/>
      <c r="D77" s="678"/>
      <c r="E77" s="1"/>
      <c r="F77" s="660"/>
    </row>
    <row r="78" spans="3:6">
      <c r="C78" s="673" t="s">
        <v>683</v>
      </c>
      <c r="D78" s="678"/>
      <c r="E78" s="1"/>
      <c r="F78" s="660"/>
    </row>
    <row r="79" spans="3:6">
      <c r="C79" s="673"/>
      <c r="D79" s="678"/>
      <c r="E79" s="1"/>
      <c r="F79" s="660"/>
    </row>
    <row r="80" spans="3:6">
      <c r="C80" s="676" t="s">
        <v>722</v>
      </c>
      <c r="D80" s="690">
        <v>45769</v>
      </c>
      <c r="E80" s="2"/>
      <c r="F80" s="663"/>
    </row>
    <row r="81" spans="3:6" ht="15.75" thickBot="1">
      <c r="C81" s="679"/>
      <c r="D81" s="664">
        <f>D76+D80</f>
        <v>302453</v>
      </c>
      <c r="E81" s="665"/>
      <c r="F81" s="666">
        <f>D81</f>
        <v>302453</v>
      </c>
    </row>
    <row r="83" spans="3:6" ht="15.75" thickBot="1"/>
    <row r="84" spans="3:6" ht="15.75" thickBot="1">
      <c r="C84" s="643" t="s">
        <v>723</v>
      </c>
      <c r="D84" s="630"/>
      <c r="E84" s="630"/>
      <c r="F84" s="680">
        <f>F81+F73+F45+F26</f>
        <v>468758</v>
      </c>
    </row>
  </sheetData>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94"/>
  <sheetViews>
    <sheetView topLeftCell="C80" zoomScale="125" zoomScaleNormal="125" zoomScalePageLayoutView="125" workbookViewId="0">
      <selection activeCell="L94" sqref="L94"/>
    </sheetView>
  </sheetViews>
  <sheetFormatPr defaultColWidth="8.85546875" defaultRowHeight="15"/>
  <cols>
    <col min="1" max="1" width="2.85546875" style="215" customWidth="1"/>
    <col min="2" max="3" width="40.85546875" style="215" customWidth="1"/>
    <col min="4" max="4" width="11.85546875" style="215" bestFit="1" customWidth="1"/>
    <col min="5" max="5" width="10.7109375" style="215" bestFit="1" customWidth="1"/>
    <col min="6" max="12" width="11.85546875" style="215" bestFit="1" customWidth="1"/>
    <col min="13" max="13" width="11.42578125" style="215" bestFit="1" customWidth="1"/>
    <col min="14" max="14" width="10.85546875" style="215" bestFit="1" customWidth="1"/>
    <col min="15" max="18" width="8.85546875" style="215"/>
    <col min="19" max="19" width="11.42578125" style="215" bestFit="1" customWidth="1"/>
    <col min="20" max="16384" width="8.85546875" style="215"/>
  </cols>
  <sheetData>
    <row r="1" spans="1:14" ht="15.75">
      <c r="A1" s="145" t="s">
        <v>321</v>
      </c>
      <c r="B1" s="73"/>
      <c r="C1" s="73"/>
      <c r="D1" s="73"/>
      <c r="E1" s="73"/>
      <c r="F1" s="73"/>
      <c r="G1" s="73"/>
      <c r="H1" s="73"/>
      <c r="I1" s="73"/>
      <c r="J1" s="73"/>
      <c r="K1" s="73"/>
      <c r="L1" s="73"/>
    </row>
    <row r="2" spans="1:14">
      <c r="A2" s="73"/>
      <c r="B2" s="73"/>
      <c r="C2" s="73"/>
      <c r="D2" s="73"/>
      <c r="E2" s="73"/>
      <c r="F2" s="73"/>
      <c r="G2" s="73"/>
      <c r="H2" s="73"/>
      <c r="I2" s="73"/>
      <c r="J2" s="73"/>
      <c r="K2" s="73"/>
      <c r="L2" s="73"/>
    </row>
    <row r="3" spans="1:14">
      <c r="A3" s="73"/>
      <c r="B3" s="217"/>
      <c r="C3" s="217"/>
      <c r="D3" s="73"/>
      <c r="E3" s="73"/>
      <c r="F3" s="73"/>
      <c r="G3" s="73"/>
      <c r="H3" s="73"/>
      <c r="I3" s="73"/>
      <c r="J3" s="73"/>
      <c r="K3" s="73"/>
      <c r="L3" s="73"/>
    </row>
    <row r="4" spans="1:14">
      <c r="A4" s="218">
        <f>'Investment Plan'!A4</f>
        <v>1</v>
      </c>
      <c r="B4" s="219" t="str">
        <f>'Investment Plan'!B4</f>
        <v>Plant Equipment/Installation</v>
      </c>
      <c r="C4" s="219" t="s">
        <v>913</v>
      </c>
      <c r="D4" s="220" t="s">
        <v>311</v>
      </c>
      <c r="E4" s="220" t="s">
        <v>312</v>
      </c>
      <c r="F4" s="220" t="s">
        <v>313</v>
      </c>
      <c r="G4" s="220" t="s">
        <v>314</v>
      </c>
      <c r="H4" s="220" t="s">
        <v>315</v>
      </c>
      <c r="I4" s="220" t="s">
        <v>521</v>
      </c>
      <c r="J4" s="220" t="s">
        <v>661</v>
      </c>
      <c r="K4" s="220" t="s">
        <v>662</v>
      </c>
      <c r="L4" s="220" t="s">
        <v>316</v>
      </c>
    </row>
    <row r="5" spans="1:14">
      <c r="A5" s="134"/>
      <c r="B5" s="135" t="str">
        <f>'Investment Plan'!B5</f>
        <v>200 GPH Used Oil Recovery Plant</v>
      </c>
      <c r="C5" s="135" t="s">
        <v>914</v>
      </c>
      <c r="D5" s="221">
        <f>('Investment Plan'!F5-1000000)*0.5</f>
        <v>1400000</v>
      </c>
      <c r="E5" s="221"/>
      <c r="F5" s="221">
        <f>('Investment Plan'!F5-1000000)*0.2</f>
        <v>560000</v>
      </c>
      <c r="G5" s="221">
        <f>F5</f>
        <v>560000</v>
      </c>
      <c r="H5" s="221">
        <f>G5/2</f>
        <v>280000</v>
      </c>
      <c r="I5" s="221"/>
      <c r="J5" s="221"/>
      <c r="K5" s="197"/>
      <c r="L5" s="197">
        <f t="shared" ref="L5:L17" si="0">SUM(D5:K5)</f>
        <v>2800000</v>
      </c>
      <c r="M5"/>
      <c r="N5"/>
    </row>
    <row r="6" spans="1:14">
      <c r="A6" s="134"/>
      <c r="B6" s="135" t="str">
        <f>'Investment Plan'!B6</f>
        <v>Blending Line and support equipment</v>
      </c>
      <c r="C6" s="135" t="s">
        <v>915</v>
      </c>
      <c r="D6" s="221"/>
      <c r="E6" s="221"/>
      <c r="F6" s="221">
        <f>'Investment Plan'!F6*0.5</f>
        <v>250000</v>
      </c>
      <c r="G6" s="221">
        <f>'Investment Plan'!F6*0.5</f>
        <v>250000</v>
      </c>
      <c r="H6" s="221"/>
      <c r="I6" s="221"/>
      <c r="J6" s="221"/>
      <c r="K6" s="197"/>
      <c r="L6" s="197">
        <f t="shared" si="0"/>
        <v>500000</v>
      </c>
      <c r="M6"/>
      <c r="N6"/>
    </row>
    <row r="7" spans="1:14">
      <c r="A7" s="134"/>
      <c r="B7" s="135" t="str">
        <f>'Investment Plan'!B7</f>
        <v>Lab equipment</v>
      </c>
      <c r="C7" s="135" t="s">
        <v>864</v>
      </c>
      <c r="D7" s="221"/>
      <c r="E7" s="221"/>
      <c r="F7" s="221">
        <f>'Investment Plan'!F7*0.5</f>
        <v>175000</v>
      </c>
      <c r="G7" s="221">
        <f>'Investment Plan'!F7*0.5</f>
        <v>175000</v>
      </c>
      <c r="H7" s="221"/>
      <c r="I7" s="221"/>
      <c r="J7" s="221"/>
      <c r="K7" s="197"/>
      <c r="L7" s="197">
        <f t="shared" si="0"/>
        <v>350000</v>
      </c>
      <c r="M7"/>
      <c r="N7"/>
    </row>
    <row r="8" spans="1:14">
      <c r="A8" s="134"/>
      <c r="B8" s="135" t="str">
        <f>'Investment Plan'!B8</f>
        <v>Tank Farm</v>
      </c>
      <c r="C8" s="135" t="s">
        <v>865</v>
      </c>
      <c r="D8" s="221"/>
      <c r="E8" s="221"/>
      <c r="F8" s="221">
        <f>'Investment Plan'!F8*(2/3)</f>
        <v>333333.33333333331</v>
      </c>
      <c r="G8" s="221">
        <f>'Investment Plan'!F8*(1/3)</f>
        <v>166666.66666666666</v>
      </c>
      <c r="H8" s="221"/>
      <c r="I8" s="221"/>
      <c r="J8" s="221"/>
      <c r="K8" s="197"/>
      <c r="L8" s="197">
        <f t="shared" si="0"/>
        <v>500000</v>
      </c>
      <c r="M8"/>
      <c r="N8"/>
    </row>
    <row r="9" spans="1:14">
      <c r="A9" s="134"/>
      <c r="B9" s="135" t="str">
        <f>'Investment Plan'!B9</f>
        <v>Mech./Elec. Infrastructure Erection</v>
      </c>
      <c r="C9" s="135" t="s">
        <v>916</v>
      </c>
      <c r="D9" s="221"/>
      <c r="E9" s="221"/>
      <c r="F9" s="221"/>
      <c r="G9" s="221">
        <f>'Investment Plan'!F9*(2/3)</f>
        <v>500000</v>
      </c>
      <c r="H9" s="221">
        <f>'Investment Plan'!F9*(1/3)</f>
        <v>250000</v>
      </c>
      <c r="I9" s="221"/>
      <c r="J9" s="221"/>
      <c r="K9" s="197"/>
      <c r="L9" s="197">
        <f t="shared" si="0"/>
        <v>750000</v>
      </c>
      <c r="M9"/>
      <c r="N9"/>
    </row>
    <row r="10" spans="1:14">
      <c r="A10" s="134"/>
      <c r="B10" s="135" t="str">
        <f>'Investment Plan'!B10</f>
        <v>API Certification</v>
      </c>
      <c r="C10" s="135" t="s">
        <v>867</v>
      </c>
      <c r="D10" s="197"/>
      <c r="E10" s="197"/>
      <c r="F10" s="197"/>
      <c r="G10" s="197"/>
      <c r="H10" s="222">
        <f>'Investment Plan'!F10</f>
        <v>250000</v>
      </c>
      <c r="I10" s="197"/>
      <c r="J10" s="197"/>
      <c r="K10" s="197"/>
      <c r="L10" s="197">
        <f t="shared" si="0"/>
        <v>250000</v>
      </c>
      <c r="M10"/>
      <c r="N10"/>
    </row>
    <row r="11" spans="1:14">
      <c r="A11" s="134"/>
      <c r="B11" s="135" t="str">
        <f>'Investment Plan'!B11</f>
        <v>Mixing Tanks</v>
      </c>
      <c r="C11" s="135" t="s">
        <v>917</v>
      </c>
      <c r="D11" s="221"/>
      <c r="E11" s="221"/>
      <c r="F11" s="221"/>
      <c r="G11" s="221">
        <f>'Investment Plan'!F11*0.5</f>
        <v>80000</v>
      </c>
      <c r="H11" s="221">
        <f>'Investment Plan'!F11*0.5</f>
        <v>80000</v>
      </c>
      <c r="I11" s="221"/>
      <c r="J11" s="221"/>
      <c r="K11" s="197"/>
      <c r="L11" s="197">
        <f t="shared" si="0"/>
        <v>160000</v>
      </c>
      <c r="M11"/>
      <c r="N11"/>
    </row>
    <row r="12" spans="1:14">
      <c r="A12" s="134"/>
      <c r="B12" s="135" t="str">
        <f>'Investment Plan'!B12</f>
        <v>Drum filling line</v>
      </c>
      <c r="C12" s="135" t="s">
        <v>869</v>
      </c>
      <c r="D12" s="221"/>
      <c r="E12" s="221"/>
      <c r="F12" s="221"/>
      <c r="G12" s="221">
        <f>'Investment Plan'!F12*0.5</f>
        <v>75000</v>
      </c>
      <c r="H12" s="221">
        <f>'Investment Plan'!F12*0.5</f>
        <v>75000</v>
      </c>
      <c r="I12" s="221"/>
      <c r="J12" s="221"/>
      <c r="K12" s="197"/>
      <c r="L12" s="197">
        <f t="shared" si="0"/>
        <v>150000</v>
      </c>
      <c r="M12"/>
      <c r="N12"/>
    </row>
    <row r="13" spans="1:14">
      <c r="A13" s="134"/>
      <c r="B13" s="135" t="str">
        <f>'Investment Plan'!B13</f>
        <v>Electrical and instrumentation costs</v>
      </c>
      <c r="C13" s="135" t="s">
        <v>918</v>
      </c>
      <c r="D13" s="221"/>
      <c r="E13" s="221"/>
      <c r="F13" s="221">
        <f>'Investment Plan'!F13*0.5</f>
        <v>75000</v>
      </c>
      <c r="G13" s="221">
        <f>'Investment Plan'!F13*0.5</f>
        <v>75000</v>
      </c>
      <c r="H13" s="221"/>
      <c r="I13" s="221"/>
      <c r="J13" s="221"/>
      <c r="K13" s="197"/>
      <c r="L13" s="197">
        <f t="shared" si="0"/>
        <v>150000</v>
      </c>
      <c r="M13"/>
      <c r="N13"/>
    </row>
    <row r="14" spans="1:14">
      <c r="A14" s="134"/>
      <c r="B14" s="135" t="str">
        <f>'Investment Plan'!B14</f>
        <v>PESCO-BEAM Engineering (permitting/pre-planning)</v>
      </c>
      <c r="C14" s="135" t="s">
        <v>919</v>
      </c>
      <c r="D14" s="221">
        <f>'Investment Plan'!F14</f>
        <v>150000</v>
      </c>
      <c r="E14" s="221"/>
      <c r="F14" s="221"/>
      <c r="G14" s="221"/>
      <c r="H14" s="221"/>
      <c r="I14" s="221"/>
      <c r="J14" s="221"/>
      <c r="K14" s="197"/>
      <c r="L14" s="197">
        <f t="shared" si="0"/>
        <v>150000</v>
      </c>
      <c r="M14"/>
      <c r="N14"/>
    </row>
    <row r="15" spans="1:14">
      <c r="A15" s="134"/>
      <c r="B15" s="135" t="str">
        <f>'Investment Plan'!B15</f>
        <v>M/E for blending line</v>
      </c>
      <c r="C15" s="741" t="s">
        <v>871</v>
      </c>
      <c r="D15" s="221"/>
      <c r="E15" s="221"/>
      <c r="F15" s="221"/>
      <c r="G15" s="221">
        <f>'Investment Plan'!F15*0.5</f>
        <v>37500</v>
      </c>
      <c r="H15" s="221">
        <f>'Investment Plan'!F15*0.5</f>
        <v>37500</v>
      </c>
      <c r="I15" s="221"/>
      <c r="J15" s="221"/>
      <c r="K15" s="197"/>
      <c r="L15" s="197">
        <f t="shared" si="0"/>
        <v>75000</v>
      </c>
      <c r="M15"/>
      <c r="N15"/>
    </row>
    <row r="16" spans="1:14">
      <c r="A16" s="134"/>
      <c r="B16" s="135" t="s">
        <v>641</v>
      </c>
      <c r="C16" s="741" t="s">
        <v>872</v>
      </c>
      <c r="D16" s="221">
        <f>'Investment Plan'!F16*0.5</f>
        <v>275000</v>
      </c>
      <c r="E16" s="221"/>
      <c r="F16" s="221">
        <f>('Investment Plan'!F16)*0.2</f>
        <v>110000</v>
      </c>
      <c r="G16" s="221">
        <f t="shared" ref="G16:G17" si="1">F16</f>
        <v>110000</v>
      </c>
      <c r="H16" s="221">
        <f t="shared" ref="H16:H17" si="2">G16/2</f>
        <v>55000</v>
      </c>
      <c r="I16" s="221"/>
      <c r="J16" s="221"/>
      <c r="K16" s="197"/>
      <c r="L16" s="197">
        <f t="shared" si="0"/>
        <v>550000</v>
      </c>
      <c r="M16"/>
      <c r="N16"/>
    </row>
    <row r="17" spans="1:14">
      <c r="A17" s="134"/>
      <c r="B17" s="135" t="s">
        <v>785</v>
      </c>
      <c r="C17" s="741" t="s">
        <v>873</v>
      </c>
      <c r="D17" s="223">
        <f>'Investment Plan'!F17*0.5</f>
        <v>750000</v>
      </c>
      <c r="E17" s="223"/>
      <c r="F17" s="223">
        <f>('Investment Plan'!F17)*0.2</f>
        <v>300000</v>
      </c>
      <c r="G17" s="223">
        <f t="shared" si="1"/>
        <v>300000</v>
      </c>
      <c r="H17" s="223">
        <f t="shared" si="2"/>
        <v>150000</v>
      </c>
      <c r="I17" s="223"/>
      <c r="J17" s="223"/>
      <c r="K17" s="200"/>
      <c r="L17" s="200">
        <f t="shared" si="0"/>
        <v>1500000</v>
      </c>
      <c r="M17"/>
      <c r="N17"/>
    </row>
    <row r="18" spans="1:14">
      <c r="A18" s="134"/>
      <c r="B18" s="224" t="s">
        <v>322</v>
      </c>
      <c r="C18" s="224"/>
      <c r="D18" s="225">
        <f>SUM(D5:D17)</f>
        <v>2575000</v>
      </c>
      <c r="E18" s="225">
        <f t="shared" ref="E18:K18" si="3">SUM(E5:E17)</f>
        <v>0</v>
      </c>
      <c r="F18" s="225">
        <f>SUM(F5:F17)</f>
        <v>1803333.3333333333</v>
      </c>
      <c r="G18" s="225">
        <f t="shared" si="3"/>
        <v>2329166.666666667</v>
      </c>
      <c r="H18" s="225">
        <f t="shared" si="3"/>
        <v>1177500</v>
      </c>
      <c r="I18" s="225">
        <f t="shared" si="3"/>
        <v>0</v>
      </c>
      <c r="J18" s="225">
        <f t="shared" si="3"/>
        <v>0</v>
      </c>
      <c r="K18" s="225">
        <f t="shared" si="3"/>
        <v>0</v>
      </c>
      <c r="L18" s="225">
        <f>SUM(L5:L17)</f>
        <v>7885000</v>
      </c>
      <c r="M18"/>
      <c r="N18"/>
    </row>
    <row r="19" spans="1:14" ht="15.75" thickBot="1">
      <c r="A19" s="134"/>
      <c r="B19" s="135"/>
      <c r="C19" s="135"/>
      <c r="D19" s="226"/>
      <c r="E19" s="226"/>
      <c r="F19" s="226"/>
      <c r="G19" s="226"/>
      <c r="H19" s="226"/>
      <c r="I19" s="226"/>
      <c r="J19" s="226"/>
      <c r="K19" s="135"/>
      <c r="L19" s="227"/>
    </row>
    <row r="20" spans="1:14">
      <c r="A20" s="218">
        <f>'Investment Plan'!A20</f>
        <v>2</v>
      </c>
      <c r="B20" s="219" t="str">
        <f>'Investment Plan'!B20</f>
        <v>Logistics Resources for Operations</v>
      </c>
      <c r="C20" s="739" t="s">
        <v>877</v>
      </c>
      <c r="D20" s="220" t="s">
        <v>311</v>
      </c>
      <c r="E20" s="220" t="s">
        <v>312</v>
      </c>
      <c r="F20" s="220" t="s">
        <v>313</v>
      </c>
      <c r="G20" s="220" t="s">
        <v>314</v>
      </c>
      <c r="H20" s="220" t="s">
        <v>315</v>
      </c>
      <c r="I20" s="220" t="s">
        <v>521</v>
      </c>
      <c r="J20" s="220" t="s">
        <v>661</v>
      </c>
      <c r="K20" s="220" t="s">
        <v>662</v>
      </c>
      <c r="L20" s="220" t="s">
        <v>316</v>
      </c>
    </row>
    <row r="21" spans="1:14">
      <c r="A21" s="228"/>
      <c r="B21" s="229" t="str">
        <f>'Investment Plan'!B21</f>
        <v>Collection trucks for used oil</v>
      </c>
      <c r="C21" s="144" t="s">
        <v>878</v>
      </c>
      <c r="D21" s="221"/>
      <c r="E21" s="221"/>
      <c r="F21" s="221"/>
      <c r="G21" s="230">
        <f>'Investment Plan'!F21*0.5</f>
        <v>50000</v>
      </c>
      <c r="H21" s="230">
        <f>'Investment Plan'!F21*0.5</f>
        <v>50000</v>
      </c>
      <c r="I21" s="230"/>
      <c r="J21" s="230"/>
      <c r="K21" s="230"/>
      <c r="L21" s="231">
        <f t="shared" ref="L21:L23" si="4">SUM(D21:K21)</f>
        <v>100000</v>
      </c>
    </row>
    <row r="22" spans="1:14">
      <c r="A22" s="228"/>
      <c r="B22" s="229" t="str">
        <f>'Investment Plan'!B22</f>
        <v>Delivery Trucks</v>
      </c>
      <c r="C22" s="144" t="s">
        <v>879</v>
      </c>
      <c r="D22" s="221"/>
      <c r="E22" s="221"/>
      <c r="F22" s="221"/>
      <c r="G22" s="230">
        <f>'Investment Plan'!F22*0.5</f>
        <v>17500</v>
      </c>
      <c r="H22" s="230">
        <f>'Investment Plan'!F22*0.5</f>
        <v>17500</v>
      </c>
      <c r="I22" s="230"/>
      <c r="J22" s="230"/>
      <c r="K22" s="230"/>
      <c r="L22" s="231">
        <f t="shared" si="4"/>
        <v>35000</v>
      </c>
    </row>
    <row r="23" spans="1:14">
      <c r="A23" s="228"/>
      <c r="B23" s="229" t="str">
        <f>'Investment Plan'!B23</f>
        <v>Forklifts</v>
      </c>
      <c r="C23" s="743" t="s">
        <v>880</v>
      </c>
      <c r="D23" s="223"/>
      <c r="E23" s="223"/>
      <c r="F23" s="223"/>
      <c r="G23" s="232">
        <f>'Investment Plan'!F23*0.5</f>
        <v>20000</v>
      </c>
      <c r="H23" s="232">
        <f>'Investment Plan'!F23*0.5</f>
        <v>20000</v>
      </c>
      <c r="I23" s="232"/>
      <c r="J23" s="232"/>
      <c r="K23" s="232"/>
      <c r="L23" s="232">
        <f t="shared" si="4"/>
        <v>40000</v>
      </c>
    </row>
    <row r="24" spans="1:14">
      <c r="A24" s="228"/>
      <c r="B24" s="224" t="s">
        <v>322</v>
      </c>
      <c r="C24" s="224"/>
      <c r="D24" s="225">
        <f>SUM(D21:D23)</f>
        <v>0</v>
      </c>
      <c r="E24" s="225">
        <f t="shared" ref="E24:L24" si="5">SUM(E21:E23)</f>
        <v>0</v>
      </c>
      <c r="F24" s="225">
        <f t="shared" si="5"/>
        <v>0</v>
      </c>
      <c r="G24" s="225">
        <f t="shared" si="5"/>
        <v>87500</v>
      </c>
      <c r="H24" s="225">
        <f t="shared" si="5"/>
        <v>87500</v>
      </c>
      <c r="I24" s="225">
        <f t="shared" si="5"/>
        <v>0</v>
      </c>
      <c r="J24" s="225">
        <f t="shared" si="5"/>
        <v>0</v>
      </c>
      <c r="K24" s="225">
        <f t="shared" si="5"/>
        <v>0</v>
      </c>
      <c r="L24" s="225">
        <f t="shared" si="5"/>
        <v>175000</v>
      </c>
    </row>
    <row r="25" spans="1:14" ht="15.75" thickBot="1">
      <c r="A25" s="134"/>
      <c r="B25" s="135"/>
      <c r="C25" s="135"/>
      <c r="D25" s="226"/>
      <c r="E25" s="226"/>
      <c r="F25" s="226"/>
      <c r="G25" s="134"/>
      <c r="H25" s="134"/>
      <c r="I25" s="134"/>
      <c r="J25" s="134"/>
      <c r="K25" s="134"/>
      <c r="L25" s="134"/>
    </row>
    <row r="26" spans="1:14">
      <c r="A26" s="218">
        <f>'Investment Plan'!A26</f>
        <v>3</v>
      </c>
      <c r="B26" s="219" t="str">
        <f>'Investment Plan'!B26</f>
        <v>Permanent W/K for Company Growth</v>
      </c>
      <c r="C26" s="745" t="s">
        <v>881</v>
      </c>
      <c r="D26" s="220" t="s">
        <v>311</v>
      </c>
      <c r="E26" s="220" t="s">
        <v>312</v>
      </c>
      <c r="F26" s="220" t="s">
        <v>313</v>
      </c>
      <c r="G26" s="220" t="s">
        <v>314</v>
      </c>
      <c r="H26" s="220" t="s">
        <v>315</v>
      </c>
      <c r="I26" s="220" t="s">
        <v>521</v>
      </c>
      <c r="J26" s="220" t="s">
        <v>661</v>
      </c>
      <c r="K26" s="220" t="s">
        <v>662</v>
      </c>
      <c r="L26" s="220" t="s">
        <v>316</v>
      </c>
    </row>
    <row r="27" spans="1:14">
      <c r="A27" s="134"/>
      <c r="B27" s="174" t="s">
        <v>324</v>
      </c>
      <c r="C27" s="746" t="s">
        <v>882</v>
      </c>
      <c r="D27" s="221">
        <f>'Investment Plan'!F27*0.2</f>
        <v>60000</v>
      </c>
      <c r="E27" s="221">
        <f>D27</f>
        <v>60000</v>
      </c>
      <c r="F27" s="221">
        <f t="shared" ref="F27:H27" si="6">E27</f>
        <v>60000</v>
      </c>
      <c r="G27" s="221">
        <f t="shared" si="6"/>
        <v>60000</v>
      </c>
      <c r="H27" s="221">
        <f t="shared" si="6"/>
        <v>60000</v>
      </c>
      <c r="I27" s="221"/>
      <c r="J27" s="221"/>
      <c r="K27" s="197"/>
      <c r="L27" s="231">
        <f t="shared" ref="L27:L33" si="7">SUM(D27:K27)</f>
        <v>300000</v>
      </c>
    </row>
    <row r="28" spans="1:14">
      <c r="A28" s="134"/>
      <c r="B28" s="162" t="s">
        <v>167</v>
      </c>
      <c r="C28" s="144" t="s">
        <v>883</v>
      </c>
      <c r="D28" s="221">
        <f>'Investment Plan'!F28*0.2</f>
        <v>50000</v>
      </c>
      <c r="E28" s="221">
        <f t="shared" ref="E28:H33" si="8">D28</f>
        <v>50000</v>
      </c>
      <c r="F28" s="221">
        <f t="shared" si="8"/>
        <v>50000</v>
      </c>
      <c r="G28" s="221">
        <f t="shared" si="8"/>
        <v>50000</v>
      </c>
      <c r="H28" s="221">
        <f t="shared" si="8"/>
        <v>50000</v>
      </c>
      <c r="I28" s="221"/>
      <c r="J28" s="221"/>
      <c r="K28" s="197"/>
      <c r="L28" s="231">
        <f t="shared" si="7"/>
        <v>250000</v>
      </c>
    </row>
    <row r="29" spans="1:14">
      <c r="A29" s="134"/>
      <c r="B29" s="175" t="s">
        <v>310</v>
      </c>
      <c r="C29" s="747" t="s">
        <v>884</v>
      </c>
      <c r="D29" s="221">
        <f>'Investment Plan'!F29*0.2</f>
        <v>24000</v>
      </c>
      <c r="E29" s="221">
        <f t="shared" si="8"/>
        <v>24000</v>
      </c>
      <c r="F29" s="221">
        <f t="shared" si="8"/>
        <v>24000</v>
      </c>
      <c r="G29" s="221">
        <f t="shared" si="8"/>
        <v>24000</v>
      </c>
      <c r="H29" s="221">
        <f t="shared" si="8"/>
        <v>24000</v>
      </c>
      <c r="I29" s="221"/>
      <c r="J29" s="221"/>
      <c r="K29" s="197"/>
      <c r="L29" s="231">
        <f t="shared" si="7"/>
        <v>120000</v>
      </c>
    </row>
    <row r="30" spans="1:14">
      <c r="A30" s="134"/>
      <c r="B30" s="175" t="s">
        <v>642</v>
      </c>
      <c r="C30" s="747" t="s">
        <v>885</v>
      </c>
      <c r="D30" s="221">
        <f>'Investment Plan'!F30*0.2</f>
        <v>70000</v>
      </c>
      <c r="E30" s="221">
        <f t="shared" si="8"/>
        <v>70000</v>
      </c>
      <c r="F30" s="221">
        <f t="shared" si="8"/>
        <v>70000</v>
      </c>
      <c r="G30" s="221">
        <f t="shared" si="8"/>
        <v>70000</v>
      </c>
      <c r="H30" s="221">
        <f t="shared" si="8"/>
        <v>70000</v>
      </c>
      <c r="I30" s="221"/>
      <c r="J30" s="221"/>
      <c r="K30" s="197"/>
      <c r="L30" s="231">
        <f t="shared" si="7"/>
        <v>350000</v>
      </c>
    </row>
    <row r="31" spans="1:14">
      <c r="A31" s="134"/>
      <c r="B31" s="175" t="s">
        <v>74</v>
      </c>
      <c r="C31" s="747" t="s">
        <v>886</v>
      </c>
      <c r="D31" s="221">
        <f>'Investment Plan'!F31*0.2</f>
        <v>45000</v>
      </c>
      <c r="E31" s="221">
        <f t="shared" si="8"/>
        <v>45000</v>
      </c>
      <c r="F31" s="221">
        <f t="shared" si="8"/>
        <v>45000</v>
      </c>
      <c r="G31" s="221">
        <f t="shared" si="8"/>
        <v>45000</v>
      </c>
      <c r="H31" s="221">
        <f t="shared" si="8"/>
        <v>45000</v>
      </c>
      <c r="I31" s="221"/>
      <c r="J31" s="221"/>
      <c r="K31" s="197"/>
      <c r="L31" s="231">
        <f t="shared" si="7"/>
        <v>225000</v>
      </c>
    </row>
    <row r="32" spans="1:14">
      <c r="A32" s="134"/>
      <c r="B32" s="175" t="s">
        <v>289</v>
      </c>
      <c r="C32" s="747" t="s">
        <v>878</v>
      </c>
      <c r="D32" s="221">
        <f>'Investment Plan'!F32*0.2</f>
        <v>20000</v>
      </c>
      <c r="E32" s="221">
        <f t="shared" si="8"/>
        <v>20000</v>
      </c>
      <c r="F32" s="221">
        <f t="shared" si="8"/>
        <v>20000</v>
      </c>
      <c r="G32" s="221">
        <f t="shared" si="8"/>
        <v>20000</v>
      </c>
      <c r="H32" s="221">
        <f t="shared" si="8"/>
        <v>20000</v>
      </c>
      <c r="I32" s="221"/>
      <c r="J32" s="221"/>
      <c r="K32" s="197"/>
      <c r="L32" s="231">
        <f t="shared" si="7"/>
        <v>100000</v>
      </c>
    </row>
    <row r="33" spans="1:13">
      <c r="A33" s="134"/>
      <c r="B33" s="164" t="s">
        <v>290</v>
      </c>
      <c r="C33" s="743" t="s">
        <v>879</v>
      </c>
      <c r="D33" s="223">
        <f>'Investment Plan'!F33*0.2</f>
        <v>14000</v>
      </c>
      <c r="E33" s="223">
        <f t="shared" si="8"/>
        <v>14000</v>
      </c>
      <c r="F33" s="223">
        <f t="shared" si="8"/>
        <v>14000</v>
      </c>
      <c r="G33" s="223">
        <f t="shared" si="8"/>
        <v>14000</v>
      </c>
      <c r="H33" s="223">
        <f t="shared" si="8"/>
        <v>14000</v>
      </c>
      <c r="I33" s="223"/>
      <c r="J33" s="223"/>
      <c r="K33" s="200"/>
      <c r="L33" s="232">
        <f t="shared" si="7"/>
        <v>70000</v>
      </c>
    </row>
    <row r="34" spans="1:13">
      <c r="A34" s="134"/>
      <c r="B34" s="224" t="s">
        <v>322</v>
      </c>
      <c r="C34" s="224"/>
      <c r="D34" s="225">
        <f t="shared" ref="D34:L34" si="9">SUM(D27:D33)</f>
        <v>283000</v>
      </c>
      <c r="E34" s="225">
        <f t="shared" si="9"/>
        <v>283000</v>
      </c>
      <c r="F34" s="225">
        <f t="shared" si="9"/>
        <v>283000</v>
      </c>
      <c r="G34" s="225">
        <f t="shared" si="9"/>
        <v>283000</v>
      </c>
      <c r="H34" s="225">
        <f t="shared" si="9"/>
        <v>283000</v>
      </c>
      <c r="I34" s="225">
        <f t="shared" si="9"/>
        <v>0</v>
      </c>
      <c r="J34" s="225">
        <f t="shared" si="9"/>
        <v>0</v>
      </c>
      <c r="K34" s="225">
        <f t="shared" si="9"/>
        <v>0</v>
      </c>
      <c r="L34" s="225">
        <f t="shared" si="9"/>
        <v>1415000</v>
      </c>
    </row>
    <row r="35" spans="1:13" ht="15.75" thickBot="1">
      <c r="A35" s="134"/>
      <c r="B35" s="135"/>
      <c r="C35" s="135"/>
      <c r="D35" s="226"/>
      <c r="E35" s="226"/>
      <c r="F35" s="226"/>
      <c r="G35" s="226"/>
      <c r="H35" s="226"/>
      <c r="I35" s="226"/>
      <c r="J35" s="226"/>
      <c r="K35" s="135"/>
      <c r="L35" s="233"/>
    </row>
    <row r="36" spans="1:13">
      <c r="A36" s="218">
        <f>'Investment Plan'!A36</f>
        <v>4</v>
      </c>
      <c r="B36" s="218" t="str">
        <f>'Investment Plan'!B36</f>
        <v>Land/Warehouse/Infrastructure Civil</v>
      </c>
      <c r="C36" s="748" t="s">
        <v>887</v>
      </c>
      <c r="D36" s="220" t="s">
        <v>311</v>
      </c>
      <c r="E36" s="220" t="s">
        <v>312</v>
      </c>
      <c r="F36" s="220" t="s">
        <v>313</v>
      </c>
      <c r="G36" s="220" t="s">
        <v>314</v>
      </c>
      <c r="H36" s="220" t="s">
        <v>315</v>
      </c>
      <c r="I36" s="220" t="s">
        <v>521</v>
      </c>
      <c r="J36" s="220" t="s">
        <v>661</v>
      </c>
      <c r="K36" s="220" t="s">
        <v>662</v>
      </c>
      <c r="L36" s="220" t="s">
        <v>316</v>
      </c>
    </row>
    <row r="37" spans="1:13">
      <c r="A37" s="134"/>
      <c r="B37" s="557" t="s">
        <v>502</v>
      </c>
      <c r="C37" s="749" t="s">
        <v>888</v>
      </c>
      <c r="D37" s="221"/>
      <c r="E37" s="221"/>
      <c r="F37" s="221">
        <f>'Investment Plan'!F37/3</f>
        <v>73333.333333333328</v>
      </c>
      <c r="G37" s="221">
        <f>'Investment Plan'!F37/3</f>
        <v>73333.333333333328</v>
      </c>
      <c r="H37" s="221">
        <f>'Investment Plan'!F37/3</f>
        <v>73333.333333333328</v>
      </c>
      <c r="I37" s="221"/>
      <c r="J37" s="221"/>
      <c r="K37" s="197"/>
      <c r="L37" s="231">
        <f t="shared" ref="L37:L47" si="10">SUM(D37:K37)</f>
        <v>220000</v>
      </c>
      <c r="M37"/>
    </row>
    <row r="38" spans="1:13">
      <c r="A38" s="134"/>
      <c r="B38" s="557" t="s">
        <v>525</v>
      </c>
      <c r="C38" s="749" t="s">
        <v>910</v>
      </c>
      <c r="D38" s="221"/>
      <c r="E38" s="221"/>
      <c r="F38" s="221">
        <f>'Investment Plan'!F38/3</f>
        <v>120000</v>
      </c>
      <c r="G38" s="221">
        <f>'Investment Plan'!F38/3</f>
        <v>120000</v>
      </c>
      <c r="H38" s="221">
        <f>'Investment Plan'!F38/3</f>
        <v>120000</v>
      </c>
      <c r="I38" s="221"/>
      <c r="J38" s="221"/>
      <c r="K38" s="197"/>
      <c r="L38" s="231">
        <f t="shared" si="10"/>
        <v>360000</v>
      </c>
      <c r="M38"/>
    </row>
    <row r="39" spans="1:13">
      <c r="A39" s="134"/>
      <c r="B39" s="557" t="s">
        <v>649</v>
      </c>
      <c r="C39" s="749" t="s">
        <v>889</v>
      </c>
      <c r="D39" s="221"/>
      <c r="E39" s="221"/>
      <c r="F39" s="221"/>
      <c r="G39" s="221">
        <f>'Investment Plan'!$F$39/2</f>
        <v>75000</v>
      </c>
      <c r="H39" s="221">
        <f>'Investment Plan'!$F$39/2</f>
        <v>75000</v>
      </c>
      <c r="I39" s="221"/>
      <c r="J39" s="221"/>
      <c r="K39" s="197"/>
      <c r="L39" s="231">
        <f>SUM(D39:K39)</f>
        <v>150000</v>
      </c>
      <c r="M39"/>
    </row>
    <row r="40" spans="1:13">
      <c r="A40" s="134"/>
      <c r="B40" s="557" t="s">
        <v>526</v>
      </c>
      <c r="C40" s="749" t="s">
        <v>911</v>
      </c>
      <c r="D40" s="221"/>
      <c r="E40" s="221"/>
      <c r="F40" s="221">
        <f>'Investment Plan'!F40/3</f>
        <v>77550</v>
      </c>
      <c r="G40" s="221">
        <f>'Investment Plan'!F40/3</f>
        <v>77550</v>
      </c>
      <c r="H40" s="221">
        <f>'Investment Plan'!F40/3</f>
        <v>77550</v>
      </c>
      <c r="I40" s="221"/>
      <c r="J40" s="221"/>
      <c r="K40" s="197"/>
      <c r="L40" s="231">
        <f t="shared" si="10"/>
        <v>232650</v>
      </c>
      <c r="M40"/>
    </row>
    <row r="41" spans="1:13">
      <c r="A41" s="134"/>
      <c r="B41" s="557" t="s">
        <v>33</v>
      </c>
      <c r="C41" s="749" t="s">
        <v>890</v>
      </c>
      <c r="D41" s="221"/>
      <c r="E41" s="221"/>
      <c r="F41" s="221">
        <f>'Investment Plan'!F41/3</f>
        <v>29000</v>
      </c>
      <c r="G41" s="221">
        <f>'Investment Plan'!F41/3</f>
        <v>29000</v>
      </c>
      <c r="H41" s="221">
        <f>'Investment Plan'!F41/3</f>
        <v>29000</v>
      </c>
      <c r="I41" s="221"/>
      <c r="J41" s="221"/>
      <c r="K41" s="197"/>
      <c r="L41" s="231">
        <f t="shared" si="10"/>
        <v>87000</v>
      </c>
      <c r="M41"/>
    </row>
    <row r="42" spans="1:13">
      <c r="A42" s="134"/>
      <c r="B42" s="557" t="s">
        <v>527</v>
      </c>
      <c r="C42" s="749" t="s">
        <v>891</v>
      </c>
      <c r="D42" s="221"/>
      <c r="E42" s="221"/>
      <c r="F42" s="221">
        <f>'Investment Plan'!F42/3</f>
        <v>53333.333333333336</v>
      </c>
      <c r="G42" s="221">
        <f>'Investment Plan'!F42/3</f>
        <v>53333.333333333336</v>
      </c>
      <c r="H42" s="221">
        <f>'Investment Plan'!F42/3</f>
        <v>53333.333333333336</v>
      </c>
      <c r="I42" s="221"/>
      <c r="J42" s="221"/>
      <c r="K42" s="197"/>
      <c r="L42" s="231">
        <f t="shared" si="10"/>
        <v>160000</v>
      </c>
      <c r="M42"/>
    </row>
    <row r="43" spans="1:13">
      <c r="A43" s="134"/>
      <c r="B43" s="557" t="s">
        <v>30</v>
      </c>
      <c r="C43" s="749" t="s">
        <v>892</v>
      </c>
      <c r="D43" s="221"/>
      <c r="E43" s="221"/>
      <c r="F43" s="221">
        <f>'Investment Plan'!F43/3</f>
        <v>100000</v>
      </c>
      <c r="G43" s="221">
        <f>'Investment Plan'!F43/3</f>
        <v>100000</v>
      </c>
      <c r="H43" s="221">
        <f>'Investment Plan'!F43/3</f>
        <v>100000</v>
      </c>
      <c r="I43" s="221"/>
      <c r="J43" s="221"/>
      <c r="K43" s="197"/>
      <c r="L43" s="231">
        <f t="shared" si="10"/>
        <v>300000</v>
      </c>
      <c r="M43"/>
    </row>
    <row r="44" spans="1:13">
      <c r="A44" s="134"/>
      <c r="B44" s="557" t="s">
        <v>528</v>
      </c>
      <c r="C44" s="749" t="s">
        <v>893</v>
      </c>
      <c r="D44" s="221"/>
      <c r="E44" s="221"/>
      <c r="F44" s="221">
        <f>'Investment Plan'!F44/3</f>
        <v>80000</v>
      </c>
      <c r="G44" s="221">
        <f>'Investment Plan'!F44/3</f>
        <v>80000</v>
      </c>
      <c r="H44" s="221">
        <f>'Investment Plan'!F44/3</f>
        <v>80000</v>
      </c>
      <c r="I44" s="221"/>
      <c r="J44" s="221"/>
      <c r="K44" s="197"/>
      <c r="L44" s="231">
        <f t="shared" si="10"/>
        <v>240000</v>
      </c>
      <c r="M44"/>
    </row>
    <row r="45" spans="1:13">
      <c r="A45" s="134"/>
      <c r="B45" s="557" t="s">
        <v>32</v>
      </c>
      <c r="C45" s="749" t="s">
        <v>912</v>
      </c>
      <c r="D45" s="221"/>
      <c r="E45" s="221"/>
      <c r="F45" s="221">
        <f>'Investment Plan'!F45/3</f>
        <v>16666.666666666668</v>
      </c>
      <c r="G45" s="221">
        <f>'Investment Plan'!F45/3</f>
        <v>16666.666666666668</v>
      </c>
      <c r="H45" s="221">
        <f>'Investment Plan'!F45/3</f>
        <v>16666.666666666668</v>
      </c>
      <c r="I45" s="221"/>
      <c r="J45" s="221"/>
      <c r="K45" s="197"/>
      <c r="L45" s="231">
        <f t="shared" si="10"/>
        <v>50000</v>
      </c>
      <c r="M45"/>
    </row>
    <row r="46" spans="1:13">
      <c r="A46" s="134"/>
      <c r="B46" s="557" t="s">
        <v>325</v>
      </c>
      <c r="C46" s="749" t="s">
        <v>894</v>
      </c>
      <c r="D46" s="221"/>
      <c r="E46" s="221"/>
      <c r="F46" s="221">
        <f>'Investment Plan'!F46/3</f>
        <v>16666.666666666668</v>
      </c>
      <c r="G46" s="221">
        <f>'Investment Plan'!F46/3</f>
        <v>16666.666666666668</v>
      </c>
      <c r="H46" s="221">
        <f>'Investment Plan'!F46/3</f>
        <v>16666.666666666668</v>
      </c>
      <c r="I46" s="221"/>
      <c r="J46" s="221"/>
      <c r="K46" s="197"/>
      <c r="L46" s="231">
        <f t="shared" si="10"/>
        <v>50000</v>
      </c>
      <c r="M46"/>
    </row>
    <row r="47" spans="1:13" ht="15.75" thickBot="1">
      <c r="A47" s="134"/>
      <c r="B47" s="637" t="s">
        <v>31</v>
      </c>
      <c r="C47" s="750" t="s">
        <v>895</v>
      </c>
      <c r="D47" s="223"/>
      <c r="E47" s="223"/>
      <c r="F47" s="223">
        <f>'Investment Plan'!F47/3</f>
        <v>37333.333333333336</v>
      </c>
      <c r="G47" s="223">
        <f>'Investment Plan'!F47/3</f>
        <v>37333.333333333336</v>
      </c>
      <c r="H47" s="223">
        <f>'Investment Plan'!F47/3</f>
        <v>37333.333333333336</v>
      </c>
      <c r="I47" s="223"/>
      <c r="J47" s="223"/>
      <c r="K47" s="200"/>
      <c r="L47" s="232">
        <f t="shared" si="10"/>
        <v>112000</v>
      </c>
      <c r="M47"/>
    </row>
    <row r="48" spans="1:13">
      <c r="A48" s="134"/>
      <c r="B48" s="224" t="s">
        <v>322</v>
      </c>
      <c r="C48" s="224"/>
      <c r="D48" s="225">
        <f>SUM(D37:D45)</f>
        <v>0</v>
      </c>
      <c r="E48" s="225">
        <f>SUM(E37:E45)</f>
        <v>0</v>
      </c>
      <c r="F48" s="225">
        <f>SUM(F37:F47)</f>
        <v>603883.33333333326</v>
      </c>
      <c r="G48" s="225">
        <f>SUM(G37:G47)</f>
        <v>678883.33333333326</v>
      </c>
      <c r="H48" s="225">
        <f>SUM(H37:H47)</f>
        <v>678883.33333333326</v>
      </c>
      <c r="I48" s="225">
        <f>SUM(I37:I45)</f>
        <v>0</v>
      </c>
      <c r="J48" s="225">
        <f>SUM(J37:J45)</f>
        <v>0</v>
      </c>
      <c r="K48" s="225">
        <f>SUM(K37:K45)</f>
        <v>0</v>
      </c>
      <c r="L48" s="225">
        <f>SUM(L37:L47)</f>
        <v>1961650</v>
      </c>
    </row>
    <row r="49" spans="1:12">
      <c r="A49" s="134"/>
      <c r="B49" s="135"/>
      <c r="C49" s="135"/>
      <c r="D49" s="226"/>
      <c r="E49" s="226"/>
      <c r="F49" s="226"/>
      <c r="G49" s="226"/>
      <c r="H49" s="226"/>
      <c r="I49" s="226"/>
      <c r="J49" s="226"/>
      <c r="K49" s="135"/>
      <c r="L49" s="233"/>
    </row>
    <row r="50" spans="1:12">
      <c r="A50" s="218">
        <f>'Investment Plan'!A50</f>
        <v>5</v>
      </c>
      <c r="B50" s="218" t="str">
        <f>'Investment Plan'!B50</f>
        <v xml:space="preserve">Project Development Costs </v>
      </c>
      <c r="C50" s="218" t="s">
        <v>896</v>
      </c>
      <c r="D50" s="220" t="s">
        <v>311</v>
      </c>
      <c r="E50" s="220" t="s">
        <v>312</v>
      </c>
      <c r="F50" s="220" t="s">
        <v>313</v>
      </c>
      <c r="G50" s="220" t="s">
        <v>314</v>
      </c>
      <c r="H50" s="220" t="s">
        <v>315</v>
      </c>
      <c r="I50" s="220" t="s">
        <v>521</v>
      </c>
      <c r="J50" s="220" t="s">
        <v>661</v>
      </c>
      <c r="K50" s="220" t="s">
        <v>662</v>
      </c>
      <c r="L50" s="220" t="s">
        <v>316</v>
      </c>
    </row>
    <row r="51" spans="1:12">
      <c r="A51" s="134"/>
      <c r="B51" s="134" t="str">
        <f>'Investment Plan'!B51</f>
        <v xml:space="preserve">Project Management </v>
      </c>
      <c r="C51" s="752" t="s">
        <v>897</v>
      </c>
      <c r="D51" s="221">
        <f>'Investment Plan'!F51/5</f>
        <v>24000</v>
      </c>
      <c r="E51" s="221">
        <f>D51</f>
        <v>24000</v>
      </c>
      <c r="F51" s="221">
        <f t="shared" ref="F51:H51" si="11">E51</f>
        <v>24000</v>
      </c>
      <c r="G51" s="221">
        <f t="shared" si="11"/>
        <v>24000</v>
      </c>
      <c r="H51" s="221">
        <f t="shared" si="11"/>
        <v>24000</v>
      </c>
      <c r="I51" s="221"/>
      <c r="J51" s="221"/>
      <c r="K51" s="197"/>
      <c r="L51" s="231">
        <f t="shared" ref="L51:L58" si="12">SUM(D51:K51)</f>
        <v>120000</v>
      </c>
    </row>
    <row r="52" spans="1:12">
      <c r="A52" s="134"/>
      <c r="B52" s="134" t="str">
        <f>'Investment Plan'!B52</f>
        <v>Arch/Eng</v>
      </c>
      <c r="C52" s="753" t="s">
        <v>898</v>
      </c>
      <c r="D52" s="221">
        <f>'Investment Plan'!F52/5</f>
        <v>30660.914285714291</v>
      </c>
      <c r="E52" s="221">
        <f t="shared" ref="E52:H52" si="13">D52</f>
        <v>30660.914285714291</v>
      </c>
      <c r="F52" s="221">
        <f t="shared" si="13"/>
        <v>30660.914285714291</v>
      </c>
      <c r="G52" s="221">
        <f t="shared" si="13"/>
        <v>30660.914285714291</v>
      </c>
      <c r="H52" s="221">
        <f t="shared" si="13"/>
        <v>30660.914285714291</v>
      </c>
      <c r="I52" s="221"/>
      <c r="J52" s="221"/>
      <c r="K52" s="197"/>
      <c r="L52" s="231">
        <f t="shared" si="12"/>
        <v>153304.57142857145</v>
      </c>
    </row>
    <row r="53" spans="1:12">
      <c r="A53" s="134"/>
      <c r="B53" s="134" t="str">
        <f>'Investment Plan'!B53</f>
        <v>Training and Travel</v>
      </c>
      <c r="C53" s="207" t="s">
        <v>899</v>
      </c>
      <c r="D53" s="221">
        <f>'Investment Plan'!F53/5</f>
        <v>8000</v>
      </c>
      <c r="E53" s="221">
        <f t="shared" ref="E53:H53" si="14">D53</f>
        <v>8000</v>
      </c>
      <c r="F53" s="221">
        <f t="shared" si="14"/>
        <v>8000</v>
      </c>
      <c r="G53" s="221">
        <f t="shared" si="14"/>
        <v>8000</v>
      </c>
      <c r="H53" s="221">
        <f t="shared" si="14"/>
        <v>8000</v>
      </c>
      <c r="I53" s="221"/>
      <c r="J53" s="221"/>
      <c r="K53" s="197"/>
      <c r="L53" s="231">
        <f t="shared" si="12"/>
        <v>40000</v>
      </c>
    </row>
    <row r="54" spans="1:12">
      <c r="A54" s="134"/>
      <c r="B54" s="134" t="str">
        <f>'Investment Plan'!B54</f>
        <v>CRM/SAP systems</v>
      </c>
      <c r="C54" s="144" t="s">
        <v>900</v>
      </c>
      <c r="D54" s="221">
        <f>'Investment Plan'!F54/5</f>
        <v>6000</v>
      </c>
      <c r="E54" s="221">
        <f t="shared" ref="E54:H54" si="15">D54</f>
        <v>6000</v>
      </c>
      <c r="F54" s="221">
        <f t="shared" si="15"/>
        <v>6000</v>
      </c>
      <c r="G54" s="221">
        <f t="shared" si="15"/>
        <v>6000</v>
      </c>
      <c r="H54" s="221">
        <f t="shared" si="15"/>
        <v>6000</v>
      </c>
      <c r="I54" s="221"/>
      <c r="J54" s="221"/>
      <c r="K54" s="197"/>
      <c r="L54" s="231">
        <f t="shared" si="12"/>
        <v>30000</v>
      </c>
    </row>
    <row r="55" spans="1:12">
      <c r="A55" s="134"/>
      <c r="B55" s="134" t="str">
        <f>'Investment Plan'!B55</f>
        <v>Office and office equipment set up costs</v>
      </c>
      <c r="C55" s="144" t="s">
        <v>901</v>
      </c>
      <c r="D55" s="221">
        <f>'Investment Plan'!F55/5</f>
        <v>5000</v>
      </c>
      <c r="E55" s="221">
        <f t="shared" ref="E55:H55" si="16">D55</f>
        <v>5000</v>
      </c>
      <c r="F55" s="221">
        <f t="shared" si="16"/>
        <v>5000</v>
      </c>
      <c r="G55" s="221">
        <f t="shared" si="16"/>
        <v>5000</v>
      </c>
      <c r="H55" s="221">
        <f t="shared" si="16"/>
        <v>5000</v>
      </c>
      <c r="I55" s="221"/>
      <c r="J55" s="221"/>
      <c r="K55" s="197"/>
      <c r="L55" s="231">
        <f t="shared" si="12"/>
        <v>25000</v>
      </c>
    </row>
    <row r="56" spans="1:12">
      <c r="A56" s="134"/>
      <c r="B56" s="134" t="str">
        <f>'Investment Plan'!B56</f>
        <v>Legal Costs</v>
      </c>
      <c r="C56" s="144" t="s">
        <v>902</v>
      </c>
      <c r="D56" s="221">
        <f>'Investment Plan'!F56/5</f>
        <v>4000</v>
      </c>
      <c r="E56" s="221">
        <f t="shared" ref="E56:H56" si="17">D56</f>
        <v>4000</v>
      </c>
      <c r="F56" s="221">
        <f t="shared" si="17"/>
        <v>4000</v>
      </c>
      <c r="G56" s="221">
        <f t="shared" si="17"/>
        <v>4000</v>
      </c>
      <c r="H56" s="221">
        <f t="shared" si="17"/>
        <v>4000</v>
      </c>
      <c r="I56" s="221"/>
      <c r="J56" s="221"/>
      <c r="K56" s="197"/>
      <c r="L56" s="231">
        <f t="shared" si="12"/>
        <v>20000</v>
      </c>
    </row>
    <row r="57" spans="1:12">
      <c r="A57" s="134"/>
      <c r="B57" s="134" t="str">
        <f>'Investment Plan'!B57</f>
        <v>Procomer fee</v>
      </c>
      <c r="C57" s="144" t="s">
        <v>903</v>
      </c>
      <c r="D57" s="221">
        <f>'Investment Plan'!F57/5</f>
        <v>3000</v>
      </c>
      <c r="E57" s="221">
        <f t="shared" ref="E57:H57" si="18">D57</f>
        <v>3000</v>
      </c>
      <c r="F57" s="221">
        <f t="shared" si="18"/>
        <v>3000</v>
      </c>
      <c r="G57" s="221">
        <f t="shared" si="18"/>
        <v>3000</v>
      </c>
      <c r="H57" s="221">
        <f t="shared" si="18"/>
        <v>3000</v>
      </c>
      <c r="I57" s="221"/>
      <c r="J57" s="221"/>
      <c r="K57" s="197"/>
      <c r="L57" s="231">
        <f t="shared" si="12"/>
        <v>15000</v>
      </c>
    </row>
    <row r="58" spans="1:12">
      <c r="A58" s="134"/>
      <c r="B58" s="134" t="str">
        <f>'Investment Plan'!B58</f>
        <v>Land Option</v>
      </c>
      <c r="C58" s="144" t="s">
        <v>904</v>
      </c>
      <c r="D58" s="223">
        <f>'Investment Plan'!F58/5</f>
        <v>2000</v>
      </c>
      <c r="E58" s="223">
        <f t="shared" ref="E58:H58" si="19">D58</f>
        <v>2000</v>
      </c>
      <c r="F58" s="223">
        <f t="shared" si="19"/>
        <v>2000</v>
      </c>
      <c r="G58" s="223">
        <f t="shared" si="19"/>
        <v>2000</v>
      </c>
      <c r="H58" s="223">
        <f t="shared" si="19"/>
        <v>2000</v>
      </c>
      <c r="I58" s="223"/>
      <c r="J58" s="223"/>
      <c r="K58" s="200"/>
      <c r="L58" s="232">
        <f t="shared" si="12"/>
        <v>10000</v>
      </c>
    </row>
    <row r="59" spans="1:12">
      <c r="A59" s="134"/>
      <c r="B59" s="224" t="s">
        <v>322</v>
      </c>
      <c r="C59" s="224"/>
      <c r="D59" s="225">
        <f t="shared" ref="D59:L59" si="20">SUM(D51:D58)</f>
        <v>82660.914285714287</v>
      </c>
      <c r="E59" s="225">
        <f t="shared" si="20"/>
        <v>82660.914285714287</v>
      </c>
      <c r="F59" s="225">
        <f t="shared" si="20"/>
        <v>82660.914285714287</v>
      </c>
      <c r="G59" s="225">
        <f t="shared" si="20"/>
        <v>82660.914285714287</v>
      </c>
      <c r="H59" s="225">
        <f t="shared" si="20"/>
        <v>82660.914285714287</v>
      </c>
      <c r="I59" s="225">
        <f t="shared" si="20"/>
        <v>0</v>
      </c>
      <c r="J59" s="225">
        <f t="shared" si="20"/>
        <v>0</v>
      </c>
      <c r="K59" s="225">
        <f t="shared" si="20"/>
        <v>0</v>
      </c>
      <c r="L59" s="225">
        <f t="shared" si="20"/>
        <v>413304.57142857148</v>
      </c>
    </row>
    <row r="60" spans="1:12" ht="15.75" thickBot="1">
      <c r="A60" s="134"/>
      <c r="B60" s="134"/>
      <c r="C60" s="134"/>
      <c r="D60" s="226"/>
      <c r="E60" s="226"/>
      <c r="F60" s="226"/>
      <c r="G60" s="226"/>
      <c r="H60" s="226"/>
      <c r="I60" s="226"/>
      <c r="J60" s="226"/>
      <c r="K60" s="135"/>
      <c r="L60" s="233"/>
    </row>
    <row r="61" spans="1:12">
      <c r="A61" s="218">
        <f>'Investment Plan'!A61</f>
        <v>6</v>
      </c>
      <c r="B61" s="218" t="str">
        <f>'Investment Plan'!B61</f>
        <v>Lube Centers</v>
      </c>
      <c r="C61" s="745" t="s">
        <v>763</v>
      </c>
      <c r="D61" s="220" t="s">
        <v>311</v>
      </c>
      <c r="E61" s="220" t="s">
        <v>312</v>
      </c>
      <c r="F61" s="220" t="s">
        <v>313</v>
      </c>
      <c r="G61" s="220" t="s">
        <v>314</v>
      </c>
      <c r="H61" s="220" t="s">
        <v>315</v>
      </c>
      <c r="I61" s="220" t="s">
        <v>521</v>
      </c>
      <c r="J61" s="220" t="s">
        <v>661</v>
      </c>
      <c r="K61" s="220" t="s">
        <v>662</v>
      </c>
      <c r="L61" s="220" t="s">
        <v>316</v>
      </c>
    </row>
    <row r="62" spans="1:12">
      <c r="A62" s="235"/>
      <c r="B62" s="235" t="str">
        <f>'Investment Plan'!B62</f>
        <v>PR and Marketing</v>
      </c>
      <c r="C62" s="144" t="s">
        <v>905</v>
      </c>
      <c r="D62" s="230">
        <f>'Investment Plan'!F62/5</f>
        <v>74000</v>
      </c>
      <c r="E62" s="230">
        <f>D62</f>
        <v>74000</v>
      </c>
      <c r="F62" s="230">
        <f t="shared" ref="F62:H62" si="21">E62</f>
        <v>74000</v>
      </c>
      <c r="G62" s="230">
        <f t="shared" si="21"/>
        <v>74000</v>
      </c>
      <c r="H62" s="230">
        <f t="shared" si="21"/>
        <v>74000</v>
      </c>
      <c r="I62" s="230"/>
      <c r="J62" s="230"/>
      <c r="K62" s="230"/>
      <c r="L62" s="231">
        <f t="shared" ref="L62:L65" si="22">SUM(D62:K62)</f>
        <v>370000</v>
      </c>
    </row>
    <row r="63" spans="1:12">
      <c r="A63" s="235"/>
      <c r="B63" s="235" t="str">
        <f>'Investment Plan'!B63</f>
        <v>Renovations</v>
      </c>
      <c r="C63" s="144" t="s">
        <v>906</v>
      </c>
      <c r="D63" s="230">
        <f>'Investment Plan'!F63/5</f>
        <v>16000</v>
      </c>
      <c r="E63" s="230">
        <f t="shared" ref="E63:H63" si="23">D63</f>
        <v>16000</v>
      </c>
      <c r="F63" s="230">
        <f t="shared" si="23"/>
        <v>16000</v>
      </c>
      <c r="G63" s="230">
        <f t="shared" si="23"/>
        <v>16000</v>
      </c>
      <c r="H63" s="230">
        <f t="shared" si="23"/>
        <v>16000</v>
      </c>
      <c r="I63" s="230"/>
      <c r="J63" s="230"/>
      <c r="K63" s="230"/>
      <c r="L63" s="231">
        <f t="shared" si="22"/>
        <v>80000</v>
      </c>
    </row>
    <row r="64" spans="1:12">
      <c r="A64" s="235"/>
      <c r="B64" s="235" t="str">
        <f>'Investment Plan'!B64</f>
        <v>Equipment</v>
      </c>
      <c r="C64" s="144" t="s">
        <v>907</v>
      </c>
      <c r="D64" s="230">
        <f>'Investment Plan'!F64/5</f>
        <v>12000</v>
      </c>
      <c r="E64" s="230">
        <f t="shared" ref="E64:H64" si="24">D64</f>
        <v>12000</v>
      </c>
      <c r="F64" s="230">
        <f t="shared" si="24"/>
        <v>12000</v>
      </c>
      <c r="G64" s="230">
        <f t="shared" si="24"/>
        <v>12000</v>
      </c>
      <c r="H64" s="230">
        <f t="shared" si="24"/>
        <v>12000</v>
      </c>
      <c r="I64" s="230"/>
      <c r="J64" s="230"/>
      <c r="K64" s="230"/>
      <c r="L64" s="231">
        <f t="shared" si="22"/>
        <v>60000</v>
      </c>
    </row>
    <row r="65" spans="1:13">
      <c r="A65" s="235"/>
      <c r="B65" s="235" t="str">
        <f>'Investment Plan'!B65</f>
        <v>Working Capital</v>
      </c>
      <c r="C65" s="144" t="s">
        <v>908</v>
      </c>
      <c r="D65" s="232">
        <f>'Investment Plan'!F65/5</f>
        <v>20000</v>
      </c>
      <c r="E65" s="232">
        <f t="shared" ref="E65:H65" si="25">D65</f>
        <v>20000</v>
      </c>
      <c r="F65" s="232">
        <f t="shared" si="25"/>
        <v>20000</v>
      </c>
      <c r="G65" s="232">
        <f t="shared" si="25"/>
        <v>20000</v>
      </c>
      <c r="H65" s="232">
        <f t="shared" si="25"/>
        <v>20000</v>
      </c>
      <c r="I65" s="232"/>
      <c r="J65" s="232"/>
      <c r="K65" s="232"/>
      <c r="L65" s="232">
        <f t="shared" si="22"/>
        <v>100000</v>
      </c>
    </row>
    <row r="66" spans="1:13">
      <c r="A66" s="134"/>
      <c r="B66" s="224" t="s">
        <v>322</v>
      </c>
      <c r="C66" s="224"/>
      <c r="D66" s="225">
        <f>SUM(D62:D65)</f>
        <v>122000</v>
      </c>
      <c r="E66" s="225">
        <f t="shared" ref="E66:L66" si="26">SUM(E62:E65)</f>
        <v>122000</v>
      </c>
      <c r="F66" s="225">
        <f t="shared" si="26"/>
        <v>122000</v>
      </c>
      <c r="G66" s="225">
        <f t="shared" si="26"/>
        <v>122000</v>
      </c>
      <c r="H66" s="225">
        <f t="shared" si="26"/>
        <v>122000</v>
      </c>
      <c r="I66" s="225">
        <f t="shared" si="26"/>
        <v>0</v>
      </c>
      <c r="J66" s="225">
        <f t="shared" si="26"/>
        <v>0</v>
      </c>
      <c r="K66" s="225">
        <f t="shared" si="26"/>
        <v>0</v>
      </c>
      <c r="L66" s="225">
        <f t="shared" si="26"/>
        <v>610000</v>
      </c>
    </row>
    <row r="67" spans="1:13">
      <c r="A67" s="134"/>
      <c r="B67" s="134"/>
      <c r="C67" s="134"/>
      <c r="D67" s="134"/>
      <c r="E67" s="134"/>
      <c r="F67" s="134"/>
      <c r="G67" s="134"/>
      <c r="H67" s="134"/>
      <c r="I67" s="134"/>
      <c r="J67" s="134"/>
      <c r="K67" s="134"/>
      <c r="L67" s="134"/>
    </row>
    <row r="68" spans="1:13">
      <c r="A68" s="134"/>
      <c r="B68" s="224" t="s">
        <v>322</v>
      </c>
      <c r="C68" s="224"/>
      <c r="D68" s="236">
        <f t="shared" ref="D68:L68" si="27">D18+D24+D34+D48+D59+D66</f>
        <v>3062660.9142857143</v>
      </c>
      <c r="E68" s="236">
        <f t="shared" si="27"/>
        <v>487660.91428571427</v>
      </c>
      <c r="F68" s="236">
        <f t="shared" si="27"/>
        <v>2894877.5809523808</v>
      </c>
      <c r="G68" s="236">
        <f t="shared" si="27"/>
        <v>3583210.9142857143</v>
      </c>
      <c r="H68" s="236">
        <f t="shared" si="27"/>
        <v>2431544.2476190473</v>
      </c>
      <c r="I68" s="236">
        <f t="shared" si="27"/>
        <v>0</v>
      </c>
      <c r="J68" s="236">
        <f t="shared" si="27"/>
        <v>0</v>
      </c>
      <c r="K68" s="236">
        <f t="shared" si="27"/>
        <v>0</v>
      </c>
      <c r="L68" s="236">
        <f t="shared" si="27"/>
        <v>12459954.571428571</v>
      </c>
      <c r="M68" s="216"/>
    </row>
    <row r="69" spans="1:13">
      <c r="A69" s="134"/>
      <c r="B69" s="135" t="s">
        <v>644</v>
      </c>
      <c r="C69" s="135" t="s">
        <v>920</v>
      </c>
      <c r="D69" s="223">
        <f>D94</f>
        <v>325000</v>
      </c>
      <c r="E69" s="223">
        <f t="shared" ref="E69:K69" si="28">E94</f>
        <v>200000</v>
      </c>
      <c r="F69" s="223">
        <f t="shared" si="28"/>
        <v>260000</v>
      </c>
      <c r="G69" s="223">
        <f t="shared" si="28"/>
        <v>345600</v>
      </c>
      <c r="H69" s="223">
        <f t="shared" si="28"/>
        <v>340000</v>
      </c>
      <c r="I69" s="223">
        <f t="shared" si="28"/>
        <v>0</v>
      </c>
      <c r="J69" s="223">
        <f t="shared" si="28"/>
        <v>0</v>
      </c>
      <c r="K69" s="223">
        <f t="shared" si="28"/>
        <v>0</v>
      </c>
      <c r="L69" s="200">
        <f>SUM(B69:K69)</f>
        <v>1470600</v>
      </c>
    </row>
    <row r="70" spans="1:13">
      <c r="A70" s="134"/>
      <c r="B70" s="224" t="s">
        <v>326</v>
      </c>
      <c r="C70" s="224" t="s">
        <v>921</v>
      </c>
      <c r="D70" s="236">
        <f>SUM(D68:D69)</f>
        <v>3387660.9142857143</v>
      </c>
      <c r="E70" s="236">
        <f t="shared" ref="E70:L70" si="29">SUM(E68:E69)</f>
        <v>687660.91428571427</v>
      </c>
      <c r="F70" s="236">
        <f t="shared" si="29"/>
        <v>3154877.5809523808</v>
      </c>
      <c r="G70" s="236">
        <f t="shared" si="29"/>
        <v>3928810.9142857143</v>
      </c>
      <c r="H70" s="236">
        <f t="shared" si="29"/>
        <v>2771544.2476190473</v>
      </c>
      <c r="I70" s="236">
        <f t="shared" si="29"/>
        <v>0</v>
      </c>
      <c r="J70" s="236">
        <f t="shared" si="29"/>
        <v>0</v>
      </c>
      <c r="K70" s="236">
        <f t="shared" si="29"/>
        <v>0</v>
      </c>
      <c r="L70" s="236">
        <f t="shared" si="29"/>
        <v>13930554.571428571</v>
      </c>
      <c r="M70" s="216"/>
    </row>
    <row r="71" spans="1:13">
      <c r="A71" s="134"/>
      <c r="B71" s="234" t="s">
        <v>327</v>
      </c>
      <c r="C71" s="234" t="s">
        <v>922</v>
      </c>
      <c r="D71" s="197">
        <f>D70</f>
        <v>3387660.9142857143</v>
      </c>
      <c r="E71" s="197">
        <f>E70+D71</f>
        <v>4075321.8285714285</v>
      </c>
      <c r="F71" s="197">
        <f t="shared" ref="F71:K71" si="30">F70+E71</f>
        <v>7230199.4095238093</v>
      </c>
      <c r="G71" s="197">
        <f t="shared" si="30"/>
        <v>11159010.323809523</v>
      </c>
      <c r="H71" s="197">
        <f t="shared" si="30"/>
        <v>13930554.571428571</v>
      </c>
      <c r="I71" s="197">
        <f t="shared" si="30"/>
        <v>13930554.571428571</v>
      </c>
      <c r="J71" s="197">
        <f t="shared" si="30"/>
        <v>13930554.571428571</v>
      </c>
      <c r="K71" s="197">
        <f t="shared" si="30"/>
        <v>13930554.571428571</v>
      </c>
      <c r="L71" s="197"/>
      <c r="M71" s="216"/>
    </row>
    <row r="72" spans="1:13">
      <c r="A72" s="134"/>
      <c r="B72" s="234"/>
      <c r="C72" s="234"/>
      <c r="D72" s="197"/>
      <c r="E72" s="197"/>
      <c r="F72" s="197"/>
      <c r="G72" s="197"/>
      <c r="H72" s="197"/>
      <c r="I72" s="197"/>
      <c r="J72" s="197"/>
      <c r="K72" s="197"/>
      <c r="L72" s="197"/>
      <c r="M72" s="216"/>
    </row>
    <row r="73" spans="1:13">
      <c r="A73" s="218"/>
      <c r="B73" s="218" t="s">
        <v>330</v>
      </c>
      <c r="C73" s="218"/>
      <c r="D73" s="220" t="s">
        <v>311</v>
      </c>
      <c r="E73" s="220" t="s">
        <v>312</v>
      </c>
      <c r="F73" s="220" t="s">
        <v>313</v>
      </c>
      <c r="G73" s="220" t="s">
        <v>314</v>
      </c>
      <c r="H73" s="220" t="s">
        <v>315</v>
      </c>
      <c r="I73" s="220" t="s">
        <v>521</v>
      </c>
      <c r="J73" s="220" t="s">
        <v>661</v>
      </c>
      <c r="K73" s="220" t="s">
        <v>662</v>
      </c>
      <c r="L73" s="220" t="s">
        <v>316</v>
      </c>
    </row>
    <row r="74" spans="1:13">
      <c r="A74" s="134"/>
      <c r="B74" s="135" t="s">
        <v>164</v>
      </c>
      <c r="C74" s="135" t="s">
        <v>164</v>
      </c>
      <c r="D74" s="197"/>
      <c r="E74" s="197"/>
      <c r="F74" s="197"/>
      <c r="G74" s="197"/>
      <c r="H74" s="197"/>
      <c r="I74" s="197"/>
      <c r="J74" s="197"/>
      <c r="K74" s="197"/>
      <c r="L74" s="197"/>
    </row>
    <row r="75" spans="1:13">
      <c r="A75" s="134"/>
      <c r="B75" s="135" t="s">
        <v>158</v>
      </c>
      <c r="C75" s="135" t="s">
        <v>923</v>
      </c>
      <c r="D75" s="197">
        <v>3000000</v>
      </c>
      <c r="E75" s="197">
        <v>0</v>
      </c>
      <c r="F75" s="197">
        <v>0</v>
      </c>
      <c r="G75" s="197"/>
      <c r="H75" s="197"/>
      <c r="I75" s="197"/>
      <c r="J75" s="197"/>
      <c r="K75" s="197"/>
      <c r="L75" s="197">
        <f>SUM(D75:K75)</f>
        <v>3000000</v>
      </c>
    </row>
    <row r="76" spans="1:13">
      <c r="A76" s="134"/>
      <c r="B76" s="135" t="s">
        <v>159</v>
      </c>
      <c r="C76" s="135" t="s">
        <v>924</v>
      </c>
      <c r="D76" s="200">
        <f>D70-D75</f>
        <v>387660.91428571427</v>
      </c>
      <c r="E76" s="200">
        <f>E70</f>
        <v>687660.91428571427</v>
      </c>
      <c r="F76" s="200">
        <f t="shared" ref="F76:I76" si="31">F70-F75</f>
        <v>3154877.5809523808</v>
      </c>
      <c r="G76" s="200">
        <f t="shared" si="31"/>
        <v>3928810.9142857143</v>
      </c>
      <c r="H76" s="200">
        <f t="shared" si="31"/>
        <v>2771544.2476190473</v>
      </c>
      <c r="I76" s="200">
        <f t="shared" si="31"/>
        <v>0</v>
      </c>
      <c r="J76" s="200"/>
      <c r="K76" s="200"/>
      <c r="L76" s="200">
        <f>SUM(D76:K76)</f>
        <v>10930554.571428571</v>
      </c>
    </row>
    <row r="77" spans="1:13">
      <c r="A77" s="134"/>
      <c r="B77" s="224" t="s">
        <v>26</v>
      </c>
      <c r="C77" s="224" t="s">
        <v>26</v>
      </c>
      <c r="D77" s="236">
        <f>SUM(D74:D76)</f>
        <v>3387660.9142857143</v>
      </c>
      <c r="E77" s="236">
        <f t="shared" ref="E77" si="32">SUM(E74:E76)</f>
        <v>687660.91428571427</v>
      </c>
      <c r="F77" s="236">
        <f t="shared" ref="F77" si="33">SUM(F74:F76)</f>
        <v>3154877.5809523808</v>
      </c>
      <c r="G77" s="236">
        <f t="shared" ref="G77" si="34">SUM(G74:G76)</f>
        <v>3928810.9142857143</v>
      </c>
      <c r="H77" s="236">
        <f t="shared" ref="H77" si="35">SUM(H74:H76)</f>
        <v>2771544.2476190473</v>
      </c>
      <c r="I77" s="236">
        <f t="shared" ref="I77" si="36">SUM(I74:I76)</f>
        <v>0</v>
      </c>
      <c r="J77" s="236">
        <f t="shared" ref="J77" si="37">SUM(J74:J76)</f>
        <v>0</v>
      </c>
      <c r="K77" s="236">
        <f t="shared" ref="K77" si="38">SUM(K74:K76)</f>
        <v>0</v>
      </c>
      <c r="L77" s="236">
        <f>SUM(L74:L76)</f>
        <v>13930554.571428571</v>
      </c>
    </row>
    <row r="78" spans="1:13">
      <c r="A78" s="134"/>
      <c r="B78" s="224" t="s">
        <v>327</v>
      </c>
      <c r="C78" s="224" t="s">
        <v>922</v>
      </c>
      <c r="D78" s="238">
        <f>D77</f>
        <v>3387660.9142857143</v>
      </c>
      <c r="E78" s="238">
        <f>E77+D78</f>
        <v>4075321.8285714285</v>
      </c>
      <c r="F78" s="238">
        <f t="shared" ref="F78:K78" si="39">F77+E78</f>
        <v>7230199.4095238093</v>
      </c>
      <c r="G78" s="238">
        <f t="shared" si="39"/>
        <v>11159010.323809523</v>
      </c>
      <c r="H78" s="238">
        <f t="shared" si="39"/>
        <v>13930554.571428571</v>
      </c>
      <c r="I78" s="238">
        <f t="shared" si="39"/>
        <v>13930554.571428571</v>
      </c>
      <c r="J78" s="238">
        <f t="shared" si="39"/>
        <v>13930554.571428571</v>
      </c>
      <c r="K78" s="238">
        <f t="shared" si="39"/>
        <v>13930554.571428571</v>
      </c>
      <c r="L78" s="238"/>
    </row>
    <row r="79" spans="1:13">
      <c r="A79" s="134"/>
      <c r="B79" s="234"/>
      <c r="C79" s="234"/>
      <c r="D79" s="237"/>
      <c r="E79" s="237"/>
      <c r="F79" s="237"/>
      <c r="G79" s="237"/>
      <c r="H79" s="237"/>
      <c r="I79" s="237"/>
      <c r="J79" s="237"/>
      <c r="K79" s="237"/>
      <c r="L79" s="237"/>
    </row>
    <row r="80" spans="1:13">
      <c r="A80" s="134"/>
      <c r="B80" s="234" t="s">
        <v>328</v>
      </c>
      <c r="C80" s="234" t="s">
        <v>925</v>
      </c>
      <c r="D80" s="237">
        <f>D78-D71</f>
        <v>0</v>
      </c>
      <c r="E80" s="237">
        <f t="shared" ref="E80:K80" si="40">E78-E71</f>
        <v>0</v>
      </c>
      <c r="F80" s="237">
        <f t="shared" si="40"/>
        <v>0</v>
      </c>
      <c r="G80" s="237">
        <f t="shared" si="40"/>
        <v>0</v>
      </c>
      <c r="H80" s="237">
        <f t="shared" si="40"/>
        <v>0</v>
      </c>
      <c r="I80" s="237">
        <f t="shared" si="40"/>
        <v>0</v>
      </c>
      <c r="J80" s="237">
        <f t="shared" si="40"/>
        <v>0</v>
      </c>
      <c r="K80" s="237">
        <f t="shared" si="40"/>
        <v>0</v>
      </c>
      <c r="L80" s="237"/>
    </row>
    <row r="81" spans="1:12">
      <c r="B81" s="217"/>
      <c r="C81" s="217"/>
      <c r="D81" s="73"/>
      <c r="E81" s="242"/>
      <c r="F81" s="73"/>
      <c r="G81" s="73"/>
      <c r="H81" s="73"/>
      <c r="I81" s="73"/>
      <c r="J81" s="73"/>
      <c r="K81" s="73"/>
      <c r="L81" s="73"/>
    </row>
    <row r="82" spans="1:12">
      <c r="A82" s="73"/>
      <c r="B82" s="219" t="s">
        <v>329</v>
      </c>
      <c r="C82" s="219" t="s">
        <v>927</v>
      </c>
      <c r="D82" s="220" t="s">
        <v>311</v>
      </c>
      <c r="E82" s="220" t="s">
        <v>312</v>
      </c>
      <c r="F82" s="220" t="s">
        <v>313</v>
      </c>
      <c r="G82" s="220" t="s">
        <v>314</v>
      </c>
      <c r="H82" s="220" t="s">
        <v>315</v>
      </c>
      <c r="I82" s="220" t="s">
        <v>521</v>
      </c>
      <c r="J82" s="220" t="s">
        <v>661</v>
      </c>
      <c r="K82" s="220" t="s">
        <v>662</v>
      </c>
      <c r="L82" s="220" t="s">
        <v>316</v>
      </c>
    </row>
    <row r="83" spans="1:12">
      <c r="A83" s="73"/>
      <c r="B83" s="609"/>
      <c r="C83" s="609"/>
      <c r="D83" s="610"/>
      <c r="E83" s="610"/>
      <c r="F83" s="610"/>
      <c r="G83" s="610"/>
      <c r="H83" s="610"/>
      <c r="I83" s="610"/>
      <c r="J83" s="610"/>
      <c r="K83" s="610"/>
      <c r="L83" s="610"/>
    </row>
    <row r="84" spans="1:12">
      <c r="A84" s="73"/>
      <c r="B84" s="241" t="s">
        <v>571</v>
      </c>
      <c r="C84" s="241" t="s">
        <v>926</v>
      </c>
      <c r="D84" s="237"/>
      <c r="E84" s="237">
        <v>93000</v>
      </c>
      <c r="F84" s="237"/>
      <c r="G84" s="237"/>
      <c r="H84" s="237"/>
      <c r="I84" s="237"/>
      <c r="J84" s="237"/>
      <c r="K84" s="237"/>
      <c r="L84" s="197">
        <f>SUM(E84:K84)</f>
        <v>93000</v>
      </c>
    </row>
    <row r="85" spans="1:12">
      <c r="A85" s="73"/>
      <c r="B85" s="241" t="s">
        <v>639</v>
      </c>
      <c r="C85" s="241" t="s">
        <v>928</v>
      </c>
      <c r="D85" s="237">
        <f>D75*0.08</f>
        <v>240000</v>
      </c>
      <c r="E85" s="237">
        <f>E75*0.05</f>
        <v>0</v>
      </c>
      <c r="F85" s="237">
        <f t="shared" ref="F85:H85" si="41">F75*0.05</f>
        <v>0</v>
      </c>
      <c r="G85" s="237">
        <f t="shared" si="41"/>
        <v>0</v>
      </c>
      <c r="H85" s="237">
        <f t="shared" si="41"/>
        <v>0</v>
      </c>
      <c r="I85" s="237">
        <f t="shared" ref="I85:K85" si="42">I76*1%</f>
        <v>0</v>
      </c>
      <c r="J85" s="237">
        <f t="shared" si="42"/>
        <v>0</v>
      </c>
      <c r="K85" s="237">
        <f t="shared" si="42"/>
        <v>0</v>
      </c>
      <c r="L85" s="197">
        <f>SUM(D85:K85)</f>
        <v>240000</v>
      </c>
    </row>
    <row r="86" spans="1:12">
      <c r="A86" s="73"/>
      <c r="B86" s="241" t="s">
        <v>640</v>
      </c>
      <c r="C86" s="241" t="s">
        <v>929</v>
      </c>
      <c r="D86" s="237">
        <f>D76*0.04</f>
        <v>15506.43657142857</v>
      </c>
      <c r="E86" s="237">
        <f t="shared" ref="E86:H86" si="43">E76*0.04</f>
        <v>27506.43657142857</v>
      </c>
      <c r="F86" s="237">
        <f t="shared" si="43"/>
        <v>126195.10323809524</v>
      </c>
      <c r="G86" s="237">
        <f t="shared" si="43"/>
        <v>157152.43657142858</v>
      </c>
      <c r="H86" s="237">
        <f t="shared" si="43"/>
        <v>110861.7699047619</v>
      </c>
      <c r="I86" s="237">
        <f t="shared" ref="I86" si="44">I76*0.03</f>
        <v>0</v>
      </c>
      <c r="J86" s="237"/>
      <c r="K86" s="237"/>
      <c r="L86" s="197">
        <f>SUM(D86:K86)</f>
        <v>437222.18285714288</v>
      </c>
    </row>
    <row r="87" spans="1:12">
      <c r="A87" s="73"/>
      <c r="B87" s="134" t="s">
        <v>331</v>
      </c>
      <c r="C87" s="134" t="s">
        <v>930</v>
      </c>
      <c r="D87" s="73"/>
      <c r="E87" s="73"/>
      <c r="F87" s="73"/>
      <c r="G87" s="73"/>
      <c r="H87" s="73"/>
      <c r="I87" s="73"/>
      <c r="J87" s="73"/>
      <c r="K87" s="73"/>
      <c r="L87" s="73"/>
    </row>
    <row r="88" spans="1:12">
      <c r="A88" s="73"/>
      <c r="B88" s="640" t="s">
        <v>332</v>
      </c>
      <c r="C88" s="640" t="s">
        <v>931</v>
      </c>
      <c r="D88" s="237">
        <f>D76</f>
        <v>387660.91428571427</v>
      </c>
      <c r="E88" s="237">
        <f>E76+D76</f>
        <v>1075321.8285714285</v>
      </c>
      <c r="F88" s="237">
        <f>F76+E88</f>
        <v>4230199.4095238093</v>
      </c>
      <c r="G88" s="237">
        <f>G76+F88</f>
        <v>8159010.3238095231</v>
      </c>
      <c r="H88" s="237">
        <f>H76+G88</f>
        <v>10930554.571428571</v>
      </c>
      <c r="I88" s="237"/>
      <c r="J88" s="237"/>
      <c r="K88" s="237"/>
      <c r="L88" s="237"/>
    </row>
    <row r="89" spans="1:12">
      <c r="A89" s="73"/>
      <c r="B89" s="241" t="s">
        <v>651</v>
      </c>
      <c r="C89" s="241" t="s">
        <v>932</v>
      </c>
      <c r="D89" s="237">
        <f>D88*Offering!$C$23*3/12</f>
        <v>5814.9137142857135</v>
      </c>
      <c r="E89" s="237">
        <f>E88*Offering!$C$23*3/12</f>
        <v>16129.827428571427</v>
      </c>
      <c r="F89" s="237">
        <f>F88*Offering!$C$23*3/12</f>
        <v>63452.991142857143</v>
      </c>
      <c r="G89" s="237">
        <f>G88*Offering!$C$23*3/12</f>
        <v>122385.15485714284</v>
      </c>
      <c r="H89" s="237">
        <f>H88*Offering!$C$23*3/12</f>
        <v>163958.31857142856</v>
      </c>
      <c r="I89" s="237">
        <f>I88*Offering!$C$23*3/12</f>
        <v>0</v>
      </c>
      <c r="J89" s="237">
        <f>J88*Offering!$C$23*3/12</f>
        <v>0</v>
      </c>
      <c r="K89" s="237">
        <f>K88*Offering!$C$23*3/12</f>
        <v>0</v>
      </c>
      <c r="L89" s="197">
        <f>SUM(D89:K89)</f>
        <v>371741.20571428572</v>
      </c>
    </row>
    <row r="90" spans="1:12">
      <c r="A90" s="73"/>
      <c r="B90" s="640" t="s">
        <v>652</v>
      </c>
      <c r="C90" s="640" t="s">
        <v>933</v>
      </c>
      <c r="D90" s="237">
        <v>2000000</v>
      </c>
      <c r="E90" s="237">
        <f>D90+E75</f>
        <v>2000000</v>
      </c>
      <c r="F90" s="237">
        <v>2000000</v>
      </c>
      <c r="G90" s="237">
        <f>F90</f>
        <v>2000000</v>
      </c>
      <c r="H90" s="237">
        <f>G90</f>
        <v>2000000</v>
      </c>
      <c r="I90" s="237"/>
      <c r="J90" s="237"/>
      <c r="K90" s="237"/>
      <c r="L90" s="197"/>
    </row>
    <row r="91" spans="1:12">
      <c r="A91" s="73"/>
      <c r="B91" s="234" t="s">
        <v>650</v>
      </c>
      <c r="C91" s="234" t="s">
        <v>934</v>
      </c>
      <c r="D91" s="197">
        <f>D90*0.12*3/12</f>
        <v>60000</v>
      </c>
      <c r="E91" s="197">
        <f t="shared" ref="E91:H91" si="45">E90*0.12*3/12</f>
        <v>60000</v>
      </c>
      <c r="F91" s="197">
        <f t="shared" si="45"/>
        <v>60000</v>
      </c>
      <c r="G91" s="197">
        <f t="shared" si="45"/>
        <v>60000</v>
      </c>
      <c r="H91" s="197">
        <f t="shared" si="45"/>
        <v>60000</v>
      </c>
      <c r="I91" s="197"/>
      <c r="J91" s="197"/>
      <c r="K91" s="197"/>
      <c r="L91" s="197">
        <f>SUM(E91:K91)</f>
        <v>240000</v>
      </c>
    </row>
    <row r="92" spans="1:12">
      <c r="A92" s="73"/>
      <c r="B92" s="449" t="s">
        <v>1141</v>
      </c>
      <c r="C92" s="449" t="s">
        <v>1141</v>
      </c>
      <c r="D92" s="200">
        <v>10000</v>
      </c>
      <c r="E92" s="200">
        <v>10000</v>
      </c>
      <c r="F92" s="200">
        <v>10000</v>
      </c>
      <c r="G92" s="200">
        <v>10000</v>
      </c>
      <c r="H92" s="200">
        <v>10000</v>
      </c>
      <c r="I92" s="200"/>
      <c r="J92" s="200"/>
      <c r="K92" s="200"/>
      <c r="L92" s="200"/>
    </row>
    <row r="93" spans="1:12">
      <c r="A93" s="73"/>
      <c r="B93" s="134" t="s">
        <v>333</v>
      </c>
      <c r="C93" s="134" t="s">
        <v>935</v>
      </c>
      <c r="D93" s="237">
        <f>D85+D89+D86+D84+D91+D92</f>
        <v>331321.35028571426</v>
      </c>
      <c r="E93" s="237">
        <f t="shared" ref="E93:H93" si="46">E85+E89+E86+E84+E91+E92</f>
        <v>206636.264</v>
      </c>
      <c r="F93" s="237">
        <f t="shared" si="46"/>
        <v>259648.09438095239</v>
      </c>
      <c r="G93" s="237">
        <f t="shared" si="46"/>
        <v>349537.59142857144</v>
      </c>
      <c r="H93" s="237">
        <f t="shared" si="46"/>
        <v>344820.08847619046</v>
      </c>
      <c r="I93" s="237">
        <f t="shared" ref="I93" si="47">I85+I89+I86+I84+I91</f>
        <v>0</v>
      </c>
      <c r="J93" s="237">
        <f>J85+J89</f>
        <v>0</v>
      </c>
      <c r="K93" s="237">
        <f>K85+K89</f>
        <v>0</v>
      </c>
      <c r="L93" s="237">
        <f>L85+L89+L86+L84+L91</f>
        <v>1381963.3885714286</v>
      </c>
    </row>
    <row r="94" spans="1:12">
      <c r="A94" s="73"/>
      <c r="B94" s="239" t="s">
        <v>334</v>
      </c>
      <c r="C94" s="239" t="s">
        <v>936</v>
      </c>
      <c r="D94" s="240">
        <v>325000</v>
      </c>
      <c r="E94" s="240">
        <v>200000</v>
      </c>
      <c r="F94" s="240">
        <v>260000</v>
      </c>
      <c r="G94" s="240">
        <v>345600</v>
      </c>
      <c r="H94" s="240">
        <v>340000</v>
      </c>
      <c r="I94" s="240">
        <v>0</v>
      </c>
      <c r="J94" s="240">
        <v>0</v>
      </c>
      <c r="K94" s="240">
        <v>0</v>
      </c>
      <c r="L94" s="240">
        <f>SUM(D94:K94)</f>
        <v>1470600</v>
      </c>
    </row>
  </sheetData>
  <phoneticPr fontId="31" type="noConversion"/>
  <printOptions horizontalCentered="1"/>
  <pageMargins left="0.19685039370078741" right="0" top="0.39370078740157483" bottom="0" header="0.30000000000000004" footer="0.30000000000000004"/>
  <pageSetup scale="85" orientation="landscape" horizontalDpi="4294967292" verticalDpi="4294967292"/>
  <rowBreaks count="1" manualBreakCount="1">
    <brk id="49"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84"/>
  <sheetViews>
    <sheetView tabSelected="1" topLeftCell="F2" zoomScale="125" zoomScaleNormal="125" zoomScalePageLayoutView="125" workbookViewId="0">
      <selection activeCell="D88" sqref="D88"/>
    </sheetView>
  </sheetViews>
  <sheetFormatPr defaultColWidth="8.85546875" defaultRowHeight="15"/>
  <cols>
    <col min="1" max="1" width="2.85546875" customWidth="1"/>
    <col min="2" max="2" width="42.28515625" bestFit="1" customWidth="1"/>
    <col min="3" max="3" width="54.85546875" bestFit="1" customWidth="1"/>
    <col min="4" max="4" width="11.28515625" bestFit="1" customWidth="1"/>
    <col min="5" max="12" width="13.28515625" bestFit="1" customWidth="1"/>
    <col min="13" max="14" width="12.42578125" bestFit="1" customWidth="1"/>
  </cols>
  <sheetData>
    <row r="1" spans="1:14" ht="15.75">
      <c r="A1" s="411" t="s">
        <v>472</v>
      </c>
      <c r="B1" s="82"/>
      <c r="C1" s="82" t="s">
        <v>937</v>
      </c>
      <c r="D1" s="82"/>
      <c r="E1" s="82"/>
      <c r="F1" s="82"/>
      <c r="G1" s="82"/>
      <c r="H1" s="82"/>
      <c r="I1" s="82"/>
      <c r="J1" s="82"/>
      <c r="K1" s="82"/>
      <c r="L1" s="82"/>
    </row>
    <row r="2" spans="1:14">
      <c r="A2" s="82"/>
      <c r="B2" s="82"/>
      <c r="C2" s="82"/>
      <c r="D2" s="82"/>
      <c r="E2" s="82"/>
      <c r="F2" s="82"/>
      <c r="G2" s="82"/>
      <c r="H2" s="82"/>
      <c r="I2" s="82"/>
      <c r="J2" s="82"/>
      <c r="K2" s="82"/>
      <c r="L2" s="82"/>
    </row>
    <row r="3" spans="1:14">
      <c r="A3" s="82"/>
      <c r="B3" s="192" t="s">
        <v>473</v>
      </c>
      <c r="C3" s="192" t="s">
        <v>938</v>
      </c>
      <c r="D3" s="438" t="s">
        <v>36</v>
      </c>
      <c r="E3" s="438" t="s">
        <v>37</v>
      </c>
      <c r="F3" s="438" t="s">
        <v>38</v>
      </c>
      <c r="G3" s="438" t="s">
        <v>39</v>
      </c>
      <c r="H3" s="438" t="s">
        <v>40</v>
      </c>
      <c r="I3" s="438" t="s">
        <v>41</v>
      </c>
      <c r="J3" s="438" t="s">
        <v>42</v>
      </c>
      <c r="K3" s="438" t="s">
        <v>43</v>
      </c>
      <c r="L3" s="438" t="s">
        <v>168</v>
      </c>
      <c r="M3" s="438" t="s">
        <v>729</v>
      </c>
      <c r="N3" s="438" t="s">
        <v>730</v>
      </c>
    </row>
    <row r="4" spans="1:14" s="1" customFormat="1">
      <c r="A4" s="85"/>
      <c r="B4" s="456" t="s">
        <v>336</v>
      </c>
      <c r="C4" s="456" t="s">
        <v>939</v>
      </c>
    </row>
    <row r="5" spans="1:14" s="1" customFormat="1">
      <c r="A5" s="85"/>
      <c r="B5" s="241" t="s">
        <v>559</v>
      </c>
      <c r="C5" s="241" t="s">
        <v>940</v>
      </c>
      <c r="D5" s="237">
        <f>'Key Assumptions'!E5*5500*'Key Assumptions'!E41*12</f>
        <v>184799.99999999997</v>
      </c>
      <c r="E5" s="237">
        <f>'Key Assumptions'!F5*5500*'Key Assumptions'!F41*12</f>
        <v>0</v>
      </c>
      <c r="F5" s="237">
        <f>'Key Assumptions'!G5*5500*'Key Assumptions'!G41*12</f>
        <v>0</v>
      </c>
      <c r="G5" s="237">
        <f>'Key Assumptions'!H5*5500*'Key Assumptions'!H41*12</f>
        <v>0</v>
      </c>
      <c r="H5" s="237">
        <f>'Key Assumptions'!I5*5500*'Key Assumptions'!I41*12</f>
        <v>0</v>
      </c>
      <c r="I5" s="237">
        <f>'Key Assumptions'!J5*5500*'Key Assumptions'!J41*12</f>
        <v>0</v>
      </c>
      <c r="J5" s="237">
        <f>'Key Assumptions'!K5*5500*'Key Assumptions'!K41*12</f>
        <v>0</v>
      </c>
      <c r="K5" s="237">
        <f>'Key Assumptions'!L5*5500*'Key Assumptions'!L41*12</f>
        <v>0</v>
      </c>
      <c r="L5" s="237">
        <f>'Key Assumptions'!M5*5500*'Key Assumptions'!M41*12</f>
        <v>0</v>
      </c>
      <c r="M5" s="237">
        <f>'Key Assumptions'!N5*5500*'Key Assumptions'!N41*12</f>
        <v>0</v>
      </c>
      <c r="N5" s="237">
        <f>'Key Assumptions'!O5*5500*'Key Assumptions'!O41*12</f>
        <v>0</v>
      </c>
    </row>
    <row r="6" spans="1:14">
      <c r="A6" s="82"/>
      <c r="B6" s="241" t="s">
        <v>67</v>
      </c>
      <c r="C6" s="241" t="s">
        <v>941</v>
      </c>
      <c r="D6" s="237"/>
      <c r="E6" s="237">
        <f>('Key Assumptions'!F16)*'Key Assumptions'!F43*12</f>
        <v>2291550.8940103771</v>
      </c>
      <c r="F6" s="237">
        <f>('Key Assumptions'!G16)*'Key Assumptions'!G43*12</f>
        <v>1867091.679263728</v>
      </c>
      <c r="G6" s="237">
        <f>('Key Assumptions'!H16)*'Key Assumptions'!H43*12</f>
        <v>1606426.0805886374</v>
      </c>
      <c r="H6" s="237">
        <f>('Key Assumptions'!I16)*'Key Assumptions'!I43*12</f>
        <v>1271697.4119162047</v>
      </c>
      <c r="I6" s="237">
        <f>('Key Assumptions'!J16)*'Key Assumptions'!J43*12</f>
        <v>1255022.5957710776</v>
      </c>
      <c r="J6" s="237">
        <f>('Key Assumptions'!K16)*'Key Assumptions'!K43*12</f>
        <v>1220380.4663281897</v>
      </c>
      <c r="K6" s="237">
        <f>('Key Assumptions'!L16)*'Key Assumptions'!L43*12</f>
        <v>1174475.0321592535</v>
      </c>
      <c r="L6" s="237">
        <f>('Key Assumptions'!M16)*'Key Assumptions'!M43*12</f>
        <v>1131803.6580796672</v>
      </c>
      <c r="M6" s="237">
        <f>('Key Assumptions'!N16)*'Key Assumptions'!N43*12</f>
        <v>1084673.8844081783</v>
      </c>
      <c r="N6" s="237">
        <f>('Key Assumptions'!O16)*'Key Assumptions'!O43*12</f>
        <v>1032564.1944177373</v>
      </c>
    </row>
    <row r="7" spans="1:14">
      <c r="A7" s="82"/>
      <c r="B7" s="241" t="s">
        <v>676</v>
      </c>
      <c r="C7" s="241" t="s">
        <v>804</v>
      </c>
      <c r="D7" s="237"/>
      <c r="E7" s="237"/>
      <c r="F7" s="237"/>
      <c r="G7" s="237">
        <f>'Key Assumptions'!H12*'Key Assumptions'!H46*4*12</f>
        <v>310802.68741743715</v>
      </c>
      <c r="H7" s="237">
        <f>'Key Assumptions'!I12*'Key Assumptions'!I46*4*12</f>
        <v>473197.09159304807</v>
      </c>
      <c r="I7" s="237">
        <f>'Key Assumptions'!J12*'Key Assumptions'!J46*4*12</f>
        <v>528324.5527636382</v>
      </c>
      <c r="J7" s="237">
        <f>'Key Assumptions'!K12*'Key Assumptions'!K46*4*12</f>
        <v>589874.36316060193</v>
      </c>
      <c r="K7" s="237">
        <f>'Key Assumptions'!L12*'Key Assumptions'!L46*4*12</f>
        <v>658594.72646881209</v>
      </c>
      <c r="L7" s="237">
        <f>'Key Assumptions'!M12*'Key Assumptions'!M46*4*12</f>
        <v>735321.01210242871</v>
      </c>
      <c r="M7" s="237">
        <f>'Key Assumptions'!N12*'Key Assumptions'!N46*4*12</f>
        <v>820985.91001236183</v>
      </c>
      <c r="N7" s="237">
        <f>'Key Assumptions'!O12*'Key Assumptions'!O46*4*12</f>
        <v>916630.76852880185</v>
      </c>
    </row>
    <row r="8" spans="1:14">
      <c r="A8" s="446"/>
      <c r="B8" s="241" t="s">
        <v>335</v>
      </c>
      <c r="C8" s="241" t="s">
        <v>942</v>
      </c>
      <c r="D8" s="237"/>
      <c r="E8" s="237">
        <f>'Key Assumptions'!F13*'Key Assumptions'!F44*12</f>
        <v>306000</v>
      </c>
      <c r="F8" s="237">
        <f>'Key Assumptions'!G13*'Key Assumptions'!G44*12</f>
        <v>312120</v>
      </c>
      <c r="G8" s="237">
        <f>'Key Assumptions'!H13*'Key Assumptions'!H44*12</f>
        <v>318362.39999999997</v>
      </c>
      <c r="H8" s="237">
        <f>'Key Assumptions'!I13*'Key Assumptions'!I44*12</f>
        <v>324729.64799999999</v>
      </c>
      <c r="I8" s="237">
        <f>'Key Assumptions'!J13*'Key Assumptions'!J44*12</f>
        <v>331224.24096000002</v>
      </c>
      <c r="J8" s="237">
        <f>'Key Assumptions'!K13*'Key Assumptions'!K44*12</f>
        <v>337848.72577920003</v>
      </c>
      <c r="K8" s="237">
        <f>'Key Assumptions'!L13*'Key Assumptions'!L44*12</f>
        <v>344605.70029478404</v>
      </c>
      <c r="L8" s="237">
        <f>'Key Assumptions'!M13*'Key Assumptions'!M44*12</f>
        <v>351497.81430067972</v>
      </c>
      <c r="M8" s="237">
        <f>'Key Assumptions'!N13*'Key Assumptions'!N44*12</f>
        <v>358527.77058669331</v>
      </c>
      <c r="N8" s="237">
        <f>'Key Assumptions'!O13*'Key Assumptions'!O44*12</f>
        <v>365698.32599842723</v>
      </c>
    </row>
    <row r="9" spans="1:14">
      <c r="A9" s="446"/>
      <c r="B9" s="241" t="s">
        <v>569</v>
      </c>
      <c r="C9" s="241" t="s">
        <v>943</v>
      </c>
      <c r="D9" s="237"/>
      <c r="E9" s="237">
        <f>'Key Assumptions'!F17*'Key Assumptions'!F48/220*12</f>
        <v>2364802.677939232</v>
      </c>
      <c r="F9" s="237">
        <f>'Key Assumptions'!G17*'Key Assumptions'!G48/220*12</f>
        <v>4355873.9328496885</v>
      </c>
      <c r="G9" s="237">
        <f>'Key Assumptions'!H17*'Key Assumptions'!H48/220*12</f>
        <v>5729824.3499326939</v>
      </c>
      <c r="H9" s="237">
        <f>'Key Assumptions'!I17*'Key Assumptions'!I48/220*12</f>
        <v>7476885.9884419106</v>
      </c>
      <c r="I9" s="237">
        <f>'Key Assumptions'!J17*'Key Assumptions'!J48/220*12</f>
        <v>7792101.9604568621</v>
      </c>
      <c r="J9" s="237">
        <f>'Key Assumptions'!K17*'Key Assumptions'!K48/220*12</f>
        <v>8120203.6060693897</v>
      </c>
      <c r="K9" s="237">
        <f>'Key Assumptions'!L17*'Key Assumptions'!L48/220*12</f>
        <v>8473927.7046428546</v>
      </c>
      <c r="L9" s="237">
        <f>'Key Assumptions'!M17*'Key Assumptions'!M48/220*12</f>
        <v>8845160.9200001173</v>
      </c>
      <c r="M9" s="237">
        <f>'Key Assumptions'!N17*'Key Assumptions'!N48/220*12</f>
        <v>9235777.7214412782</v>
      </c>
      <c r="N9" s="237">
        <f>'Key Assumptions'!O17*'Key Assumptions'!O48/220*12</f>
        <v>9647868.9952924922</v>
      </c>
    </row>
    <row r="10" spans="1:14">
      <c r="A10" s="82"/>
      <c r="B10" s="241" t="s">
        <v>85</v>
      </c>
      <c r="C10" s="241" t="s">
        <v>944</v>
      </c>
      <c r="D10" s="197">
        <f>'Key Assumptions'!E31*12*'Key Assumptions'!E49/220</f>
        <v>1392981.8181818179</v>
      </c>
      <c r="E10" s="197">
        <f>'Key Assumptions'!F31*12*'Key Assumptions'!F49/220</f>
        <v>843652.34999999974</v>
      </c>
      <c r="F10" s="197">
        <f>'Key Assumptions'!G31*12*'Key Assumptions'!G49/220</f>
        <v>872016.34224272694</v>
      </c>
      <c r="G10" s="197">
        <f>'Key Assumptions'!H31*12*'Key Assumptions'!H49/220</f>
        <v>901353.50897860294</v>
      </c>
      <c r="H10" s="197">
        <f>'Key Assumptions'!I31*12*'Key Assumptions'!I49/220</f>
        <v>931697.94998718821</v>
      </c>
      <c r="I10" s="197">
        <f>'Key Assumptions'!J31*12*'Key Assumptions'!J49/220</f>
        <v>963084.98514174484</v>
      </c>
      <c r="J10" s="197">
        <f>'Key Assumptions'!K31*12*'Key Assumptions'!K49/220</f>
        <v>995551.19894339296</v>
      </c>
      <c r="K10" s="197">
        <f>'Key Assumptions'!L31*12*'Key Assumptions'!L49/220</f>
        <v>1029134.4867107654</v>
      </c>
      <c r="L10" s="197">
        <f>'Key Assumptions'!M31*12*'Key Assumptions'!M49/220</f>
        <v>1063874.102487708</v>
      </c>
      <c r="M10" s="197">
        <f>'Key Assumptions'!N31*12*'Key Assumptions'!N49/220</f>
        <v>1099810.7087339563</v>
      </c>
      <c r="N10" s="197">
        <f>'Key Assumptions'!O31*12*'Key Assumptions'!O49/220</f>
        <v>1136986.4278662265</v>
      </c>
    </row>
    <row r="11" spans="1:14">
      <c r="A11" s="82"/>
      <c r="B11" s="449" t="s">
        <v>572</v>
      </c>
      <c r="C11" s="449" t="s">
        <v>945</v>
      </c>
      <c r="D11" s="200">
        <f>'Key Assumptions'!E33*'Key Assumptions'!E56*12</f>
        <v>296640</v>
      </c>
      <c r="E11" s="200">
        <f>'Key Assumptions'!F33*'Key Assumptions'!F56*12</f>
        <v>814771.20000000007</v>
      </c>
      <c r="F11" s="200">
        <f>'Key Assumptions'!G33*'Key Assumptions'!G56*12</f>
        <v>906351.48288000026</v>
      </c>
      <c r="G11" s="200">
        <f>'Key Assumptions'!H33*'Key Assumptions'!H56*12</f>
        <v>1008225.3895557123</v>
      </c>
      <c r="H11" s="200">
        <f>'Key Assumptions'!I33*'Key Assumptions'!I56*12</f>
        <v>1121549.9233417744</v>
      </c>
      <c r="I11" s="200">
        <f>'Key Assumptions'!J33*'Key Assumptions'!J56*12</f>
        <v>1247612.13472539</v>
      </c>
      <c r="J11" s="200">
        <f>'Key Assumptions'!K33*'Key Assumptions'!K56*12</f>
        <v>1387843.7386685242</v>
      </c>
      <c r="K11" s="200">
        <f>'Key Assumptions'!L33*'Key Assumptions'!L56*12</f>
        <v>1500953.0033700089</v>
      </c>
      <c r="L11" s="200">
        <f>'Key Assumptions'!M33*'Key Assumptions'!M56*12</f>
        <v>1623280.6731446646</v>
      </c>
      <c r="M11" s="200">
        <f>'Key Assumptions'!N33*'Key Assumptions'!N56*12</f>
        <v>1755578.0480059548</v>
      </c>
      <c r="N11" s="200">
        <f>'Key Assumptions'!O33*'Key Assumptions'!O56*12</f>
        <v>1898657.6589184406</v>
      </c>
    </row>
    <row r="12" spans="1:14">
      <c r="A12" s="82"/>
      <c r="B12" s="442" t="s">
        <v>339</v>
      </c>
      <c r="C12" s="442" t="s">
        <v>946</v>
      </c>
      <c r="D12" s="238">
        <f t="shared" ref="D12:L12" si="0">SUM(D5:D11)</f>
        <v>1874421.8181818179</v>
      </c>
      <c r="E12" s="238">
        <f t="shared" si="0"/>
        <v>6620777.1219496084</v>
      </c>
      <c r="F12" s="238">
        <f t="shared" si="0"/>
        <v>8313453.4372361433</v>
      </c>
      <c r="G12" s="238">
        <f t="shared" si="0"/>
        <v>9874994.4164730851</v>
      </c>
      <c r="H12" s="238">
        <f t="shared" si="0"/>
        <v>11599758.013280127</v>
      </c>
      <c r="I12" s="238">
        <f t="shared" si="0"/>
        <v>12117370.469818713</v>
      </c>
      <c r="J12" s="238">
        <f t="shared" si="0"/>
        <v>12651702.098949298</v>
      </c>
      <c r="K12" s="238">
        <f t="shared" si="0"/>
        <v>13181690.65364648</v>
      </c>
      <c r="L12" s="238">
        <f t="shared" si="0"/>
        <v>13750938.180115266</v>
      </c>
      <c r="M12" s="238">
        <f t="shared" ref="M12:N12" si="1">SUM(M5:M11)</f>
        <v>14355354.043188425</v>
      </c>
      <c r="N12" s="238">
        <f t="shared" si="1"/>
        <v>14998406.371022126</v>
      </c>
    </row>
    <row r="13" spans="1:14" ht="3.95" customHeight="1">
      <c r="A13" s="82"/>
      <c r="B13" s="134"/>
      <c r="C13" s="134"/>
      <c r="D13" s="443"/>
      <c r="E13" s="443"/>
      <c r="F13" s="443"/>
      <c r="G13" s="443"/>
      <c r="H13" s="443"/>
      <c r="I13" s="443"/>
      <c r="J13" s="443"/>
      <c r="K13" s="443"/>
      <c r="L13" s="443"/>
      <c r="M13" s="443"/>
      <c r="N13" s="443"/>
    </row>
    <row r="14" spans="1:14">
      <c r="A14" s="82"/>
      <c r="B14" s="208" t="s">
        <v>340</v>
      </c>
      <c r="C14" s="208" t="s">
        <v>947</v>
      </c>
      <c r="D14" s="550"/>
      <c r="E14" s="550">
        <f>(E12-D12)/D12</f>
        <v>2.5321703245920055</v>
      </c>
      <c r="F14" s="550">
        <f t="shared" ref="F14:L14" si="2">(F12-E12)/E12</f>
        <v>0.25566127421430179</v>
      </c>
      <c r="G14" s="550">
        <f t="shared" si="2"/>
        <v>0.18783300959415553</v>
      </c>
      <c r="H14" s="550">
        <f t="shared" si="2"/>
        <v>0.17465970349612128</v>
      </c>
      <c r="I14" s="550">
        <f t="shared" si="2"/>
        <v>4.4622694365347181E-2</v>
      </c>
      <c r="J14" s="550">
        <f t="shared" si="2"/>
        <v>4.4096335129925196E-2</v>
      </c>
      <c r="K14" s="550">
        <f t="shared" si="2"/>
        <v>4.1890691904704007E-2</v>
      </c>
      <c r="L14" s="550">
        <f t="shared" si="2"/>
        <v>4.3184712904130645E-2</v>
      </c>
      <c r="M14" s="550">
        <f t="shared" ref="M14" si="3">(M12-L12)/L12</f>
        <v>4.3954518241321378E-2</v>
      </c>
      <c r="N14" s="550">
        <f t="shared" ref="N14" si="4">(N12-M12)/M12</f>
        <v>4.4795295601840444E-2</v>
      </c>
    </row>
    <row r="15" spans="1:14">
      <c r="A15" s="82"/>
      <c r="B15" s="241" t="s">
        <v>27</v>
      </c>
      <c r="C15" s="241" t="s">
        <v>948</v>
      </c>
      <c r="D15" s="237">
        <f>'Key Assumptions'!E31*'Key Assumptions'!E67*12</f>
        <v>600000</v>
      </c>
      <c r="E15" s="237">
        <f>'Key Assumptions'!F31*'Key Assumptions'!F67*12</f>
        <v>386250.00000000006</v>
      </c>
      <c r="F15" s="237">
        <f>'Key Assumptions'!G31*'Key Assumptions'!G67*12</f>
        <v>405794.25000000012</v>
      </c>
      <c r="G15" s="237">
        <f>'Key Assumptions'!H31*'Key Assumptions'!H67*12</f>
        <v>426327.43905000004</v>
      </c>
      <c r="H15" s="237">
        <f>'Key Assumptions'!I31*'Key Assumptions'!I67*12</f>
        <v>447899.60746593011</v>
      </c>
      <c r="I15" s="237">
        <f>'Key Assumptions'!J31*'Key Assumptions'!J67*12</f>
        <v>470563.32760370616</v>
      </c>
      <c r="J15" s="237">
        <f>'Key Assumptions'!K31*'Key Assumptions'!K67*12</f>
        <v>494373.83198045375</v>
      </c>
      <c r="K15" s="237">
        <f>'Key Assumptions'!L31*'Key Assumptions'!L67*12</f>
        <v>519389.14787866466</v>
      </c>
      <c r="L15" s="237">
        <f>'Key Assumptions'!M31*'Key Assumptions'!M67*12</f>
        <v>545670.23876132513</v>
      </c>
      <c r="M15" s="237">
        <f>'Key Assumptions'!N31*'Key Assumptions'!N67*12</f>
        <v>573281.15284264821</v>
      </c>
      <c r="N15" s="237">
        <f>'Key Assumptions'!O31*'Key Assumptions'!O67*12</f>
        <v>602289.17917648621</v>
      </c>
    </row>
    <row r="16" spans="1:14">
      <c r="A16" s="82"/>
      <c r="B16" s="241" t="s">
        <v>341</v>
      </c>
      <c r="C16" s="241" t="s">
        <v>949</v>
      </c>
      <c r="D16" s="237">
        <f>'Key Assumptions'!E6*'Key Assumptions'!E7*12</f>
        <v>49962</v>
      </c>
      <c r="E16" s="237">
        <f>'Key Assumptions'!F6*'Key Assumptions'!F7*12</f>
        <v>1200000</v>
      </c>
      <c r="F16" s="237">
        <f>'Key Assumptions'!G6*'Key Assumptions'!G7*12</f>
        <v>1200000</v>
      </c>
      <c r="G16" s="237">
        <f>'Key Assumptions'!H6*'Key Assumptions'!H7*12</f>
        <v>900000</v>
      </c>
      <c r="H16" s="237">
        <f>'Key Assumptions'!I6*'Key Assumptions'!I7*12</f>
        <v>600000</v>
      </c>
      <c r="I16" s="237">
        <f>'Key Assumptions'!J6*'Key Assumptions'!J7*12</f>
        <v>600000</v>
      </c>
      <c r="J16" s="237">
        <f>'Key Assumptions'!K6*'Key Assumptions'!K7*12</f>
        <v>600000</v>
      </c>
      <c r="K16" s="237">
        <f>'Key Assumptions'!L6*'Key Assumptions'!L7*12</f>
        <v>600000</v>
      </c>
      <c r="L16" s="237">
        <f>'Key Assumptions'!M6*'Key Assumptions'!M7*12</f>
        <v>600000</v>
      </c>
      <c r="M16" s="237">
        <f>'Key Assumptions'!N6*'Key Assumptions'!N7*12</f>
        <v>600000</v>
      </c>
      <c r="N16" s="237">
        <f>'Key Assumptions'!O6*'Key Assumptions'!O7*12</f>
        <v>600000</v>
      </c>
    </row>
    <row r="17" spans="1:14">
      <c r="A17" s="82"/>
      <c r="B17" s="241" t="s">
        <v>145</v>
      </c>
      <c r="C17" s="241" t="s">
        <v>951</v>
      </c>
      <c r="D17" s="237">
        <f>'Key Assumptions'!E18*12*'Key Assumptions'!E64</f>
        <v>0</v>
      </c>
      <c r="E17" s="237">
        <f>'Key Assumptions'!F18*12*'Key Assumptions'!F64</f>
        <v>342250.94108322304</v>
      </c>
      <c r="F17" s="237">
        <f>'Key Assumptions'!G18*12*'Key Assumptions'!G64</f>
        <v>622105.60289564054</v>
      </c>
      <c r="G17" s="237">
        <f>'Key Assumptions'!H18*12*'Key Assumptions'!H64</f>
        <v>807532.03791725216</v>
      </c>
      <c r="H17" s="237">
        <f>'Key Assumptions'!I18*12*'Key Assumptions'!I64</f>
        <v>1039822.9457326668</v>
      </c>
      <c r="I17" s="237">
        <f>'Key Assumptions'!J18*12*'Key Assumptions'!J64</f>
        <v>1069310.8282869207</v>
      </c>
      <c r="J17" s="237">
        <f>'Key Assumptions'!K18*12*'Key Assumptions'!K64</f>
        <v>1099556.2235459115</v>
      </c>
      <c r="K17" s="237">
        <f>'Key Assumptions'!L18*12*'Key Assumptions'!L64</f>
        <v>1132209.8172720843</v>
      </c>
      <c r="L17" s="237">
        <f>'Key Assumptions'!M18*12*'Key Assumptions'!M64</f>
        <v>1166084.3498532712</v>
      </c>
      <c r="M17" s="237">
        <f>'Key Assumptions'!N18*12*'Key Assumptions'!N64</f>
        <v>1201351.6944013585</v>
      </c>
      <c r="N17" s="237">
        <f>'Key Assumptions'!O18*12*'Key Assumptions'!O64</f>
        <v>1238200.3602956955</v>
      </c>
    </row>
    <row r="18" spans="1:14">
      <c r="A18" s="82"/>
      <c r="B18" s="241" t="s">
        <v>146</v>
      </c>
      <c r="C18" s="241" t="s">
        <v>950</v>
      </c>
      <c r="D18" s="237">
        <f>'Key Assumptions'!$D$71*'Key Assumptions'!E18*12</f>
        <v>0</v>
      </c>
      <c r="E18" s="237">
        <f>'Key Assumptions'!$D$71*12*('Key Assumptions'!F18+('Key Assumptions'!F12/55))</f>
        <v>151173.77206677067</v>
      </c>
      <c r="F18" s="237">
        <f>'Key Assumptions'!$D$71*12*('Key Assumptions'!G18+('Key Assumptions'!G12/55))</f>
        <v>274786.82838957605</v>
      </c>
      <c r="G18" s="237">
        <f>'Key Assumptions'!$D$71*12*('Key Assumptions'!H18+('Key Assumptions'!H12/55))</f>
        <v>394519.26427284739</v>
      </c>
      <c r="H18" s="237">
        <f>'Key Assumptions'!$D$71*12*('Key Assumptions'!I18+('Key Assumptions'!I12/55))</f>
        <v>516037.57255770388</v>
      </c>
      <c r="I18" s="237">
        <f>'Key Assumptions'!$D$71*12*('Key Assumptions'!J18+('Key Assumptions'!J12/55))</f>
        <v>534736.8147019383</v>
      </c>
      <c r="J18" s="237">
        <f>'Key Assumptions'!$D$71*12*('Key Assumptions'!K18+('Key Assumptions'!K12/55))</f>
        <v>554338.08484506828</v>
      </c>
      <c r="K18" s="237">
        <f>'Key Assumptions'!$D$71*12*('Key Assumptions'!L18+('Key Assumptions'!L12/55))</f>
        <v>575627.24139907875</v>
      </c>
      <c r="L18" s="237">
        <f>'Key Assumptions'!$D$71*12*('Key Assumptions'!M18+('Key Assumptions'!M12/55))</f>
        <v>598142.28391817398</v>
      </c>
      <c r="M18" s="237">
        <f>'Key Assumptions'!$D$71*12*('Key Assumptions'!N18+('Key Assumptions'!N12/55))</f>
        <v>622027.78870589251</v>
      </c>
      <c r="N18" s="237">
        <f>'Key Assumptions'!$D$71*12*('Key Assumptions'!O18+('Key Assumptions'!O12/55))</f>
        <v>647442.54629764683</v>
      </c>
    </row>
    <row r="19" spans="1:14">
      <c r="A19" s="82"/>
      <c r="B19" s="241" t="s">
        <v>342</v>
      </c>
      <c r="C19" s="241" t="s">
        <v>952</v>
      </c>
      <c r="D19" s="200">
        <f>300*'Key Assumptions'!E16*12/(5000*3.785)</f>
        <v>0</v>
      </c>
      <c r="E19" s="200">
        <f>'Key Assumptions'!F16*12*300/(5500*3.785)</f>
        <v>13706.586093938658</v>
      </c>
      <c r="F19" s="200">
        <f>'Key Assumptions'!G16*12*300/(5500*3.785)</f>
        <v>11136.60120132516</v>
      </c>
      <c r="G19" s="200">
        <f>'Key Assumptions'!H16*12*300/(5500*3.785)</f>
        <v>9423.2779395828275</v>
      </c>
      <c r="H19" s="200">
        <f>'Key Assumptions'!I16*12*300/(5500*3.785)</f>
        <v>7281.623862404912</v>
      </c>
      <c r="I19" s="200">
        <f>'Key Assumptions'!J16*12*300/(5500*3.785)</f>
        <v>6981.7922916000025</v>
      </c>
      <c r="J19" s="200">
        <f>'Key Assumptions'!K16*12*300/(5500*3.785)</f>
        <v>6672.5374428555115</v>
      </c>
      <c r="K19" s="200">
        <f>'Key Assumptions'!L16*12*300/(5500*3.785)</f>
        <v>6352.5057907946602</v>
      </c>
      <c r="L19" s="200">
        <f>'Key Assumptions'!M16*12*300/(5500*3.785)</f>
        <v>6020.2166814546536</v>
      </c>
      <c r="M19" s="200">
        <f>'Key Assumptions'!N16*12*300/(5500*3.785)</f>
        <v>5674.049454949035</v>
      </c>
      <c r="N19" s="200">
        <f>'Key Assumptions'!O16*12*300/(5500*3.785)</f>
        <v>5312.2292836858742</v>
      </c>
    </row>
    <row r="20" spans="1:14">
      <c r="A20" s="82"/>
      <c r="B20" s="442" t="s">
        <v>344</v>
      </c>
      <c r="C20" s="442" t="s">
        <v>953</v>
      </c>
      <c r="D20" s="238">
        <f t="shared" ref="D20:L20" si="5">SUM(D15:D19)</f>
        <v>649962</v>
      </c>
      <c r="E20" s="238">
        <f t="shared" si="5"/>
        <v>2093381.2992439324</v>
      </c>
      <c r="F20" s="238">
        <f t="shared" si="5"/>
        <v>2513823.2824865421</v>
      </c>
      <c r="G20" s="238">
        <f t="shared" si="5"/>
        <v>2537802.0191796822</v>
      </c>
      <c r="H20" s="238">
        <f t="shared" si="5"/>
        <v>2611041.7496187058</v>
      </c>
      <c r="I20" s="238">
        <f t="shared" si="5"/>
        <v>2681592.7628841647</v>
      </c>
      <c r="J20" s="238">
        <f t="shared" si="5"/>
        <v>2754940.6778142895</v>
      </c>
      <c r="K20" s="238">
        <f t="shared" si="5"/>
        <v>2833578.7123406222</v>
      </c>
      <c r="L20" s="238">
        <f t="shared" si="5"/>
        <v>2915917.0892142248</v>
      </c>
      <c r="M20" s="238">
        <f t="shared" ref="M20:N20" si="6">SUM(M15:M19)</f>
        <v>3002334.6854048478</v>
      </c>
      <c r="N20" s="238">
        <f t="shared" si="6"/>
        <v>3093244.3150535142</v>
      </c>
    </row>
    <row r="21" spans="1:14">
      <c r="A21" s="82"/>
      <c r="B21" s="134"/>
      <c r="C21" s="134"/>
      <c r="D21" s="500">
        <f t="shared" ref="D21:L21" si="7">D20/D12</f>
        <v>0.34675332611656257</v>
      </c>
      <c r="E21" s="500">
        <f t="shared" si="7"/>
        <v>0.31618362326437871</v>
      </c>
      <c r="F21" s="500">
        <f t="shared" si="7"/>
        <v>0.30238014820977666</v>
      </c>
      <c r="G21" s="500">
        <f t="shared" si="7"/>
        <v>0.25699275484614137</v>
      </c>
      <c r="H21" s="500">
        <f t="shared" si="7"/>
        <v>0.22509450168093353</v>
      </c>
      <c r="I21" s="500">
        <f t="shared" si="7"/>
        <v>0.22130154141637659</v>
      </c>
      <c r="J21" s="500">
        <f t="shared" si="7"/>
        <v>0.21775257244186003</v>
      </c>
      <c r="K21" s="500">
        <f t="shared" si="7"/>
        <v>0.2149632233674641</v>
      </c>
      <c r="L21" s="500">
        <f t="shared" si="7"/>
        <v>0.21205222880216471</v>
      </c>
      <c r="M21" s="500">
        <f t="shared" ref="M21:N21" si="8">M20/M12</f>
        <v>0.20914389686051993</v>
      </c>
      <c r="N21" s="500">
        <f t="shared" si="8"/>
        <v>0.20623819881489935</v>
      </c>
    </row>
    <row r="22" spans="1:14">
      <c r="A22" s="82"/>
      <c r="B22" s="208" t="s">
        <v>345</v>
      </c>
      <c r="C22" s="208" t="s">
        <v>954</v>
      </c>
      <c r="D22" s="451"/>
      <c r="E22" s="451"/>
      <c r="F22" s="451"/>
      <c r="G22" s="451"/>
      <c r="H22" s="451"/>
      <c r="I22" s="451"/>
      <c r="J22" s="451"/>
      <c r="K22" s="451"/>
      <c r="L22" s="451"/>
      <c r="M22" s="451"/>
      <c r="N22" s="451"/>
    </row>
    <row r="23" spans="1:14">
      <c r="A23" s="82"/>
      <c r="B23" s="241" t="s">
        <v>668</v>
      </c>
      <c r="C23" s="241" t="s">
        <v>955</v>
      </c>
      <c r="D23" s="237">
        <f>'Key Assumptions'!E59*'Key Assumptions'!E16*12</f>
        <v>0</v>
      </c>
      <c r="E23" s="237">
        <f>'Key Assumptions'!F16*'Key Assumptions'!F60*12</f>
        <v>775142.93262879795</v>
      </c>
      <c r="F23" s="237">
        <f>'Key Assumptions'!G16*'Key Assumptions'!G60*12</f>
        <v>575807.53385072656</v>
      </c>
      <c r="G23" s="237">
        <f>'Key Assumptions'!H16*'Key Assumptions'!H60*12</f>
        <v>471992.09048877144</v>
      </c>
      <c r="H23" s="237">
        <f>'Key Assumptions'!I16*'Key Assumptions'!I60*12</f>
        <v>341184.39976882428</v>
      </c>
      <c r="I23" s="237">
        <f>'Key Assumptions'!J16*'Key Assumptions'!J60*12</f>
        <v>324878.8703352047</v>
      </c>
      <c r="J23" s="237">
        <f>'Key Assumptions'!K16*'Key Assumptions'!K60*12</f>
        <v>308374.86812689889</v>
      </c>
      <c r="K23" s="237">
        <f>'Key Assumptions'!L16*'Key Assumptions'!L60*12</f>
        <v>291612.39523881045</v>
      </c>
      <c r="L23" s="237">
        <f>'Key Assumptions'!M16*'Key Assumptions'!M60*12</f>
        <v>274527.12345944537</v>
      </c>
      <c r="M23" s="237">
        <f>'Key Assumptions'!N16*'Key Assumptions'!N60*12</f>
        <v>257049.92557402357</v>
      </c>
      <c r="N23" s="237">
        <f>'Key Assumptions'!O16*'Key Assumptions'!O60*12</f>
        <v>239106.36310016399</v>
      </c>
    </row>
    <row r="24" spans="1:14">
      <c r="A24" s="82"/>
      <c r="B24" s="241" t="s">
        <v>678</v>
      </c>
      <c r="C24" s="241" t="s">
        <v>956</v>
      </c>
      <c r="D24" s="237"/>
      <c r="E24" s="237"/>
      <c r="F24" s="237"/>
      <c r="G24" s="237">
        <f>'Key Assumptions'!H12*'Key Assumptions'!H60*12</f>
        <v>42908.37186261559</v>
      </c>
      <c r="H24" s="237">
        <f>'Key Assumptions'!I12*'Key Assumptions'!I60*12</f>
        <v>60209.011723910182</v>
      </c>
      <c r="I24" s="237">
        <f>'Key Assumptions'!J12*'Key Assumptions'!J60*12</f>
        <v>65773.022828599758</v>
      </c>
      <c r="J24" s="237">
        <f>'Key Assumptions'!K12*'Key Assumptions'!K60*12</f>
        <v>71857.797618477547</v>
      </c>
      <c r="K24" s="237">
        <f>'Key Assumptions'!L12*'Key Assumptions'!L60*12</f>
        <v>78512.63274289055</v>
      </c>
      <c r="L24" s="237">
        <f>'Key Assumptions'!M12*'Key Assumptions'!M60*12</f>
        <v>85791.537698024942</v>
      </c>
      <c r="M24" s="237">
        <f>'Key Assumptions'!N12*'Key Assumptions'!N60*12</f>
        <v>93753.689199778673</v>
      </c>
      <c r="N24" s="237">
        <f>'Key Assumptions'!O12*'Key Assumptions'!O60*12</f>
        <v>102463.92967479999</v>
      </c>
    </row>
    <row r="25" spans="1:14">
      <c r="A25" s="82"/>
      <c r="B25" s="241" t="s">
        <v>669</v>
      </c>
      <c r="C25" s="241" t="s">
        <v>957</v>
      </c>
      <c r="D25" s="237">
        <f>12*'Key Assumptions'!E61*'Key Assumptions'!E17/220</f>
        <v>0</v>
      </c>
      <c r="E25" s="237">
        <f>'Key Assumptions'!F60/4*'Key Assumptions'!F17*12</f>
        <v>193604.86647291933</v>
      </c>
      <c r="F25" s="237">
        <f>'Key Assumptions'!G60/4*'Key Assumptions'!G17*12</f>
        <v>321742.11538850726</v>
      </c>
      <c r="G25" s="237">
        <f>'Key Assumptions'!H60/4*'Key Assumptions'!H17*12</f>
        <v>404586.70438389428</v>
      </c>
      <c r="H25" s="237">
        <f>'Key Assumptions'!I60/4*'Key Assumptions'!I17*12</f>
        <v>487348.28934822913</v>
      </c>
      <c r="I25" s="237">
        <f>'Key Assumptions'!J60/4*'Key Assumptions'!J17*12</f>
        <v>497711.44992393476</v>
      </c>
      <c r="J25" s="237">
        <f>'Key Assumptions'!K60/4*'Key Assumptions'!K17*12</f>
        <v>508305.16596304416</v>
      </c>
      <c r="K25" s="237">
        <f>'Key Assumptions'!L60/4*'Key Assumptions'!L17*12</f>
        <v>519884.59882792016</v>
      </c>
      <c r="L25" s="237">
        <f>'Key Assumptions'!M60/4*'Key Assumptions'!M17*12</f>
        <v>531890.49393285916</v>
      </c>
      <c r="M25" s="237">
        <f>'Key Assumptions'!N60/4*'Key Assumptions'!N17*12</f>
        <v>544394.40881446004</v>
      </c>
      <c r="N25" s="237">
        <f>'Key Assumptions'!O60/4*'Key Assumptions'!O17*12</f>
        <v>557473.68714128458</v>
      </c>
    </row>
    <row r="26" spans="1:14">
      <c r="A26" s="82"/>
      <c r="B26" s="241" t="s">
        <v>670</v>
      </c>
      <c r="C26" s="241" t="s">
        <v>958</v>
      </c>
      <c r="D26" s="237">
        <f>'Key Assumptions'!E62*12*'Key Assumptions'!E18</f>
        <v>0</v>
      </c>
      <c r="E26" s="237">
        <f>'Key Assumptions'!F62*12*'Key Assumptions'!F18</f>
        <v>44263.140554821635</v>
      </c>
      <c r="F26" s="237">
        <f>'Key Assumptions'!G62*12*'Key Assumptions'!G18</f>
        <v>140799.05344914136</v>
      </c>
      <c r="G26" s="237">
        <f>'Key Assumptions'!H62*12*'Key Assumptions'!H18</f>
        <v>208875.4174566975</v>
      </c>
      <c r="H26" s="237">
        <f>'Key Assumptions'!I62*12*'Key Assumptions'!I18</f>
        <v>336199.43493378081</v>
      </c>
      <c r="I26" s="237">
        <f>'Key Assumptions'!J62*12*'Key Assumptions'!J18</f>
        <v>352648.23849894456</v>
      </c>
      <c r="J26" s="237">
        <f>'Key Assumptions'!K62*12*'Key Assumptions'!K18</f>
        <v>369590.92101224896</v>
      </c>
      <c r="K26" s="237">
        <f>'Key Assumptions'!L62*12*'Key Assumptions'!L18</f>
        <v>387598.16536115116</v>
      </c>
      <c r="L26" s="237">
        <f>'Key Assumptions'!M62*12*'Key Assumptions'!M18</f>
        <v>406291.71254212735</v>
      </c>
      <c r="M26" s="237">
        <f>'Key Assumptions'!N62*12*'Key Assumptions'!N18</f>
        <v>425745.12646386534</v>
      </c>
      <c r="N26" s="237">
        <f>'Key Assumptions'!O62*12*'Key Assumptions'!O18</f>
        <v>446041.37197313923</v>
      </c>
    </row>
    <row r="27" spans="1:14">
      <c r="A27" s="82"/>
      <c r="B27" s="241" t="s">
        <v>564</v>
      </c>
      <c r="C27" s="241" t="s">
        <v>959</v>
      </c>
      <c r="D27" s="237">
        <f>'Key Assumptions'!E5*'Key Assumptions'!$D$74*12</f>
        <v>144000</v>
      </c>
      <c r="E27" s="237">
        <f>'Key Assumptions'!F5*'Key Assumptions'!$D$74*12</f>
        <v>0</v>
      </c>
      <c r="F27" s="237">
        <f>'Key Assumptions'!G5*'Key Assumptions'!$D$74*12</f>
        <v>0</v>
      </c>
      <c r="G27" s="237">
        <f>'Key Assumptions'!H5*'Key Assumptions'!$D$74*12</f>
        <v>0</v>
      </c>
      <c r="H27" s="237">
        <f>'Key Assumptions'!I5*'Key Assumptions'!$D$74*12</f>
        <v>0</v>
      </c>
      <c r="I27" s="237">
        <f>'Key Assumptions'!J5*'Key Assumptions'!$D$74*12</f>
        <v>0</v>
      </c>
      <c r="J27" s="237">
        <f>'Key Assumptions'!K5*'Key Assumptions'!$D$74*12</f>
        <v>0</v>
      </c>
      <c r="K27" s="237">
        <f>'Key Assumptions'!L5*'Key Assumptions'!$D$74*12</f>
        <v>0</v>
      </c>
      <c r="L27" s="237">
        <f>'Key Assumptions'!M5*'Key Assumptions'!$D$74*12</f>
        <v>0</v>
      </c>
      <c r="M27" s="237">
        <f>'Key Assumptions'!N5*'Key Assumptions'!$D$74*12</f>
        <v>0</v>
      </c>
      <c r="N27" s="237">
        <f>'Key Assumptions'!O5*'Key Assumptions'!$D$74*12</f>
        <v>0</v>
      </c>
    </row>
    <row r="28" spans="1:14">
      <c r="A28" s="82"/>
      <c r="B28" s="241" t="s">
        <v>573</v>
      </c>
      <c r="C28" s="241" t="s">
        <v>960</v>
      </c>
      <c r="D28" s="237">
        <f>('Key Assumptions'!$D$84*'Key Assumptions'!$D$85+'Key Assumptions'!$D$86)*'Key Assumptions'!E33*12</f>
        <v>133200</v>
      </c>
      <c r="E28" s="237">
        <f>('Key Assumptions'!$D$84*'Key Assumptions'!$D$85+'Key Assumptions'!$D$86)*'Key Assumptions'!F33*12</f>
        <v>355200</v>
      </c>
      <c r="F28" s="237">
        <f>('Key Assumptions'!$D$84*'Key Assumptions'!$D$85+'Key Assumptions'!$D$86)*'Key Assumptions'!G33*12</f>
        <v>383616</v>
      </c>
      <c r="G28" s="237">
        <f>('Key Assumptions'!$D$84*'Key Assumptions'!$D$85+'Key Assumptions'!$D$86)*'Key Assumptions'!H33*12</f>
        <v>414305.28000000003</v>
      </c>
      <c r="H28" s="237">
        <f>('Key Assumptions'!$D$84*'Key Assumptions'!$D$85+'Key Assumptions'!$D$86)*'Key Assumptions'!I33*12</f>
        <v>447449.70240000007</v>
      </c>
      <c r="I28" s="237">
        <f>('Key Assumptions'!$D$84*'Key Assumptions'!$D$85+'Key Assumptions'!$D$86)*'Key Assumptions'!J33*12</f>
        <v>483245.67859200016</v>
      </c>
      <c r="J28" s="237">
        <f>('Key Assumptions'!$D$84*'Key Assumptions'!$D$85+'Key Assumptions'!$D$86)*'Key Assumptions'!K33*12</f>
        <v>521905.33287936018</v>
      </c>
      <c r="K28" s="237">
        <f>('Key Assumptions'!$D$84*'Key Assumptions'!$D$85+'Key Assumptions'!$D$86)*'Key Assumptions'!L33*12</f>
        <v>548000.59952332824</v>
      </c>
      <c r="L28" s="237">
        <f>('Key Assumptions'!$D$84*'Key Assumptions'!$D$85+'Key Assumptions'!$D$86)*'Key Assumptions'!M33*12</f>
        <v>575400.62949949468</v>
      </c>
      <c r="M28" s="237">
        <f>('Key Assumptions'!$D$84*'Key Assumptions'!$D$85+'Key Assumptions'!$D$86)*'Key Assumptions'!N33*12</f>
        <v>604170.66097446939</v>
      </c>
      <c r="N28" s="237">
        <f>('Key Assumptions'!$D$84*'Key Assumptions'!$D$85+'Key Assumptions'!$D$86)*'Key Assumptions'!O33*12</f>
        <v>634379.19402319298</v>
      </c>
    </row>
    <row r="29" spans="1:14">
      <c r="A29" s="82"/>
      <c r="B29" s="234" t="s">
        <v>565</v>
      </c>
      <c r="C29" s="234" t="s">
        <v>961</v>
      </c>
      <c r="D29" s="197">
        <f>'Key Assumptions'!E31/15000*('Key Assumptions'!$D$74+'Key Assumptions'!$D$75)*12+'Used Oil Plan'!J44</f>
        <v>344000</v>
      </c>
      <c r="E29" s="197">
        <f>'Key Assumptions'!F31/15000*('Key Assumptions'!$D$74+'Key Assumptions'!$D$75)*12</f>
        <v>155000</v>
      </c>
      <c r="F29" s="197">
        <f>'Key Assumptions'!G31/15000*('Key Assumptions'!$D$74+'Key Assumptions'!$D$75)*12</f>
        <v>158100</v>
      </c>
      <c r="G29" s="197">
        <f>'Key Assumptions'!H31/15000*('Key Assumptions'!$D$74+'Key Assumptions'!$D$75)*12</f>
        <v>161262</v>
      </c>
      <c r="H29" s="197">
        <f>'Key Assumptions'!I31/15000*('Key Assumptions'!$D$74+'Key Assumptions'!$D$75)*12</f>
        <v>164487.24</v>
      </c>
      <c r="I29" s="197">
        <f>'Key Assumptions'!J31/15000*('Key Assumptions'!$D$74+'Key Assumptions'!$D$75)*12</f>
        <v>167776.98480000001</v>
      </c>
      <c r="J29" s="197">
        <f>'Key Assumptions'!K31/15000*('Key Assumptions'!$D$74+'Key Assumptions'!$D$75)*12</f>
        <v>171132.52449600003</v>
      </c>
      <c r="K29" s="197">
        <f>'Key Assumptions'!L31/15000*('Key Assumptions'!$D$74+'Key Assumptions'!$D$75)*12</f>
        <v>174555.17498592002</v>
      </c>
      <c r="L29" s="197">
        <f>'Key Assumptions'!M31/15000*('Key Assumptions'!$D$74+'Key Assumptions'!$D$75)*12</f>
        <v>178046.27848563841</v>
      </c>
      <c r="M29" s="197">
        <f>'Key Assumptions'!N31/15000*('Key Assumptions'!$D$74+'Key Assumptions'!$D$75)*12</f>
        <v>181607.20405535121</v>
      </c>
      <c r="N29" s="197">
        <f>'Key Assumptions'!O31/15000*('Key Assumptions'!$D$74+'Key Assumptions'!$D$75)*12</f>
        <v>185239.3481364582</v>
      </c>
    </row>
    <row r="30" spans="1:14">
      <c r="A30" s="82"/>
      <c r="B30" s="449" t="s">
        <v>193</v>
      </c>
      <c r="C30" s="449" t="s">
        <v>962</v>
      </c>
      <c r="D30" s="200">
        <v>0</v>
      </c>
      <c r="E30" s="200"/>
      <c r="F30" s="200">
        <v>50000</v>
      </c>
      <c r="G30" s="200">
        <f t="shared" ref="G30:L30" si="9">F30*(1.02)</f>
        <v>51000</v>
      </c>
      <c r="H30" s="200">
        <f t="shared" si="9"/>
        <v>52020</v>
      </c>
      <c r="I30" s="200">
        <f t="shared" si="9"/>
        <v>53060.4</v>
      </c>
      <c r="J30" s="200">
        <f t="shared" si="9"/>
        <v>54121.608</v>
      </c>
      <c r="K30" s="200">
        <f t="shared" si="9"/>
        <v>55204.040160000004</v>
      </c>
      <c r="L30" s="200">
        <f t="shared" si="9"/>
        <v>56308.120963200003</v>
      </c>
      <c r="M30" s="200">
        <f t="shared" ref="M30" si="10">L30*(1.02)</f>
        <v>57434.283382464004</v>
      </c>
      <c r="N30" s="200">
        <f t="shared" ref="N30" si="11">M30*(1.02)</f>
        <v>58582.969050113286</v>
      </c>
    </row>
    <row r="31" spans="1:14">
      <c r="A31" s="82"/>
      <c r="B31" s="442" t="s">
        <v>347</v>
      </c>
      <c r="C31" s="442" t="s">
        <v>963</v>
      </c>
      <c r="D31" s="238">
        <f t="shared" ref="D31:L31" si="12">SUM(D23:D30)</f>
        <v>621200</v>
      </c>
      <c r="E31" s="238">
        <f t="shared" si="12"/>
        <v>1523210.9396565389</v>
      </c>
      <c r="F31" s="238">
        <f t="shared" si="12"/>
        <v>1630064.702688375</v>
      </c>
      <c r="G31" s="238">
        <f t="shared" si="12"/>
        <v>1754929.8641919787</v>
      </c>
      <c r="H31" s="238">
        <f t="shared" si="12"/>
        <v>1888898.0781747443</v>
      </c>
      <c r="I31" s="238">
        <f t="shared" si="12"/>
        <v>1945094.6449786837</v>
      </c>
      <c r="J31" s="238">
        <f t="shared" si="12"/>
        <v>2005288.2180960297</v>
      </c>
      <c r="K31" s="238">
        <f t="shared" si="12"/>
        <v>2055367.6068400207</v>
      </c>
      <c r="L31" s="238">
        <f t="shared" si="12"/>
        <v>2108255.8965807902</v>
      </c>
      <c r="M31" s="238">
        <f t="shared" ref="M31:N31" si="13">SUM(M23:M30)</f>
        <v>2164155.2984644123</v>
      </c>
      <c r="N31" s="238">
        <f t="shared" si="13"/>
        <v>2223286.8630991518</v>
      </c>
    </row>
    <row r="32" spans="1:14">
      <c r="A32" s="82"/>
      <c r="B32" s="442"/>
      <c r="C32" s="442"/>
      <c r="D32" s="500">
        <f t="shared" ref="D32:L32" si="14">D31/D12</f>
        <v>0.33140886110820117</v>
      </c>
      <c r="E32" s="500">
        <f t="shared" si="14"/>
        <v>0.23006527958881082</v>
      </c>
      <c r="F32" s="500">
        <f t="shared" si="14"/>
        <v>0.19607551963751657</v>
      </c>
      <c r="G32" s="500">
        <f t="shared" si="14"/>
        <v>0.17771451711045755</v>
      </c>
      <c r="H32" s="500">
        <f t="shared" si="14"/>
        <v>0.16283943820312594</v>
      </c>
      <c r="I32" s="500">
        <f t="shared" si="14"/>
        <v>0.16052118319097528</v>
      </c>
      <c r="J32" s="500">
        <f t="shared" si="14"/>
        <v>0.15849948113009754</v>
      </c>
      <c r="K32" s="500">
        <f t="shared" si="14"/>
        <v>0.15592594765311382</v>
      </c>
      <c r="L32" s="500">
        <f t="shared" si="14"/>
        <v>0.15331724053777385</v>
      </c>
      <c r="M32" s="500">
        <f t="shared" ref="M32:N32" si="15">M31/M12</f>
        <v>0.15075596825780122</v>
      </c>
      <c r="N32" s="500">
        <f t="shared" si="15"/>
        <v>0.14823487296588278</v>
      </c>
    </row>
    <row r="33" spans="1:14" ht="6" customHeight="1">
      <c r="A33" s="82"/>
      <c r="B33" s="134"/>
      <c r="C33" s="134"/>
      <c r="D33" s="444"/>
      <c r="E33" s="444"/>
      <c r="F33" s="444"/>
      <c r="G33" s="444"/>
      <c r="H33" s="444"/>
      <c r="I33" s="444"/>
      <c r="J33" s="444"/>
      <c r="K33" s="444"/>
      <c r="L33" s="444"/>
      <c r="M33" s="444"/>
      <c r="N33" s="444"/>
    </row>
    <row r="34" spans="1:14">
      <c r="A34" s="419"/>
      <c r="B34" s="450" t="s">
        <v>428</v>
      </c>
      <c r="C34" s="450" t="s">
        <v>964</v>
      </c>
      <c r="D34" s="454">
        <f t="shared" ref="D34:L34" si="16">D20+D31</f>
        <v>1271162</v>
      </c>
      <c r="E34" s="454">
        <f t="shared" si="16"/>
        <v>3616592.2389004715</v>
      </c>
      <c r="F34" s="454">
        <f t="shared" si="16"/>
        <v>4143887.9851749172</v>
      </c>
      <c r="G34" s="454">
        <f t="shared" si="16"/>
        <v>4292731.8833716605</v>
      </c>
      <c r="H34" s="454">
        <f t="shared" si="16"/>
        <v>4499939.8277934501</v>
      </c>
      <c r="I34" s="454">
        <f t="shared" si="16"/>
        <v>4626687.4078628486</v>
      </c>
      <c r="J34" s="454">
        <f t="shared" si="16"/>
        <v>4760228.8959103189</v>
      </c>
      <c r="K34" s="454">
        <f t="shared" si="16"/>
        <v>4888946.3191806432</v>
      </c>
      <c r="L34" s="454">
        <f t="shared" si="16"/>
        <v>5024172.9857950155</v>
      </c>
      <c r="M34" s="454">
        <f t="shared" ref="M34:N34" si="17">M20+M31</f>
        <v>5166489.9838692602</v>
      </c>
      <c r="N34" s="454">
        <f t="shared" si="17"/>
        <v>5316531.1781526655</v>
      </c>
    </row>
    <row r="35" spans="1:14" ht="6" customHeight="1">
      <c r="A35" s="82"/>
      <c r="B35" s="134"/>
      <c r="C35" s="134"/>
      <c r="D35" s="443"/>
      <c r="E35" s="443"/>
      <c r="F35" s="443"/>
      <c r="G35" s="443"/>
      <c r="H35" s="443"/>
      <c r="I35" s="443"/>
      <c r="J35" s="443"/>
      <c r="K35" s="443"/>
      <c r="L35" s="443"/>
      <c r="M35" s="443"/>
      <c r="N35" s="443"/>
    </row>
    <row r="36" spans="1:14">
      <c r="A36" s="82"/>
      <c r="B36" s="224" t="s">
        <v>348</v>
      </c>
      <c r="C36" s="224" t="s">
        <v>965</v>
      </c>
      <c r="D36" s="455">
        <f t="shared" ref="D36:L36" si="18">D12-D34</f>
        <v>603259.81818181789</v>
      </c>
      <c r="E36" s="455">
        <f t="shared" si="18"/>
        <v>3004184.883049137</v>
      </c>
      <c r="F36" s="455">
        <f t="shared" si="18"/>
        <v>4169565.4520612261</v>
      </c>
      <c r="G36" s="455">
        <f t="shared" si="18"/>
        <v>5582262.5331014246</v>
      </c>
      <c r="H36" s="455">
        <f t="shared" si="18"/>
        <v>7099818.1854866771</v>
      </c>
      <c r="I36" s="455">
        <f t="shared" si="18"/>
        <v>7490683.0619558645</v>
      </c>
      <c r="J36" s="455">
        <f t="shared" si="18"/>
        <v>7891473.2030389793</v>
      </c>
      <c r="K36" s="455">
        <f t="shared" si="18"/>
        <v>8292744.3344658371</v>
      </c>
      <c r="L36" s="455">
        <f t="shared" si="18"/>
        <v>8726765.1943202503</v>
      </c>
      <c r="M36" s="455">
        <f t="shared" ref="M36:N36" si="19">M12-M34</f>
        <v>9188864.0593191646</v>
      </c>
      <c r="N36" s="455">
        <f t="shared" si="19"/>
        <v>9681875.1928694602</v>
      </c>
    </row>
    <row r="37" spans="1:14">
      <c r="A37" s="82"/>
      <c r="B37" s="224"/>
      <c r="C37" s="224"/>
      <c r="D37" s="500">
        <f t="shared" ref="D37:L37" si="20">D36/D12</f>
        <v>0.32183781277523626</v>
      </c>
      <c r="E37" s="500">
        <f t="shared" si="20"/>
        <v>0.45375109714681044</v>
      </c>
      <c r="F37" s="500">
        <f t="shared" si="20"/>
        <v>0.50154433215270677</v>
      </c>
      <c r="G37" s="500">
        <f t="shared" si="20"/>
        <v>0.56529272804340114</v>
      </c>
      <c r="H37" s="500">
        <f t="shared" si="20"/>
        <v>0.61206606011594056</v>
      </c>
      <c r="I37" s="500">
        <f t="shared" si="20"/>
        <v>0.61817727539264811</v>
      </c>
      <c r="J37" s="500">
        <f t="shared" si="20"/>
        <v>0.62374794642804243</v>
      </c>
      <c r="K37" s="500">
        <f t="shared" si="20"/>
        <v>0.62911082897942205</v>
      </c>
      <c r="L37" s="500">
        <f t="shared" si="20"/>
        <v>0.63463053066006136</v>
      </c>
      <c r="M37" s="500">
        <f t="shared" ref="M37:N37" si="21">M36/M12</f>
        <v>0.64010013488167883</v>
      </c>
      <c r="N37" s="500">
        <f t="shared" si="21"/>
        <v>0.64552692821921787</v>
      </c>
    </row>
    <row r="38" spans="1:14" ht="3.95" customHeight="1">
      <c r="A38" s="82"/>
      <c r="B38" s="224"/>
      <c r="C38" s="224"/>
      <c r="D38" s="455"/>
      <c r="E38" s="455"/>
      <c r="F38" s="455"/>
      <c r="G38" s="455"/>
      <c r="H38" s="455"/>
      <c r="I38" s="455"/>
      <c r="J38" s="455"/>
      <c r="K38" s="455"/>
      <c r="L38" s="455"/>
      <c r="M38" s="455"/>
      <c r="N38" s="455"/>
    </row>
    <row r="39" spans="1:14">
      <c r="A39" s="82"/>
      <c r="B39" s="134"/>
      <c r="C39" s="134"/>
      <c r="D39" s="439" t="s">
        <v>36</v>
      </c>
      <c r="E39" s="439" t="s">
        <v>37</v>
      </c>
      <c r="F39" s="439" t="s">
        <v>38</v>
      </c>
      <c r="G39" s="439" t="s">
        <v>39</v>
      </c>
      <c r="H39" s="439" t="s">
        <v>40</v>
      </c>
      <c r="I39" s="439" t="s">
        <v>41</v>
      </c>
      <c r="J39" s="439" t="s">
        <v>42</v>
      </c>
      <c r="K39" s="439" t="s">
        <v>43</v>
      </c>
      <c r="L39" s="439" t="s">
        <v>168</v>
      </c>
      <c r="M39" s="439" t="s">
        <v>729</v>
      </c>
      <c r="N39" s="439" t="s">
        <v>730</v>
      </c>
    </row>
    <row r="40" spans="1:14">
      <c r="A40" s="82"/>
      <c r="B40" s="208" t="s">
        <v>349</v>
      </c>
      <c r="C40" s="208" t="s">
        <v>966</v>
      </c>
      <c r="D40" s="134"/>
      <c r="E40" s="134"/>
      <c r="F40" s="134"/>
      <c r="G40" s="134"/>
      <c r="H40" s="134"/>
      <c r="I40" s="134"/>
      <c r="J40" s="134"/>
      <c r="K40" s="134"/>
      <c r="L40" s="134"/>
      <c r="M40" s="134"/>
      <c r="N40" s="134"/>
    </row>
    <row r="41" spans="1:14">
      <c r="A41" s="82"/>
      <c r="B41" s="241" t="s">
        <v>350</v>
      </c>
      <c r="C41" s="241" t="s">
        <v>967</v>
      </c>
      <c r="D41" s="237">
        <v>15000</v>
      </c>
      <c r="E41" s="237">
        <f>D41*(1.03)</f>
        <v>15450</v>
      </c>
      <c r="F41" s="237">
        <f t="shared" ref="F41:L41" si="22">E41*(1.03)</f>
        <v>15913.5</v>
      </c>
      <c r="G41" s="237">
        <f t="shared" si="22"/>
        <v>16390.904999999999</v>
      </c>
      <c r="H41" s="237">
        <f t="shared" si="22"/>
        <v>16882.632149999998</v>
      </c>
      <c r="I41" s="237">
        <f t="shared" si="22"/>
        <v>17389.1111145</v>
      </c>
      <c r="J41" s="237">
        <f t="shared" si="22"/>
        <v>17910.784447934999</v>
      </c>
      <c r="K41" s="237">
        <f t="shared" si="22"/>
        <v>18448.10798137305</v>
      </c>
      <c r="L41" s="237">
        <f t="shared" si="22"/>
        <v>19001.551220814243</v>
      </c>
      <c r="M41" s="237">
        <f t="shared" ref="M41:M43" si="23">L41*(1.03)</f>
        <v>19571.597757438671</v>
      </c>
      <c r="N41" s="237">
        <f t="shared" ref="N41:N43" si="24">M41*(1.03)</f>
        <v>20158.745690161832</v>
      </c>
    </row>
    <row r="42" spans="1:14">
      <c r="A42" s="82"/>
      <c r="B42" s="241" t="s">
        <v>300</v>
      </c>
      <c r="C42" s="241" t="s">
        <v>905</v>
      </c>
      <c r="D42" s="237">
        <v>30000</v>
      </c>
      <c r="E42" s="237">
        <v>100000</v>
      </c>
      <c r="F42" s="237">
        <f t="shared" ref="F42:L42" si="25">E42*(1.03)</f>
        <v>103000</v>
      </c>
      <c r="G42" s="237">
        <f t="shared" si="25"/>
        <v>106090</v>
      </c>
      <c r="H42" s="237">
        <f t="shared" si="25"/>
        <v>109272.7</v>
      </c>
      <c r="I42" s="237">
        <f t="shared" si="25"/>
        <v>112550.88099999999</v>
      </c>
      <c r="J42" s="237">
        <f t="shared" si="25"/>
        <v>115927.40742999999</v>
      </c>
      <c r="K42" s="237">
        <f t="shared" si="25"/>
        <v>119405.2296529</v>
      </c>
      <c r="L42" s="237">
        <f t="shared" si="25"/>
        <v>122987.386542487</v>
      </c>
      <c r="M42" s="237">
        <f t="shared" si="23"/>
        <v>126677.00813876161</v>
      </c>
      <c r="N42" s="237">
        <f t="shared" si="24"/>
        <v>130477.31838292447</v>
      </c>
    </row>
    <row r="43" spans="1:14">
      <c r="A43" s="82"/>
      <c r="B43" s="241" t="s">
        <v>671</v>
      </c>
      <c r="C43" s="241" t="s">
        <v>968</v>
      </c>
      <c r="D43" s="197">
        <v>35000</v>
      </c>
      <c r="E43" s="197">
        <f t="shared" ref="E43:L43" si="26">D43*(1.03)</f>
        <v>36050</v>
      </c>
      <c r="F43" s="197">
        <f t="shared" si="26"/>
        <v>37131.5</v>
      </c>
      <c r="G43" s="197">
        <f t="shared" si="26"/>
        <v>38245.445</v>
      </c>
      <c r="H43" s="197">
        <f t="shared" si="26"/>
        <v>39392.808349999999</v>
      </c>
      <c r="I43" s="197">
        <f t="shared" si="26"/>
        <v>40574.5926005</v>
      </c>
      <c r="J43" s="197">
        <f t="shared" si="26"/>
        <v>41791.830378514998</v>
      </c>
      <c r="K43" s="197">
        <f t="shared" si="26"/>
        <v>43045.585289870447</v>
      </c>
      <c r="L43" s="197">
        <f t="shared" si="26"/>
        <v>44336.952848566565</v>
      </c>
      <c r="M43" s="197">
        <f t="shared" si="23"/>
        <v>45667.061434023562</v>
      </c>
      <c r="N43" s="197">
        <f t="shared" si="24"/>
        <v>47037.07327704427</v>
      </c>
    </row>
    <row r="44" spans="1:14">
      <c r="A44" s="82"/>
      <c r="B44" s="241" t="s">
        <v>173</v>
      </c>
      <c r="C44" s="241" t="s">
        <v>969</v>
      </c>
      <c r="D44" s="197">
        <v>75000</v>
      </c>
      <c r="E44" s="197">
        <f t="shared" ref="E44:L44" si="27">D44*1.03</f>
        <v>77250</v>
      </c>
      <c r="F44" s="197">
        <f t="shared" si="27"/>
        <v>79567.5</v>
      </c>
      <c r="G44" s="197">
        <f t="shared" si="27"/>
        <v>81954.525000000009</v>
      </c>
      <c r="H44" s="197">
        <f t="shared" si="27"/>
        <v>84413.16075000001</v>
      </c>
      <c r="I44" s="197">
        <f t="shared" si="27"/>
        <v>86945.555572500016</v>
      </c>
      <c r="J44" s="197">
        <f t="shared" si="27"/>
        <v>89553.922239675012</v>
      </c>
      <c r="K44" s="197">
        <f t="shared" si="27"/>
        <v>92240.539906865262</v>
      </c>
      <c r="L44" s="197">
        <f t="shared" si="27"/>
        <v>95007.756104071217</v>
      </c>
      <c r="M44" s="197">
        <f t="shared" ref="M44" si="28">L44*1.03</f>
        <v>97857.988787193361</v>
      </c>
      <c r="N44" s="197">
        <f t="shared" ref="N44" si="29">M44*1.03</f>
        <v>100793.72845080917</v>
      </c>
    </row>
    <row r="45" spans="1:14" ht="16.5" customHeight="1">
      <c r="A45" s="82"/>
      <c r="B45" s="241" t="s">
        <v>46</v>
      </c>
      <c r="C45" s="241" t="s">
        <v>970</v>
      </c>
      <c r="D45" s="237">
        <f>('Key Assumptions'!E31+'Key Assumptions'!E17)*0.05*12</f>
        <v>24000</v>
      </c>
      <c r="E45" s="237">
        <f>('Key Assumptions'!F31+'Key Assumptions'!F17)*0.05*12</f>
        <v>62511.756935270787</v>
      </c>
      <c r="F45" s="237">
        <f>('Key Assumptions'!G31+'Key Assumptions'!G17)*0.05*12</f>
        <v>101661.5746367239</v>
      </c>
      <c r="G45" s="237">
        <f>('Key Assumptions'!H31+'Key Assumptions'!H17)*0.05*12</f>
        <v>127708.73310435931</v>
      </c>
      <c r="H45" s="237">
        <f>('Key Assumptions'!I31+'Key Assumptions'!I17)*0.05*12</f>
        <v>160267.8035889036</v>
      </c>
      <c r="I45" s="237">
        <f>('Key Assumptions'!J31+'Key Assumptions'!J17)*0.05*12</f>
        <v>164679.71531273978</v>
      </c>
      <c r="J45" s="237">
        <f>('Key Assumptions'!K31+'Key Assumptions'!K17)*0.05*12</f>
        <v>169203.15326350799</v>
      </c>
      <c r="K45" s="237">
        <f>('Key Assumptions'!L31+'Key Assumptions'!L17)*0.05*12</f>
        <v>174067.39530500563</v>
      </c>
      <c r="L45" s="237">
        <f>('Key Assumptions'!M31+'Key Assumptions'!M17)*0.05*12</f>
        <v>179107.75428013399</v>
      </c>
      <c r="M45" s="237">
        <f>('Key Assumptions'!N31+'Key Assumptions'!N17)*0.05*12</f>
        <v>184348.22234568</v>
      </c>
      <c r="N45" s="237">
        <f>('Key Assumptions'!O31+'Key Assumptions'!O17)*0.05*12</f>
        <v>189815.10377826862</v>
      </c>
    </row>
    <row r="46" spans="1:14">
      <c r="A46" s="82"/>
      <c r="B46" s="449" t="s">
        <v>76</v>
      </c>
      <c r="C46" s="449" t="s">
        <v>971</v>
      </c>
      <c r="D46" s="200">
        <f>'Org-Salary Structure'!H27*0.2</f>
        <v>147610</v>
      </c>
      <c r="E46" s="200">
        <f>'Org-Salary Structure'!H27</f>
        <v>738050</v>
      </c>
      <c r="F46" s="200">
        <f t="shared" ref="F46:L46" si="30">E46*(1.03)</f>
        <v>760191.5</v>
      </c>
      <c r="G46" s="200">
        <f t="shared" si="30"/>
        <v>782997.245</v>
      </c>
      <c r="H46" s="200">
        <f t="shared" si="30"/>
        <v>806487.16235</v>
      </c>
      <c r="I46" s="200">
        <f t="shared" si="30"/>
        <v>830681.77722050005</v>
      </c>
      <c r="J46" s="200">
        <f t="shared" si="30"/>
        <v>855602.23053711513</v>
      </c>
      <c r="K46" s="200">
        <f t="shared" si="30"/>
        <v>881270.29745322862</v>
      </c>
      <c r="L46" s="200">
        <f t="shared" si="30"/>
        <v>907708.40637682553</v>
      </c>
      <c r="M46" s="200">
        <f t="shared" ref="M46" si="31">L46*(1.03)</f>
        <v>934939.65856813034</v>
      </c>
      <c r="N46" s="200">
        <f t="shared" ref="N46" si="32">M46*(1.03)</f>
        <v>962987.8483251743</v>
      </c>
    </row>
    <row r="47" spans="1:14">
      <c r="A47" s="82"/>
      <c r="B47" s="442" t="s">
        <v>352</v>
      </c>
      <c r="C47" s="442" t="s">
        <v>972</v>
      </c>
      <c r="D47" s="238">
        <f t="shared" ref="D47:L47" si="33">SUM(D41:D46)</f>
        <v>326610</v>
      </c>
      <c r="E47" s="238">
        <f t="shared" si="33"/>
        <v>1029311.7569352707</v>
      </c>
      <c r="F47" s="238">
        <f t="shared" si="33"/>
        <v>1097465.5746367238</v>
      </c>
      <c r="G47" s="238">
        <f t="shared" si="33"/>
        <v>1153386.8531043592</v>
      </c>
      <c r="H47" s="238">
        <f t="shared" si="33"/>
        <v>1216716.2671889036</v>
      </c>
      <c r="I47" s="238">
        <f t="shared" si="33"/>
        <v>1252821.6328207399</v>
      </c>
      <c r="J47" s="238">
        <f t="shared" si="33"/>
        <v>1289989.328296748</v>
      </c>
      <c r="K47" s="238">
        <f t="shared" si="33"/>
        <v>1328477.1555892429</v>
      </c>
      <c r="L47" s="238">
        <f t="shared" si="33"/>
        <v>1368149.8073728986</v>
      </c>
      <c r="M47" s="238">
        <f t="shared" ref="M47:N47" si="34">SUM(M41:M46)</f>
        <v>1409061.5370312275</v>
      </c>
      <c r="N47" s="238">
        <f t="shared" si="34"/>
        <v>1451269.8179043827</v>
      </c>
    </row>
    <row r="48" spans="1:14">
      <c r="A48" s="82"/>
      <c r="B48" s="442"/>
      <c r="C48" s="442"/>
      <c r="D48" s="500">
        <f t="shared" ref="D48:L48" si="35">D47/D12</f>
        <v>0.17424573104724661</v>
      </c>
      <c r="E48" s="500">
        <f t="shared" si="35"/>
        <v>0.15546690939388866</v>
      </c>
      <c r="F48" s="500">
        <f t="shared" si="35"/>
        <v>0.13201079225645879</v>
      </c>
      <c r="G48" s="500">
        <f t="shared" si="35"/>
        <v>0.11679873470918867</v>
      </c>
      <c r="H48" s="500">
        <f t="shared" si="35"/>
        <v>0.10489152151242559</v>
      </c>
      <c r="I48" s="500">
        <f t="shared" si="35"/>
        <v>0.10339055292080075</v>
      </c>
      <c r="J48" s="500">
        <f t="shared" si="35"/>
        <v>0.10196172168833151</v>
      </c>
      <c r="K48" s="500">
        <f t="shared" si="35"/>
        <v>0.10078200061702582</v>
      </c>
      <c r="L48" s="500">
        <f t="shared" si="35"/>
        <v>9.9495015500202774E-2</v>
      </c>
      <c r="M48" s="500">
        <f t="shared" ref="M48:N48" si="36">M47/M12</f>
        <v>9.8155819270777461E-2</v>
      </c>
      <c r="N48" s="500">
        <f t="shared" si="36"/>
        <v>9.6761601333080843E-2</v>
      </c>
    </row>
    <row r="49" spans="1:14" ht="3.95" customHeight="1">
      <c r="A49" s="82"/>
      <c r="B49" s="134"/>
      <c r="C49" s="134"/>
      <c r="D49" s="451"/>
      <c r="E49" s="451"/>
      <c r="F49" s="451"/>
      <c r="G49" s="451"/>
      <c r="H49" s="451"/>
      <c r="I49" s="451"/>
      <c r="J49" s="451"/>
      <c r="K49" s="451"/>
      <c r="L49" s="451"/>
      <c r="M49" s="451"/>
      <c r="N49" s="451"/>
    </row>
    <row r="50" spans="1:14">
      <c r="A50" s="82"/>
      <c r="B50" s="442" t="s">
        <v>28</v>
      </c>
      <c r="C50" s="442" t="s">
        <v>28</v>
      </c>
      <c r="D50" s="238">
        <f t="shared" ref="D50:L50" si="37">D36-D47</f>
        <v>276649.81818181789</v>
      </c>
      <c r="E50" s="238">
        <f t="shared" si="37"/>
        <v>1974873.1261138662</v>
      </c>
      <c r="F50" s="238">
        <f t="shared" si="37"/>
        <v>3072099.8774245023</v>
      </c>
      <c r="G50" s="238">
        <f t="shared" si="37"/>
        <v>4428875.6799970651</v>
      </c>
      <c r="H50" s="238">
        <f t="shared" si="37"/>
        <v>5883101.9182977732</v>
      </c>
      <c r="I50" s="238">
        <f t="shared" si="37"/>
        <v>6237861.4291351251</v>
      </c>
      <c r="J50" s="238">
        <f t="shared" si="37"/>
        <v>6601483.8747422313</v>
      </c>
      <c r="K50" s="238">
        <f t="shared" si="37"/>
        <v>6964267.1788765937</v>
      </c>
      <c r="L50" s="238">
        <f t="shared" si="37"/>
        <v>7358615.3869473515</v>
      </c>
      <c r="M50" s="238">
        <f t="shared" ref="M50:N50" si="38">M36-M47</f>
        <v>7779802.5222879369</v>
      </c>
      <c r="N50" s="238">
        <f t="shared" si="38"/>
        <v>8230605.3749650773</v>
      </c>
    </row>
    <row r="51" spans="1:14">
      <c r="A51" s="82"/>
      <c r="B51" s="442"/>
      <c r="C51" s="442"/>
      <c r="D51" s="500">
        <f t="shared" ref="D51:L51" si="39">D50/D12</f>
        <v>0.14759208172798968</v>
      </c>
      <c r="E51" s="500">
        <f t="shared" si="39"/>
        <v>0.29828418775292181</v>
      </c>
      <c r="F51" s="500">
        <f t="shared" si="39"/>
        <v>0.36953353989624799</v>
      </c>
      <c r="G51" s="500">
        <f t="shared" si="39"/>
        <v>0.44849399333421247</v>
      </c>
      <c r="H51" s="500">
        <f t="shared" si="39"/>
        <v>0.50717453860351491</v>
      </c>
      <c r="I51" s="500">
        <f t="shared" si="39"/>
        <v>0.51478672247184742</v>
      </c>
      <c r="J51" s="500">
        <f t="shared" si="39"/>
        <v>0.52178622473971092</v>
      </c>
      <c r="K51" s="500">
        <f t="shared" si="39"/>
        <v>0.52832882836239625</v>
      </c>
      <c r="L51" s="500">
        <f t="shared" si="39"/>
        <v>0.53513551515985858</v>
      </c>
      <c r="M51" s="500">
        <f t="shared" ref="M51:N51" si="40">M50/M12</f>
        <v>0.54194431561090139</v>
      </c>
      <c r="N51" s="500">
        <f t="shared" si="40"/>
        <v>0.54876532688613699</v>
      </c>
    </row>
    <row r="52" spans="1:14" ht="3.95" customHeight="1">
      <c r="A52" s="82"/>
      <c r="B52" s="134"/>
      <c r="C52" s="134"/>
      <c r="D52" s="134"/>
      <c r="E52" s="134"/>
      <c r="F52" s="134"/>
      <c r="G52" s="134"/>
      <c r="H52" s="134"/>
      <c r="I52" s="134"/>
      <c r="J52" s="134"/>
      <c r="K52" s="134"/>
      <c r="L52" s="134"/>
      <c r="M52" s="134"/>
      <c r="N52" s="134"/>
    </row>
    <row r="53" spans="1:14">
      <c r="A53" s="82"/>
      <c r="B53" s="241" t="s">
        <v>70</v>
      </c>
      <c r="C53" s="241" t="s">
        <v>973</v>
      </c>
      <c r="D53" s="419"/>
      <c r="E53" s="639">
        <f>'Investment Plan'!I69</f>
        <v>1250003.1904761905</v>
      </c>
      <c r="F53" s="639">
        <f>'Investment Plan'!J69</f>
        <v>1250003.1904761905</v>
      </c>
      <c r="G53" s="639">
        <f>'Investment Plan'!K69</f>
        <v>1250003.1904761905</v>
      </c>
      <c r="H53" s="639">
        <f>'Investment Plan'!L69</f>
        <v>1107235</v>
      </c>
      <c r="I53" s="639">
        <f>'Investment Plan'!M69</f>
        <v>1107235</v>
      </c>
      <c r="J53" s="639">
        <f>'Investment Plan'!N69</f>
        <v>1015235</v>
      </c>
      <c r="K53" s="639">
        <f>'Investment Plan'!O69</f>
        <v>1015235</v>
      </c>
      <c r="L53" s="639">
        <f>'Investment Plan'!P69</f>
        <v>1015235</v>
      </c>
      <c r="M53" s="639">
        <f>'Investment Plan'!Q69</f>
        <v>1015235</v>
      </c>
      <c r="N53" s="639">
        <f>'Investment Plan'!R69</f>
        <v>1015235</v>
      </c>
    </row>
    <row r="54" spans="1:14">
      <c r="A54" s="82"/>
      <c r="B54" s="442" t="s">
        <v>736</v>
      </c>
      <c r="C54" s="442" t="s">
        <v>28</v>
      </c>
      <c r="D54" s="238">
        <f>D50-D53</f>
        <v>276649.81818181789</v>
      </c>
      <c r="E54" s="238">
        <f>E50-E53</f>
        <v>724869.93563767569</v>
      </c>
      <c r="F54" s="238">
        <f t="shared" ref="F54:N54" si="41">F50-F53</f>
        <v>1822096.6869483117</v>
      </c>
      <c r="G54" s="238">
        <f t="shared" si="41"/>
        <v>3178872.4895208748</v>
      </c>
      <c r="H54" s="238">
        <f t="shared" si="41"/>
        <v>4775866.9182977732</v>
      </c>
      <c r="I54" s="238">
        <f t="shared" si="41"/>
        <v>5130626.4291351251</v>
      </c>
      <c r="J54" s="238">
        <f t="shared" si="41"/>
        <v>5586248.8747422313</v>
      </c>
      <c r="K54" s="238">
        <f t="shared" si="41"/>
        <v>5949032.1788765937</v>
      </c>
      <c r="L54" s="238">
        <f t="shared" si="41"/>
        <v>6343380.3869473515</v>
      </c>
      <c r="M54" s="238">
        <f t="shared" si="41"/>
        <v>6764567.5222879369</v>
      </c>
      <c r="N54" s="238">
        <f t="shared" si="41"/>
        <v>7215370.3749650773</v>
      </c>
    </row>
    <row r="55" spans="1:14">
      <c r="A55" s="82"/>
      <c r="B55" s="241" t="s">
        <v>355</v>
      </c>
      <c r="C55" s="241" t="s">
        <v>974</v>
      </c>
      <c r="D55" s="200"/>
      <c r="E55" s="200">
        <f>SUM('Sr Debt Service 2018'!H17:H28)</f>
        <v>653112.70285714313</v>
      </c>
      <c r="F55" s="200">
        <f>SUM('Sr Debt Service 2018'!H29:H40)+SUM('Sr Debt Service 2020 '!H5:H16)</f>
        <v>625010.0230179847</v>
      </c>
      <c r="G55" s="200">
        <f>SUM('Sr Debt Service 2018'!H41:H52)+SUM('Sr Debt Service 2020 '!H17:H28)</f>
        <v>555819.03091620945</v>
      </c>
      <c r="H55" s="200">
        <f>SUM('Sr Debt Service 2018'!H53:H64)+SUM('Sr Debt Service 2020 '!H29:H40)</f>
        <v>484226.78302161809</v>
      </c>
      <c r="I55" s="200">
        <f>SUM('Sr Debt Service 2018'!H65:H76)+SUM('Sr Debt Service 2020 '!H41:H52)</f>
        <v>408218.89099787484</v>
      </c>
      <c r="J55" s="200">
        <f>SUM('Sr Debt Service 2018'!H77:H88)+SUM('Sr Debt Service 2020 '!H53:H64)</f>
        <v>328556.64056023862</v>
      </c>
      <c r="K55" s="200">
        <f>SUM('Sr Debt Service 2018'!H89:H100)+SUM('Sr Debt Service 2020 '!H65:H76)</f>
        <v>241913.74206923618</v>
      </c>
      <c r="L55" s="200">
        <f>SUM('Sr Debt Service 2018'!H101:H112)+SUM('Sr Debt Service 2020 '!H77:H88)</f>
        <v>150960.5425832418</v>
      </c>
      <c r="M55" s="200">
        <f>SUM('Sr Debt Service 2018'!H113:H124)+SUM('Sr Debt Service 2020 '!H89:H100)</f>
        <v>54397.56029046583</v>
      </c>
      <c r="N55" s="200">
        <f>SUM('Sr Debt Service 2020 '!H101:H112)</f>
        <v>0</v>
      </c>
    </row>
    <row r="56" spans="1:14">
      <c r="A56" s="82"/>
      <c r="B56" s="442" t="s">
        <v>737</v>
      </c>
      <c r="C56" s="442" t="s">
        <v>975</v>
      </c>
      <c r="D56" s="237">
        <f t="shared" ref="D56:L56" si="42">D54-D55</f>
        <v>276649.81818181789</v>
      </c>
      <c r="E56" s="237">
        <f t="shared" si="42"/>
        <v>71757.232780532562</v>
      </c>
      <c r="F56" s="237">
        <f t="shared" si="42"/>
        <v>1197086.6639303272</v>
      </c>
      <c r="G56" s="237">
        <f t="shared" si="42"/>
        <v>2623053.4586046655</v>
      </c>
      <c r="H56" s="237">
        <f t="shared" si="42"/>
        <v>4291640.1352761555</v>
      </c>
      <c r="I56" s="237">
        <f t="shared" si="42"/>
        <v>4722407.5381372506</v>
      </c>
      <c r="J56" s="237">
        <f t="shared" si="42"/>
        <v>5257692.2341819927</v>
      </c>
      <c r="K56" s="237">
        <f t="shared" si="42"/>
        <v>5707118.4368073577</v>
      </c>
      <c r="L56" s="237">
        <f t="shared" si="42"/>
        <v>6192419.8443641094</v>
      </c>
      <c r="M56" s="237">
        <f t="shared" ref="M56:N56" si="43">M54-M55</f>
        <v>6710169.9619974708</v>
      </c>
      <c r="N56" s="237">
        <f t="shared" si="43"/>
        <v>7215370.3749650773</v>
      </c>
    </row>
    <row r="57" spans="1:14">
      <c r="A57" s="82"/>
      <c r="B57" s="241" t="s">
        <v>425</v>
      </c>
      <c r="C57" s="241" t="s">
        <v>976</v>
      </c>
      <c r="D57" s="200">
        <f>D56*'Key Assumptions'!$D$80</f>
        <v>0</v>
      </c>
      <c r="E57" s="200">
        <f>E56*'Key Assumptions'!$D$80</f>
        <v>0</v>
      </c>
      <c r="F57" s="200">
        <f>F56*'Key Assumptions'!$D$80</f>
        <v>0</v>
      </c>
      <c r="G57" s="200">
        <f>G56*'Key Assumptions'!$D$80</f>
        <v>0</v>
      </c>
      <c r="H57" s="200">
        <f>H56*'Key Assumptions'!$D$80</f>
        <v>0</v>
      </c>
      <c r="I57" s="200">
        <f>I56*'Key Assumptions'!$D$80</f>
        <v>0</v>
      </c>
      <c r="J57" s="200">
        <f>J56*'Key Assumptions'!$D$81</f>
        <v>262884.61170909967</v>
      </c>
      <c r="K57" s="200">
        <f>K56*'Key Assumptions'!$D$81</f>
        <v>285355.9218403679</v>
      </c>
      <c r="L57" s="200">
        <f>L56*'Key Assumptions'!$D$81</f>
        <v>309620.99221820547</v>
      </c>
      <c r="M57" s="200">
        <f>M56*'Key Assumptions'!$D$81</f>
        <v>335508.49809987354</v>
      </c>
      <c r="N57" s="200">
        <f>N56*'Key Assumptions'!$D$81</f>
        <v>360768.51874825387</v>
      </c>
    </row>
    <row r="58" spans="1:14" s="9" customFormat="1">
      <c r="A58" s="447"/>
      <c r="B58" s="704" t="s">
        <v>748</v>
      </c>
      <c r="C58" s="704" t="s">
        <v>748</v>
      </c>
      <c r="D58" s="238">
        <f t="shared" ref="D58:N58" si="44">D56-D57</f>
        <v>276649.81818181789</v>
      </c>
      <c r="E58" s="238">
        <f t="shared" si="44"/>
        <v>71757.232780532562</v>
      </c>
      <c r="F58" s="238">
        <f t="shared" si="44"/>
        <v>1197086.6639303272</v>
      </c>
      <c r="G58" s="238">
        <f t="shared" si="44"/>
        <v>2623053.4586046655</v>
      </c>
      <c r="H58" s="238">
        <f t="shared" si="44"/>
        <v>4291640.1352761555</v>
      </c>
      <c r="I58" s="238">
        <f t="shared" si="44"/>
        <v>4722407.5381372506</v>
      </c>
      <c r="J58" s="238">
        <f t="shared" si="44"/>
        <v>4994807.6224728934</v>
      </c>
      <c r="K58" s="238">
        <f t="shared" si="44"/>
        <v>5421762.5149669899</v>
      </c>
      <c r="L58" s="238">
        <f t="shared" si="44"/>
        <v>5882798.8521459037</v>
      </c>
      <c r="M58" s="238">
        <f t="shared" si="44"/>
        <v>6374661.463897597</v>
      </c>
      <c r="N58" s="238">
        <f t="shared" si="44"/>
        <v>6854601.8562168237</v>
      </c>
    </row>
    <row r="59" spans="1:14" s="9" customFormat="1">
      <c r="A59" s="447"/>
      <c r="B59" s="241" t="s">
        <v>320</v>
      </c>
      <c r="C59" s="241" t="s">
        <v>977</v>
      </c>
      <c r="D59" s="200">
        <f>D66</f>
        <v>0</v>
      </c>
      <c r="E59" s="200">
        <f t="shared" ref="E59:N59" si="45">E66</f>
        <v>0</v>
      </c>
      <c r="F59" s="200">
        <f t="shared" si="45"/>
        <v>1091556.9777725209</v>
      </c>
      <c r="G59" s="200">
        <f t="shared" si="45"/>
        <v>1160747.9698742963</v>
      </c>
      <c r="H59" s="200">
        <f t="shared" si="45"/>
        <v>1232340.2177688875</v>
      </c>
      <c r="I59" s="200">
        <f t="shared" si="45"/>
        <v>1308348.1097926311</v>
      </c>
      <c r="J59" s="200">
        <f t="shared" si="45"/>
        <v>1388010.360230267</v>
      </c>
      <c r="K59" s="200">
        <f t="shared" si="45"/>
        <v>1474653.2587212697</v>
      </c>
      <c r="L59" s="200">
        <f t="shared" si="45"/>
        <v>1890274.6653103649</v>
      </c>
      <c r="M59" s="200">
        <f t="shared" si="45"/>
        <v>1662169.4405000401</v>
      </c>
      <c r="N59" s="200">
        <f t="shared" si="45"/>
        <v>1015235</v>
      </c>
    </row>
    <row r="60" spans="1:14" s="9" customFormat="1">
      <c r="A60" s="447"/>
      <c r="B60" s="442" t="s">
        <v>371</v>
      </c>
      <c r="C60" s="442" t="s">
        <v>978</v>
      </c>
      <c r="D60" s="238">
        <f>D58-D59</f>
        <v>276649.81818181789</v>
      </c>
      <c r="E60" s="238">
        <f t="shared" ref="E60:N60" si="46">E58-E59</f>
        <v>71757.232780532562</v>
      </c>
      <c r="F60" s="238">
        <f t="shared" si="46"/>
        <v>105529.68615780631</v>
      </c>
      <c r="G60" s="238">
        <f t="shared" si="46"/>
        <v>1462305.4887303691</v>
      </c>
      <c r="H60" s="238">
        <f t="shared" si="46"/>
        <v>3059299.917507268</v>
      </c>
      <c r="I60" s="238">
        <f t="shared" si="46"/>
        <v>3414059.4283446195</v>
      </c>
      <c r="J60" s="238">
        <f t="shared" si="46"/>
        <v>3606797.2622426264</v>
      </c>
      <c r="K60" s="238">
        <f t="shared" si="46"/>
        <v>3947109.2562457202</v>
      </c>
      <c r="L60" s="238">
        <f t="shared" si="46"/>
        <v>3992524.1868355386</v>
      </c>
      <c r="M60" s="238">
        <f t="shared" si="46"/>
        <v>4712492.0233975574</v>
      </c>
      <c r="N60" s="238">
        <f t="shared" si="46"/>
        <v>5839366.8562168237</v>
      </c>
    </row>
    <row r="61" spans="1:14" s="9" customFormat="1">
      <c r="A61" s="447"/>
      <c r="B61" s="442"/>
      <c r="C61" s="442"/>
      <c r="D61" s="500">
        <f t="shared" ref="D61:N61" si="47">D58/D12</f>
        <v>0.14759208172798968</v>
      </c>
      <c r="E61" s="500">
        <f t="shared" si="47"/>
        <v>1.083818884986153E-2</v>
      </c>
      <c r="F61" s="500">
        <f t="shared" si="47"/>
        <v>0.14399390974736795</v>
      </c>
      <c r="G61" s="500">
        <f t="shared" si="47"/>
        <v>0.2656258168844115</v>
      </c>
      <c r="H61" s="500">
        <f t="shared" si="47"/>
        <v>0.36997669523474697</v>
      </c>
      <c r="I61" s="500">
        <f t="shared" si="47"/>
        <v>0.38972213896567465</v>
      </c>
      <c r="J61" s="500">
        <f t="shared" si="47"/>
        <v>0.39479333163303804</v>
      </c>
      <c r="K61" s="500">
        <f t="shared" si="47"/>
        <v>0.41131010106561372</v>
      </c>
      <c r="L61" s="500">
        <f t="shared" si="47"/>
        <v>0.42781072644576401</v>
      </c>
      <c r="M61" s="500">
        <f t="shared" si="47"/>
        <v>0.44406159853106209</v>
      </c>
      <c r="N61" s="500">
        <f t="shared" si="47"/>
        <v>0.45702201198257636</v>
      </c>
    </row>
    <row r="62" spans="1:14">
      <c r="A62" s="82"/>
      <c r="B62" s="134"/>
      <c r="C62" s="134"/>
      <c r="D62" s="237"/>
      <c r="E62" s="237"/>
      <c r="F62" s="237"/>
      <c r="G62" s="237"/>
      <c r="H62" s="237"/>
      <c r="I62" s="237"/>
      <c r="J62" s="237"/>
      <c r="K62" s="237"/>
      <c r="L62" s="237"/>
      <c r="M62" s="237"/>
      <c r="N62" s="237"/>
    </row>
    <row r="63" spans="1:14">
      <c r="A63" s="82"/>
      <c r="B63" s="192" t="s">
        <v>370</v>
      </c>
      <c r="C63" s="192" t="s">
        <v>979</v>
      </c>
      <c r="D63" s="439" t="s">
        <v>36</v>
      </c>
      <c r="E63" s="439" t="s">
        <v>37</v>
      </c>
      <c r="F63" s="439" t="s">
        <v>38</v>
      </c>
      <c r="G63" s="439" t="s">
        <v>39</v>
      </c>
      <c r="H63" s="439" t="s">
        <v>40</v>
      </c>
      <c r="I63" s="439" t="s">
        <v>41</v>
      </c>
      <c r="J63" s="439" t="s">
        <v>42</v>
      </c>
      <c r="K63" s="439" t="s">
        <v>43</v>
      </c>
      <c r="L63" s="439" t="s">
        <v>168</v>
      </c>
      <c r="M63" s="439" t="s">
        <v>729</v>
      </c>
      <c r="N63" s="439" t="s">
        <v>730</v>
      </c>
    </row>
    <row r="64" spans="1:14" s="244" customFormat="1">
      <c r="A64" s="448"/>
      <c r="B64" s="241" t="s">
        <v>371</v>
      </c>
      <c r="C64" s="241" t="s">
        <v>980</v>
      </c>
      <c r="D64" s="440">
        <f>D60</f>
        <v>276649.81818181789</v>
      </c>
      <c r="E64" s="440">
        <f t="shared" ref="E64:N64" si="48">E60</f>
        <v>71757.232780532562</v>
      </c>
      <c r="F64" s="440">
        <f t="shared" si="48"/>
        <v>105529.68615780631</v>
      </c>
      <c r="G64" s="440">
        <f t="shared" si="48"/>
        <v>1462305.4887303691</v>
      </c>
      <c r="H64" s="440">
        <f t="shared" si="48"/>
        <v>3059299.917507268</v>
      </c>
      <c r="I64" s="440">
        <f t="shared" si="48"/>
        <v>3414059.4283446195</v>
      </c>
      <c r="J64" s="440">
        <f t="shared" si="48"/>
        <v>3606797.2622426264</v>
      </c>
      <c r="K64" s="440">
        <f t="shared" si="48"/>
        <v>3947109.2562457202</v>
      </c>
      <c r="L64" s="440">
        <f t="shared" si="48"/>
        <v>3992524.1868355386</v>
      </c>
      <c r="M64" s="440">
        <f t="shared" si="48"/>
        <v>4712492.0233975574</v>
      </c>
      <c r="N64" s="440">
        <f t="shared" si="48"/>
        <v>5839366.8562168237</v>
      </c>
    </row>
    <row r="65" spans="1:14" s="244" customFormat="1">
      <c r="A65" s="448"/>
      <c r="B65" s="241" t="s">
        <v>738</v>
      </c>
      <c r="C65" s="241" t="s">
        <v>981</v>
      </c>
      <c r="D65" s="440"/>
      <c r="E65" s="440">
        <f t="shared" ref="E65:N65" si="49">E53</f>
        <v>1250003.1904761905</v>
      </c>
      <c r="F65" s="440">
        <f t="shared" si="49"/>
        <v>1250003.1904761905</v>
      </c>
      <c r="G65" s="440">
        <f t="shared" si="49"/>
        <v>1250003.1904761905</v>
      </c>
      <c r="H65" s="440">
        <f t="shared" si="49"/>
        <v>1107235</v>
      </c>
      <c r="I65" s="440">
        <f t="shared" si="49"/>
        <v>1107235</v>
      </c>
      <c r="J65" s="440">
        <f t="shared" si="49"/>
        <v>1015235</v>
      </c>
      <c r="K65" s="440">
        <f t="shared" si="49"/>
        <v>1015235</v>
      </c>
      <c r="L65" s="440">
        <f t="shared" si="49"/>
        <v>1015235</v>
      </c>
      <c r="M65" s="440">
        <f t="shared" si="49"/>
        <v>1015235</v>
      </c>
      <c r="N65" s="440">
        <f t="shared" si="49"/>
        <v>1015235</v>
      </c>
    </row>
    <row r="66" spans="1:14" s="215" customFormat="1">
      <c r="A66" s="73"/>
      <c r="B66" s="241" t="s">
        <v>739</v>
      </c>
      <c r="C66" s="241" t="s">
        <v>982</v>
      </c>
      <c r="D66" s="552"/>
      <c r="E66" s="197">
        <f>SUM('Sr Debt Service 2018'!I17:I28)</f>
        <v>0</v>
      </c>
      <c r="F66" s="197">
        <f>SUM('Sr Debt Service 2018'!I29:I40)</f>
        <v>1091556.9777725209</v>
      </c>
      <c r="G66" s="197">
        <f>SUM('Sr Debt Service 2018'!I41:I52)</f>
        <v>1160747.9698742963</v>
      </c>
      <c r="H66" s="197">
        <f>SUM('Sr Debt Service 2018'!I53:I64)+SUM('Sr Debt Service 2020 '!I29:I40)</f>
        <v>1232340.2177688875</v>
      </c>
      <c r="I66" s="197">
        <f>SUM('Sr Debt Service 2018'!I65:I76)+SUM('Sr Debt Service 2020 '!I41:I52)</f>
        <v>1308348.1097926311</v>
      </c>
      <c r="J66" s="197">
        <f>SUM('Sr Debt Service 2018'!I77:I88)+SUM('Sr Debt Service 2020 '!I53:I64)</f>
        <v>1388010.360230267</v>
      </c>
      <c r="K66" s="197">
        <f>SUM('Sr Debt Service 2018'!I89:I100)+SUM('Sr Debt Service 2020 '!I65:I76)</f>
        <v>1474653.2587212697</v>
      </c>
      <c r="L66" s="197">
        <f>SUM('Sr Debt Service 2018'!I101:I112)+SUM('Sr Debt Service 2020 '!I77:I88)+SUM('HREFF Debt Servic'!I101:I112)</f>
        <v>1890274.6653103649</v>
      </c>
      <c r="M66" s="197">
        <f>SUM('Sr Debt Service 2018'!I113:I124)+SUM('Sr Debt Service 2020 '!I89:I100)</f>
        <v>1662169.4405000401</v>
      </c>
      <c r="N66" s="197">
        <f>'Investment Plan'!R69+SUM('Sr Debt Service 2020 '!I101:I112)</f>
        <v>1015235</v>
      </c>
    </row>
    <row r="67" spans="1:14" s="215" customFormat="1">
      <c r="A67" s="73"/>
      <c r="B67" s="241" t="s">
        <v>373</v>
      </c>
      <c r="C67" s="241" t="s">
        <v>983</v>
      </c>
      <c r="D67" s="441"/>
      <c r="E67" s="441">
        <f t="shared" ref="E67:N67" si="50">E55</f>
        <v>653112.70285714313</v>
      </c>
      <c r="F67" s="441">
        <f t="shared" si="50"/>
        <v>625010.0230179847</v>
      </c>
      <c r="G67" s="441">
        <f t="shared" si="50"/>
        <v>555819.03091620945</v>
      </c>
      <c r="H67" s="441">
        <f t="shared" si="50"/>
        <v>484226.78302161809</v>
      </c>
      <c r="I67" s="441">
        <f t="shared" si="50"/>
        <v>408218.89099787484</v>
      </c>
      <c r="J67" s="441">
        <f t="shared" si="50"/>
        <v>328556.64056023862</v>
      </c>
      <c r="K67" s="441">
        <f t="shared" si="50"/>
        <v>241913.74206923618</v>
      </c>
      <c r="L67" s="441">
        <f t="shared" si="50"/>
        <v>150960.5425832418</v>
      </c>
      <c r="M67" s="441">
        <f t="shared" si="50"/>
        <v>54397.56029046583</v>
      </c>
      <c r="N67" s="441">
        <f t="shared" si="50"/>
        <v>0</v>
      </c>
    </row>
    <row r="68" spans="1:14">
      <c r="A68" s="82"/>
      <c r="B68" s="442" t="s">
        <v>374</v>
      </c>
      <c r="C68" s="442" t="s">
        <v>984</v>
      </c>
      <c r="D68" s="440">
        <f>SUM(D64:D67)</f>
        <v>276649.81818181789</v>
      </c>
      <c r="E68" s="440">
        <f>SUM(E64:E67)</f>
        <v>1974873.1261138665</v>
      </c>
      <c r="F68" s="440">
        <f t="shared" ref="F68:L68" si="51">SUM(F64:F67)</f>
        <v>3072099.8774245027</v>
      </c>
      <c r="G68" s="440">
        <f t="shared" si="51"/>
        <v>4428875.6799970651</v>
      </c>
      <c r="H68" s="440">
        <f t="shared" si="51"/>
        <v>5883101.9182977732</v>
      </c>
      <c r="I68" s="440">
        <f t="shared" si="51"/>
        <v>6237861.4291351251</v>
      </c>
      <c r="J68" s="440">
        <f t="shared" si="51"/>
        <v>6338599.2630331321</v>
      </c>
      <c r="K68" s="440">
        <f t="shared" si="51"/>
        <v>6678911.2570362259</v>
      </c>
      <c r="L68" s="440">
        <f t="shared" si="51"/>
        <v>7048994.3947291458</v>
      </c>
      <c r="M68" s="440">
        <f t="shared" ref="M68:N68" si="52">SUM(M64:M67)</f>
        <v>7444294.0241880631</v>
      </c>
      <c r="N68" s="440">
        <f t="shared" si="52"/>
        <v>7869836.8562168237</v>
      </c>
    </row>
    <row r="69" spans="1:14">
      <c r="A69" s="82"/>
      <c r="B69" s="208"/>
      <c r="C69" s="208"/>
      <c r="D69" s="443"/>
      <c r="E69" s="443"/>
      <c r="F69" s="443"/>
      <c r="G69" s="443"/>
      <c r="H69" s="443"/>
      <c r="I69" s="443"/>
      <c r="J69" s="443"/>
      <c r="K69" s="443"/>
      <c r="L69" s="443"/>
      <c r="M69" s="443"/>
      <c r="N69" s="443"/>
    </row>
    <row r="70" spans="1:14">
      <c r="A70" s="82"/>
      <c r="B70" s="442" t="s">
        <v>727</v>
      </c>
      <c r="C70" s="442" t="s">
        <v>985</v>
      </c>
      <c r="D70" s="707">
        <f>D67</f>
        <v>0</v>
      </c>
      <c r="E70" s="707">
        <f t="shared" ref="E70:N70" si="53">E55+E66</f>
        <v>653112.70285714313</v>
      </c>
      <c r="F70" s="707">
        <f t="shared" si="53"/>
        <v>1716567.0007905057</v>
      </c>
      <c r="G70" s="707">
        <f t="shared" si="53"/>
        <v>1716567.0007905057</v>
      </c>
      <c r="H70" s="707">
        <f t="shared" si="53"/>
        <v>1716567.0007905057</v>
      </c>
      <c r="I70" s="707">
        <f t="shared" si="53"/>
        <v>1716567.0007905059</v>
      </c>
      <c r="J70" s="707">
        <f t="shared" si="53"/>
        <v>1716567.0007905057</v>
      </c>
      <c r="K70" s="707">
        <f t="shared" si="53"/>
        <v>1716567.0007905059</v>
      </c>
      <c r="L70" s="707">
        <f t="shared" si="53"/>
        <v>2041235.2078936067</v>
      </c>
      <c r="M70" s="707">
        <f t="shared" si="53"/>
        <v>1716567.0007905059</v>
      </c>
      <c r="N70" s="707">
        <f t="shared" si="53"/>
        <v>1015235</v>
      </c>
    </row>
    <row r="71" spans="1:14">
      <c r="A71" s="82"/>
      <c r="B71" s="208"/>
      <c r="C71" s="208"/>
      <c r="D71" s="443"/>
      <c r="E71" s="443"/>
      <c r="F71" s="443"/>
      <c r="G71" s="443"/>
      <c r="H71" s="443"/>
      <c r="I71" s="443"/>
      <c r="J71" s="443"/>
      <c r="K71" s="443"/>
      <c r="L71" s="443"/>
      <c r="M71" s="443"/>
      <c r="N71" s="443"/>
    </row>
    <row r="72" spans="1:14">
      <c r="A72" s="82"/>
      <c r="B72" s="442" t="s">
        <v>486</v>
      </c>
      <c r="C72" s="442" t="s">
        <v>986</v>
      </c>
      <c r="D72" s="445"/>
      <c r="E72" s="708">
        <f t="shared" ref="E72:L72" si="54">E68/E70</f>
        <v>3.0237861206411645</v>
      </c>
      <c r="F72" s="708">
        <f>F68/F70</f>
        <v>1.7896766488052918</v>
      </c>
      <c r="G72" s="708">
        <f t="shared" si="54"/>
        <v>2.5800773741761898</v>
      </c>
      <c r="H72" s="708">
        <f t="shared" si="54"/>
        <v>3.4272486396327748</v>
      </c>
      <c r="I72" s="708">
        <f t="shared" si="54"/>
        <v>3.6339166640524327</v>
      </c>
      <c r="J72" s="708">
        <f t="shared" si="54"/>
        <v>3.692602304549784</v>
      </c>
      <c r="K72" s="708">
        <f t="shared" si="54"/>
        <v>3.890853811101159</v>
      </c>
      <c r="L72" s="708">
        <f t="shared" si="54"/>
        <v>3.453298457458585</v>
      </c>
      <c r="M72" s="708">
        <f t="shared" ref="M72:N72" si="55">M68/M70</f>
        <v>4.3367337370227022</v>
      </c>
      <c r="N72" s="708">
        <f t="shared" si="55"/>
        <v>7.7517391108628289</v>
      </c>
    </row>
    <row r="73" spans="1:14">
      <c r="A73" s="82"/>
      <c r="B73" s="208"/>
      <c r="C73" s="208"/>
      <c r="D73" s="443"/>
      <c r="E73" s="443"/>
      <c r="F73" s="443"/>
      <c r="G73" s="443"/>
      <c r="H73" s="443"/>
      <c r="I73" s="443"/>
      <c r="J73" s="443"/>
      <c r="K73" s="443"/>
      <c r="L73" s="443"/>
      <c r="M73" s="443"/>
      <c r="N73" s="443"/>
    </row>
    <row r="74" spans="1:14">
      <c r="A74" s="82"/>
      <c r="B74" s="241" t="s">
        <v>374</v>
      </c>
      <c r="C74" s="241" t="s">
        <v>987</v>
      </c>
      <c r="D74" s="237">
        <f t="shared" ref="D74:L74" si="56">D68</f>
        <v>276649.81818181789</v>
      </c>
      <c r="E74" s="237">
        <f t="shared" si="56"/>
        <v>1974873.1261138665</v>
      </c>
      <c r="F74" s="237">
        <f t="shared" si="56"/>
        <v>3072099.8774245027</v>
      </c>
      <c r="G74" s="237">
        <f t="shared" si="56"/>
        <v>4428875.6799970651</v>
      </c>
      <c r="H74" s="237">
        <f t="shared" si="56"/>
        <v>5883101.9182977732</v>
      </c>
      <c r="I74" s="237">
        <f t="shared" si="56"/>
        <v>6237861.4291351251</v>
      </c>
      <c r="J74" s="237">
        <f t="shared" si="56"/>
        <v>6338599.2630331321</v>
      </c>
      <c r="K74" s="237">
        <f t="shared" si="56"/>
        <v>6678911.2570362259</v>
      </c>
      <c r="L74" s="237">
        <f t="shared" si="56"/>
        <v>7048994.3947291458</v>
      </c>
      <c r="M74" s="237">
        <f t="shared" ref="M74:N74" si="57">M68</f>
        <v>7444294.0241880631</v>
      </c>
      <c r="N74" s="237">
        <f t="shared" si="57"/>
        <v>7869836.8562168237</v>
      </c>
    </row>
    <row r="75" spans="1:14">
      <c r="A75" s="82"/>
      <c r="B75" s="241" t="s">
        <v>376</v>
      </c>
      <c r="C75" s="241" t="s">
        <v>988</v>
      </c>
      <c r="D75" s="197">
        <f t="shared" ref="D75:L75" si="58">D70</f>
        <v>0</v>
      </c>
      <c r="E75" s="197">
        <f t="shared" si="58"/>
        <v>653112.70285714313</v>
      </c>
      <c r="F75" s="197">
        <f t="shared" si="58"/>
        <v>1716567.0007905057</v>
      </c>
      <c r="G75" s="197">
        <f t="shared" si="58"/>
        <v>1716567.0007905057</v>
      </c>
      <c r="H75" s="197">
        <f t="shared" si="58"/>
        <v>1716567.0007905057</v>
      </c>
      <c r="I75" s="197">
        <f t="shared" si="58"/>
        <v>1716567.0007905059</v>
      </c>
      <c r="J75" s="197">
        <f t="shared" si="58"/>
        <v>1716567.0007905057</v>
      </c>
      <c r="K75" s="197">
        <f t="shared" si="58"/>
        <v>1716567.0007905059</v>
      </c>
      <c r="L75" s="197">
        <f t="shared" si="58"/>
        <v>2041235.2078936067</v>
      </c>
      <c r="M75" s="197">
        <f t="shared" ref="M75:N75" si="59">M70</f>
        <v>1716567.0007905059</v>
      </c>
      <c r="N75" s="197">
        <f t="shared" si="59"/>
        <v>1015235</v>
      </c>
    </row>
    <row r="76" spans="1:14">
      <c r="A76" s="82"/>
      <c r="B76" s="241" t="s">
        <v>430</v>
      </c>
      <c r="C76" s="241" t="s">
        <v>989</v>
      </c>
      <c r="D76" s="197">
        <f>Offering!C16+Offering!C17</f>
        <v>4000000</v>
      </c>
      <c r="E76" s="197">
        <v>35000</v>
      </c>
      <c r="F76" s="197">
        <f>E76*(1.05)</f>
        <v>36750</v>
      </c>
      <c r="G76" s="197">
        <f t="shared" ref="G76:L76" si="60">F76*(1.05)</f>
        <v>38587.5</v>
      </c>
      <c r="H76" s="197">
        <f t="shared" si="60"/>
        <v>40516.875</v>
      </c>
      <c r="I76" s="197">
        <f t="shared" si="60"/>
        <v>42542.71875</v>
      </c>
      <c r="J76" s="197">
        <f t="shared" si="60"/>
        <v>44669.854687500003</v>
      </c>
      <c r="K76" s="197">
        <f t="shared" si="60"/>
        <v>46903.347421875005</v>
      </c>
      <c r="L76" s="197">
        <f t="shared" si="60"/>
        <v>49248.514792968759</v>
      </c>
      <c r="M76" s="197">
        <f t="shared" ref="M76" si="61">L76*(1.05)</f>
        <v>51710.940532617198</v>
      </c>
      <c r="N76" s="197">
        <f t="shared" ref="N76" si="62">M76*(1.05)</f>
        <v>54296.48755924806</v>
      </c>
    </row>
    <row r="77" spans="1:14">
      <c r="A77" s="82"/>
      <c r="B77" s="241" t="s">
        <v>750</v>
      </c>
      <c r="C77" s="241" t="s">
        <v>1029</v>
      </c>
      <c r="D77" s="197"/>
      <c r="E77" s="197">
        <f>SUM('HREFF Debt Servic'!H17:H28)</f>
        <v>240000.00000000003</v>
      </c>
      <c r="F77" s="197">
        <f>E77</f>
        <v>240000.00000000003</v>
      </c>
      <c r="G77" s="197">
        <f>'HREFF Debt Servic'!$C$8*12</f>
        <v>390068.1942177281</v>
      </c>
      <c r="H77" s="197">
        <f>'HREFF Debt Servic'!$C$8*12</f>
        <v>390068.1942177281</v>
      </c>
      <c r="I77" s="197">
        <f>'HREFF Debt Servic'!$C$8*12</f>
        <v>390068.1942177281</v>
      </c>
      <c r="J77" s="197">
        <f>'HREFF Debt Servic'!$C$8*12</f>
        <v>390068.1942177281</v>
      </c>
      <c r="K77" s="197">
        <f>'HREFF Debt Servic'!$C$8*12</f>
        <v>390068.1942177281</v>
      </c>
      <c r="L77" s="197">
        <f>'HREFF Debt Servic'!$C$8*12</f>
        <v>390068.1942177281</v>
      </c>
      <c r="M77" s="197">
        <f>'HREFF Debt Servic'!$C$8*12</f>
        <v>390068.1942177281</v>
      </c>
      <c r="N77" s="197">
        <f>'HREFF Debt Servic'!$C$8*12</f>
        <v>390068.1942177281</v>
      </c>
    </row>
    <row r="78" spans="1:14">
      <c r="A78" s="82"/>
      <c r="B78" s="241" t="s">
        <v>1139</v>
      </c>
      <c r="C78" s="241" t="s">
        <v>1140</v>
      </c>
      <c r="D78" s="200"/>
      <c r="E78" s="200">
        <f>40000</f>
        <v>40000</v>
      </c>
      <c r="F78" s="200">
        <v>30000</v>
      </c>
      <c r="G78" s="200"/>
      <c r="H78" s="200"/>
      <c r="I78" s="200"/>
      <c r="J78" s="200"/>
      <c r="K78" s="200"/>
      <c r="L78" s="200"/>
      <c r="M78" s="200"/>
      <c r="N78" s="200"/>
    </row>
    <row r="79" spans="1:14">
      <c r="A79" s="82"/>
      <c r="B79" s="241" t="s">
        <v>751</v>
      </c>
      <c r="C79" s="241" t="s">
        <v>990</v>
      </c>
      <c r="D79" s="237">
        <f>D74</f>
        <v>276649.81818181789</v>
      </c>
      <c r="E79" s="237">
        <v>300000</v>
      </c>
      <c r="F79" s="237">
        <v>400000</v>
      </c>
      <c r="G79" s="237">
        <v>500000</v>
      </c>
      <c r="H79" s="237">
        <v>500000</v>
      </c>
      <c r="I79" s="237">
        <v>500000</v>
      </c>
      <c r="J79" s="237">
        <v>500000</v>
      </c>
      <c r="K79" s="237">
        <v>500000</v>
      </c>
      <c r="L79" s="237">
        <v>500000</v>
      </c>
      <c r="M79" s="237">
        <v>500000</v>
      </c>
      <c r="N79" s="237">
        <v>500000</v>
      </c>
    </row>
    <row r="80" spans="1:14">
      <c r="A80" s="82"/>
      <c r="B80" s="241"/>
      <c r="C80" s="241"/>
      <c r="D80" s="197"/>
      <c r="E80" s="197"/>
      <c r="F80" s="197"/>
      <c r="G80" s="197"/>
      <c r="H80" s="197"/>
      <c r="I80" s="197"/>
      <c r="J80" s="197"/>
      <c r="K80" s="197"/>
      <c r="L80" s="197"/>
      <c r="M80" s="197"/>
      <c r="N80" s="197"/>
    </row>
    <row r="81" spans="1:14">
      <c r="A81" s="82"/>
      <c r="B81" s="241" t="s">
        <v>372</v>
      </c>
      <c r="C81" s="241" t="s">
        <v>992</v>
      </c>
      <c r="D81" s="237">
        <f>D74-D75-D76-D77-D79</f>
        <v>-4000000</v>
      </c>
      <c r="E81" s="237">
        <f>E74-E75-E76-E77-E79-E78</f>
        <v>706760.42325672321</v>
      </c>
      <c r="F81" s="237">
        <f>F74-F75-F76-F77-F79-F78</f>
        <v>648782.87663399708</v>
      </c>
      <c r="G81" s="237">
        <f>G74-G75-G76-G77-G79</f>
        <v>1783652.9849888314</v>
      </c>
      <c r="H81" s="237">
        <f t="shared" ref="H81:N81" si="63">H74-H75-H76-H77-H79</f>
        <v>3235949.8482895396</v>
      </c>
      <c r="I81" s="237">
        <f t="shared" si="63"/>
        <v>3588683.5153768915</v>
      </c>
      <c r="J81" s="237">
        <f t="shared" si="63"/>
        <v>3687294.2133373986</v>
      </c>
      <c r="K81" s="237">
        <f t="shared" si="63"/>
        <v>4025372.7146061165</v>
      </c>
      <c r="L81" s="237">
        <f t="shared" si="63"/>
        <v>4068442.4778248416</v>
      </c>
      <c r="M81" s="237">
        <f t="shared" si="63"/>
        <v>4785947.8886472117</v>
      </c>
      <c r="N81" s="237">
        <f t="shared" si="63"/>
        <v>5910237.1744398475</v>
      </c>
    </row>
    <row r="82" spans="1:14">
      <c r="A82" s="82"/>
      <c r="B82" s="134"/>
      <c r="C82" s="134"/>
      <c r="D82" s="134"/>
      <c r="E82" s="134"/>
      <c r="F82" s="134"/>
      <c r="G82" s="134"/>
      <c r="H82" s="134"/>
      <c r="I82" s="134"/>
      <c r="J82" s="134"/>
      <c r="K82" s="134"/>
      <c r="L82" s="134"/>
      <c r="M82" s="134"/>
      <c r="N82" s="134"/>
    </row>
    <row r="83" spans="1:14">
      <c r="A83" s="82"/>
      <c r="B83" s="442" t="s">
        <v>377</v>
      </c>
      <c r="C83" s="442" t="s">
        <v>993</v>
      </c>
      <c r="D83" s="238">
        <f>D81-Offering!E5-Offering!C5</f>
        <v>-7400000</v>
      </c>
      <c r="E83" s="238">
        <f t="shared" ref="E83:L83" si="64">E81</f>
        <v>706760.42325672321</v>
      </c>
      <c r="F83" s="238">
        <f t="shared" si="64"/>
        <v>648782.87663399708</v>
      </c>
      <c r="G83" s="238">
        <f t="shared" si="64"/>
        <v>1783652.9849888314</v>
      </c>
      <c r="H83" s="238">
        <f t="shared" si="64"/>
        <v>3235949.8482895396</v>
      </c>
      <c r="I83" s="238">
        <f t="shared" si="64"/>
        <v>3588683.5153768915</v>
      </c>
      <c r="J83" s="238">
        <f t="shared" si="64"/>
        <v>3687294.2133373986</v>
      </c>
      <c r="K83" s="238">
        <f t="shared" si="64"/>
        <v>4025372.7146061165</v>
      </c>
      <c r="L83" s="238">
        <f t="shared" si="64"/>
        <v>4068442.4778248416</v>
      </c>
      <c r="M83" s="238">
        <f t="shared" ref="M83:N83" si="65">M81</f>
        <v>4785947.8886472117</v>
      </c>
      <c r="N83" s="238">
        <f t="shared" si="65"/>
        <v>5910237.1744398475</v>
      </c>
    </row>
    <row r="84" spans="1:14">
      <c r="B84" s="241" t="s">
        <v>753</v>
      </c>
      <c r="C84" s="241" t="s">
        <v>991</v>
      </c>
      <c r="D84" s="8">
        <f>IRR(D83:N83)</f>
        <v>0.27297567419381363</v>
      </c>
    </row>
  </sheetData>
  <sortState ref="F23:G35">
    <sortCondition descending="1" ref="G23:G35"/>
  </sortState>
  <phoneticPr fontId="12" type="noConversion"/>
  <printOptions horizontalCentered="1"/>
  <pageMargins left="0.19685039370078741" right="0" top="0.59" bottom="0" header="0.30000000000000004" footer="0.30000000000000004"/>
  <pageSetup scale="80" orientation="landscape" horizontalDpi="4294967293" verticalDpi="4294967293" r:id="rId1"/>
  <rowBreaks count="1" manualBreakCount="1">
    <brk id="38" max="16383"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50"/>
  <sheetViews>
    <sheetView showGridLines="0" zoomScale="125" zoomScaleNormal="125" zoomScalePageLayoutView="125" workbookViewId="0">
      <selection activeCell="B3" sqref="B3:N48"/>
    </sheetView>
  </sheetViews>
  <sheetFormatPr defaultColWidth="8.85546875" defaultRowHeight="15"/>
  <cols>
    <col min="1" max="1" width="2.85546875" customWidth="1"/>
    <col min="2" max="2" width="25.28515625" customWidth="1"/>
    <col min="3" max="3" width="25.28515625" hidden="1" customWidth="1"/>
    <col min="4" max="14" width="7" customWidth="1"/>
  </cols>
  <sheetData>
    <row r="1" spans="1:26" ht="15.75">
      <c r="A1" s="145" t="s">
        <v>429</v>
      </c>
    </row>
    <row r="2" spans="1:26" ht="15.75">
      <c r="A2" s="145"/>
    </row>
    <row r="3" spans="1:26">
      <c r="B3" s="11" t="s">
        <v>72</v>
      </c>
      <c r="C3" s="11" t="s">
        <v>994</v>
      </c>
    </row>
    <row r="4" spans="1:26">
      <c r="B4" s="701" t="s">
        <v>743</v>
      </c>
      <c r="C4" s="701" t="s">
        <v>995</v>
      </c>
    </row>
    <row r="5" spans="1:26">
      <c r="B5" s="389" t="s">
        <v>66</v>
      </c>
      <c r="C5" s="389" t="s">
        <v>996</v>
      </c>
      <c r="D5" s="458" t="s">
        <v>36</v>
      </c>
      <c r="E5" s="458" t="s">
        <v>37</v>
      </c>
      <c r="F5" s="458" t="s">
        <v>38</v>
      </c>
      <c r="G5" s="458" t="s">
        <v>39</v>
      </c>
      <c r="H5" s="458" t="s">
        <v>40</v>
      </c>
      <c r="I5" s="458" t="s">
        <v>41</v>
      </c>
      <c r="J5" s="458" t="s">
        <v>42</v>
      </c>
      <c r="K5" s="458" t="s">
        <v>43</v>
      </c>
      <c r="L5" s="458" t="s">
        <v>168</v>
      </c>
      <c r="M5" s="458" t="s">
        <v>729</v>
      </c>
      <c r="N5" s="458" t="s">
        <v>730</v>
      </c>
    </row>
    <row r="6" spans="1:26">
      <c r="B6" s="390" t="s">
        <v>560</v>
      </c>
      <c r="C6" s="390" t="s">
        <v>940</v>
      </c>
      <c r="D6" s="692">
        <f>'P&amp;L and Cash Flow'!D5</f>
        <v>184799.99999999997</v>
      </c>
      <c r="E6" s="692">
        <f>'P&amp;L and Cash Flow'!E5</f>
        <v>0</v>
      </c>
      <c r="F6" s="692">
        <f>'P&amp;L and Cash Flow'!F5</f>
        <v>0</v>
      </c>
      <c r="G6" s="692">
        <f>'P&amp;L and Cash Flow'!G5</f>
        <v>0</v>
      </c>
      <c r="H6" s="692">
        <f>'P&amp;L and Cash Flow'!H5</f>
        <v>0</v>
      </c>
      <c r="I6" s="692">
        <f>'P&amp;L and Cash Flow'!I5</f>
        <v>0</v>
      </c>
      <c r="J6" s="692">
        <f>'P&amp;L and Cash Flow'!J5</f>
        <v>0</v>
      </c>
      <c r="K6" s="692">
        <f>'P&amp;L and Cash Flow'!K5</f>
        <v>0</v>
      </c>
      <c r="L6" s="692">
        <f>'P&amp;L and Cash Flow'!L5</f>
        <v>0</v>
      </c>
      <c r="M6" s="692">
        <f>'P&amp;L and Cash Flow'!M5</f>
        <v>0</v>
      </c>
      <c r="N6" s="692">
        <f>'P&amp;L and Cash Flow'!N5</f>
        <v>0</v>
      </c>
    </row>
    <row r="7" spans="1:26">
      <c r="B7" s="390" t="s">
        <v>67</v>
      </c>
      <c r="C7" s="390" t="s">
        <v>941</v>
      </c>
      <c r="D7" s="692">
        <f>'P&amp;L and Cash Flow'!D6</f>
        <v>0</v>
      </c>
      <c r="E7" s="692">
        <f>'P&amp;L and Cash Flow'!E6</f>
        <v>2291550.8940103771</v>
      </c>
      <c r="F7" s="692">
        <f>'P&amp;L and Cash Flow'!F6</f>
        <v>1867091.679263728</v>
      </c>
      <c r="G7" s="692">
        <f>'P&amp;L and Cash Flow'!G6</f>
        <v>1606426.0805886374</v>
      </c>
      <c r="H7" s="692">
        <f>'P&amp;L and Cash Flow'!H6</f>
        <v>1271697.4119162047</v>
      </c>
      <c r="I7" s="692">
        <f>'P&amp;L and Cash Flow'!I6</f>
        <v>1255022.5957710776</v>
      </c>
      <c r="J7" s="693">
        <f>'P&amp;L and Cash Flow'!J6</f>
        <v>1220380.4663281897</v>
      </c>
      <c r="K7" s="693">
        <f>'P&amp;L and Cash Flow'!K6</f>
        <v>1174475.0321592535</v>
      </c>
      <c r="L7" s="693">
        <f>'P&amp;L and Cash Flow'!L6</f>
        <v>1131803.6580796672</v>
      </c>
      <c r="M7" s="693">
        <f>'P&amp;L and Cash Flow'!M6</f>
        <v>1084673.8844081783</v>
      </c>
      <c r="N7" s="693">
        <f>'P&amp;L and Cash Flow'!N6</f>
        <v>1032564.1944177373</v>
      </c>
    </row>
    <row r="8" spans="1:26">
      <c r="B8" s="390" t="s">
        <v>676</v>
      </c>
      <c r="C8" s="390" t="s">
        <v>804</v>
      </c>
      <c r="D8" s="692">
        <f>'P&amp;L and Cash Flow'!D7</f>
        <v>0</v>
      </c>
      <c r="E8" s="692">
        <f>'P&amp;L and Cash Flow'!E7</f>
        <v>0</v>
      </c>
      <c r="F8" s="692">
        <f>'P&amp;L and Cash Flow'!F7</f>
        <v>0</v>
      </c>
      <c r="G8" s="692">
        <f>'P&amp;L and Cash Flow'!G7</f>
        <v>310802.68741743715</v>
      </c>
      <c r="H8" s="692">
        <f>'P&amp;L and Cash Flow'!H7</f>
        <v>473197.09159304807</v>
      </c>
      <c r="I8" s="692">
        <f>'P&amp;L and Cash Flow'!I7</f>
        <v>528324.5527636382</v>
      </c>
      <c r="J8" s="693">
        <f>'P&amp;L and Cash Flow'!J7</f>
        <v>589874.36316060193</v>
      </c>
      <c r="K8" s="693">
        <f>'P&amp;L and Cash Flow'!K7</f>
        <v>658594.72646881209</v>
      </c>
      <c r="L8" s="693">
        <f>'P&amp;L and Cash Flow'!L7</f>
        <v>735321.01210242871</v>
      </c>
      <c r="M8" s="693">
        <f>'P&amp;L and Cash Flow'!M7</f>
        <v>820985.91001236183</v>
      </c>
      <c r="N8" s="693">
        <f>'P&amp;L and Cash Flow'!N7</f>
        <v>916630.76852880185</v>
      </c>
    </row>
    <row r="9" spans="1:26">
      <c r="B9" s="390" t="s">
        <v>96</v>
      </c>
      <c r="C9" s="390" t="s">
        <v>997</v>
      </c>
      <c r="D9" s="692">
        <f>'P&amp;L and Cash Flow'!D8</f>
        <v>0</v>
      </c>
      <c r="E9" s="692">
        <f>'P&amp;L and Cash Flow'!E8</f>
        <v>306000</v>
      </c>
      <c r="F9" s="692">
        <f>'P&amp;L and Cash Flow'!F8</f>
        <v>312120</v>
      </c>
      <c r="G9" s="692">
        <f>'P&amp;L and Cash Flow'!G8</f>
        <v>318362.39999999997</v>
      </c>
      <c r="H9" s="692">
        <f>'P&amp;L and Cash Flow'!H8</f>
        <v>324729.64799999999</v>
      </c>
      <c r="I9" s="692">
        <f>'P&amp;L and Cash Flow'!I8</f>
        <v>331224.24096000002</v>
      </c>
      <c r="J9" s="693">
        <f>'P&amp;L and Cash Flow'!J8</f>
        <v>337848.72577920003</v>
      </c>
      <c r="K9" s="693">
        <f>'P&amp;L and Cash Flow'!K8</f>
        <v>344605.70029478404</v>
      </c>
      <c r="L9" s="693">
        <f>'P&amp;L and Cash Flow'!L8</f>
        <v>351497.81430067972</v>
      </c>
      <c r="M9" s="693">
        <f>'P&amp;L and Cash Flow'!M8</f>
        <v>358527.77058669331</v>
      </c>
      <c r="N9" s="693">
        <f>'P&amp;L and Cash Flow'!N8</f>
        <v>365698.32599842723</v>
      </c>
    </row>
    <row r="10" spans="1:26">
      <c r="B10" s="393" t="s">
        <v>742</v>
      </c>
      <c r="C10" s="393" t="s">
        <v>998</v>
      </c>
      <c r="D10" s="692">
        <f>'P&amp;L and Cash Flow'!D9</f>
        <v>0</v>
      </c>
      <c r="E10" s="692">
        <f>'P&amp;L and Cash Flow'!E9</f>
        <v>2364802.677939232</v>
      </c>
      <c r="F10" s="692">
        <f>'P&amp;L and Cash Flow'!F9</f>
        <v>4355873.9328496885</v>
      </c>
      <c r="G10" s="692">
        <f>'P&amp;L and Cash Flow'!G9</f>
        <v>5729824.3499326939</v>
      </c>
      <c r="H10" s="692">
        <f>'P&amp;L and Cash Flow'!H9</f>
        <v>7476885.9884419106</v>
      </c>
      <c r="I10" s="692">
        <f>'P&amp;L and Cash Flow'!I9</f>
        <v>7792101.9604568621</v>
      </c>
      <c r="J10" s="693">
        <f>'P&amp;L and Cash Flow'!J9</f>
        <v>8120203.6060693897</v>
      </c>
      <c r="K10" s="693">
        <f>'P&amp;L and Cash Flow'!K9</f>
        <v>8473927.7046428546</v>
      </c>
      <c r="L10" s="693">
        <f>'P&amp;L and Cash Flow'!L9</f>
        <v>8845160.9200001173</v>
      </c>
      <c r="M10" s="693">
        <f>'P&amp;L and Cash Flow'!M9</f>
        <v>9235777.7214412782</v>
      </c>
      <c r="N10" s="693">
        <f>'P&amp;L and Cash Flow'!N9</f>
        <v>9647868.9952924922</v>
      </c>
    </row>
    <row r="11" spans="1:26">
      <c r="B11" s="393" t="s">
        <v>740</v>
      </c>
      <c r="C11" s="393" t="s">
        <v>999</v>
      </c>
      <c r="D11" s="692">
        <f>'P&amp;L and Cash Flow'!D10</f>
        <v>1392981.8181818179</v>
      </c>
      <c r="E11" s="692">
        <f>'P&amp;L and Cash Flow'!E10</f>
        <v>843652.34999999974</v>
      </c>
      <c r="F11" s="692">
        <f>'P&amp;L and Cash Flow'!F10</f>
        <v>872016.34224272694</v>
      </c>
      <c r="G11" s="692">
        <f>'P&amp;L and Cash Flow'!G10</f>
        <v>901353.50897860294</v>
      </c>
      <c r="H11" s="692">
        <f>'P&amp;L and Cash Flow'!H10</f>
        <v>931697.94998718821</v>
      </c>
      <c r="I11" s="692">
        <f>'P&amp;L and Cash Flow'!I10</f>
        <v>963084.98514174484</v>
      </c>
      <c r="J11" s="692">
        <f>'P&amp;L and Cash Flow'!J10</f>
        <v>995551.19894339296</v>
      </c>
      <c r="K11" s="692">
        <f>'P&amp;L and Cash Flow'!K10</f>
        <v>1029134.4867107654</v>
      </c>
      <c r="L11" s="692">
        <f>'P&amp;L and Cash Flow'!L10</f>
        <v>1063874.102487708</v>
      </c>
      <c r="M11" s="692">
        <f>'P&amp;L and Cash Flow'!M10</f>
        <v>1099810.7087339563</v>
      </c>
      <c r="N11" s="692">
        <f>'P&amp;L and Cash Flow'!N10</f>
        <v>1136986.4278662265</v>
      </c>
    </row>
    <row r="12" spans="1:26">
      <c r="B12" s="394" t="s">
        <v>69</v>
      </c>
      <c r="C12" s="394" t="s">
        <v>763</v>
      </c>
      <c r="D12" s="694">
        <f>'P&amp;L and Cash Flow'!D11</f>
        <v>296640</v>
      </c>
      <c r="E12" s="694">
        <f>'P&amp;L and Cash Flow'!E11</f>
        <v>814771.20000000007</v>
      </c>
      <c r="F12" s="694">
        <f>'P&amp;L and Cash Flow'!F11</f>
        <v>906351.48288000026</v>
      </c>
      <c r="G12" s="694">
        <f>'P&amp;L and Cash Flow'!G11</f>
        <v>1008225.3895557123</v>
      </c>
      <c r="H12" s="694">
        <f>'P&amp;L and Cash Flow'!H11</f>
        <v>1121549.9233417744</v>
      </c>
      <c r="I12" s="694">
        <f>'P&amp;L and Cash Flow'!I11</f>
        <v>1247612.13472539</v>
      </c>
      <c r="J12" s="695">
        <f>'P&amp;L and Cash Flow'!J11</f>
        <v>1387843.7386685242</v>
      </c>
      <c r="K12" s="695">
        <f>'P&amp;L and Cash Flow'!K11</f>
        <v>1500953.0033700089</v>
      </c>
      <c r="L12" s="695">
        <f>'P&amp;L and Cash Flow'!L11</f>
        <v>1623280.6731446646</v>
      </c>
      <c r="M12" s="695">
        <f>'P&amp;L and Cash Flow'!M11</f>
        <v>1755578.0480059548</v>
      </c>
      <c r="N12" s="695">
        <f>'P&amp;L and Cash Flow'!N11</f>
        <v>1898657.6589184406</v>
      </c>
      <c r="P12" s="692"/>
      <c r="Q12" s="692"/>
      <c r="R12" s="692"/>
      <c r="S12" s="692"/>
      <c r="T12" s="692"/>
      <c r="U12" s="692"/>
      <c r="V12" s="692"/>
      <c r="W12" s="692"/>
      <c r="X12" s="692"/>
      <c r="Y12" s="692"/>
      <c r="Z12" s="692"/>
    </row>
    <row r="13" spans="1:26">
      <c r="B13" s="397" t="s">
        <v>339</v>
      </c>
      <c r="C13" s="397" t="s">
        <v>1000</v>
      </c>
      <c r="D13" s="696">
        <f t="shared" ref="D13:L13" si="0">SUM(D6:D12)</f>
        <v>1874421.8181818179</v>
      </c>
      <c r="E13" s="696">
        <f t="shared" si="0"/>
        <v>6620777.1219496084</v>
      </c>
      <c r="F13" s="696">
        <f t="shared" si="0"/>
        <v>8313453.4372361433</v>
      </c>
      <c r="G13" s="696">
        <f t="shared" si="0"/>
        <v>9874994.4164730851</v>
      </c>
      <c r="H13" s="696">
        <f t="shared" si="0"/>
        <v>11599758.013280127</v>
      </c>
      <c r="I13" s="696">
        <f t="shared" si="0"/>
        <v>12117370.469818713</v>
      </c>
      <c r="J13" s="696">
        <f t="shared" si="0"/>
        <v>12651702.098949298</v>
      </c>
      <c r="K13" s="696">
        <f t="shared" si="0"/>
        <v>13181690.65364648</v>
      </c>
      <c r="L13" s="696">
        <f t="shared" si="0"/>
        <v>13750938.180115266</v>
      </c>
      <c r="M13" s="696">
        <f t="shared" ref="M13:N13" si="1">SUM(M6:M12)</f>
        <v>14355354.043188425</v>
      </c>
      <c r="N13" s="696">
        <f t="shared" si="1"/>
        <v>14998406.371022126</v>
      </c>
    </row>
    <row r="14" spans="1:26">
      <c r="B14" s="400"/>
      <c r="C14" s="400"/>
      <c r="D14" s="391"/>
      <c r="E14" s="391"/>
      <c r="F14" s="391"/>
      <c r="G14" s="391"/>
      <c r="H14" s="391"/>
      <c r="I14" s="391"/>
      <c r="J14" s="392"/>
      <c r="K14" s="392"/>
      <c r="L14" s="392"/>
      <c r="M14" s="392"/>
      <c r="N14" s="392"/>
    </row>
    <row r="15" spans="1:26">
      <c r="B15" s="401" t="s">
        <v>434</v>
      </c>
      <c r="C15" s="401" t="s">
        <v>1001</v>
      </c>
      <c r="D15" s="395"/>
      <c r="E15" s="395"/>
      <c r="F15" s="395"/>
      <c r="G15" s="395"/>
      <c r="H15" s="395"/>
      <c r="I15" s="395"/>
      <c r="J15" s="396"/>
      <c r="K15" s="396"/>
      <c r="L15" s="396"/>
      <c r="M15" s="396"/>
      <c r="N15" s="396"/>
    </row>
    <row r="16" spans="1:26">
      <c r="B16" s="390" t="s">
        <v>431</v>
      </c>
      <c r="C16" s="390" t="s">
        <v>1002</v>
      </c>
      <c r="D16" s="692">
        <f>'P&amp;L and Cash Flow'!D20</f>
        <v>649962</v>
      </c>
      <c r="E16" s="692">
        <f>'P&amp;L and Cash Flow'!E20</f>
        <v>2093381.2992439324</v>
      </c>
      <c r="F16" s="692">
        <f>'P&amp;L and Cash Flow'!F20</f>
        <v>2513823.2824865421</v>
      </c>
      <c r="G16" s="692">
        <f>'P&amp;L and Cash Flow'!G20</f>
        <v>2537802.0191796822</v>
      </c>
      <c r="H16" s="692">
        <f>'P&amp;L and Cash Flow'!H20</f>
        <v>2611041.7496187058</v>
      </c>
      <c r="I16" s="692">
        <f>'P&amp;L and Cash Flow'!I20</f>
        <v>2681592.7628841647</v>
      </c>
      <c r="J16" s="692">
        <f>'P&amp;L and Cash Flow'!J20</f>
        <v>2754940.6778142895</v>
      </c>
      <c r="K16" s="692">
        <f>'P&amp;L and Cash Flow'!K20</f>
        <v>2833578.7123406222</v>
      </c>
      <c r="L16" s="692">
        <f>'P&amp;L and Cash Flow'!L20</f>
        <v>2915917.0892142248</v>
      </c>
      <c r="M16" s="692">
        <f>'P&amp;L and Cash Flow'!M20</f>
        <v>3002334.6854048478</v>
      </c>
      <c r="N16" s="692">
        <f>'P&amp;L and Cash Flow'!N20</f>
        <v>3093244.3150535142</v>
      </c>
    </row>
    <row r="17" spans="2:14">
      <c r="B17" s="390" t="s">
        <v>726</v>
      </c>
      <c r="C17" s="390" t="s">
        <v>1003</v>
      </c>
      <c r="D17" s="692">
        <f>'P&amp;L and Cash Flow'!D31</f>
        <v>621200</v>
      </c>
      <c r="E17" s="692">
        <f>'P&amp;L and Cash Flow'!E31</f>
        <v>1523210.9396565389</v>
      </c>
      <c r="F17" s="692">
        <f>'P&amp;L and Cash Flow'!F31</f>
        <v>1630064.702688375</v>
      </c>
      <c r="G17" s="692">
        <f>'P&amp;L and Cash Flow'!G31</f>
        <v>1754929.8641919787</v>
      </c>
      <c r="H17" s="692">
        <f>'P&amp;L and Cash Flow'!H31</f>
        <v>1888898.0781747443</v>
      </c>
      <c r="I17" s="692">
        <f>'P&amp;L and Cash Flow'!I31</f>
        <v>1945094.6449786837</v>
      </c>
      <c r="J17" s="692">
        <f>'P&amp;L and Cash Flow'!J31</f>
        <v>2005288.2180960297</v>
      </c>
      <c r="K17" s="692">
        <f>'P&amp;L and Cash Flow'!K31</f>
        <v>2055367.6068400207</v>
      </c>
      <c r="L17" s="692">
        <f>'P&amp;L and Cash Flow'!L31</f>
        <v>2108255.8965807902</v>
      </c>
      <c r="M17" s="692">
        <f>'P&amp;L and Cash Flow'!M31</f>
        <v>2164155.2984644123</v>
      </c>
      <c r="N17" s="692">
        <f>'P&amp;L and Cash Flow'!N31</f>
        <v>2223286.8630991518</v>
      </c>
    </row>
    <row r="18" spans="2:14">
      <c r="B18" s="394" t="s">
        <v>741</v>
      </c>
      <c r="C18" s="394" t="s">
        <v>1004</v>
      </c>
      <c r="D18" s="694">
        <f>'P&amp;L and Cash Flow'!D47</f>
        <v>326610</v>
      </c>
      <c r="E18" s="694">
        <f>'P&amp;L and Cash Flow'!E47</f>
        <v>1029311.7569352707</v>
      </c>
      <c r="F18" s="694">
        <f>'P&amp;L and Cash Flow'!F47</f>
        <v>1097465.5746367238</v>
      </c>
      <c r="G18" s="694">
        <f>'P&amp;L and Cash Flow'!G47</f>
        <v>1153386.8531043592</v>
      </c>
      <c r="H18" s="694">
        <f>'P&amp;L and Cash Flow'!H47</f>
        <v>1216716.2671889036</v>
      </c>
      <c r="I18" s="694">
        <f>'P&amp;L and Cash Flow'!I47</f>
        <v>1252821.6328207399</v>
      </c>
      <c r="J18" s="694">
        <f>'P&amp;L and Cash Flow'!J47</f>
        <v>1289989.328296748</v>
      </c>
      <c r="K18" s="694">
        <f>'P&amp;L and Cash Flow'!K47</f>
        <v>1328477.1555892429</v>
      </c>
      <c r="L18" s="694">
        <f>'P&amp;L and Cash Flow'!L47</f>
        <v>1368149.8073728986</v>
      </c>
      <c r="M18" s="694">
        <f>'P&amp;L and Cash Flow'!M47</f>
        <v>1409061.5370312275</v>
      </c>
      <c r="N18" s="694">
        <f>'P&amp;L and Cash Flow'!N47</f>
        <v>1451269.8179043827</v>
      </c>
    </row>
    <row r="19" spans="2:14">
      <c r="B19" s="402" t="s">
        <v>435</v>
      </c>
      <c r="C19" s="402" t="s">
        <v>1005</v>
      </c>
      <c r="D19" s="696">
        <f t="shared" ref="D19:N19" si="2">D16+D17+D18</f>
        <v>1597772</v>
      </c>
      <c r="E19" s="696">
        <f t="shared" si="2"/>
        <v>4645903.995835742</v>
      </c>
      <c r="F19" s="696">
        <f t="shared" si="2"/>
        <v>5241353.5598116405</v>
      </c>
      <c r="G19" s="696">
        <f t="shared" si="2"/>
        <v>5446118.73647602</v>
      </c>
      <c r="H19" s="696">
        <f t="shared" si="2"/>
        <v>5716656.094982354</v>
      </c>
      <c r="I19" s="696">
        <f t="shared" si="2"/>
        <v>5879509.040683588</v>
      </c>
      <c r="J19" s="697">
        <f t="shared" si="2"/>
        <v>6050218.2242070669</v>
      </c>
      <c r="K19" s="697">
        <f t="shared" si="2"/>
        <v>6217423.4747698866</v>
      </c>
      <c r="L19" s="697">
        <f t="shared" si="2"/>
        <v>6392322.7931679143</v>
      </c>
      <c r="M19" s="697">
        <f t="shared" si="2"/>
        <v>6575551.5209004879</v>
      </c>
      <c r="N19" s="697">
        <f t="shared" si="2"/>
        <v>6767800.9960570484</v>
      </c>
    </row>
    <row r="20" spans="2:14">
      <c r="B20" s="403"/>
      <c r="C20" s="403"/>
      <c r="D20" s="391"/>
      <c r="E20" s="391"/>
      <c r="F20" s="391"/>
      <c r="G20" s="391"/>
      <c r="H20" s="391"/>
      <c r="I20" s="391"/>
      <c r="J20" s="392"/>
      <c r="K20" s="392"/>
      <c r="L20" s="392"/>
      <c r="M20" s="392"/>
      <c r="N20" s="392"/>
    </row>
    <row r="21" spans="2:14">
      <c r="B21" s="404" t="s">
        <v>28</v>
      </c>
      <c r="C21" s="404" t="s">
        <v>28</v>
      </c>
      <c r="D21" s="692">
        <f t="shared" ref="D21:N21" si="3">D13-D19</f>
        <v>276649.81818181789</v>
      </c>
      <c r="E21" s="692">
        <f t="shared" si="3"/>
        <v>1974873.1261138665</v>
      </c>
      <c r="F21" s="692">
        <f t="shared" si="3"/>
        <v>3072099.8774245027</v>
      </c>
      <c r="G21" s="692">
        <f t="shared" si="3"/>
        <v>4428875.6799970651</v>
      </c>
      <c r="H21" s="692">
        <f t="shared" si="3"/>
        <v>5883101.9182977732</v>
      </c>
      <c r="I21" s="692">
        <f t="shared" si="3"/>
        <v>6237861.4291351251</v>
      </c>
      <c r="J21" s="692">
        <f t="shared" si="3"/>
        <v>6601483.8747422313</v>
      </c>
      <c r="K21" s="692">
        <f t="shared" si="3"/>
        <v>6964267.1788765937</v>
      </c>
      <c r="L21" s="692">
        <f t="shared" si="3"/>
        <v>7358615.3869473515</v>
      </c>
      <c r="M21" s="692">
        <f t="shared" si="3"/>
        <v>7779802.5222879369</v>
      </c>
      <c r="N21" s="692">
        <f t="shared" si="3"/>
        <v>8230605.3749650773</v>
      </c>
    </row>
    <row r="22" spans="2:14">
      <c r="B22" s="403"/>
      <c r="C22" s="403"/>
      <c r="D22" s="391"/>
      <c r="E22" s="391"/>
      <c r="F22" s="391"/>
      <c r="G22" s="391"/>
      <c r="H22" s="391"/>
      <c r="I22" s="391"/>
      <c r="J22" s="392"/>
      <c r="K22" s="392"/>
      <c r="L22" s="392"/>
      <c r="M22" s="392"/>
      <c r="N22" s="392"/>
    </row>
    <row r="23" spans="2:14">
      <c r="B23" s="698" t="s">
        <v>745</v>
      </c>
      <c r="C23" s="698" t="s">
        <v>1006</v>
      </c>
      <c r="D23" s="692">
        <f>'P&amp;L and Cash Flow'!D57</f>
        <v>0</v>
      </c>
      <c r="E23" s="692">
        <f>'P&amp;L and Cash Flow'!E57</f>
        <v>0</v>
      </c>
      <c r="F23" s="692">
        <f>'P&amp;L and Cash Flow'!F57</f>
        <v>0</v>
      </c>
      <c r="G23" s="692">
        <f>'P&amp;L and Cash Flow'!G57</f>
        <v>0</v>
      </c>
      <c r="H23" s="692">
        <f>'P&amp;L and Cash Flow'!H57</f>
        <v>0</v>
      </c>
      <c r="I23" s="692">
        <f>'P&amp;L and Cash Flow'!I57</f>
        <v>0</v>
      </c>
      <c r="J23" s="692">
        <f>'P&amp;L and Cash Flow'!J57</f>
        <v>262884.61170909967</v>
      </c>
      <c r="K23" s="692">
        <f>'P&amp;L and Cash Flow'!K57</f>
        <v>285355.9218403679</v>
      </c>
      <c r="L23" s="692">
        <f>'P&amp;L and Cash Flow'!L57</f>
        <v>309620.99221820547</v>
      </c>
      <c r="M23" s="692">
        <f>'P&amp;L and Cash Flow'!M57</f>
        <v>335508.49809987354</v>
      </c>
      <c r="N23" s="692">
        <f>'P&amp;L and Cash Flow'!N57</f>
        <v>360768.51874825387</v>
      </c>
    </row>
    <row r="24" spans="2:14">
      <c r="B24" s="699" t="s">
        <v>744</v>
      </c>
      <c r="C24" s="699" t="s">
        <v>744</v>
      </c>
      <c r="D24" s="694">
        <f>Offering!C19</f>
        <v>14885211.714285716</v>
      </c>
      <c r="E24" s="694">
        <f>'P&amp;L and Cash Flow'!E76</f>
        <v>35000</v>
      </c>
      <c r="F24" s="694">
        <f>'P&amp;L and Cash Flow'!F76+Offering!D13</f>
        <v>36750</v>
      </c>
      <c r="G24" s="694">
        <f>'P&amp;L and Cash Flow'!G76</f>
        <v>38587.5</v>
      </c>
      <c r="H24" s="694">
        <f>'P&amp;L and Cash Flow'!H76</f>
        <v>40516.875</v>
      </c>
      <c r="I24" s="694">
        <f>'P&amp;L and Cash Flow'!I76</f>
        <v>42542.71875</v>
      </c>
      <c r="J24" s="694">
        <f>'P&amp;L and Cash Flow'!J76</f>
        <v>44669.854687500003</v>
      </c>
      <c r="K24" s="694">
        <f>'P&amp;L and Cash Flow'!K76</f>
        <v>46903.347421875005</v>
      </c>
      <c r="L24" s="694">
        <f>'P&amp;L and Cash Flow'!L76</f>
        <v>49248.514792968759</v>
      </c>
      <c r="M24" s="694">
        <f>'P&amp;L and Cash Flow'!M76</f>
        <v>51710.940532617198</v>
      </c>
      <c r="N24" s="694">
        <f>'P&amp;L and Cash Flow'!N76</f>
        <v>54296.48755924806</v>
      </c>
    </row>
    <row r="25" spans="2:14">
      <c r="B25" s="405" t="s">
        <v>440</v>
      </c>
      <c r="C25" s="405" t="s">
        <v>1007</v>
      </c>
      <c r="D25" s="692">
        <f>D21-D23-D24</f>
        <v>-14608561.896103898</v>
      </c>
      <c r="E25" s="692">
        <f t="shared" ref="E25:N25" si="4">E21-E23-E24</f>
        <v>1939873.1261138665</v>
      </c>
      <c r="F25" s="692">
        <f t="shared" si="4"/>
        <v>3035349.8774245027</v>
      </c>
      <c r="G25" s="692">
        <f t="shared" si="4"/>
        <v>4390288.1799970651</v>
      </c>
      <c r="H25" s="692">
        <f t="shared" si="4"/>
        <v>5842585.0432977732</v>
      </c>
      <c r="I25" s="692">
        <f t="shared" si="4"/>
        <v>6195318.7103851251</v>
      </c>
      <c r="J25" s="692">
        <f t="shared" si="4"/>
        <v>6293929.4083456323</v>
      </c>
      <c r="K25" s="692">
        <f t="shared" si="4"/>
        <v>6632007.9096143506</v>
      </c>
      <c r="L25" s="692">
        <f t="shared" si="4"/>
        <v>6999745.8799361773</v>
      </c>
      <c r="M25" s="692">
        <f t="shared" si="4"/>
        <v>7392583.0836554458</v>
      </c>
      <c r="N25" s="692">
        <f t="shared" si="4"/>
        <v>7815540.3686575759</v>
      </c>
    </row>
    <row r="26" spans="2:14">
      <c r="B26" s="405"/>
      <c r="C26" s="405"/>
      <c r="D26" s="391"/>
      <c r="E26" s="391"/>
      <c r="F26" s="391"/>
      <c r="G26" s="391"/>
      <c r="H26" s="391"/>
      <c r="I26" s="391"/>
      <c r="J26" s="391"/>
      <c r="K26" s="391"/>
      <c r="L26" s="391"/>
      <c r="M26" s="391"/>
      <c r="N26" s="391"/>
    </row>
    <row r="27" spans="2:14" hidden="1">
      <c r="B27" s="404" t="s">
        <v>437</v>
      </c>
      <c r="C27" s="404" t="s">
        <v>1008</v>
      </c>
      <c r="D27" s="458" t="s">
        <v>36</v>
      </c>
      <c r="E27" s="458" t="s">
        <v>37</v>
      </c>
      <c r="F27" s="458" t="s">
        <v>38</v>
      </c>
      <c r="G27" s="458" t="s">
        <v>39</v>
      </c>
      <c r="H27" s="458" t="s">
        <v>40</v>
      </c>
      <c r="I27" s="458" t="s">
        <v>41</v>
      </c>
      <c r="J27" s="458" t="s">
        <v>42</v>
      </c>
      <c r="K27" s="458" t="s">
        <v>43</v>
      </c>
      <c r="L27" s="458" t="s">
        <v>168</v>
      </c>
      <c r="M27" s="458" t="s">
        <v>729</v>
      </c>
      <c r="N27" s="458" t="s">
        <v>730</v>
      </c>
    </row>
    <row r="28" spans="2:14" hidden="1">
      <c r="B28" s="400"/>
      <c r="C28" s="400"/>
      <c r="D28" s="692">
        <f>D25-Offering!C5</f>
        <v>-18008561.896103896</v>
      </c>
      <c r="E28" s="692">
        <f>E25</f>
        <v>1939873.1261138665</v>
      </c>
      <c r="F28" s="692">
        <f t="shared" ref="F28:N28" si="5">F25</f>
        <v>3035349.8774245027</v>
      </c>
      <c r="G28" s="692">
        <f>G25</f>
        <v>4390288.1799970651</v>
      </c>
      <c r="H28" s="692">
        <f t="shared" si="5"/>
        <v>5842585.0432977732</v>
      </c>
      <c r="I28" s="692">
        <f t="shared" si="5"/>
        <v>6195318.7103851251</v>
      </c>
      <c r="J28" s="692">
        <f t="shared" si="5"/>
        <v>6293929.4083456323</v>
      </c>
      <c r="K28" s="692">
        <f t="shared" si="5"/>
        <v>6632007.9096143506</v>
      </c>
      <c r="L28" s="692">
        <f t="shared" si="5"/>
        <v>6999745.8799361773</v>
      </c>
      <c r="M28" s="692">
        <f t="shared" si="5"/>
        <v>7392583.0836554458</v>
      </c>
      <c r="N28" s="692">
        <f t="shared" si="5"/>
        <v>7815540.3686575759</v>
      </c>
    </row>
    <row r="29" spans="2:14" hidden="1">
      <c r="B29" s="390" t="s">
        <v>731</v>
      </c>
      <c r="C29" s="390" t="s">
        <v>1009</v>
      </c>
      <c r="D29" s="700">
        <f>IRR(D27:N28)</f>
        <v>0.2234699640468647</v>
      </c>
      <c r="E29" s="692"/>
      <c r="F29" s="692"/>
      <c r="G29" s="692"/>
      <c r="H29" s="692"/>
      <c r="I29" s="692"/>
      <c r="J29" s="692"/>
      <c r="K29" s="692"/>
      <c r="L29" s="692"/>
      <c r="M29" s="692"/>
      <c r="N29" s="692"/>
    </row>
    <row r="30" spans="2:14" hidden="1">
      <c r="B30" s="390" t="s">
        <v>732</v>
      </c>
      <c r="C30" s="390" t="s">
        <v>1010</v>
      </c>
      <c r="D30" s="692">
        <f>NPV(0.1,D28:N28)</f>
        <v>12517488.932992702</v>
      </c>
      <c r="E30" s="692"/>
      <c r="F30" s="692"/>
      <c r="G30" s="692"/>
      <c r="H30" s="692"/>
      <c r="I30" s="692"/>
      <c r="J30" s="692"/>
      <c r="K30" s="692"/>
      <c r="L30" s="692"/>
      <c r="M30" s="692"/>
      <c r="N30" s="692"/>
    </row>
    <row r="32" spans="2:14">
      <c r="B32" s="11" t="s">
        <v>71</v>
      </c>
      <c r="C32" s="11" t="s">
        <v>1011</v>
      </c>
    </row>
    <row r="33" spans="2:15">
      <c r="B33" s="388"/>
      <c r="C33" s="388"/>
      <c r="D33" s="459" t="s">
        <v>36</v>
      </c>
      <c r="E33" s="459" t="s">
        <v>37</v>
      </c>
      <c r="F33" s="459" t="s">
        <v>38</v>
      </c>
      <c r="G33" s="459" t="s">
        <v>39</v>
      </c>
      <c r="H33" s="459" t="s">
        <v>40</v>
      </c>
      <c r="I33" s="459" t="s">
        <v>41</v>
      </c>
      <c r="J33" s="459" t="s">
        <v>42</v>
      </c>
      <c r="K33" s="459" t="s">
        <v>43</v>
      </c>
      <c r="L33" s="459" t="s">
        <v>168</v>
      </c>
      <c r="M33" s="459" t="s">
        <v>729</v>
      </c>
      <c r="N33" s="459" t="s">
        <v>730</v>
      </c>
    </row>
    <row r="34" spans="2:15" s="215" customFormat="1">
      <c r="B34" s="408" t="s">
        <v>440</v>
      </c>
      <c r="C34" s="408" t="s">
        <v>1012</v>
      </c>
      <c r="D34" s="705">
        <f>'P&amp;L and Cash Flow'!D74</f>
        <v>276649.81818181789</v>
      </c>
      <c r="E34" s="705">
        <f>'P&amp;L and Cash Flow'!E74</f>
        <v>1974873.1261138665</v>
      </c>
      <c r="F34" s="705">
        <f>'P&amp;L and Cash Flow'!F74</f>
        <v>3072099.8774245027</v>
      </c>
      <c r="G34" s="705">
        <f>'P&amp;L and Cash Flow'!G74</f>
        <v>4428875.6799970651</v>
      </c>
      <c r="H34" s="705">
        <f>'P&amp;L and Cash Flow'!H74</f>
        <v>5883101.9182977732</v>
      </c>
      <c r="I34" s="705">
        <f>'P&amp;L and Cash Flow'!I74</f>
        <v>6237861.4291351251</v>
      </c>
      <c r="J34" s="705">
        <f>'P&amp;L and Cash Flow'!J74</f>
        <v>6338599.2630331321</v>
      </c>
      <c r="K34" s="705">
        <f>'P&amp;L and Cash Flow'!K74</f>
        <v>6678911.2570362259</v>
      </c>
      <c r="L34" s="705">
        <f>'P&amp;L and Cash Flow'!L74</f>
        <v>7048994.3947291458</v>
      </c>
      <c r="M34" s="705">
        <f>'P&amp;L and Cash Flow'!M74</f>
        <v>7444294.0241880631</v>
      </c>
      <c r="N34" s="705">
        <f>'P&amp;L and Cash Flow'!N74</f>
        <v>7869836.8562168237</v>
      </c>
    </row>
    <row r="35" spans="2:15">
      <c r="B35" s="691" t="s">
        <v>376</v>
      </c>
      <c r="C35" s="691" t="s">
        <v>1013</v>
      </c>
      <c r="D35" s="705">
        <f>'P&amp;L and Cash Flow'!D75</f>
        <v>0</v>
      </c>
      <c r="E35" s="705">
        <f>'P&amp;L and Cash Flow'!E75</f>
        <v>653112.70285714313</v>
      </c>
      <c r="F35" s="705">
        <f>'P&amp;L and Cash Flow'!F75</f>
        <v>1716567.0007905057</v>
      </c>
      <c r="G35" s="705">
        <f>'P&amp;L and Cash Flow'!G75</f>
        <v>1716567.0007905057</v>
      </c>
      <c r="H35" s="705">
        <f>'P&amp;L and Cash Flow'!H75</f>
        <v>1716567.0007905057</v>
      </c>
      <c r="I35" s="705">
        <f>'P&amp;L and Cash Flow'!I75</f>
        <v>1716567.0007905059</v>
      </c>
      <c r="J35" s="705">
        <f>'P&amp;L and Cash Flow'!J75</f>
        <v>1716567.0007905057</v>
      </c>
      <c r="K35" s="705">
        <f>'P&amp;L and Cash Flow'!K75</f>
        <v>1716567.0007905059</v>
      </c>
      <c r="L35" s="705">
        <f>'P&amp;L and Cash Flow'!L75</f>
        <v>2041235.2078936067</v>
      </c>
      <c r="M35" s="705">
        <f>'P&amp;L and Cash Flow'!M75</f>
        <v>1716567.0007905059</v>
      </c>
      <c r="N35" s="705">
        <f>'P&amp;L and Cash Flow'!N75</f>
        <v>1015235</v>
      </c>
    </row>
    <row r="36" spans="2:15">
      <c r="B36" s="691" t="s">
        <v>430</v>
      </c>
      <c r="C36" s="691" t="s">
        <v>989</v>
      </c>
      <c r="D36" s="705">
        <f>'P&amp;L and Cash Flow'!D76</f>
        <v>4000000</v>
      </c>
      <c r="E36" s="705">
        <f>'P&amp;L and Cash Flow'!E76</f>
        <v>35000</v>
      </c>
      <c r="F36" s="705">
        <f>'P&amp;L and Cash Flow'!F76</f>
        <v>36750</v>
      </c>
      <c r="G36" s="705">
        <f>'P&amp;L and Cash Flow'!G76</f>
        <v>38587.5</v>
      </c>
      <c r="H36" s="705">
        <f>'P&amp;L and Cash Flow'!H76</f>
        <v>40516.875</v>
      </c>
      <c r="I36" s="705">
        <f>'P&amp;L and Cash Flow'!I76</f>
        <v>42542.71875</v>
      </c>
      <c r="J36" s="705">
        <f>'P&amp;L and Cash Flow'!J76</f>
        <v>44669.854687500003</v>
      </c>
      <c r="K36" s="705">
        <f>'P&amp;L and Cash Flow'!K76</f>
        <v>46903.347421875005</v>
      </c>
      <c r="L36" s="705">
        <f>'P&amp;L and Cash Flow'!L76</f>
        <v>49248.514792968759</v>
      </c>
      <c r="M36" s="705">
        <f>'P&amp;L and Cash Flow'!M76</f>
        <v>51710.940532617198</v>
      </c>
      <c r="N36" s="705">
        <f>'P&amp;L and Cash Flow'!N76</f>
        <v>54296.48755924806</v>
      </c>
    </row>
    <row r="37" spans="2:15">
      <c r="B37" s="761" t="s">
        <v>750</v>
      </c>
      <c r="C37" s="761" t="s">
        <v>1028</v>
      </c>
      <c r="D37" s="762">
        <f>'P&amp;L and Cash Flow'!D77</f>
        <v>0</v>
      </c>
      <c r="E37" s="762">
        <f>'P&amp;L and Cash Flow'!E77</f>
        <v>240000.00000000003</v>
      </c>
      <c r="F37" s="762">
        <f>'P&amp;L and Cash Flow'!F77</f>
        <v>240000.00000000003</v>
      </c>
      <c r="G37" s="762">
        <f>'P&amp;L and Cash Flow'!G77</f>
        <v>390068.1942177281</v>
      </c>
      <c r="H37" s="762">
        <f>'P&amp;L and Cash Flow'!H77</f>
        <v>390068.1942177281</v>
      </c>
      <c r="I37" s="762">
        <f>'P&amp;L and Cash Flow'!I77</f>
        <v>390068.1942177281</v>
      </c>
      <c r="J37" s="762">
        <f>'P&amp;L and Cash Flow'!J77</f>
        <v>390068.1942177281</v>
      </c>
      <c r="K37" s="762">
        <f>'P&amp;L and Cash Flow'!K77</f>
        <v>390068.1942177281</v>
      </c>
      <c r="L37" s="762">
        <f>'P&amp;L and Cash Flow'!L77</f>
        <v>390068.1942177281</v>
      </c>
      <c r="M37" s="762">
        <f>'P&amp;L and Cash Flow'!M77</f>
        <v>390068.1942177281</v>
      </c>
      <c r="N37" s="762">
        <f>'P&amp;L and Cash Flow'!N77</f>
        <v>390068.1942177281</v>
      </c>
    </row>
    <row r="38" spans="2:15">
      <c r="B38" s="2" t="s">
        <v>1141</v>
      </c>
      <c r="C38" s="703" t="s">
        <v>1142</v>
      </c>
      <c r="D38" s="706">
        <f>'P&amp;L and Cash Flow'!D78</f>
        <v>0</v>
      </c>
      <c r="E38" s="706">
        <f>'P&amp;L and Cash Flow'!E78</f>
        <v>40000</v>
      </c>
      <c r="F38" s="706">
        <f>'P&amp;L and Cash Flow'!F78</f>
        <v>30000</v>
      </c>
      <c r="G38" s="706"/>
      <c r="H38" s="706"/>
      <c r="I38" s="706"/>
      <c r="J38" s="706"/>
      <c r="K38" s="706"/>
      <c r="L38" s="706"/>
      <c r="M38" s="706"/>
      <c r="N38" s="706"/>
    </row>
    <row r="39" spans="2:15">
      <c r="B39" s="57" t="s">
        <v>751</v>
      </c>
      <c r="C39" s="57" t="s">
        <v>1014</v>
      </c>
      <c r="D39" s="705">
        <f>'P&amp;L and Cash Flow'!D79</f>
        <v>276649.81818181789</v>
      </c>
      <c r="E39" s="705">
        <f>'P&amp;L and Cash Flow'!E79</f>
        <v>300000</v>
      </c>
      <c r="F39" s="705">
        <f>'P&amp;L and Cash Flow'!F79</f>
        <v>400000</v>
      </c>
      <c r="G39" s="705">
        <f>'P&amp;L and Cash Flow'!G79</f>
        <v>500000</v>
      </c>
      <c r="H39" s="705">
        <f>'P&amp;L and Cash Flow'!H79</f>
        <v>500000</v>
      </c>
      <c r="I39" s="705">
        <f>'P&amp;L and Cash Flow'!I79</f>
        <v>500000</v>
      </c>
      <c r="J39" s="705">
        <f>'P&amp;L and Cash Flow'!J79</f>
        <v>500000</v>
      </c>
      <c r="K39" s="705">
        <f>'P&amp;L and Cash Flow'!K79</f>
        <v>500000</v>
      </c>
      <c r="L39" s="705">
        <f>'P&amp;L and Cash Flow'!L79</f>
        <v>500000</v>
      </c>
      <c r="M39" s="705">
        <f>'P&amp;L and Cash Flow'!M79</f>
        <v>500000</v>
      </c>
      <c r="N39" s="705">
        <f>'P&amp;L and Cash Flow'!N79</f>
        <v>500000</v>
      </c>
    </row>
    <row r="40" spans="2:15">
      <c r="B40" s="57"/>
      <c r="C40" s="57"/>
      <c r="D40" s="705"/>
      <c r="E40" s="705"/>
      <c r="F40" s="705"/>
      <c r="G40" s="705"/>
      <c r="H40" s="705"/>
      <c r="I40" s="705"/>
      <c r="J40" s="705"/>
      <c r="K40" s="705"/>
      <c r="L40" s="705"/>
      <c r="M40" s="705"/>
      <c r="N40" s="705"/>
    </row>
    <row r="41" spans="2:15">
      <c r="B41" s="57" t="s">
        <v>752</v>
      </c>
      <c r="C41" s="57" t="s">
        <v>1138</v>
      </c>
      <c r="D41" s="705">
        <f>-D36</f>
        <v>-4000000</v>
      </c>
      <c r="E41" s="705">
        <f>E46</f>
        <v>706760.42325672321</v>
      </c>
      <c r="F41" s="705">
        <f t="shared" ref="F41:N41" si="6">F46</f>
        <v>648782.87663399708</v>
      </c>
      <c r="G41" s="705">
        <f t="shared" si="6"/>
        <v>1783652.9849888314</v>
      </c>
      <c r="H41" s="705">
        <f t="shared" si="6"/>
        <v>3235949.8482895396</v>
      </c>
      <c r="I41" s="705">
        <f t="shared" si="6"/>
        <v>3588683.5153768915</v>
      </c>
      <c r="J41" s="705">
        <f t="shared" si="6"/>
        <v>3687294.2133373986</v>
      </c>
      <c r="K41" s="705">
        <f t="shared" si="6"/>
        <v>4025372.7146061165</v>
      </c>
      <c r="L41" s="705">
        <f t="shared" si="6"/>
        <v>4068442.4778248416</v>
      </c>
      <c r="M41" s="705">
        <f t="shared" si="6"/>
        <v>4785947.8886472117</v>
      </c>
      <c r="N41" s="705">
        <f t="shared" si="6"/>
        <v>5910237.1744398475</v>
      </c>
    </row>
    <row r="42" spans="2:15">
      <c r="B42" s="57"/>
      <c r="C42" s="57"/>
      <c r="D42" s="75"/>
      <c r="E42" s="75"/>
      <c r="F42" s="75"/>
      <c r="G42" s="75"/>
      <c r="H42" s="75"/>
      <c r="I42" s="75"/>
      <c r="J42" s="75"/>
      <c r="K42" s="75"/>
      <c r="L42" s="75"/>
      <c r="M42" s="75"/>
      <c r="N42" s="75"/>
      <c r="O42" s="74">
        <f>AVERAGE(F43:N43)</f>
        <v>3.8395718608513048</v>
      </c>
    </row>
    <row r="43" spans="2:15">
      <c r="B43" s="3" t="s">
        <v>746</v>
      </c>
      <c r="C43" s="755" t="s">
        <v>1015</v>
      </c>
      <c r="E43" s="460">
        <f>'P&amp;L and Cash Flow'!E72</f>
        <v>3.0237861206411645</v>
      </c>
      <c r="F43" s="460">
        <f>'P&amp;L and Cash Flow'!F72</f>
        <v>1.7896766488052918</v>
      </c>
      <c r="G43" s="460">
        <f>'P&amp;L and Cash Flow'!G72</f>
        <v>2.5800773741761898</v>
      </c>
      <c r="H43" s="460">
        <f>'P&amp;L and Cash Flow'!H72</f>
        <v>3.4272486396327748</v>
      </c>
      <c r="I43" s="460">
        <f>'P&amp;L and Cash Flow'!I72</f>
        <v>3.6339166640524327</v>
      </c>
      <c r="J43" s="460">
        <f>'P&amp;L and Cash Flow'!J72</f>
        <v>3.692602304549784</v>
      </c>
      <c r="K43" s="460">
        <f>'P&amp;L and Cash Flow'!K72</f>
        <v>3.890853811101159</v>
      </c>
      <c r="L43" s="460">
        <f>'P&amp;L and Cash Flow'!L72</f>
        <v>3.453298457458585</v>
      </c>
      <c r="M43" s="460">
        <f>'P&amp;L and Cash Flow'!M72</f>
        <v>4.3367337370227022</v>
      </c>
      <c r="N43" s="460">
        <f>'P&amp;L and Cash Flow'!N72</f>
        <v>7.7517391108628289</v>
      </c>
    </row>
    <row r="44" spans="2:15">
      <c r="B44" s="3"/>
      <c r="C44" s="3"/>
      <c r="D44" s="101"/>
      <c r="E44" s="101"/>
      <c r="F44" s="101"/>
      <c r="G44" s="101"/>
      <c r="H44" s="101"/>
      <c r="I44" s="101"/>
      <c r="J44" s="101"/>
      <c r="K44" s="101"/>
      <c r="L44" s="101"/>
      <c r="M44" s="101"/>
      <c r="N44" s="101"/>
    </row>
    <row r="45" spans="2:15">
      <c r="B45" s="404" t="s">
        <v>443</v>
      </c>
      <c r="C45" s="404" t="s">
        <v>1016</v>
      </c>
      <c r="D45" s="458" t="s">
        <v>36</v>
      </c>
      <c r="E45" s="458" t="s">
        <v>37</v>
      </c>
      <c r="F45" s="458" t="s">
        <v>38</v>
      </c>
      <c r="G45" s="458" t="s">
        <v>39</v>
      </c>
      <c r="H45" s="458" t="s">
        <v>40</v>
      </c>
      <c r="I45" s="458" t="s">
        <v>41</v>
      </c>
      <c r="J45" s="458" t="s">
        <v>42</v>
      </c>
      <c r="K45" s="458" t="s">
        <v>43</v>
      </c>
      <c r="L45" s="458" t="s">
        <v>168</v>
      </c>
      <c r="M45" s="458" t="s">
        <v>729</v>
      </c>
      <c r="N45" s="458" t="s">
        <v>730</v>
      </c>
    </row>
    <row r="46" spans="2:15">
      <c r="B46" s="400" t="s">
        <v>603</v>
      </c>
      <c r="C46" s="400" t="s">
        <v>1017</v>
      </c>
      <c r="D46" s="692">
        <f>'P&amp;L and Cash Flow'!D83</f>
        <v>-7400000</v>
      </c>
      <c r="E46" s="692">
        <f>'P&amp;L and Cash Flow'!E83</f>
        <v>706760.42325672321</v>
      </c>
      <c r="F46" s="692">
        <f>'P&amp;L and Cash Flow'!F83</f>
        <v>648782.87663399708</v>
      </c>
      <c r="G46" s="692">
        <f>'P&amp;L and Cash Flow'!G83</f>
        <v>1783652.9849888314</v>
      </c>
      <c r="H46" s="692">
        <f>'P&amp;L and Cash Flow'!H83</f>
        <v>3235949.8482895396</v>
      </c>
      <c r="I46" s="692">
        <f>'P&amp;L and Cash Flow'!I83</f>
        <v>3588683.5153768915</v>
      </c>
      <c r="J46" s="692">
        <f>'P&amp;L and Cash Flow'!J83</f>
        <v>3687294.2133373986</v>
      </c>
      <c r="K46" s="692">
        <f>'P&amp;L and Cash Flow'!K83</f>
        <v>4025372.7146061165</v>
      </c>
      <c r="L46" s="692">
        <f>'P&amp;L and Cash Flow'!L83</f>
        <v>4068442.4778248416</v>
      </c>
      <c r="M46" s="692">
        <f>'P&amp;L and Cash Flow'!M83</f>
        <v>4785947.8886472117</v>
      </c>
      <c r="N46" s="692">
        <f>'P&amp;L and Cash Flow'!N83</f>
        <v>5910237.1744398475</v>
      </c>
    </row>
    <row r="47" spans="2:15">
      <c r="B47" s="245" t="s">
        <v>731</v>
      </c>
      <c r="C47" s="245" t="s">
        <v>1009</v>
      </c>
      <c r="D47" s="700">
        <f>IRR(D46:N46)</f>
        <v>0.27297567419381363</v>
      </c>
      <c r="E47" s="692"/>
      <c r="F47" s="692"/>
      <c r="G47" s="692"/>
      <c r="H47" s="692"/>
      <c r="I47" s="692"/>
      <c r="J47" s="692"/>
      <c r="K47" s="692"/>
      <c r="L47" s="692"/>
      <c r="M47" s="692"/>
      <c r="N47" s="692"/>
    </row>
    <row r="48" spans="2:15">
      <c r="B48" s="245" t="s">
        <v>733</v>
      </c>
      <c r="C48" s="245" t="s">
        <v>1010</v>
      </c>
      <c r="D48" s="692">
        <f>NPV(0.1,D46:N46)</f>
        <v>9009654.4819384869</v>
      </c>
      <c r="E48" s="692"/>
      <c r="F48" s="692"/>
      <c r="G48" s="692"/>
      <c r="H48" s="692"/>
      <c r="I48" s="692"/>
      <c r="J48" s="692"/>
      <c r="K48" s="692"/>
      <c r="L48" s="692"/>
      <c r="M48" s="692"/>
      <c r="N48" s="692"/>
    </row>
    <row r="49" spans="2:21">
      <c r="B49" s="245"/>
      <c r="C49" s="245"/>
      <c r="O49" s="692"/>
      <c r="P49" s="692"/>
      <c r="Q49" s="692"/>
      <c r="R49" s="692"/>
      <c r="S49" s="692"/>
      <c r="T49" s="692"/>
      <c r="U49" s="692"/>
    </row>
    <row r="50" spans="2:21">
      <c r="K50" s="692"/>
      <c r="L50" s="692"/>
      <c r="M50" s="692"/>
      <c r="N50" s="692"/>
    </row>
  </sheetData>
  <printOptions horizontalCentered="1"/>
  <pageMargins left="0.19685039370078741" right="0.19685039370078741" top="0.39370078740157483" bottom="0.19685039370078741" header="0.30000000000000004" footer="0.30000000000000004"/>
  <pageSetup scale="80" orientation="landscape"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56:N73"/>
  <sheetViews>
    <sheetView workbookViewId="0">
      <selection activeCell="S29" sqref="S29"/>
    </sheetView>
  </sheetViews>
  <sheetFormatPr defaultRowHeight="15"/>
  <cols>
    <col min="3" max="3" width="24.7109375" bestFit="1" customWidth="1"/>
    <col min="4" max="4" width="8" bestFit="1" customWidth="1"/>
    <col min="5" max="5" width="11.5703125" bestFit="1" customWidth="1"/>
    <col min="6" max="6" width="10.5703125" bestFit="1" customWidth="1"/>
    <col min="7" max="14" width="11.5703125" bestFit="1" customWidth="1"/>
  </cols>
  <sheetData>
    <row r="56" spans="3:14">
      <c r="C56" t="s">
        <v>767</v>
      </c>
      <c r="D56" s="458" t="s">
        <v>36</v>
      </c>
      <c r="E56" s="458" t="s">
        <v>37</v>
      </c>
      <c r="F56" s="458" t="s">
        <v>38</v>
      </c>
      <c r="G56" s="458" t="s">
        <v>39</v>
      </c>
      <c r="H56" s="458" t="s">
        <v>40</v>
      </c>
      <c r="I56" s="458" t="s">
        <v>41</v>
      </c>
      <c r="J56" s="458" t="s">
        <v>42</v>
      </c>
      <c r="K56" s="458" t="s">
        <v>43</v>
      </c>
      <c r="L56" s="458" t="s">
        <v>168</v>
      </c>
      <c r="M56" s="458" t="s">
        <v>729</v>
      </c>
      <c r="N56" s="458" t="s">
        <v>730</v>
      </c>
    </row>
    <row r="57" spans="3:14">
      <c r="C57" s="390" t="s">
        <v>67</v>
      </c>
      <c r="D57" s="75">
        <f>'Key Assumptions'!E16*3.785</f>
        <v>0</v>
      </c>
      <c r="E57" s="75">
        <f>'Key Assumptions'!F16*3.785</f>
        <v>300000</v>
      </c>
      <c r="F57" s="75">
        <f>'Key Assumptions'!G16*3.785</f>
        <v>243750</v>
      </c>
      <c r="G57" s="75">
        <f>'Key Assumptions'!H16*3.785</f>
        <v>206250</v>
      </c>
      <c r="H57" s="75">
        <f>'Key Assumptions'!I16*3.785</f>
        <v>159375</v>
      </c>
      <c r="I57" s="75">
        <f>'Key Assumptions'!J16*3.785</f>
        <v>152812.49999999997</v>
      </c>
      <c r="J57" s="75">
        <f>'Key Assumptions'!K16*3.785</f>
        <v>146043.74999999997</v>
      </c>
      <c r="K57" s="75">
        <f>'Key Assumptions'!L16*3.785</f>
        <v>139039.12499999994</v>
      </c>
      <c r="L57" s="75">
        <f>'Key Assumptions'!M16*3.785</f>
        <v>131766.21749999997</v>
      </c>
      <c r="M57" s="75">
        <f>'Key Assumptions'!N16*3.785</f>
        <v>124189.55564999995</v>
      </c>
      <c r="N57" s="75">
        <f>'Key Assumptions'!O16*3.785</f>
        <v>116270.29328699992</v>
      </c>
    </row>
    <row r="58" spans="3:14">
      <c r="C58" s="390" t="s">
        <v>676</v>
      </c>
      <c r="D58" s="75">
        <f>'Key Assumptions'!E12*3.785</f>
        <v>0</v>
      </c>
      <c r="E58" s="75">
        <f>'Key Assumptions'!F12*3.785</f>
        <v>0</v>
      </c>
      <c r="F58" s="75">
        <f>'Key Assumptions'!G12*3.785</f>
        <v>0</v>
      </c>
      <c r="G58" s="75">
        <f>'Key Assumptions'!H12*3.785</f>
        <v>18750</v>
      </c>
      <c r="H58" s="75">
        <f>'Key Assumptions'!I12*3.785</f>
        <v>28125.000000000004</v>
      </c>
      <c r="I58" s="75">
        <f>'Key Assumptions'!J12*3.785</f>
        <v>30937.500000000007</v>
      </c>
      <c r="J58" s="75">
        <f>'Key Assumptions'!K12*3.785</f>
        <v>34031.250000000007</v>
      </c>
      <c r="K58" s="75">
        <f>'Key Assumptions'!L12*3.785</f>
        <v>37434.375000000015</v>
      </c>
      <c r="L58" s="75">
        <f>'Key Assumptions'!M12*3.785</f>
        <v>41177.812500000022</v>
      </c>
      <c r="M58" s="75">
        <f>'Key Assumptions'!N12*3.785</f>
        <v>45295.593750000029</v>
      </c>
      <c r="N58" s="75">
        <f>'Key Assumptions'!O12*3.785</f>
        <v>49825.153125000033</v>
      </c>
    </row>
    <row r="59" spans="3:14">
      <c r="C59" s="390" t="s">
        <v>96</v>
      </c>
      <c r="D59" s="75">
        <f>'Key Assumptions'!E13</f>
        <v>0</v>
      </c>
      <c r="E59" s="75">
        <f>'Key Assumptions'!F13</f>
        <v>50000</v>
      </c>
      <c r="F59" s="75">
        <f>'Key Assumptions'!G13</f>
        <v>50000</v>
      </c>
      <c r="G59" s="75">
        <f>'Key Assumptions'!H13</f>
        <v>50000</v>
      </c>
      <c r="H59" s="75">
        <f>'Key Assumptions'!I13</f>
        <v>50000</v>
      </c>
      <c r="I59" s="75">
        <f>'Key Assumptions'!J13</f>
        <v>50000</v>
      </c>
      <c r="J59" s="75">
        <f>'Key Assumptions'!K13</f>
        <v>50000</v>
      </c>
      <c r="K59" s="75">
        <f>'Key Assumptions'!L13</f>
        <v>50000</v>
      </c>
      <c r="L59" s="75">
        <f>'Key Assumptions'!M13</f>
        <v>50000</v>
      </c>
      <c r="M59" s="75">
        <f>'Key Assumptions'!N13</f>
        <v>50000</v>
      </c>
      <c r="N59" s="75">
        <f>'Key Assumptions'!O13</f>
        <v>50000</v>
      </c>
    </row>
    <row r="60" spans="3:14">
      <c r="C60" s="393" t="s">
        <v>742</v>
      </c>
      <c r="D60" s="75">
        <f>'Key Assumptions'!E14</f>
        <v>0</v>
      </c>
      <c r="E60" s="75">
        <f>'Key Assumptions'!F14</f>
        <v>87186.261558784638</v>
      </c>
      <c r="F60" s="75">
        <f>'Key Assumptions'!G14</f>
        <v>152575.95772787317</v>
      </c>
      <c r="G60" s="75">
        <f>'Key Assumptions'!H14</f>
        <v>196169.08850726552</v>
      </c>
      <c r="H60" s="75">
        <f>'Key Assumptions'!I14</f>
        <v>250660.50198150595</v>
      </c>
      <c r="I60" s="75">
        <f>'Key Assumptions'!J14</f>
        <v>258289.29986789962</v>
      </c>
      <c r="J60" s="75">
        <f>'Key Assumptions'!K14</f>
        <v>266157.85997357994</v>
      </c>
      <c r="K60" s="75">
        <f>'Key Assumptions'!L14</f>
        <v>274300.62087186269</v>
      </c>
      <c r="L60" s="75">
        <f>'Key Assumptions'!M14</f>
        <v>282755.25574636727</v>
      </c>
      <c r="M60" s="75">
        <f>'Key Assumptions'!N14</f>
        <v>291563.00003698817</v>
      </c>
      <c r="N60" s="75">
        <f>'Key Assumptions'!O14</f>
        <v>300769.01176676364</v>
      </c>
    </row>
    <row r="61" spans="3:14">
      <c r="C61" s="393" t="s">
        <v>740</v>
      </c>
      <c r="D61" s="75">
        <f>'Key Assumptions'!E31</f>
        <v>40000</v>
      </c>
      <c r="E61" s="75">
        <f>'Key Assumptions'!F31</f>
        <v>25000</v>
      </c>
      <c r="F61" s="75">
        <f>'Key Assumptions'!G31</f>
        <v>25500</v>
      </c>
      <c r="G61" s="75">
        <f>'Key Assumptions'!H31</f>
        <v>26010</v>
      </c>
      <c r="H61" s="75">
        <f>'Key Assumptions'!I31</f>
        <v>26530.2</v>
      </c>
      <c r="I61" s="75">
        <f>'Key Assumptions'!J31</f>
        <v>27060.804</v>
      </c>
      <c r="J61" s="75">
        <f>'Key Assumptions'!K31</f>
        <v>27602.020080000002</v>
      </c>
      <c r="K61" s="75">
        <f>'Key Assumptions'!L31</f>
        <v>28154.060481600001</v>
      </c>
      <c r="L61" s="75">
        <f>'Key Assumptions'!M31</f>
        <v>28717.141691232002</v>
      </c>
      <c r="M61" s="75">
        <f>'Key Assumptions'!N31</f>
        <v>29291.484525056643</v>
      </c>
      <c r="N61" s="75">
        <f>'Key Assumptions'!O31</f>
        <v>29877.314215557777</v>
      </c>
    </row>
    <row r="62" spans="3:14">
      <c r="C62" s="394" t="s">
        <v>69</v>
      </c>
      <c r="D62" s="75">
        <f>'Key Assumptions'!E32</f>
        <v>3000</v>
      </c>
      <c r="E62" s="75">
        <f>'Key Assumptions'!F32</f>
        <v>8000</v>
      </c>
      <c r="F62" s="75">
        <f>'Key Assumptions'!G32</f>
        <v>8640</v>
      </c>
      <c r="G62" s="75">
        <f>'Key Assumptions'!H32</f>
        <v>9331.2000000000007</v>
      </c>
      <c r="H62" s="75">
        <f>'Key Assumptions'!I32</f>
        <v>10077.696000000002</v>
      </c>
      <c r="I62" s="75">
        <f>'Key Assumptions'!J32</f>
        <v>10883.911680000003</v>
      </c>
      <c r="J62" s="75">
        <f>'Key Assumptions'!K32</f>
        <v>11754.624614400003</v>
      </c>
      <c r="K62" s="75">
        <f>'Key Assumptions'!L32</f>
        <v>12342.355845120004</v>
      </c>
      <c r="L62" s="75">
        <f>'Key Assumptions'!M32</f>
        <v>12959.473637376006</v>
      </c>
      <c r="M62" s="75">
        <f>'Key Assumptions'!N32</f>
        <v>13607.447319244806</v>
      </c>
      <c r="N62" s="75">
        <f>'Key Assumptions'!O32</f>
        <v>14287.819685207049</v>
      </c>
    </row>
    <row r="68" spans="3:14">
      <c r="C68" s="718" t="s">
        <v>775</v>
      </c>
      <c r="D68" s="458" t="s">
        <v>36</v>
      </c>
      <c r="E68" s="458" t="s">
        <v>37</v>
      </c>
      <c r="F68" s="458" t="s">
        <v>38</v>
      </c>
      <c r="G68" s="458" t="s">
        <v>39</v>
      </c>
      <c r="H68" s="458" t="s">
        <v>40</v>
      </c>
      <c r="I68" s="458" t="s">
        <v>41</v>
      </c>
      <c r="J68" s="458" t="s">
        <v>42</v>
      </c>
      <c r="K68" s="458" t="s">
        <v>43</v>
      </c>
      <c r="L68" s="458" t="s">
        <v>168</v>
      </c>
      <c r="M68" s="458" t="s">
        <v>729</v>
      </c>
      <c r="N68" s="458" t="s">
        <v>730</v>
      </c>
    </row>
    <row r="69" spans="3:14">
      <c r="C69" s="245" t="s">
        <v>776</v>
      </c>
      <c r="D69" s="4">
        <f>'Key Assumptions'!E52</f>
        <v>600</v>
      </c>
      <c r="E69" s="4">
        <f>'Key Assumptions'!F52</f>
        <v>612</v>
      </c>
      <c r="F69" s="4">
        <f>'Key Assumptions'!G52</f>
        <v>624.24</v>
      </c>
      <c r="G69" s="4">
        <f>'Key Assumptions'!H52</f>
        <v>636.72480000000007</v>
      </c>
      <c r="H69" s="4">
        <f>'Key Assumptions'!I52</f>
        <v>649.45929600000011</v>
      </c>
      <c r="I69" s="4">
        <f>'Key Assumptions'!J52</f>
        <v>662.44848192000018</v>
      </c>
      <c r="J69" s="4">
        <f>'Key Assumptions'!K52</f>
        <v>675.69745155840019</v>
      </c>
      <c r="K69" s="4">
        <f>'Key Assumptions'!L52</f>
        <v>689.21140058956826</v>
      </c>
      <c r="L69" s="4">
        <f>'Key Assumptions'!M52</f>
        <v>702.99562860135961</v>
      </c>
      <c r="M69" s="4">
        <f>'Key Assumptions'!N52</f>
        <v>717.05554117338681</v>
      </c>
      <c r="N69" s="4">
        <f>'Key Assumptions'!O52</f>
        <v>731.39665199685453</v>
      </c>
    </row>
    <row r="70" spans="3:14">
      <c r="C70" s="245" t="s">
        <v>777</v>
      </c>
      <c r="D70" s="4">
        <v>700</v>
      </c>
      <c r="E70" s="4">
        <f>D70*1.02</f>
        <v>714</v>
      </c>
      <c r="F70" s="4">
        <f t="shared" ref="F70:N70" si="0">E70*1.02</f>
        <v>728.28</v>
      </c>
      <c r="G70" s="4">
        <f t="shared" si="0"/>
        <v>742.84559999999999</v>
      </c>
      <c r="H70" s="4">
        <f t="shared" si="0"/>
        <v>757.70251199999996</v>
      </c>
      <c r="I70" s="4">
        <f t="shared" si="0"/>
        <v>772.85656224000002</v>
      </c>
      <c r="J70" s="4">
        <f t="shared" si="0"/>
        <v>788.31369348480007</v>
      </c>
      <c r="K70" s="4">
        <f t="shared" si="0"/>
        <v>804.07996735449603</v>
      </c>
      <c r="L70" s="4">
        <f t="shared" si="0"/>
        <v>820.16156670158603</v>
      </c>
      <c r="M70" s="4">
        <f t="shared" si="0"/>
        <v>836.56479803561774</v>
      </c>
      <c r="N70" s="4">
        <f t="shared" si="0"/>
        <v>853.29609399633011</v>
      </c>
    </row>
    <row r="71" spans="3:14">
      <c r="C71" s="245" t="s">
        <v>120</v>
      </c>
      <c r="D71" s="4">
        <f>'Key Assumptions'!E53</f>
        <v>550</v>
      </c>
      <c r="E71" s="4">
        <f>'Key Assumptions'!F53</f>
        <v>555.5</v>
      </c>
      <c r="F71" s="4">
        <f>'Key Assumptions'!G53</f>
        <v>561.05499999999995</v>
      </c>
      <c r="G71" s="4">
        <f>'Key Assumptions'!H53</f>
        <v>566.66554999999994</v>
      </c>
      <c r="H71" s="4">
        <f>'Key Assumptions'!I53</f>
        <v>572.33220549999999</v>
      </c>
      <c r="I71" s="4">
        <f>'Key Assumptions'!J53</f>
        <v>578.05552755500003</v>
      </c>
      <c r="J71" s="4">
        <f>'Key Assumptions'!K53</f>
        <v>583.83608283055003</v>
      </c>
      <c r="K71" s="4">
        <f>'Key Assumptions'!L53</f>
        <v>589.67444365885558</v>
      </c>
      <c r="L71" s="4">
        <f>'Key Assumptions'!M53</f>
        <v>595.57118809544409</v>
      </c>
      <c r="M71" s="4">
        <f>'Key Assumptions'!N53</f>
        <v>601.52689997639857</v>
      </c>
      <c r="N71" s="4">
        <f>'Key Assumptions'!O53</f>
        <v>607.54216897616254</v>
      </c>
    </row>
    <row r="72" spans="3:14">
      <c r="C72" s="245" t="s">
        <v>773</v>
      </c>
      <c r="D72" s="4">
        <f>'Key Assumptions'!E54</f>
        <v>450</v>
      </c>
      <c r="E72" s="4">
        <f>'Key Assumptions'!F54</f>
        <v>454.5</v>
      </c>
      <c r="F72" s="4">
        <f>'Key Assumptions'!G54</f>
        <v>459.04500000000002</v>
      </c>
      <c r="G72" s="4">
        <f>'Key Assumptions'!H54</f>
        <v>463.63545000000005</v>
      </c>
      <c r="H72" s="4">
        <f>'Key Assumptions'!I54</f>
        <v>468.27180450000003</v>
      </c>
      <c r="I72" s="4">
        <f>'Key Assumptions'!J54</f>
        <v>472.95452254500003</v>
      </c>
      <c r="J72" s="4">
        <f>'Key Assumptions'!K54</f>
        <v>477.68406777045004</v>
      </c>
      <c r="K72" s="4">
        <f>'Key Assumptions'!L54</f>
        <v>482.46090844815456</v>
      </c>
      <c r="L72" s="4">
        <f>'Key Assumptions'!M54</f>
        <v>487.28551753263611</v>
      </c>
      <c r="M72" s="4">
        <f>'Key Assumptions'!N54</f>
        <v>492.15837270796249</v>
      </c>
      <c r="N72" s="4">
        <f>'Key Assumptions'!O54</f>
        <v>497.07995643504211</v>
      </c>
    </row>
    <row r="73" spans="3:14">
      <c r="C73" s="245" t="s">
        <v>774</v>
      </c>
      <c r="D73" s="4">
        <f>'Key Assumptions'!E55</f>
        <v>550</v>
      </c>
      <c r="E73" s="4">
        <f>'Key Assumptions'!F55</f>
        <v>555.5</v>
      </c>
      <c r="F73" s="4">
        <f>'Key Assumptions'!G55</f>
        <v>561.05499999999995</v>
      </c>
      <c r="G73" s="4">
        <f>'Key Assumptions'!H55</f>
        <v>566.66554999999994</v>
      </c>
      <c r="H73" s="4">
        <f>'Key Assumptions'!I55</f>
        <v>572.33220549999999</v>
      </c>
      <c r="I73" s="4">
        <f>'Key Assumptions'!J55</f>
        <v>578.05552755500003</v>
      </c>
      <c r="J73" s="4">
        <f>'Key Assumptions'!K55</f>
        <v>583.83608283055003</v>
      </c>
      <c r="K73" s="4">
        <f>'Key Assumptions'!L55</f>
        <v>589.67444365885558</v>
      </c>
      <c r="L73" s="4">
        <f>'Key Assumptions'!M55</f>
        <v>595.57118809544409</v>
      </c>
      <c r="M73" s="4">
        <f>'Key Assumptions'!N55</f>
        <v>601.52689997639857</v>
      </c>
      <c r="N73" s="4">
        <f>'Key Assumptions'!O55</f>
        <v>607.54216897616254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vt:i4>
      </vt:variant>
    </vt:vector>
  </HeadingPairs>
  <TitlesOfParts>
    <vt:vector size="28" baseType="lpstr">
      <vt:lpstr>Offering</vt:lpstr>
      <vt:lpstr>Key Assumptions</vt:lpstr>
      <vt:lpstr> Crude Oil-Base Oil</vt:lpstr>
      <vt:lpstr>Investment Plan</vt:lpstr>
      <vt:lpstr>Blending equipment </vt:lpstr>
      <vt:lpstr>Disbursement Plan</vt:lpstr>
      <vt:lpstr>P&amp;L and Cash Flow</vt:lpstr>
      <vt:lpstr>Summary CF </vt:lpstr>
      <vt:lpstr>Graphs</vt:lpstr>
      <vt:lpstr>Sensitivity</vt:lpstr>
      <vt:lpstr>Sr Debt Service 2018</vt:lpstr>
      <vt:lpstr>Sr Debt Service 2020 </vt:lpstr>
      <vt:lpstr>HREFF Debt Servic</vt:lpstr>
      <vt:lpstr>Plant Ops Cost 100 GPH</vt:lpstr>
      <vt:lpstr>Plant Ops Cost 100 GPH ESPAÑOL</vt:lpstr>
      <vt:lpstr>Plant Ops Cost 200 GPH</vt:lpstr>
      <vt:lpstr>Plant Ops Cost 200 GPH ESPAÑOL</vt:lpstr>
      <vt:lpstr>Margins</vt:lpstr>
      <vt:lpstr>Org-Salary Structure</vt:lpstr>
      <vt:lpstr>Additives</vt:lpstr>
      <vt:lpstr>Used Oil Plan</vt:lpstr>
      <vt:lpstr>Site transport Cost </vt:lpstr>
      <vt:lpstr>Valuation</vt:lpstr>
      <vt:lpstr>Oscar Additives</vt:lpstr>
      <vt:lpstr>Base Oil Trends</vt:lpstr>
      <vt:lpstr>Summary Cash Flows</vt:lpstr>
      <vt:lpstr>'P&amp;L and Cash Flow'!Print_Area</vt:lpstr>
      <vt:lpstr>Sensitivity!Print_Titles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Parker Abraham</dc:creator>
  <cp:lastModifiedBy>Luke</cp:lastModifiedBy>
  <cp:lastPrinted>2017-07-19T15:59:46Z</cp:lastPrinted>
  <dcterms:created xsi:type="dcterms:W3CDTF">2013-10-28T16:55:50Z</dcterms:created>
  <dcterms:modified xsi:type="dcterms:W3CDTF">2018-02-20T21:58:52Z</dcterms:modified>
</cp:coreProperties>
</file>