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755" windowHeight="6270" activeTab="3"/>
  </bookViews>
  <sheets>
    <sheet name="pile" sheetId="1" r:id="rId1"/>
    <sheet name="composite slab with no bracing" sheetId="2" r:id="rId2"/>
    <sheet name="composite slab with bracing" sheetId="3" r:id="rId3"/>
    <sheet name="beam" sheetId="4" r:id="rId4"/>
  </sheets>
  <definedNames>
    <definedName name="_xlnm.Print_Area" localSheetId="2">'composite slab with bracing'!$A$1:$J$110</definedName>
    <definedName name="_xlnm.Print_Area" localSheetId="0">'pile'!$A$1:$K$63</definedName>
  </definedNames>
  <calcPr fullCalcOnLoad="1"/>
</workbook>
</file>

<file path=xl/sharedStrings.xml><?xml version="1.0" encoding="utf-8"?>
<sst xmlns="http://schemas.openxmlformats.org/spreadsheetml/2006/main" count="1156" uniqueCount="251">
  <si>
    <t>Design of Pile</t>
  </si>
  <si>
    <t>ksc</t>
  </si>
  <si>
    <t>Concrete Compressive Strength :at 28 Days</t>
  </si>
  <si>
    <t xml:space="preserve">                                                     :at Tranfer</t>
  </si>
  <si>
    <t>At Working :Allowable Compressive Strength</t>
  </si>
  <si>
    <t xml:space="preserve">At Tranfer   :Allowable Compressive Strength </t>
  </si>
  <si>
    <t xml:space="preserve">                     :Allowable Tensile Strength</t>
  </si>
  <si>
    <t>=</t>
  </si>
  <si>
    <t>Properties of Concrete</t>
  </si>
  <si>
    <t>Properties of  Prestressing Wires</t>
  </si>
  <si>
    <t>Diameter of Wire</t>
  </si>
  <si>
    <t>mm</t>
  </si>
  <si>
    <t>Ultimate Tensile Strenth</t>
  </si>
  <si>
    <t>Yield Strength</t>
  </si>
  <si>
    <t>kg</t>
  </si>
  <si>
    <t>Losses of Prestress</t>
  </si>
  <si>
    <t>Properties of Section</t>
  </si>
  <si>
    <t>Nunmber of Wires</t>
  </si>
  <si>
    <t>pieces</t>
  </si>
  <si>
    <t>Total Area of Wire</t>
  </si>
  <si>
    <t>Pile Length</t>
  </si>
  <si>
    <t>Cross Sectional Area</t>
  </si>
  <si>
    <t>Section Modulus</t>
  </si>
  <si>
    <t>Unit Weight of Pile</t>
  </si>
  <si>
    <t>w</t>
  </si>
  <si>
    <t>kg/m</t>
  </si>
  <si>
    <t>L</t>
  </si>
  <si>
    <t>m</t>
  </si>
  <si>
    <t>ES</t>
  </si>
  <si>
    <t>a) Elastic Shortening (ES)</t>
  </si>
  <si>
    <t>b) Shrinkage (SH)</t>
  </si>
  <si>
    <t>RH</t>
  </si>
  <si>
    <t>%</t>
  </si>
  <si>
    <t>SH</t>
  </si>
  <si>
    <t>1200-11RH</t>
  </si>
  <si>
    <t>CR</t>
  </si>
  <si>
    <t>c) Creep</t>
  </si>
  <si>
    <t>d) Steel Relaxation</t>
  </si>
  <si>
    <t>RE</t>
  </si>
  <si>
    <t>1,270-0.4ES-0.2(SH+CR)</t>
  </si>
  <si>
    <t>Total Losses</t>
  </si>
  <si>
    <t>Initial Jacking Force</t>
  </si>
  <si>
    <t>Immidiate Losses</t>
  </si>
  <si>
    <t>Stresses in Concrete</t>
  </si>
  <si>
    <t>At Tranfer</t>
  </si>
  <si>
    <t>At Lifting</t>
  </si>
  <si>
    <t>M</t>
  </si>
  <si>
    <t>kg-m</t>
  </si>
  <si>
    <t>Section Capacity of  Pile</t>
  </si>
  <si>
    <t>ton</t>
  </si>
  <si>
    <t>Span Length</t>
  </si>
  <si>
    <t>Properties of Precast Section</t>
  </si>
  <si>
    <t>Width</t>
  </si>
  <si>
    <t>Thickness</t>
  </si>
  <si>
    <t>t</t>
  </si>
  <si>
    <t>cm</t>
  </si>
  <si>
    <t>Moment of Inertia</t>
  </si>
  <si>
    <t>I</t>
  </si>
  <si>
    <t>Eccentricity</t>
  </si>
  <si>
    <t>e</t>
  </si>
  <si>
    <t>b</t>
  </si>
  <si>
    <t>Section 350*345*50 mm            Length 3.70 m</t>
  </si>
  <si>
    <t>Design Criteria</t>
  </si>
  <si>
    <t>Live Load</t>
  </si>
  <si>
    <t>LL</t>
  </si>
  <si>
    <t>Concrete Topping</t>
  </si>
  <si>
    <t>t'</t>
  </si>
  <si>
    <t>At Placing of Concrete Topping Stage</t>
  </si>
  <si>
    <t>At Service</t>
  </si>
  <si>
    <t xml:space="preserve">                                                    Precast</t>
  </si>
  <si>
    <t>Moment of Inertia of Composite Section</t>
  </si>
  <si>
    <t>I'</t>
  </si>
  <si>
    <t xml:space="preserve">                                           Concrete Topping</t>
  </si>
  <si>
    <t>Concrete Topping Strength</t>
  </si>
  <si>
    <t>Ultimate Strength of Composite Section</t>
  </si>
  <si>
    <t xml:space="preserve"> </t>
  </si>
  <si>
    <t>Shear Strength of Composite Section</t>
  </si>
  <si>
    <t>Deflection</t>
  </si>
  <si>
    <r>
      <t>kg/m</t>
    </r>
    <r>
      <rPr>
        <vertAlign val="superscript"/>
        <sz val="14"/>
        <rFont val="AngsanaUPC"/>
        <family val="1"/>
      </rPr>
      <t>2</t>
    </r>
  </si>
  <si>
    <r>
      <t>f '</t>
    </r>
    <r>
      <rPr>
        <vertAlign val="subscript"/>
        <sz val="14"/>
        <rFont val="AngsanaUPC"/>
        <family val="1"/>
      </rPr>
      <t>c, top</t>
    </r>
  </si>
  <si>
    <r>
      <t>f '</t>
    </r>
    <r>
      <rPr>
        <vertAlign val="subscript"/>
        <sz val="14"/>
        <rFont val="AngsanaUPC"/>
        <family val="1"/>
      </rPr>
      <t>c</t>
    </r>
  </si>
  <si>
    <r>
      <t>f '</t>
    </r>
    <r>
      <rPr>
        <vertAlign val="subscript"/>
        <sz val="14"/>
        <rFont val="AngsanaUPC"/>
        <family val="1"/>
      </rPr>
      <t>ci</t>
    </r>
  </si>
  <si>
    <r>
      <t>f</t>
    </r>
    <r>
      <rPr>
        <vertAlign val="subscript"/>
        <sz val="14"/>
        <rFont val="AngsanaUPC"/>
        <family val="1"/>
      </rPr>
      <t>ci</t>
    </r>
  </si>
  <si>
    <r>
      <t>f</t>
    </r>
    <r>
      <rPr>
        <vertAlign val="subscript"/>
        <sz val="14"/>
        <rFont val="AngsanaUPC"/>
        <family val="1"/>
      </rPr>
      <t>ti</t>
    </r>
  </si>
  <si>
    <r>
      <t>f</t>
    </r>
    <r>
      <rPr>
        <vertAlign val="subscript"/>
        <sz val="14"/>
        <rFont val="AngsanaUPC"/>
        <family val="1"/>
      </rPr>
      <t>c</t>
    </r>
  </si>
  <si>
    <r>
      <t>f</t>
    </r>
    <r>
      <rPr>
        <vertAlign val="subscript"/>
        <sz val="14"/>
        <rFont val="AngsanaUPC"/>
        <family val="1"/>
      </rPr>
      <t>t</t>
    </r>
  </si>
  <si>
    <r>
      <t>A</t>
    </r>
    <r>
      <rPr>
        <vertAlign val="subscript"/>
        <sz val="14"/>
        <rFont val="AngsanaUPC"/>
        <family val="1"/>
      </rPr>
      <t>ps</t>
    </r>
  </si>
  <si>
    <r>
      <t>f</t>
    </r>
    <r>
      <rPr>
        <vertAlign val="subscript"/>
        <sz val="14"/>
        <rFont val="AngsanaUPC"/>
        <family val="1"/>
      </rPr>
      <t>pu</t>
    </r>
  </si>
  <si>
    <r>
      <t>f</t>
    </r>
    <r>
      <rPr>
        <vertAlign val="subscript"/>
        <sz val="14"/>
        <rFont val="AngsanaUPC"/>
        <family val="1"/>
      </rPr>
      <t>py</t>
    </r>
  </si>
  <si>
    <r>
      <t>P</t>
    </r>
    <r>
      <rPr>
        <vertAlign val="subscript"/>
        <sz val="14"/>
        <rFont val="AngsanaUPC"/>
        <family val="1"/>
      </rPr>
      <t>j</t>
    </r>
  </si>
  <si>
    <r>
      <t>A</t>
    </r>
    <r>
      <rPr>
        <vertAlign val="subscript"/>
        <sz val="14"/>
        <rFont val="AngsanaUPC"/>
        <family val="1"/>
      </rPr>
      <t>c</t>
    </r>
  </si>
  <si>
    <r>
      <t>Z</t>
    </r>
    <r>
      <rPr>
        <vertAlign val="subscript"/>
        <sz val="14"/>
        <rFont val="AngsanaUPC"/>
        <family val="1"/>
      </rPr>
      <t>x</t>
    </r>
  </si>
  <si>
    <r>
      <t>f</t>
    </r>
    <r>
      <rPr>
        <vertAlign val="subscript"/>
        <sz val="14"/>
        <rFont val="AngsanaUPC"/>
        <family val="1"/>
      </rPr>
      <t>cir</t>
    </r>
  </si>
  <si>
    <r>
      <t>f</t>
    </r>
    <r>
      <rPr>
        <vertAlign val="subscript"/>
        <sz val="14"/>
        <rFont val="AngsanaUPC"/>
        <family val="1"/>
      </rPr>
      <t>cds</t>
    </r>
  </si>
  <si>
    <r>
      <t>P</t>
    </r>
    <r>
      <rPr>
        <vertAlign val="subscript"/>
        <sz val="14"/>
        <rFont val="AngsanaUPC"/>
        <family val="1"/>
      </rPr>
      <t>i</t>
    </r>
  </si>
  <si>
    <r>
      <t>f</t>
    </r>
    <r>
      <rPr>
        <vertAlign val="subscript"/>
        <sz val="14"/>
        <rFont val="AngsanaUPC"/>
        <family val="1"/>
      </rPr>
      <t>top</t>
    </r>
  </si>
  <si>
    <r>
      <t>f</t>
    </r>
    <r>
      <rPr>
        <vertAlign val="subscript"/>
        <sz val="14"/>
        <rFont val="AngsanaUPC"/>
        <family val="1"/>
      </rPr>
      <t>bot</t>
    </r>
  </si>
  <si>
    <r>
      <t>P</t>
    </r>
    <r>
      <rPr>
        <vertAlign val="subscript"/>
        <sz val="14"/>
        <rFont val="AngsanaUPC"/>
        <family val="1"/>
      </rPr>
      <t>e</t>
    </r>
  </si>
  <si>
    <r>
      <t>M</t>
    </r>
    <r>
      <rPr>
        <vertAlign val="subscript"/>
        <sz val="14"/>
        <rFont val="AngsanaUPC"/>
        <family val="1"/>
      </rPr>
      <t>i</t>
    </r>
  </si>
  <si>
    <r>
      <t>P</t>
    </r>
    <r>
      <rPr>
        <vertAlign val="subscript"/>
        <sz val="14"/>
        <rFont val="AngsanaUPC"/>
        <family val="1"/>
      </rPr>
      <t>n</t>
    </r>
  </si>
  <si>
    <r>
      <t>cm</t>
    </r>
    <r>
      <rPr>
        <vertAlign val="superscript"/>
        <sz val="14"/>
        <rFont val="AngsanaUPC"/>
        <family val="1"/>
      </rPr>
      <t>2</t>
    </r>
  </si>
  <si>
    <r>
      <t>cm</t>
    </r>
    <r>
      <rPr>
        <vertAlign val="superscript"/>
        <sz val="14"/>
        <rFont val="AngsanaUPC"/>
        <family val="1"/>
      </rPr>
      <t>3</t>
    </r>
  </si>
  <si>
    <r>
      <t>12f</t>
    </r>
    <r>
      <rPr>
        <vertAlign val="subscript"/>
        <sz val="14"/>
        <rFont val="AngsanaUPC"/>
        <family val="1"/>
      </rPr>
      <t>cir</t>
    </r>
    <r>
      <rPr>
        <sz val="14"/>
        <rFont val="AngsanaUPC"/>
        <family val="1"/>
      </rPr>
      <t>-7f</t>
    </r>
    <r>
      <rPr>
        <vertAlign val="subscript"/>
        <sz val="14"/>
        <rFont val="AngsanaUPC"/>
        <family val="1"/>
      </rPr>
      <t>cds</t>
    </r>
  </si>
  <si>
    <r>
      <t>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>c</t>
    </r>
  </si>
  <si>
    <r>
      <t>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 xml:space="preserve"> - M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/Z</t>
    </r>
  </si>
  <si>
    <r>
      <t>0.60 f '</t>
    </r>
    <r>
      <rPr>
        <vertAlign val="subscript"/>
        <sz val="14"/>
        <rFont val="AngsanaUPC"/>
        <family val="1"/>
      </rPr>
      <t>ci</t>
    </r>
  </si>
  <si>
    <r>
      <t>0.45 f '</t>
    </r>
    <r>
      <rPr>
        <vertAlign val="subscript"/>
        <sz val="14"/>
        <rFont val="AngsanaUPC"/>
        <family val="1"/>
      </rPr>
      <t>c</t>
    </r>
  </si>
  <si>
    <r>
      <t>-1.6 f '</t>
    </r>
    <r>
      <rPr>
        <vertAlign val="subscript"/>
        <sz val="14"/>
        <rFont val="AngsanaUPC"/>
        <family val="1"/>
      </rPr>
      <t>c</t>
    </r>
    <r>
      <rPr>
        <vertAlign val="superscript"/>
        <sz val="14"/>
        <rFont val="AngsanaUPC"/>
        <family val="1"/>
      </rPr>
      <t>0.5</t>
    </r>
  </si>
  <si>
    <r>
      <t>0.9P</t>
    </r>
    <r>
      <rPr>
        <vertAlign val="subscript"/>
        <sz val="14"/>
        <rFont val="AngsanaUPC"/>
        <family val="1"/>
      </rPr>
      <t>j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>c</t>
    </r>
  </si>
  <si>
    <r>
      <t>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 xml:space="preserve"> + M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/Z</t>
    </r>
  </si>
  <si>
    <r>
      <t>M</t>
    </r>
    <r>
      <rPr>
        <vertAlign val="subscript"/>
        <sz val="14"/>
        <rFont val="AngsanaUPC"/>
        <family val="1"/>
      </rPr>
      <t>g</t>
    </r>
  </si>
  <si>
    <r>
      <t>M</t>
    </r>
    <r>
      <rPr>
        <vertAlign val="subscript"/>
        <sz val="14"/>
        <rFont val="AngsanaUPC"/>
        <family val="1"/>
      </rPr>
      <t>s</t>
    </r>
  </si>
  <si>
    <r>
      <t>y</t>
    </r>
    <r>
      <rPr>
        <vertAlign val="subscript"/>
        <sz val="14"/>
        <rFont val="AngsanaUPC"/>
        <family val="1"/>
      </rPr>
      <t>centroid</t>
    </r>
  </si>
  <si>
    <r>
      <t>M</t>
    </r>
    <r>
      <rPr>
        <vertAlign val="subscript"/>
        <sz val="14"/>
        <rFont val="AngsanaUPC"/>
        <family val="1"/>
      </rPr>
      <t>LL</t>
    </r>
  </si>
  <si>
    <r>
      <t>M</t>
    </r>
    <r>
      <rPr>
        <vertAlign val="subscript"/>
        <sz val="14"/>
        <rFont val="AngsanaUPC"/>
        <family val="1"/>
      </rPr>
      <t>u</t>
    </r>
  </si>
  <si>
    <r>
      <t>r</t>
    </r>
    <r>
      <rPr>
        <vertAlign val="subscript"/>
        <sz val="14"/>
        <rFont val="AngsanaUPC"/>
        <family val="1"/>
      </rPr>
      <t>p</t>
    </r>
  </si>
  <si>
    <r>
      <t>f</t>
    </r>
    <r>
      <rPr>
        <vertAlign val="subscript"/>
        <sz val="14"/>
        <rFont val="AngsanaUPC"/>
        <family val="1"/>
      </rPr>
      <t>ps</t>
    </r>
  </si>
  <si>
    <r>
      <t>f</t>
    </r>
    <r>
      <rPr>
        <sz val="14"/>
        <rFont val="AngsanaUPC"/>
        <family val="1"/>
      </rPr>
      <t>M</t>
    </r>
    <r>
      <rPr>
        <vertAlign val="subscript"/>
        <sz val="14"/>
        <rFont val="AngsanaUPC"/>
        <family val="1"/>
      </rPr>
      <t>n</t>
    </r>
  </si>
  <si>
    <r>
      <t>V</t>
    </r>
    <r>
      <rPr>
        <vertAlign val="subscript"/>
        <sz val="14"/>
        <rFont val="AngsanaUPC"/>
        <family val="1"/>
      </rPr>
      <t>u</t>
    </r>
  </si>
  <si>
    <r>
      <t>E</t>
    </r>
    <r>
      <rPr>
        <vertAlign val="subscript"/>
        <sz val="14"/>
        <rFont val="AngsanaUPC"/>
        <family val="1"/>
      </rPr>
      <t>ci</t>
    </r>
  </si>
  <si>
    <r>
      <t>cm</t>
    </r>
    <r>
      <rPr>
        <vertAlign val="superscript"/>
        <sz val="14"/>
        <rFont val="AngsanaUPC"/>
        <family val="1"/>
      </rPr>
      <t>4</t>
    </r>
  </si>
  <si>
    <r>
      <t>A</t>
    </r>
    <r>
      <rPr>
        <vertAlign val="subscript"/>
        <sz val="14"/>
        <rFont val="AngsanaUPC"/>
        <family val="1"/>
      </rPr>
      <t>ps</t>
    </r>
    <r>
      <rPr>
        <sz val="14"/>
        <rFont val="AngsanaUPC"/>
        <family val="1"/>
      </rPr>
      <t>/bd</t>
    </r>
  </si>
  <si>
    <r>
      <t>b</t>
    </r>
    <r>
      <rPr>
        <vertAlign val="subscript"/>
        <sz val="11"/>
        <rFont val="Symbol"/>
        <family val="1"/>
      </rPr>
      <t>1</t>
    </r>
  </si>
  <si>
    <r>
      <t>-0.80 f '</t>
    </r>
    <r>
      <rPr>
        <vertAlign val="subscript"/>
        <sz val="14"/>
        <rFont val="AngsanaUPC"/>
        <family val="1"/>
      </rPr>
      <t>ci</t>
    </r>
    <r>
      <rPr>
        <vertAlign val="superscript"/>
        <sz val="14"/>
        <rFont val="AngsanaUPC"/>
        <family val="1"/>
      </rPr>
      <t>0.5</t>
    </r>
  </si>
  <si>
    <r>
      <t>2P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eL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/(16EI) + 5w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L</t>
    </r>
    <r>
      <rPr>
        <vertAlign val="superscript"/>
        <sz val="14"/>
        <rFont val="AngsanaUPC"/>
        <family val="1"/>
      </rPr>
      <t>4</t>
    </r>
    <r>
      <rPr>
        <sz val="14"/>
        <rFont val="AngsanaUPC"/>
        <family val="1"/>
      </rPr>
      <t>/(384EI)</t>
    </r>
  </si>
  <si>
    <r>
      <t>2P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eL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/(16E</t>
    </r>
    <r>
      <rPr>
        <vertAlign val="subscript"/>
        <sz val="14"/>
        <rFont val="AngsanaUPC"/>
        <family val="1"/>
      </rPr>
      <t>ci</t>
    </r>
    <r>
      <rPr>
        <sz val="14"/>
        <rFont val="AngsanaUPC"/>
        <family val="1"/>
      </rPr>
      <t>I) + 5w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L</t>
    </r>
    <r>
      <rPr>
        <vertAlign val="superscript"/>
        <sz val="14"/>
        <rFont val="AngsanaUPC"/>
        <family val="1"/>
      </rPr>
      <t>4</t>
    </r>
    <r>
      <rPr>
        <sz val="14"/>
        <rFont val="AngsanaUPC"/>
        <family val="1"/>
      </rPr>
      <t>/(384E</t>
    </r>
    <r>
      <rPr>
        <vertAlign val="subscript"/>
        <sz val="14"/>
        <rFont val="AngsanaUPC"/>
        <family val="1"/>
      </rPr>
      <t>ci</t>
    </r>
    <r>
      <rPr>
        <sz val="14"/>
        <rFont val="AngsanaUPC"/>
        <family val="1"/>
      </rPr>
      <t>I)</t>
    </r>
  </si>
  <si>
    <r>
      <t>E</t>
    </r>
    <r>
      <rPr>
        <vertAlign val="subscript"/>
        <sz val="14"/>
        <rFont val="AngsanaUPC"/>
        <family val="1"/>
      </rPr>
      <t>c</t>
    </r>
  </si>
  <si>
    <r>
      <t>D</t>
    </r>
    <r>
      <rPr>
        <vertAlign val="subscript"/>
        <sz val="14"/>
        <rFont val="AngsanaUPC"/>
        <family val="1"/>
      </rPr>
      <t>i</t>
    </r>
  </si>
  <si>
    <r>
      <t>D</t>
    </r>
    <r>
      <rPr>
        <vertAlign val="subscript"/>
        <sz val="14"/>
        <rFont val="AngsanaUPC"/>
        <family val="1"/>
      </rPr>
      <t>t</t>
    </r>
  </si>
  <si>
    <r>
      <t>D</t>
    </r>
    <r>
      <rPr>
        <vertAlign val="subscript"/>
        <sz val="14"/>
        <rFont val="AngsanaUPC"/>
        <family val="1"/>
      </rPr>
      <t>i</t>
    </r>
    <r>
      <rPr>
        <vertAlign val="subscript"/>
        <sz val="11"/>
        <rFont val="AngsanaUPC"/>
        <family val="1"/>
      </rPr>
      <t xml:space="preserve"> </t>
    </r>
    <r>
      <rPr>
        <sz val="14"/>
        <rFont val="AngsanaUPC"/>
        <family val="1"/>
      </rPr>
      <t>+</t>
    </r>
    <r>
      <rPr>
        <sz val="11"/>
        <rFont val="AngsanaUPC"/>
        <family val="1"/>
      </rPr>
      <t xml:space="preserve"> </t>
    </r>
    <r>
      <rPr>
        <sz val="14"/>
        <rFont val="AngsanaUPC"/>
        <family val="1"/>
      </rPr>
      <t>5(w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+w</t>
    </r>
    <r>
      <rPr>
        <vertAlign val="subscript"/>
        <sz val="14"/>
        <rFont val="AngsanaUPC"/>
        <family val="1"/>
      </rPr>
      <t>LL</t>
    </r>
    <r>
      <rPr>
        <sz val="14"/>
        <rFont val="AngsanaUPC"/>
        <family val="1"/>
      </rPr>
      <t>)L</t>
    </r>
    <r>
      <rPr>
        <vertAlign val="superscript"/>
        <sz val="14"/>
        <rFont val="AngsanaUPC"/>
        <family val="1"/>
      </rPr>
      <t>4</t>
    </r>
    <r>
      <rPr>
        <sz val="14"/>
        <rFont val="AngsanaUPC"/>
        <family val="1"/>
      </rPr>
      <t>/(384E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I')</t>
    </r>
  </si>
  <si>
    <r>
      <t>n f</t>
    </r>
    <r>
      <rPr>
        <vertAlign val="subscript"/>
        <sz val="14"/>
        <rFont val="AngsanaUPC"/>
        <family val="1"/>
      </rPr>
      <t>cir</t>
    </r>
  </si>
  <si>
    <r>
      <t>0.5w(0.207L)</t>
    </r>
    <r>
      <rPr>
        <vertAlign val="superscript"/>
        <sz val="14"/>
        <rFont val="AngsanaUPC"/>
        <family val="1"/>
      </rPr>
      <t>2</t>
    </r>
  </si>
  <si>
    <r>
      <t>(0.85f '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 xml:space="preserve"> - 0.60P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) A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/1000</t>
    </r>
  </si>
  <si>
    <r>
      <t>MIN(0.80 f</t>
    </r>
    <r>
      <rPr>
        <vertAlign val="subscript"/>
        <sz val="14"/>
        <rFont val="AngsanaUPC"/>
        <family val="1"/>
      </rPr>
      <t>pu</t>
    </r>
    <r>
      <rPr>
        <sz val="14"/>
        <rFont val="AngsanaUPC"/>
        <family val="1"/>
      </rPr>
      <t>,0.94 f</t>
    </r>
    <r>
      <rPr>
        <vertAlign val="subscript"/>
        <sz val="14"/>
        <rFont val="AngsanaUPC"/>
        <family val="1"/>
      </rPr>
      <t>py</t>
    </r>
    <r>
      <rPr>
        <sz val="14"/>
        <rFont val="AngsanaUPC"/>
        <family val="1"/>
      </rPr>
      <t>) A</t>
    </r>
    <r>
      <rPr>
        <vertAlign val="subscript"/>
        <sz val="14"/>
        <rFont val="AngsanaUPC"/>
        <family val="1"/>
      </rPr>
      <t>ps</t>
    </r>
  </si>
  <si>
    <r>
      <t>MIN(0.80 f</t>
    </r>
    <r>
      <rPr>
        <vertAlign val="subscript"/>
        <sz val="14"/>
        <rFont val="AngsanaUPC"/>
        <family val="1"/>
      </rPr>
      <t xml:space="preserve">pu </t>
    </r>
    <r>
      <rPr>
        <sz val="14"/>
        <rFont val="AngsanaUPC"/>
        <family val="1"/>
      </rPr>
      <t>,0.94 f</t>
    </r>
    <r>
      <rPr>
        <vertAlign val="subscript"/>
        <sz val="14"/>
        <rFont val="AngsanaUPC"/>
        <family val="1"/>
      </rPr>
      <t>py</t>
    </r>
    <r>
      <rPr>
        <sz val="14"/>
        <rFont val="AngsanaUPC"/>
        <family val="1"/>
      </rPr>
      <t>) A</t>
    </r>
    <r>
      <rPr>
        <vertAlign val="subscript"/>
        <sz val="14"/>
        <rFont val="AngsanaUPC"/>
        <family val="1"/>
      </rPr>
      <t>ps</t>
    </r>
  </si>
  <si>
    <r>
      <t>0.9P</t>
    </r>
    <r>
      <rPr>
        <vertAlign val="subscript"/>
        <sz val="14"/>
        <rFont val="AngsanaUPC"/>
        <family val="1"/>
      </rPr>
      <t>j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+ 0.9P</t>
    </r>
    <r>
      <rPr>
        <vertAlign val="subscript"/>
        <sz val="14"/>
        <rFont val="AngsanaUPC"/>
        <family val="1"/>
      </rPr>
      <t>j</t>
    </r>
    <r>
      <rPr>
        <sz val="14"/>
        <rFont val="AngsanaUPC"/>
        <family val="1"/>
      </rPr>
      <t>e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/I - M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e/I</t>
    </r>
  </si>
  <si>
    <r>
      <t>M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e/I</t>
    </r>
  </si>
  <si>
    <r>
      <t>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 xml:space="preserve">c </t>
    </r>
    <r>
      <rPr>
        <sz val="14"/>
        <rFont val="AngsanaUPC"/>
        <family val="1"/>
      </rPr>
      <t>- 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e/Z + M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/Z</t>
    </r>
  </si>
  <si>
    <r>
      <t>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 xml:space="preserve">c </t>
    </r>
    <r>
      <rPr>
        <sz val="14"/>
        <rFont val="AngsanaUPC"/>
        <family val="1"/>
      </rPr>
      <t>+ 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e/Z - M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/Z</t>
    </r>
  </si>
  <si>
    <r>
      <t>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 xml:space="preserve">c </t>
    </r>
    <r>
      <rPr>
        <sz val="14"/>
        <rFont val="AngsanaUPC"/>
        <family val="1"/>
      </rPr>
      <t>- 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e/Z + M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/Z + M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/Z</t>
    </r>
  </si>
  <si>
    <r>
      <t>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 xml:space="preserve">c </t>
    </r>
    <r>
      <rPr>
        <sz val="14"/>
        <rFont val="AngsanaUPC"/>
        <family val="1"/>
      </rPr>
      <t>+ 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e/Z - M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/Z - M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/Z</t>
    </r>
  </si>
  <si>
    <r>
      <t>f</t>
    </r>
    <r>
      <rPr>
        <vertAlign val="subscript"/>
        <sz val="14"/>
        <rFont val="AngsanaUPC"/>
        <family val="1"/>
      </rPr>
      <t>top at placing of topping</t>
    </r>
    <r>
      <rPr>
        <sz val="14"/>
        <rFont val="AngsanaUPC"/>
        <family val="1"/>
      </rPr>
      <t xml:space="preserve"> + M</t>
    </r>
    <r>
      <rPr>
        <vertAlign val="subscript"/>
        <sz val="14"/>
        <rFont val="AngsanaUPC"/>
        <family val="1"/>
      </rPr>
      <t>LL</t>
    </r>
    <r>
      <rPr>
        <sz val="14"/>
        <rFont val="AngsanaUPC"/>
        <family val="1"/>
      </rPr>
      <t>c/I'</t>
    </r>
  </si>
  <si>
    <r>
      <t>f</t>
    </r>
    <r>
      <rPr>
        <vertAlign val="subscript"/>
        <sz val="14"/>
        <rFont val="AngsanaUPC"/>
        <family val="1"/>
      </rPr>
      <t>bot at placing of topping</t>
    </r>
    <r>
      <rPr>
        <sz val="14"/>
        <rFont val="AngsanaUPC"/>
        <family val="1"/>
      </rPr>
      <t xml:space="preserve"> - M</t>
    </r>
    <r>
      <rPr>
        <vertAlign val="subscript"/>
        <sz val="14"/>
        <rFont val="AngsanaUPC"/>
        <family val="1"/>
      </rPr>
      <t>LL</t>
    </r>
    <r>
      <rPr>
        <sz val="14"/>
        <rFont val="AngsanaUPC"/>
        <family val="1"/>
      </rPr>
      <t>c/I'</t>
    </r>
  </si>
  <si>
    <r>
      <t>M</t>
    </r>
    <r>
      <rPr>
        <vertAlign val="subscript"/>
        <sz val="14"/>
        <rFont val="AngsanaUPC"/>
        <family val="1"/>
      </rPr>
      <t>LL</t>
    </r>
    <r>
      <rPr>
        <sz val="14"/>
        <rFont val="AngsanaUPC"/>
        <family val="1"/>
      </rPr>
      <t>c/I'</t>
    </r>
  </si>
  <si>
    <r>
      <t>1.4(M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+M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)+1.7M</t>
    </r>
    <r>
      <rPr>
        <vertAlign val="subscript"/>
        <sz val="14"/>
        <rFont val="AngsanaUPC"/>
        <family val="1"/>
      </rPr>
      <t>LL</t>
    </r>
  </si>
  <si>
    <r>
      <t>f</t>
    </r>
    <r>
      <rPr>
        <vertAlign val="subscript"/>
        <sz val="14"/>
        <rFont val="AngsanaUPC"/>
        <family val="1"/>
      </rPr>
      <t>pu</t>
    </r>
    <r>
      <rPr>
        <sz val="14"/>
        <rFont val="AngsanaUPC"/>
        <family val="1"/>
      </rPr>
      <t>(1-r</t>
    </r>
    <r>
      <rPr>
        <vertAlign val="subscript"/>
        <sz val="14"/>
        <rFont val="AngsanaUPC"/>
        <family val="1"/>
      </rPr>
      <t>p</t>
    </r>
    <r>
      <rPr>
        <sz val="14"/>
        <rFont val="AngsanaUPC"/>
        <family val="1"/>
      </rPr>
      <t>/</t>
    </r>
    <r>
      <rPr>
        <sz val="11"/>
        <rFont val="Symbol"/>
        <family val="1"/>
      </rPr>
      <t>b</t>
    </r>
    <r>
      <rPr>
        <vertAlign val="subscript"/>
        <sz val="11"/>
        <rFont val="Symbol"/>
        <family val="1"/>
      </rPr>
      <t>1</t>
    </r>
    <r>
      <rPr>
        <sz val="14"/>
        <rFont val="AngsanaUPC"/>
        <family val="1"/>
      </rPr>
      <t>(</t>
    </r>
    <r>
      <rPr>
        <sz val="11"/>
        <rFont val="Symbol"/>
        <family val="1"/>
      </rPr>
      <t>r</t>
    </r>
    <r>
      <rPr>
        <vertAlign val="subscript"/>
        <sz val="14"/>
        <rFont val="AngsanaUPC"/>
        <family val="1"/>
      </rPr>
      <t>p</t>
    </r>
    <r>
      <rPr>
        <sz val="14"/>
        <rFont val="AngsanaUPC"/>
        <family val="1"/>
      </rPr>
      <t>f</t>
    </r>
    <r>
      <rPr>
        <vertAlign val="subscript"/>
        <sz val="14"/>
        <rFont val="AngsanaUPC"/>
        <family val="1"/>
      </rPr>
      <t>pu</t>
    </r>
    <r>
      <rPr>
        <sz val="14"/>
        <rFont val="AngsanaUPC"/>
        <family val="1"/>
      </rPr>
      <t>/f '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,</t>
    </r>
    <r>
      <rPr>
        <vertAlign val="subscript"/>
        <sz val="14"/>
        <rFont val="AngsanaUPC"/>
        <family val="1"/>
      </rPr>
      <t>top</t>
    </r>
    <r>
      <rPr>
        <sz val="14"/>
        <rFont val="AngsanaUPC"/>
        <family val="1"/>
      </rPr>
      <t>))</t>
    </r>
  </si>
  <si>
    <r>
      <t>f</t>
    </r>
    <r>
      <rPr>
        <sz val="14"/>
        <rFont val="AngsanaUPC"/>
        <family val="1"/>
      </rPr>
      <t>A</t>
    </r>
    <r>
      <rPr>
        <vertAlign val="subscript"/>
        <sz val="14"/>
        <rFont val="AngsanaUPC"/>
        <family val="1"/>
      </rPr>
      <t>ps</t>
    </r>
    <r>
      <rPr>
        <sz val="14"/>
        <rFont val="AngsanaUPC"/>
        <family val="1"/>
      </rPr>
      <t>f</t>
    </r>
    <r>
      <rPr>
        <vertAlign val="subscript"/>
        <sz val="14"/>
        <rFont val="AngsanaUPC"/>
        <family val="1"/>
      </rPr>
      <t>ps</t>
    </r>
    <r>
      <rPr>
        <sz val="14"/>
        <rFont val="AngsanaUPC"/>
        <family val="1"/>
      </rPr>
      <t>(d-A</t>
    </r>
    <r>
      <rPr>
        <vertAlign val="subscript"/>
        <sz val="14"/>
        <rFont val="AngsanaUPC"/>
        <family val="1"/>
      </rPr>
      <t>ps</t>
    </r>
    <r>
      <rPr>
        <sz val="14"/>
        <rFont val="AngsanaUPC"/>
        <family val="1"/>
      </rPr>
      <t>f</t>
    </r>
    <r>
      <rPr>
        <vertAlign val="subscript"/>
        <sz val="14"/>
        <rFont val="AngsanaUPC"/>
        <family val="1"/>
      </rPr>
      <t>ps</t>
    </r>
    <r>
      <rPr>
        <sz val="14"/>
        <rFont val="AngsanaUPC"/>
        <family val="1"/>
      </rPr>
      <t>/(2*0.85f '</t>
    </r>
    <r>
      <rPr>
        <vertAlign val="subscript"/>
        <sz val="14"/>
        <rFont val="AngsanaUPC"/>
        <family val="1"/>
      </rPr>
      <t>c,top</t>
    </r>
    <r>
      <rPr>
        <sz val="14"/>
        <rFont val="AngsanaUPC"/>
        <family val="1"/>
      </rPr>
      <t>b))</t>
    </r>
  </si>
  <si>
    <r>
      <t>w</t>
    </r>
    <r>
      <rPr>
        <vertAlign val="subscript"/>
        <sz val="14"/>
        <rFont val="AngsanaUPC"/>
        <family val="1"/>
      </rPr>
      <t>g</t>
    </r>
  </si>
  <si>
    <r>
      <t>(1/8)w</t>
    </r>
    <r>
      <rPr>
        <vertAlign val="subscript"/>
        <sz val="14"/>
        <rFont val="AngsanaUPC"/>
        <family val="1"/>
      </rPr>
      <t xml:space="preserve">g </t>
    </r>
    <r>
      <rPr>
        <sz val="14"/>
        <rFont val="AngsanaUPC"/>
        <family val="1"/>
      </rPr>
      <t>L</t>
    </r>
    <r>
      <rPr>
        <vertAlign val="superscript"/>
        <sz val="14"/>
        <rFont val="AngsanaUPC"/>
        <family val="1"/>
      </rPr>
      <t>2</t>
    </r>
  </si>
  <si>
    <r>
      <t>(1/8)w</t>
    </r>
    <r>
      <rPr>
        <vertAlign val="subscript"/>
        <sz val="14"/>
        <rFont val="AngsanaUPC"/>
        <family val="1"/>
      </rPr>
      <t xml:space="preserve">s </t>
    </r>
    <r>
      <rPr>
        <sz val="14"/>
        <rFont val="AngsanaUPC"/>
        <family val="1"/>
      </rPr>
      <t>L</t>
    </r>
    <r>
      <rPr>
        <vertAlign val="superscript"/>
        <sz val="14"/>
        <rFont val="AngsanaUPC"/>
        <family val="1"/>
      </rPr>
      <t>2</t>
    </r>
  </si>
  <si>
    <r>
      <t>w</t>
    </r>
    <r>
      <rPr>
        <vertAlign val="subscript"/>
        <sz val="14"/>
        <rFont val="AngsanaUPC"/>
        <family val="1"/>
      </rPr>
      <t>s</t>
    </r>
  </si>
  <si>
    <r>
      <t>w</t>
    </r>
    <r>
      <rPr>
        <vertAlign val="subscript"/>
        <sz val="14"/>
        <rFont val="AngsanaUPC"/>
        <family val="1"/>
      </rPr>
      <t>LL</t>
    </r>
  </si>
  <si>
    <r>
      <t>(1/8)w</t>
    </r>
    <r>
      <rPr>
        <vertAlign val="subscript"/>
        <sz val="14"/>
        <rFont val="AngsanaUPC"/>
        <family val="1"/>
      </rPr>
      <t xml:space="preserve">LL </t>
    </r>
    <r>
      <rPr>
        <sz val="14"/>
        <rFont val="AngsanaUPC"/>
        <family val="1"/>
      </rPr>
      <t>L</t>
    </r>
    <r>
      <rPr>
        <vertAlign val="superscript"/>
        <sz val="14"/>
        <rFont val="AngsanaUPC"/>
        <family val="1"/>
      </rPr>
      <t>2</t>
    </r>
  </si>
  <si>
    <r>
      <t>1.4(w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+w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)L/2+1.7w</t>
    </r>
    <r>
      <rPr>
        <vertAlign val="subscript"/>
        <sz val="14"/>
        <rFont val="AngsanaUPC"/>
        <family val="1"/>
      </rPr>
      <t xml:space="preserve">LL </t>
    </r>
    <r>
      <rPr>
        <sz val="14"/>
        <rFont val="AngsanaUPC"/>
        <family val="1"/>
      </rPr>
      <t>L/2</t>
    </r>
  </si>
  <si>
    <r>
      <t>0.9P</t>
    </r>
    <r>
      <rPr>
        <vertAlign val="subscript"/>
        <sz val="14"/>
        <rFont val="AngsanaUPC"/>
        <family val="1"/>
      </rPr>
      <t>j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 xml:space="preserve">c </t>
    </r>
    <r>
      <rPr>
        <sz val="14"/>
        <rFont val="AngsanaUPC"/>
        <family val="1"/>
      </rPr>
      <t>+ 0.9P</t>
    </r>
    <r>
      <rPr>
        <vertAlign val="subscript"/>
        <sz val="14"/>
        <rFont val="AngsanaUPC"/>
        <family val="1"/>
      </rPr>
      <t>j</t>
    </r>
    <r>
      <rPr>
        <sz val="14"/>
        <rFont val="AngsanaUPC"/>
        <family val="1"/>
      </rPr>
      <t>e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/I - M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*e/I</t>
    </r>
  </si>
  <si>
    <r>
      <t>h</t>
    </r>
    <r>
      <rPr>
        <vertAlign val="subscript"/>
        <sz val="14"/>
        <rFont val="AngsanaUPC"/>
        <family val="1"/>
      </rPr>
      <t>i</t>
    </r>
  </si>
  <si>
    <r>
      <t>h</t>
    </r>
    <r>
      <rPr>
        <vertAlign val="subscript"/>
        <sz val="14"/>
        <rFont val="AngsanaUPC"/>
        <family val="1"/>
      </rPr>
      <t>t</t>
    </r>
  </si>
  <si>
    <r>
      <t>Min(0.7f</t>
    </r>
    <r>
      <rPr>
        <vertAlign val="subscript"/>
        <sz val="14"/>
        <rFont val="AngsanaUPC"/>
        <family val="1"/>
      </rPr>
      <t>pu</t>
    </r>
    <r>
      <rPr>
        <sz val="14"/>
        <rFont val="AngsanaUPC"/>
        <family val="1"/>
      </rPr>
      <t>A</t>
    </r>
    <r>
      <rPr>
        <vertAlign val="subscript"/>
        <sz val="14"/>
        <rFont val="AngsanaUPC"/>
        <family val="1"/>
      </rPr>
      <t xml:space="preserve">ps </t>
    </r>
    <r>
      <rPr>
        <sz val="14"/>
        <rFont val="AngsanaUPC"/>
        <family val="1"/>
      </rPr>
      <t>,P</t>
    </r>
    <r>
      <rPr>
        <vertAlign val="subscript"/>
        <sz val="14"/>
        <rFont val="AngsanaUPC"/>
        <family val="1"/>
      </rPr>
      <t>j</t>
    </r>
    <r>
      <rPr>
        <sz val="14"/>
        <rFont val="AngsanaUPC"/>
        <family val="1"/>
      </rPr>
      <t>-</t>
    </r>
    <r>
      <rPr>
        <sz val="11"/>
        <rFont val="Symbol"/>
        <family val="1"/>
      </rPr>
      <t>h</t>
    </r>
    <r>
      <rPr>
        <vertAlign val="subscript"/>
        <sz val="14"/>
        <rFont val="AngsanaUPC"/>
        <family val="1"/>
      </rPr>
      <t xml:space="preserve">i </t>
    </r>
    <r>
      <rPr>
        <sz val="14"/>
        <rFont val="AngsanaUPC"/>
        <family val="1"/>
      </rPr>
      <t>P</t>
    </r>
    <r>
      <rPr>
        <vertAlign val="subscript"/>
        <sz val="14"/>
        <rFont val="AngsanaUPC"/>
        <family val="1"/>
      </rPr>
      <t>j</t>
    </r>
    <r>
      <rPr>
        <sz val="14"/>
        <rFont val="AngsanaUPC"/>
        <family val="1"/>
      </rPr>
      <t>/100)</t>
    </r>
  </si>
  <si>
    <r>
      <t>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 xml:space="preserve">c </t>
    </r>
    <r>
      <rPr>
        <sz val="14"/>
        <rFont val="AngsanaUPC"/>
        <family val="1"/>
      </rPr>
      <t>- 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e/Z + M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 xml:space="preserve">/Z </t>
    </r>
  </si>
  <si>
    <r>
      <t>P</t>
    </r>
    <r>
      <rPr>
        <vertAlign val="subscript"/>
        <sz val="14"/>
        <rFont val="AngsanaUPC"/>
        <family val="1"/>
      </rPr>
      <t xml:space="preserve">j </t>
    </r>
    <r>
      <rPr>
        <sz val="14"/>
        <rFont val="AngsanaUPC"/>
        <family val="1"/>
      </rPr>
      <t xml:space="preserve">- </t>
    </r>
    <r>
      <rPr>
        <sz val="11"/>
        <rFont val="Symbol"/>
        <family val="1"/>
      </rPr>
      <t>h</t>
    </r>
    <r>
      <rPr>
        <vertAlign val="subscript"/>
        <sz val="14"/>
        <rFont val="AngsanaUPC"/>
        <family val="1"/>
      </rPr>
      <t xml:space="preserve">t </t>
    </r>
    <r>
      <rPr>
        <sz val="14"/>
        <rFont val="AngsanaUPC"/>
        <family val="1"/>
      </rPr>
      <t>P</t>
    </r>
    <r>
      <rPr>
        <vertAlign val="subscript"/>
        <sz val="14"/>
        <rFont val="AngsanaUPC"/>
        <family val="1"/>
      </rPr>
      <t>j</t>
    </r>
    <r>
      <rPr>
        <sz val="14"/>
        <rFont val="AngsanaUPC"/>
        <family val="1"/>
      </rPr>
      <t>/100</t>
    </r>
  </si>
  <si>
    <r>
      <t>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 xml:space="preserve">c </t>
    </r>
    <r>
      <rPr>
        <sz val="14"/>
        <rFont val="AngsanaUPC"/>
        <family val="1"/>
      </rPr>
      <t>- 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e/Z + M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/Z</t>
    </r>
  </si>
  <si>
    <r>
      <t>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 xml:space="preserve">c </t>
    </r>
    <r>
      <rPr>
        <sz val="14"/>
        <rFont val="AngsanaUPC"/>
        <family val="1"/>
      </rPr>
      <t>+ 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e/Z - M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/Z</t>
    </r>
  </si>
  <si>
    <r>
      <t>f</t>
    </r>
    <r>
      <rPr>
        <vertAlign val="subscript"/>
        <sz val="14"/>
        <rFont val="AngsanaUPC"/>
        <family val="1"/>
      </rPr>
      <t>top at placing of topping</t>
    </r>
    <r>
      <rPr>
        <sz val="14"/>
        <rFont val="AngsanaUPC"/>
        <family val="1"/>
      </rPr>
      <t xml:space="preserve"> + (M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+M</t>
    </r>
    <r>
      <rPr>
        <vertAlign val="subscript"/>
        <sz val="14"/>
        <rFont val="AngsanaUPC"/>
        <family val="1"/>
      </rPr>
      <t>LL</t>
    </r>
    <r>
      <rPr>
        <sz val="14"/>
        <rFont val="AngsanaUPC"/>
        <family val="1"/>
      </rPr>
      <t>)c/I'</t>
    </r>
  </si>
  <si>
    <r>
      <t>f</t>
    </r>
    <r>
      <rPr>
        <vertAlign val="subscript"/>
        <sz val="14"/>
        <rFont val="AngsanaUPC"/>
        <family val="1"/>
      </rPr>
      <t>top at placing of topping</t>
    </r>
    <r>
      <rPr>
        <sz val="14"/>
        <rFont val="AngsanaUPC"/>
        <family val="1"/>
      </rPr>
      <t xml:space="preserve"> - (M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+M</t>
    </r>
    <r>
      <rPr>
        <vertAlign val="subscript"/>
        <sz val="14"/>
        <rFont val="AngsanaUPC"/>
        <family val="1"/>
      </rPr>
      <t>LL</t>
    </r>
    <r>
      <rPr>
        <sz val="14"/>
        <rFont val="AngsanaUPC"/>
        <family val="1"/>
      </rPr>
      <t>)c/I'</t>
    </r>
  </si>
  <si>
    <r>
      <t>(M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+M</t>
    </r>
    <r>
      <rPr>
        <vertAlign val="subscript"/>
        <sz val="14"/>
        <rFont val="AngsanaUPC"/>
        <family val="1"/>
      </rPr>
      <t>LL</t>
    </r>
    <r>
      <rPr>
        <sz val="14"/>
        <rFont val="AngsanaUPC"/>
        <family val="1"/>
      </rPr>
      <t>)c/I'</t>
    </r>
  </si>
  <si>
    <t>Design of Composite Slab with No Support at Pouring of Concrete Topping</t>
  </si>
  <si>
    <t>Design of Composite Slab with Support at Pouring of Concrete Topping</t>
  </si>
  <si>
    <t>1.50 M</t>
  </si>
  <si>
    <t>Increase for Impact Load 50% of Self Weight</t>
  </si>
  <si>
    <t>Allowable Compression Capacity of  Section</t>
  </si>
  <si>
    <t>Ultimate Compression Capacity of  Section</t>
  </si>
  <si>
    <r>
      <t>P</t>
    </r>
    <r>
      <rPr>
        <vertAlign val="subscript"/>
        <sz val="14"/>
        <rFont val="AngsanaUPC"/>
        <family val="1"/>
      </rPr>
      <t>a</t>
    </r>
  </si>
  <si>
    <r>
      <t>(0.33f '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 xml:space="preserve"> - 0.27P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/A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) A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/1000</t>
    </r>
  </si>
  <si>
    <t>Design of Rectangular Beam</t>
  </si>
  <si>
    <t>Immediate Loss</t>
  </si>
  <si>
    <t>Total Loss</t>
  </si>
  <si>
    <r>
      <t>F</t>
    </r>
    <r>
      <rPr>
        <vertAlign val="subscript"/>
        <sz val="14"/>
        <rFont val="AngsanaUPC"/>
        <family val="1"/>
      </rPr>
      <t>pu</t>
    </r>
  </si>
  <si>
    <t>kg/each</t>
  </si>
  <si>
    <r>
      <t>F</t>
    </r>
    <r>
      <rPr>
        <vertAlign val="subscript"/>
        <sz val="14"/>
        <rFont val="AngsanaUPC"/>
        <family val="1"/>
      </rPr>
      <t>py</t>
    </r>
  </si>
  <si>
    <t>h</t>
  </si>
  <si>
    <t>Depth</t>
  </si>
  <si>
    <t>Z</t>
  </si>
  <si>
    <t>Unit Weight of  PC Slab</t>
  </si>
  <si>
    <t>Unit Weight of  Beam</t>
  </si>
  <si>
    <t>N</t>
  </si>
  <si>
    <r>
      <t>MIN(0.80 F</t>
    </r>
    <r>
      <rPr>
        <vertAlign val="subscript"/>
        <sz val="14"/>
        <rFont val="AngsanaUPC"/>
        <family val="1"/>
      </rPr>
      <t xml:space="preserve">pu </t>
    </r>
    <r>
      <rPr>
        <sz val="14"/>
        <rFont val="AngsanaUPC"/>
        <family val="1"/>
      </rPr>
      <t>,0.94 F</t>
    </r>
    <r>
      <rPr>
        <vertAlign val="subscript"/>
        <sz val="14"/>
        <rFont val="AngsanaUPC"/>
        <family val="1"/>
      </rPr>
      <t>py</t>
    </r>
    <r>
      <rPr>
        <sz val="14"/>
        <rFont val="AngsanaUPC"/>
        <family val="1"/>
      </rPr>
      <t>) *N</t>
    </r>
  </si>
  <si>
    <r>
      <t>P</t>
    </r>
    <r>
      <rPr>
        <vertAlign val="subscript"/>
        <sz val="14"/>
        <rFont val="AngsanaUPC"/>
        <family val="1"/>
      </rPr>
      <t>j</t>
    </r>
    <r>
      <rPr>
        <sz val="14"/>
        <rFont val="AngsanaUPC"/>
        <family val="1"/>
      </rPr>
      <t>-</t>
    </r>
    <r>
      <rPr>
        <sz val="11"/>
        <rFont val="Symbol"/>
        <family val="1"/>
      </rPr>
      <t>h</t>
    </r>
    <r>
      <rPr>
        <vertAlign val="subscript"/>
        <sz val="14"/>
        <rFont val="AngsanaUPC"/>
        <family val="1"/>
      </rPr>
      <t xml:space="preserve">i </t>
    </r>
    <r>
      <rPr>
        <sz val="14"/>
        <rFont val="AngsanaUPC"/>
        <family val="1"/>
      </rPr>
      <t>P</t>
    </r>
    <r>
      <rPr>
        <vertAlign val="subscript"/>
        <sz val="14"/>
        <rFont val="AngsanaUPC"/>
        <family val="1"/>
      </rPr>
      <t>j</t>
    </r>
    <r>
      <rPr>
        <sz val="14"/>
        <rFont val="AngsanaUPC"/>
        <family val="1"/>
      </rPr>
      <t>/100</t>
    </r>
  </si>
  <si>
    <r>
      <t>M</t>
    </r>
    <r>
      <rPr>
        <vertAlign val="subscript"/>
        <sz val="14"/>
        <rFont val="AngsanaUPC"/>
        <family val="1"/>
      </rPr>
      <t>T</t>
    </r>
  </si>
  <si>
    <r>
      <t>1.4M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+1.7M</t>
    </r>
    <r>
      <rPr>
        <vertAlign val="subscript"/>
        <sz val="14"/>
        <rFont val="AngsanaUPC"/>
        <family val="1"/>
      </rPr>
      <t>LL</t>
    </r>
  </si>
  <si>
    <r>
      <t>(1/8)</t>
    </r>
    <r>
      <rPr>
        <sz val="14"/>
        <rFont val="AngsanaUPC"/>
        <family val="1"/>
      </rPr>
      <t>w</t>
    </r>
    <r>
      <rPr>
        <vertAlign val="subscript"/>
        <sz val="14"/>
        <rFont val="AngsanaUPC"/>
        <family val="1"/>
      </rPr>
      <t>LL</t>
    </r>
    <r>
      <rPr>
        <sz val="14"/>
        <rFont val="AngsanaUPC"/>
        <family val="1"/>
      </rPr>
      <t xml:space="preserve"> L</t>
    </r>
    <r>
      <rPr>
        <vertAlign val="superscript"/>
        <sz val="14"/>
        <rFont val="AngsanaUPC"/>
        <family val="1"/>
      </rPr>
      <t>2</t>
    </r>
  </si>
  <si>
    <r>
      <t>M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 xml:space="preserve"> + M</t>
    </r>
    <r>
      <rPr>
        <vertAlign val="subscript"/>
        <sz val="14"/>
        <rFont val="AngsanaUPC"/>
        <family val="1"/>
      </rPr>
      <t>T</t>
    </r>
  </si>
  <si>
    <t>Effective Depth</t>
  </si>
  <si>
    <r>
      <t>f</t>
    </r>
    <r>
      <rPr>
        <vertAlign val="subscript"/>
        <sz val="14"/>
        <rFont val="AngsanaUPC"/>
        <family val="1"/>
      </rPr>
      <t>pu</t>
    </r>
    <r>
      <rPr>
        <sz val="14"/>
        <rFont val="AngsanaUPC"/>
        <family val="1"/>
      </rPr>
      <t>(1-r</t>
    </r>
    <r>
      <rPr>
        <vertAlign val="subscript"/>
        <sz val="14"/>
        <rFont val="AngsanaUPC"/>
        <family val="1"/>
      </rPr>
      <t>p</t>
    </r>
    <r>
      <rPr>
        <sz val="14"/>
        <rFont val="AngsanaUPC"/>
        <family val="1"/>
      </rPr>
      <t>/</t>
    </r>
    <r>
      <rPr>
        <sz val="11"/>
        <rFont val="Symbol"/>
        <family val="1"/>
      </rPr>
      <t>b</t>
    </r>
    <r>
      <rPr>
        <vertAlign val="subscript"/>
        <sz val="11"/>
        <rFont val="Symbol"/>
        <family val="1"/>
      </rPr>
      <t>1</t>
    </r>
    <r>
      <rPr>
        <sz val="14"/>
        <rFont val="AngsanaUPC"/>
        <family val="1"/>
      </rPr>
      <t>(</t>
    </r>
    <r>
      <rPr>
        <sz val="11"/>
        <rFont val="Symbol"/>
        <family val="1"/>
      </rPr>
      <t>r</t>
    </r>
    <r>
      <rPr>
        <vertAlign val="subscript"/>
        <sz val="14"/>
        <rFont val="AngsanaUPC"/>
        <family val="1"/>
      </rPr>
      <t>p</t>
    </r>
    <r>
      <rPr>
        <sz val="14"/>
        <rFont val="AngsanaUPC"/>
        <family val="1"/>
      </rPr>
      <t>f</t>
    </r>
    <r>
      <rPr>
        <vertAlign val="subscript"/>
        <sz val="14"/>
        <rFont val="AngsanaUPC"/>
        <family val="1"/>
      </rPr>
      <t>pu</t>
    </r>
    <r>
      <rPr>
        <sz val="14"/>
        <rFont val="AngsanaUPC"/>
        <family val="1"/>
      </rPr>
      <t>/f '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))</t>
    </r>
  </si>
  <si>
    <r>
      <t>f</t>
    </r>
    <r>
      <rPr>
        <sz val="14"/>
        <rFont val="AngsanaUPC"/>
        <family val="1"/>
      </rPr>
      <t>0.53f '</t>
    </r>
    <r>
      <rPr>
        <vertAlign val="subscript"/>
        <sz val="14"/>
        <rFont val="AngsanaUPC"/>
        <family val="1"/>
      </rPr>
      <t>c</t>
    </r>
    <r>
      <rPr>
        <vertAlign val="superscript"/>
        <sz val="14"/>
        <rFont val="AngsanaUPC"/>
        <family val="1"/>
      </rPr>
      <t>0.5</t>
    </r>
    <r>
      <rPr>
        <sz val="14"/>
        <rFont val="AngsanaUPC"/>
        <family val="1"/>
      </rPr>
      <t>bd</t>
    </r>
  </si>
  <si>
    <r>
      <t>f</t>
    </r>
    <r>
      <rPr>
        <sz val="14"/>
        <rFont val="AngsanaUPC"/>
        <family val="1"/>
      </rPr>
      <t>V</t>
    </r>
    <r>
      <rPr>
        <vertAlign val="subscript"/>
        <sz val="14"/>
        <rFont val="AngsanaUPC"/>
        <family val="1"/>
      </rPr>
      <t>n</t>
    </r>
  </si>
  <si>
    <r>
      <t>1.4w</t>
    </r>
    <r>
      <rPr>
        <vertAlign val="subscript"/>
        <sz val="14"/>
        <rFont val="AngsanaUPC"/>
        <family val="1"/>
      </rPr>
      <t xml:space="preserve">g </t>
    </r>
    <r>
      <rPr>
        <sz val="14"/>
        <rFont val="AngsanaUPC"/>
        <family val="1"/>
      </rPr>
      <t>L/2+1.7w</t>
    </r>
    <r>
      <rPr>
        <vertAlign val="subscript"/>
        <sz val="14"/>
        <rFont val="AngsanaUPC"/>
        <family val="1"/>
      </rPr>
      <t xml:space="preserve">LL </t>
    </r>
    <r>
      <rPr>
        <sz val="14"/>
        <rFont val="AngsanaUPC"/>
        <family val="1"/>
      </rPr>
      <t>L/2</t>
    </r>
  </si>
  <si>
    <r>
      <t>V</t>
    </r>
    <r>
      <rPr>
        <vertAlign val="subscript"/>
        <sz val="14"/>
        <rFont val="AngsanaUPC"/>
        <family val="1"/>
      </rPr>
      <t>c</t>
    </r>
  </si>
  <si>
    <r>
      <t>V</t>
    </r>
    <r>
      <rPr>
        <vertAlign val="subscript"/>
        <sz val="14"/>
        <rFont val="AngsanaUPC"/>
        <family val="1"/>
      </rPr>
      <t>s</t>
    </r>
  </si>
  <si>
    <r>
      <t>d</t>
    </r>
    <r>
      <rPr>
        <vertAlign val="subscript"/>
        <sz val="14"/>
        <rFont val="AngsanaUPC"/>
        <family val="1"/>
      </rPr>
      <t>p</t>
    </r>
  </si>
  <si>
    <r>
      <t>A</t>
    </r>
    <r>
      <rPr>
        <vertAlign val="subscript"/>
        <sz val="14"/>
        <rFont val="AngsanaUPC"/>
        <family val="1"/>
      </rPr>
      <t>ps</t>
    </r>
    <r>
      <rPr>
        <sz val="14"/>
        <rFont val="AngsanaUPC"/>
        <family val="1"/>
      </rPr>
      <t>/bd</t>
    </r>
    <r>
      <rPr>
        <vertAlign val="subscript"/>
        <sz val="14"/>
        <rFont val="AngsanaUPC"/>
        <family val="1"/>
      </rPr>
      <t>p</t>
    </r>
  </si>
  <si>
    <r>
      <t>f</t>
    </r>
    <r>
      <rPr>
        <sz val="14"/>
        <rFont val="AngsanaUPC"/>
        <family val="1"/>
      </rPr>
      <t>A</t>
    </r>
    <r>
      <rPr>
        <vertAlign val="subscript"/>
        <sz val="14"/>
        <rFont val="AngsanaUPC"/>
        <family val="1"/>
      </rPr>
      <t>ps</t>
    </r>
    <r>
      <rPr>
        <sz val="14"/>
        <rFont val="AngsanaUPC"/>
        <family val="1"/>
      </rPr>
      <t>f</t>
    </r>
    <r>
      <rPr>
        <vertAlign val="subscript"/>
        <sz val="14"/>
        <rFont val="AngsanaUPC"/>
        <family val="1"/>
      </rPr>
      <t>ps</t>
    </r>
    <r>
      <rPr>
        <sz val="14"/>
        <rFont val="AngsanaUPC"/>
        <family val="1"/>
      </rPr>
      <t>(d</t>
    </r>
    <r>
      <rPr>
        <vertAlign val="subscript"/>
        <sz val="14"/>
        <rFont val="AngsanaUPC"/>
        <family val="1"/>
      </rPr>
      <t>p</t>
    </r>
    <r>
      <rPr>
        <sz val="14"/>
        <rFont val="AngsanaUPC"/>
        <family val="1"/>
      </rPr>
      <t>-A</t>
    </r>
    <r>
      <rPr>
        <vertAlign val="subscript"/>
        <sz val="14"/>
        <rFont val="AngsanaUPC"/>
        <family val="1"/>
      </rPr>
      <t>ps</t>
    </r>
    <r>
      <rPr>
        <sz val="14"/>
        <rFont val="AngsanaUPC"/>
        <family val="1"/>
      </rPr>
      <t>f</t>
    </r>
    <r>
      <rPr>
        <vertAlign val="subscript"/>
        <sz val="14"/>
        <rFont val="AngsanaUPC"/>
        <family val="1"/>
      </rPr>
      <t>ps</t>
    </r>
    <r>
      <rPr>
        <sz val="14"/>
        <rFont val="AngsanaUPC"/>
        <family val="1"/>
      </rPr>
      <t>/(2*0.85f '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b))</t>
    </r>
  </si>
  <si>
    <r>
      <t>0.53f '</t>
    </r>
    <r>
      <rPr>
        <vertAlign val="subscript"/>
        <sz val="14"/>
        <rFont val="AngsanaUPC"/>
        <family val="1"/>
      </rPr>
      <t>c</t>
    </r>
    <r>
      <rPr>
        <vertAlign val="superscript"/>
        <sz val="14"/>
        <rFont val="AngsanaUPC"/>
        <family val="1"/>
      </rPr>
      <t>0.5</t>
    </r>
    <r>
      <rPr>
        <sz val="14"/>
        <rFont val="AngsanaUPC"/>
        <family val="1"/>
      </rPr>
      <t>bd</t>
    </r>
    <r>
      <rPr>
        <vertAlign val="subscript"/>
        <sz val="14"/>
        <rFont val="AngsanaUPC"/>
        <family val="1"/>
      </rPr>
      <t>p</t>
    </r>
  </si>
  <si>
    <r>
      <t>V</t>
    </r>
    <r>
      <rPr>
        <vertAlign val="subscript"/>
        <sz val="14"/>
        <rFont val="AngsanaUPC"/>
        <family val="1"/>
      </rPr>
      <t>u</t>
    </r>
    <r>
      <rPr>
        <sz val="14"/>
        <rFont val="AngsanaUPC"/>
        <family val="1"/>
      </rPr>
      <t>d</t>
    </r>
    <r>
      <rPr>
        <vertAlign val="subscript"/>
        <sz val="14"/>
        <rFont val="AngsanaUPC"/>
        <family val="1"/>
      </rPr>
      <t>p</t>
    </r>
    <r>
      <rPr>
        <sz val="14"/>
        <rFont val="AngsanaUPC"/>
        <family val="1"/>
      </rPr>
      <t>/M</t>
    </r>
    <r>
      <rPr>
        <vertAlign val="subscript"/>
        <sz val="14"/>
        <rFont val="AngsanaUPC"/>
        <family val="1"/>
      </rPr>
      <t>u</t>
    </r>
  </si>
  <si>
    <t>&lt;</t>
  </si>
  <si>
    <r>
      <t>(0.16f '</t>
    </r>
    <r>
      <rPr>
        <vertAlign val="subscript"/>
        <sz val="14"/>
        <rFont val="AngsanaUPC"/>
        <family val="1"/>
      </rPr>
      <t>c</t>
    </r>
    <r>
      <rPr>
        <vertAlign val="superscript"/>
        <sz val="14"/>
        <rFont val="AngsanaUPC"/>
        <family val="1"/>
      </rPr>
      <t>0.5</t>
    </r>
    <r>
      <rPr>
        <sz val="14"/>
        <rFont val="AngsanaUPC"/>
        <family val="1"/>
      </rPr>
      <t xml:space="preserve"> + 49V</t>
    </r>
    <r>
      <rPr>
        <vertAlign val="subscript"/>
        <sz val="14"/>
        <rFont val="AngsanaUPC"/>
        <family val="1"/>
      </rPr>
      <t>u</t>
    </r>
    <r>
      <rPr>
        <sz val="14"/>
        <rFont val="AngsanaUPC"/>
        <family val="1"/>
      </rPr>
      <t>d</t>
    </r>
    <r>
      <rPr>
        <vertAlign val="subscript"/>
        <sz val="14"/>
        <rFont val="AngsanaUPC"/>
        <family val="1"/>
      </rPr>
      <t>p</t>
    </r>
    <r>
      <rPr>
        <sz val="14"/>
        <rFont val="AngsanaUPC"/>
        <family val="1"/>
      </rPr>
      <t>/M</t>
    </r>
    <r>
      <rPr>
        <vertAlign val="subscript"/>
        <sz val="14"/>
        <rFont val="AngsanaUPC"/>
        <family val="1"/>
      </rPr>
      <t>u</t>
    </r>
    <r>
      <rPr>
        <sz val="14"/>
        <rFont val="AngsanaUPC"/>
        <family val="1"/>
      </rPr>
      <t>)bd</t>
    </r>
    <r>
      <rPr>
        <vertAlign val="subscript"/>
        <sz val="14"/>
        <rFont val="AngsanaUPC"/>
        <family val="1"/>
      </rPr>
      <t>p</t>
    </r>
  </si>
  <si>
    <t>use</t>
  </si>
  <si>
    <r>
      <t>D</t>
    </r>
    <r>
      <rPr>
        <vertAlign val="subscript"/>
        <sz val="14"/>
        <rFont val="AngsanaUPC"/>
        <family val="1"/>
      </rPr>
      <t>s</t>
    </r>
  </si>
  <si>
    <t xml:space="preserve">                                             Stirrup Diameter</t>
  </si>
  <si>
    <t>s</t>
  </si>
  <si>
    <t xml:space="preserve">                                                           spacing</t>
  </si>
  <si>
    <t xml:space="preserve">                                 Yield Strength of Stirrup</t>
  </si>
  <si>
    <r>
      <t>f</t>
    </r>
    <r>
      <rPr>
        <vertAlign val="subscript"/>
        <sz val="14"/>
        <rFont val="AngsanaUPC"/>
        <family val="1"/>
      </rPr>
      <t>y</t>
    </r>
  </si>
  <si>
    <r>
      <t>A</t>
    </r>
    <r>
      <rPr>
        <vertAlign val="subscript"/>
        <sz val="14"/>
        <rFont val="AngsanaUPC"/>
        <family val="1"/>
      </rPr>
      <t>v</t>
    </r>
    <r>
      <rPr>
        <sz val="14"/>
        <rFont val="AngsanaUPC"/>
        <family val="1"/>
      </rPr>
      <t>f</t>
    </r>
    <r>
      <rPr>
        <vertAlign val="subscript"/>
        <sz val="14"/>
        <rFont val="AngsanaUPC"/>
        <family val="1"/>
      </rPr>
      <t>y</t>
    </r>
    <r>
      <rPr>
        <sz val="14"/>
        <rFont val="AngsanaUPC"/>
        <family val="1"/>
      </rPr>
      <t>d</t>
    </r>
    <r>
      <rPr>
        <vertAlign val="subscript"/>
        <sz val="14"/>
        <rFont val="AngsanaUPC"/>
        <family val="1"/>
      </rPr>
      <t>p</t>
    </r>
    <r>
      <rPr>
        <sz val="14"/>
        <rFont val="AngsanaUPC"/>
        <family val="1"/>
      </rPr>
      <t>/s</t>
    </r>
  </si>
  <si>
    <r>
      <t>f</t>
    </r>
    <r>
      <rPr>
        <sz val="14"/>
        <rFont val="AngsanaUPC"/>
        <family val="1"/>
      </rPr>
      <t>(V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+V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)</t>
    </r>
  </si>
  <si>
    <r>
      <t>V</t>
    </r>
    <r>
      <rPr>
        <vertAlign val="subscript"/>
        <sz val="14"/>
        <rFont val="AngsanaUPC"/>
        <family val="1"/>
      </rPr>
      <t>n</t>
    </r>
  </si>
  <si>
    <r>
      <t>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e + P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>I/A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c</t>
    </r>
    <r>
      <rPr>
        <vertAlign val="subscript"/>
        <sz val="14"/>
        <rFont val="AngsanaUPC"/>
        <family val="1"/>
      </rPr>
      <t>b</t>
    </r>
    <r>
      <rPr>
        <sz val="14"/>
        <rFont val="AngsanaUPC"/>
        <family val="1"/>
      </rPr>
      <t xml:space="preserve"> + f</t>
    </r>
    <r>
      <rPr>
        <vertAlign val="subscript"/>
        <sz val="14"/>
        <rFont val="AngsanaUPC"/>
        <family val="1"/>
      </rPr>
      <t>r</t>
    </r>
    <r>
      <rPr>
        <sz val="14"/>
        <rFont val="AngsanaUPC"/>
        <family val="1"/>
      </rPr>
      <t>I/c</t>
    </r>
    <r>
      <rPr>
        <vertAlign val="subscript"/>
        <sz val="14"/>
        <rFont val="AngsanaUPC"/>
        <family val="1"/>
      </rPr>
      <t>b</t>
    </r>
  </si>
  <si>
    <r>
      <t>1.2M</t>
    </r>
    <r>
      <rPr>
        <vertAlign val="subscript"/>
        <sz val="14"/>
        <rFont val="AngsanaUPC"/>
        <family val="1"/>
      </rPr>
      <t>cr</t>
    </r>
  </si>
  <si>
    <r>
      <t>D</t>
    </r>
    <r>
      <rPr>
        <vertAlign val="subscript"/>
        <sz val="14"/>
        <rFont val="AngsanaUPC"/>
        <family val="1"/>
      </rPr>
      <t>i</t>
    </r>
    <r>
      <rPr>
        <vertAlign val="subscript"/>
        <sz val="11"/>
        <rFont val="AngsanaUPC"/>
        <family val="1"/>
      </rPr>
      <t xml:space="preserve"> </t>
    </r>
    <r>
      <rPr>
        <sz val="14"/>
        <rFont val="AngsanaUPC"/>
        <family val="1"/>
      </rPr>
      <t>+</t>
    </r>
    <r>
      <rPr>
        <sz val="11"/>
        <rFont val="AngsanaUPC"/>
        <family val="1"/>
      </rPr>
      <t xml:space="preserve"> </t>
    </r>
    <r>
      <rPr>
        <sz val="14"/>
        <rFont val="AngsanaUPC"/>
        <family val="1"/>
      </rPr>
      <t>5</t>
    </r>
    <r>
      <rPr>
        <sz val="14"/>
        <rFont val="AngsanaUPC"/>
        <family val="1"/>
      </rPr>
      <t>w</t>
    </r>
    <r>
      <rPr>
        <vertAlign val="subscript"/>
        <sz val="14"/>
        <rFont val="AngsanaUPC"/>
        <family val="1"/>
      </rPr>
      <t>LL</t>
    </r>
    <r>
      <rPr>
        <sz val="14"/>
        <rFont val="AngsanaUPC"/>
        <family val="1"/>
      </rPr>
      <t>L</t>
    </r>
    <r>
      <rPr>
        <vertAlign val="superscript"/>
        <sz val="14"/>
        <rFont val="AngsanaUPC"/>
        <family val="1"/>
      </rPr>
      <t>4</t>
    </r>
    <r>
      <rPr>
        <sz val="14"/>
        <rFont val="AngsanaUPC"/>
        <family val="1"/>
      </rPr>
      <t>/(384E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1"/>
      </rPr>
      <t>I')</t>
    </r>
  </si>
  <si>
    <r>
      <t>0.45 f '</t>
    </r>
    <r>
      <rPr>
        <vertAlign val="subscript"/>
        <sz val="14"/>
        <rFont val="AngsanaUPC"/>
        <family val="1"/>
      </rPr>
      <t>ci</t>
    </r>
  </si>
  <si>
    <r>
      <t>I</t>
    </r>
    <r>
      <rPr>
        <vertAlign val="subscript"/>
        <sz val="14"/>
        <rFont val="AngsanaUPC"/>
        <family val="1"/>
      </rPr>
      <t>comp</t>
    </r>
  </si>
  <si>
    <t>Recommended Stress is 28 ksc</t>
  </si>
  <si>
    <t>for driving stresses resistance.</t>
  </si>
  <si>
    <t>Immediate Deflection</t>
  </si>
  <si>
    <t>Long-term Deflection (including creep effect)</t>
  </si>
  <si>
    <r>
      <t>D</t>
    </r>
    <r>
      <rPr>
        <vertAlign val="subscript"/>
        <sz val="14"/>
        <rFont val="AngsanaUPC"/>
        <family val="1"/>
      </rPr>
      <t>sw</t>
    </r>
  </si>
  <si>
    <r>
      <t>2.40* 5w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L</t>
    </r>
    <r>
      <rPr>
        <vertAlign val="superscript"/>
        <sz val="14"/>
        <rFont val="AngsanaUPC"/>
        <family val="1"/>
      </rPr>
      <t>4</t>
    </r>
    <r>
      <rPr>
        <sz val="14"/>
        <rFont val="AngsanaUPC"/>
        <family val="1"/>
      </rPr>
      <t>/(384EI)</t>
    </r>
  </si>
  <si>
    <r>
      <t>D</t>
    </r>
    <r>
      <rPr>
        <vertAlign val="subscript"/>
        <sz val="14"/>
        <rFont val="AngsanaUPC"/>
        <family val="1"/>
      </rPr>
      <t>pf</t>
    </r>
  </si>
  <si>
    <r>
      <t>2.20*2P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eL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/(16EI)</t>
    </r>
  </si>
  <si>
    <r>
      <t>D</t>
    </r>
    <r>
      <rPr>
        <vertAlign val="subscript"/>
        <sz val="14"/>
        <rFont val="AngsanaUPC"/>
        <family val="1"/>
      </rPr>
      <t>sd</t>
    </r>
  </si>
  <si>
    <r>
      <t>3.00*5w</t>
    </r>
    <r>
      <rPr>
        <vertAlign val="subscript"/>
        <sz val="14"/>
        <rFont val="AngsanaUPC"/>
        <family val="1"/>
      </rPr>
      <t>sd</t>
    </r>
    <r>
      <rPr>
        <sz val="14"/>
        <rFont val="AngsanaUPC"/>
        <family val="1"/>
      </rPr>
      <t>L</t>
    </r>
    <r>
      <rPr>
        <vertAlign val="superscript"/>
        <sz val="14"/>
        <rFont val="AngsanaUPC"/>
        <family val="1"/>
      </rPr>
      <t>4</t>
    </r>
    <r>
      <rPr>
        <sz val="14"/>
        <rFont val="AngsanaUPC"/>
        <family val="1"/>
      </rPr>
      <t>/(384EI)</t>
    </r>
  </si>
  <si>
    <r>
      <t>D</t>
    </r>
    <r>
      <rPr>
        <vertAlign val="subscript"/>
        <sz val="14"/>
        <rFont val="AngsanaUPC"/>
        <family val="1"/>
      </rPr>
      <t>ct</t>
    </r>
  </si>
  <si>
    <r>
      <t>2.30* 5w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L</t>
    </r>
    <r>
      <rPr>
        <vertAlign val="superscript"/>
        <sz val="14"/>
        <rFont val="AngsanaUPC"/>
        <family val="1"/>
      </rPr>
      <t>4</t>
    </r>
    <r>
      <rPr>
        <sz val="14"/>
        <rFont val="AngsanaUPC"/>
        <family val="1"/>
      </rPr>
      <t>/(384EI)</t>
    </r>
  </si>
  <si>
    <t xml:space="preserve">Due to Self Weight </t>
  </si>
  <si>
    <t>Due to Prestressing Force</t>
  </si>
  <si>
    <t>Due to Superimposed Deadload</t>
  </si>
  <si>
    <t>Due to Concrete Topping</t>
  </si>
  <si>
    <t>Total Long-term Deflection</t>
  </si>
  <si>
    <t>After Service</t>
  </si>
  <si>
    <t>Total Deflection at Installation</t>
  </si>
  <si>
    <t>At Installation of Partitions</t>
  </si>
  <si>
    <r>
      <t>1.85* 5w</t>
    </r>
    <r>
      <rPr>
        <vertAlign val="subscript"/>
        <sz val="14"/>
        <rFont val="AngsanaUPC"/>
        <family val="1"/>
      </rPr>
      <t>g</t>
    </r>
    <r>
      <rPr>
        <sz val="14"/>
        <rFont val="AngsanaUPC"/>
        <family val="1"/>
      </rPr>
      <t>L</t>
    </r>
    <r>
      <rPr>
        <vertAlign val="superscript"/>
        <sz val="14"/>
        <rFont val="AngsanaUPC"/>
        <family val="1"/>
      </rPr>
      <t>4</t>
    </r>
    <r>
      <rPr>
        <sz val="14"/>
        <rFont val="AngsanaUPC"/>
        <family val="1"/>
      </rPr>
      <t>/(384EI)</t>
    </r>
  </si>
  <si>
    <r>
      <t>1.80*2P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eL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/(16EI)</t>
    </r>
  </si>
  <si>
    <r>
      <t>D</t>
    </r>
    <r>
      <rPr>
        <vertAlign val="subscript"/>
        <sz val="14"/>
        <rFont val="AngsanaUPC"/>
        <family val="1"/>
      </rPr>
      <t>lt1</t>
    </r>
  </si>
  <si>
    <r>
      <t>D</t>
    </r>
    <r>
      <rPr>
        <vertAlign val="subscript"/>
        <sz val="14"/>
        <rFont val="AngsanaUPC"/>
        <family val="1"/>
      </rPr>
      <t>lt2</t>
    </r>
  </si>
  <si>
    <r>
      <t xml:space="preserve"> 5w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L</t>
    </r>
    <r>
      <rPr>
        <vertAlign val="superscript"/>
        <sz val="14"/>
        <rFont val="AngsanaUPC"/>
        <family val="1"/>
      </rPr>
      <t>4</t>
    </r>
    <r>
      <rPr>
        <sz val="14"/>
        <rFont val="AngsanaUPC"/>
        <family val="1"/>
      </rPr>
      <t>/(384EI)</t>
    </r>
  </si>
  <si>
    <t>Due to Live Load</t>
  </si>
  <si>
    <r>
      <t>D</t>
    </r>
    <r>
      <rPr>
        <vertAlign val="subscript"/>
        <sz val="14"/>
        <rFont val="AngsanaUPC"/>
        <family val="1"/>
      </rPr>
      <t>LL</t>
    </r>
  </si>
  <si>
    <r>
      <t xml:space="preserve"> 5w</t>
    </r>
    <r>
      <rPr>
        <vertAlign val="subscript"/>
        <sz val="14"/>
        <rFont val="AngsanaUPC"/>
        <family val="1"/>
      </rPr>
      <t>LL</t>
    </r>
    <r>
      <rPr>
        <sz val="14"/>
        <rFont val="AngsanaUPC"/>
        <family val="1"/>
      </rPr>
      <t>L</t>
    </r>
    <r>
      <rPr>
        <vertAlign val="superscript"/>
        <sz val="14"/>
        <rFont val="AngsanaUPC"/>
        <family val="1"/>
      </rPr>
      <t>4</t>
    </r>
    <r>
      <rPr>
        <sz val="14"/>
        <rFont val="AngsanaUPC"/>
        <family val="1"/>
      </rPr>
      <t>/(384EI</t>
    </r>
    <r>
      <rPr>
        <vertAlign val="subscript"/>
        <sz val="14"/>
        <rFont val="AngsanaUPC"/>
        <family val="1"/>
      </rPr>
      <t>comp)</t>
    </r>
  </si>
  <si>
    <t>Moment of Inertia of composite section</t>
  </si>
  <si>
    <r>
      <t>D</t>
    </r>
    <r>
      <rPr>
        <vertAlign val="subscript"/>
        <sz val="14"/>
        <rFont val="AngsanaUPC"/>
        <family val="1"/>
      </rPr>
      <t>check</t>
    </r>
  </si>
  <si>
    <r>
      <t>D</t>
    </r>
    <r>
      <rPr>
        <vertAlign val="subscript"/>
        <sz val="14"/>
        <rFont val="AngsanaUPC"/>
        <family val="1"/>
      </rPr>
      <t>lt2</t>
    </r>
    <r>
      <rPr>
        <sz val="14"/>
        <rFont val="AngsanaUPC"/>
        <family val="1"/>
      </rPr>
      <t>-</t>
    </r>
    <r>
      <rPr>
        <vertAlign val="subscript"/>
        <sz val="14"/>
        <rFont val="AngsanaUPC"/>
        <family val="1"/>
      </rPr>
      <t xml:space="preserve"> </t>
    </r>
    <r>
      <rPr>
        <sz val="11"/>
        <rFont val="Symbol"/>
        <family val="1"/>
      </rPr>
      <t>D</t>
    </r>
    <r>
      <rPr>
        <vertAlign val="subscript"/>
        <sz val="14"/>
        <rFont val="AngsanaUPC"/>
        <family val="1"/>
      </rPr>
      <t>lt1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</si>
</sst>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_-* #,##0.0000_-;\-* #,##0.0000_-;_-* &quot;-&quot;????_-;_-@_-"/>
    <numFmt numFmtId="191" formatCode="_-* #,##0.0_-;\-* #,##0.0_-;_-* &quot;-&quot;?_-;_-@_-"/>
    <numFmt numFmtId="192" formatCode="_-* #,##0.00000_-;\-* #,##0.00000_-;_-* &quot;-&quot;???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???_-;_-@_-"/>
    <numFmt numFmtId="197" formatCode="_(* #,##0.0000_);_(* \(#,##0.0000\);_(* &quot;-&quot;????_);_(@_)"/>
    <numFmt numFmtId="198" formatCode="_(* #,##0.0_);_(* \(#,##0.0\);_(* &quot;-&quot;?_);_(@_)"/>
  </numFmts>
  <fonts count="57">
    <font>
      <sz val="10"/>
      <name val="Arial"/>
      <family val="0"/>
    </font>
    <font>
      <sz val="14"/>
      <name val="AngsanaUPC"/>
      <family val="1"/>
    </font>
    <font>
      <sz val="8"/>
      <name val="Arial"/>
      <family val="0"/>
    </font>
    <font>
      <sz val="11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AngsanaUPC"/>
      <family val="1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sz val="14"/>
      <name val="Symbol"/>
      <family val="1"/>
    </font>
    <font>
      <sz val="11"/>
      <name val="Symbol"/>
      <family val="1"/>
    </font>
    <font>
      <vertAlign val="superscript"/>
      <sz val="14"/>
      <name val="AngsanaUPC"/>
      <family val="1"/>
    </font>
    <font>
      <vertAlign val="subscript"/>
      <sz val="14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Symbol"/>
      <family val="1"/>
    </font>
    <font>
      <vertAlign val="subscript"/>
      <sz val="11"/>
      <name val="Symbol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Script"/>
      <family val="4"/>
    </font>
    <font>
      <vertAlign val="subscript"/>
      <sz val="11"/>
      <name val="AngsanaUPC"/>
      <family val="1"/>
    </font>
    <font>
      <b/>
      <sz val="18"/>
      <name val="CordiaUPC"/>
      <family val="2"/>
    </font>
    <font>
      <sz val="14"/>
      <color indexed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/>
    </xf>
    <xf numFmtId="185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89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1" fontId="1" fillId="0" borderId="0" xfId="0" applyNumberFormat="1" applyFont="1" applyAlignment="1">
      <alignment/>
    </xf>
    <xf numFmtId="189" fontId="1" fillId="0" borderId="0" xfId="42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89" fontId="7" fillId="0" borderId="0" xfId="42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>
      <alignment/>
    </xf>
    <xf numFmtId="0" fontId="14" fillId="0" borderId="0" xfId="53" applyFont="1" applyBorder="1" applyAlignment="1" applyProtection="1">
      <alignment/>
      <protection/>
    </xf>
    <xf numFmtId="0" fontId="17" fillId="0" borderId="0" xfId="53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9" fillId="0" borderId="0" xfId="0" applyFont="1" applyAlignment="1">
      <alignment/>
    </xf>
    <xf numFmtId="184" fontId="1" fillId="0" borderId="0" xfId="0" applyNumberFormat="1" applyFont="1" applyBorder="1" applyAlignment="1">
      <alignment/>
    </xf>
    <xf numFmtId="189" fontId="7" fillId="0" borderId="0" xfId="42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/>
    </xf>
    <xf numFmtId="189" fontId="1" fillId="0" borderId="0" xfId="42" applyNumberFormat="1" applyFont="1" applyAlignment="1">
      <alignment/>
    </xf>
    <xf numFmtId="189" fontId="6" fillId="0" borderId="0" xfId="42" applyNumberFormat="1" applyFont="1" applyBorder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29</xdr:row>
      <xdr:rowOff>114300</xdr:rowOff>
    </xdr:from>
    <xdr:to>
      <xdr:col>0</xdr:col>
      <xdr:colOff>447675</xdr:colOff>
      <xdr:row>29</xdr:row>
      <xdr:rowOff>190500</xdr:rowOff>
    </xdr:to>
    <xdr:sp>
      <xdr:nvSpPr>
        <xdr:cNvPr id="1" name="Line 37"/>
        <xdr:cNvSpPr>
          <a:spLocks/>
        </xdr:cNvSpPr>
      </xdr:nvSpPr>
      <xdr:spPr>
        <a:xfrm flipV="1">
          <a:off x="447675" y="8058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25</xdr:row>
      <xdr:rowOff>0</xdr:rowOff>
    </xdr:from>
    <xdr:to>
      <xdr:col>0</xdr:col>
      <xdr:colOff>1685925</xdr:colOff>
      <xdr:row>27</xdr:row>
      <xdr:rowOff>9525</xdr:rowOff>
    </xdr:to>
    <xdr:grpSp>
      <xdr:nvGrpSpPr>
        <xdr:cNvPr id="2" name="Group 53"/>
        <xdr:cNvGrpSpPr>
          <a:grpSpLocks/>
        </xdr:cNvGrpSpPr>
      </xdr:nvGrpSpPr>
      <xdr:grpSpPr>
        <a:xfrm>
          <a:off x="466725" y="6877050"/>
          <a:ext cx="1219200" cy="542925"/>
          <a:chOff x="49" y="700"/>
          <a:chExt cx="128" cy="57"/>
        </a:xfrm>
        <a:solidFill>
          <a:srgbClr val="FFFFFF"/>
        </a:solidFill>
      </xdr:grpSpPr>
      <xdr:sp>
        <xdr:nvSpPr>
          <xdr:cNvPr id="3" name="Line 6"/>
          <xdr:cNvSpPr>
            <a:spLocks/>
          </xdr:cNvSpPr>
        </xdr:nvSpPr>
        <xdr:spPr>
          <a:xfrm>
            <a:off x="56" y="700"/>
            <a:ext cx="1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47"/>
          <xdr:cNvGrpSpPr>
            <a:grpSpLocks/>
          </xdr:cNvGrpSpPr>
        </xdr:nvGrpSpPr>
        <xdr:grpSpPr>
          <a:xfrm>
            <a:off x="49" y="700"/>
            <a:ext cx="45" cy="57"/>
            <a:chOff x="49" y="700"/>
            <a:chExt cx="45" cy="57"/>
          </a:xfrm>
          <a:solidFill>
            <a:srgbClr val="FFFFFF"/>
          </a:solidFill>
        </xdr:grpSpPr>
        <xdr:sp>
          <xdr:nvSpPr>
            <xdr:cNvPr id="5" name="Line 11"/>
            <xdr:cNvSpPr>
              <a:spLocks/>
            </xdr:cNvSpPr>
          </xdr:nvSpPr>
          <xdr:spPr>
            <a:xfrm>
              <a:off x="49" y="724"/>
              <a:ext cx="45" cy="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2"/>
            <xdr:cNvSpPr>
              <a:spLocks/>
            </xdr:cNvSpPr>
          </xdr:nvSpPr>
          <xdr:spPr>
            <a:xfrm flipH="1">
              <a:off x="49" y="700"/>
              <a:ext cx="7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3"/>
            <xdr:cNvSpPr>
              <a:spLocks/>
            </xdr:cNvSpPr>
          </xdr:nvSpPr>
          <xdr:spPr>
            <a:xfrm>
              <a:off x="49" y="707"/>
              <a:ext cx="0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4"/>
            <xdr:cNvSpPr>
              <a:spLocks/>
            </xdr:cNvSpPr>
          </xdr:nvSpPr>
          <xdr:spPr>
            <a:xfrm>
              <a:off x="94" y="733"/>
              <a:ext cx="0" cy="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" name="Group 48"/>
          <xdr:cNvGrpSpPr>
            <a:grpSpLocks/>
          </xdr:cNvGrpSpPr>
        </xdr:nvGrpSpPr>
        <xdr:grpSpPr>
          <a:xfrm flipH="1">
            <a:off x="132" y="700"/>
            <a:ext cx="45" cy="57"/>
            <a:chOff x="49" y="700"/>
            <a:chExt cx="45" cy="57"/>
          </a:xfrm>
          <a:solidFill>
            <a:srgbClr val="FFFFFF"/>
          </a:solidFill>
        </xdr:grpSpPr>
        <xdr:sp>
          <xdr:nvSpPr>
            <xdr:cNvPr id="10" name="Line 49"/>
            <xdr:cNvSpPr>
              <a:spLocks/>
            </xdr:cNvSpPr>
          </xdr:nvSpPr>
          <xdr:spPr>
            <a:xfrm>
              <a:off x="49" y="724"/>
              <a:ext cx="45" cy="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50"/>
            <xdr:cNvSpPr>
              <a:spLocks/>
            </xdr:cNvSpPr>
          </xdr:nvSpPr>
          <xdr:spPr>
            <a:xfrm flipH="1">
              <a:off x="49" y="700"/>
              <a:ext cx="7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51"/>
            <xdr:cNvSpPr>
              <a:spLocks/>
            </xdr:cNvSpPr>
          </xdr:nvSpPr>
          <xdr:spPr>
            <a:xfrm>
              <a:off x="49" y="707"/>
              <a:ext cx="0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52"/>
            <xdr:cNvSpPr>
              <a:spLocks/>
            </xdr:cNvSpPr>
          </xdr:nvSpPr>
          <xdr:spPr>
            <a:xfrm>
              <a:off x="94" y="733"/>
              <a:ext cx="0" cy="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466725</xdr:colOff>
      <xdr:row>27</xdr:row>
      <xdr:rowOff>9525</xdr:rowOff>
    </xdr:from>
    <xdr:to>
      <xdr:col>0</xdr:col>
      <xdr:colOff>1685925</xdr:colOff>
      <xdr:row>29</xdr:row>
      <xdr:rowOff>19050</xdr:rowOff>
    </xdr:to>
    <xdr:grpSp>
      <xdr:nvGrpSpPr>
        <xdr:cNvPr id="14" name="Group 54"/>
        <xdr:cNvGrpSpPr>
          <a:grpSpLocks/>
        </xdr:cNvGrpSpPr>
      </xdr:nvGrpSpPr>
      <xdr:grpSpPr>
        <a:xfrm flipV="1">
          <a:off x="466725" y="7419975"/>
          <a:ext cx="1219200" cy="542925"/>
          <a:chOff x="49" y="700"/>
          <a:chExt cx="128" cy="57"/>
        </a:xfrm>
        <a:solidFill>
          <a:srgbClr val="FFFFFF"/>
        </a:solidFill>
      </xdr:grpSpPr>
      <xdr:sp>
        <xdr:nvSpPr>
          <xdr:cNvPr id="15" name="Line 55"/>
          <xdr:cNvSpPr>
            <a:spLocks/>
          </xdr:cNvSpPr>
        </xdr:nvSpPr>
        <xdr:spPr>
          <a:xfrm>
            <a:off x="56" y="700"/>
            <a:ext cx="1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" name="Group 56"/>
          <xdr:cNvGrpSpPr>
            <a:grpSpLocks/>
          </xdr:cNvGrpSpPr>
        </xdr:nvGrpSpPr>
        <xdr:grpSpPr>
          <a:xfrm>
            <a:off x="49" y="700"/>
            <a:ext cx="45" cy="57"/>
            <a:chOff x="49" y="700"/>
            <a:chExt cx="45" cy="57"/>
          </a:xfrm>
          <a:solidFill>
            <a:srgbClr val="FFFFFF"/>
          </a:solidFill>
        </xdr:grpSpPr>
        <xdr:sp>
          <xdr:nvSpPr>
            <xdr:cNvPr id="17" name="Line 57"/>
            <xdr:cNvSpPr>
              <a:spLocks/>
            </xdr:cNvSpPr>
          </xdr:nvSpPr>
          <xdr:spPr>
            <a:xfrm>
              <a:off x="49" y="724"/>
              <a:ext cx="45" cy="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58"/>
            <xdr:cNvSpPr>
              <a:spLocks/>
            </xdr:cNvSpPr>
          </xdr:nvSpPr>
          <xdr:spPr>
            <a:xfrm flipH="1">
              <a:off x="49" y="700"/>
              <a:ext cx="7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59"/>
            <xdr:cNvSpPr>
              <a:spLocks/>
            </xdr:cNvSpPr>
          </xdr:nvSpPr>
          <xdr:spPr>
            <a:xfrm>
              <a:off x="49" y="707"/>
              <a:ext cx="0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60"/>
            <xdr:cNvSpPr>
              <a:spLocks/>
            </xdr:cNvSpPr>
          </xdr:nvSpPr>
          <xdr:spPr>
            <a:xfrm>
              <a:off x="94" y="733"/>
              <a:ext cx="0" cy="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" name="Group 61"/>
          <xdr:cNvGrpSpPr>
            <a:grpSpLocks/>
          </xdr:cNvGrpSpPr>
        </xdr:nvGrpSpPr>
        <xdr:grpSpPr>
          <a:xfrm flipH="1">
            <a:off x="132" y="700"/>
            <a:ext cx="45" cy="57"/>
            <a:chOff x="49" y="700"/>
            <a:chExt cx="45" cy="57"/>
          </a:xfrm>
          <a:solidFill>
            <a:srgbClr val="FFFFFF"/>
          </a:solidFill>
        </xdr:grpSpPr>
        <xdr:sp>
          <xdr:nvSpPr>
            <xdr:cNvPr id="22" name="Line 62"/>
            <xdr:cNvSpPr>
              <a:spLocks/>
            </xdr:cNvSpPr>
          </xdr:nvSpPr>
          <xdr:spPr>
            <a:xfrm>
              <a:off x="49" y="724"/>
              <a:ext cx="45" cy="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63"/>
            <xdr:cNvSpPr>
              <a:spLocks/>
            </xdr:cNvSpPr>
          </xdr:nvSpPr>
          <xdr:spPr>
            <a:xfrm flipH="1">
              <a:off x="49" y="700"/>
              <a:ext cx="7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64"/>
            <xdr:cNvSpPr>
              <a:spLocks/>
            </xdr:cNvSpPr>
          </xdr:nvSpPr>
          <xdr:spPr>
            <a:xfrm>
              <a:off x="49" y="707"/>
              <a:ext cx="0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65"/>
            <xdr:cNvSpPr>
              <a:spLocks/>
            </xdr:cNvSpPr>
          </xdr:nvSpPr>
          <xdr:spPr>
            <a:xfrm>
              <a:off x="94" y="733"/>
              <a:ext cx="0" cy="24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447675</xdr:colOff>
      <xdr:row>29</xdr:row>
      <xdr:rowOff>152400</xdr:rowOff>
    </xdr:from>
    <xdr:to>
      <xdr:col>0</xdr:col>
      <xdr:colOff>1695450</xdr:colOff>
      <xdr:row>29</xdr:row>
      <xdr:rowOff>152400</xdr:rowOff>
    </xdr:to>
    <xdr:sp>
      <xdr:nvSpPr>
        <xdr:cNvPr id="26" name="Line 66"/>
        <xdr:cNvSpPr>
          <a:spLocks/>
        </xdr:cNvSpPr>
      </xdr:nvSpPr>
      <xdr:spPr>
        <a:xfrm>
          <a:off x="447675" y="80962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29</xdr:row>
      <xdr:rowOff>114300</xdr:rowOff>
    </xdr:from>
    <xdr:to>
      <xdr:col>0</xdr:col>
      <xdr:colOff>895350</xdr:colOff>
      <xdr:row>29</xdr:row>
      <xdr:rowOff>190500</xdr:rowOff>
    </xdr:to>
    <xdr:sp>
      <xdr:nvSpPr>
        <xdr:cNvPr id="27" name="Line 67"/>
        <xdr:cNvSpPr>
          <a:spLocks/>
        </xdr:cNvSpPr>
      </xdr:nvSpPr>
      <xdr:spPr>
        <a:xfrm flipV="1">
          <a:off x="895350" y="8058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1257300</xdr:colOff>
      <xdr:row>29</xdr:row>
      <xdr:rowOff>114300</xdr:rowOff>
    </xdr:from>
    <xdr:to>
      <xdr:col>0</xdr:col>
      <xdr:colOff>1257300</xdr:colOff>
      <xdr:row>29</xdr:row>
      <xdr:rowOff>190500</xdr:rowOff>
    </xdr:to>
    <xdr:sp>
      <xdr:nvSpPr>
        <xdr:cNvPr id="28" name="Line 68"/>
        <xdr:cNvSpPr>
          <a:spLocks/>
        </xdr:cNvSpPr>
      </xdr:nvSpPr>
      <xdr:spPr>
        <a:xfrm flipV="1">
          <a:off x="1257300" y="8058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1704975</xdr:colOff>
      <xdr:row>29</xdr:row>
      <xdr:rowOff>114300</xdr:rowOff>
    </xdr:from>
    <xdr:to>
      <xdr:col>0</xdr:col>
      <xdr:colOff>1704975</xdr:colOff>
      <xdr:row>29</xdr:row>
      <xdr:rowOff>190500</xdr:rowOff>
    </xdr:to>
    <xdr:sp>
      <xdr:nvSpPr>
        <xdr:cNvPr id="29" name="Line 69"/>
        <xdr:cNvSpPr>
          <a:spLocks/>
        </xdr:cNvSpPr>
      </xdr:nvSpPr>
      <xdr:spPr>
        <a:xfrm flipV="1">
          <a:off x="1704975" y="80581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581025</xdr:colOff>
      <xdr:row>29</xdr:row>
      <xdr:rowOff>142875</xdr:rowOff>
    </xdr:from>
    <xdr:ext cx="161925" cy="161925"/>
    <xdr:sp>
      <xdr:nvSpPr>
        <xdr:cNvPr id="30" name="Text Box 70"/>
        <xdr:cNvSpPr txBox="1">
          <a:spLocks noChangeArrowheads="1"/>
        </xdr:cNvSpPr>
      </xdr:nvSpPr>
      <xdr:spPr>
        <a:xfrm>
          <a:off x="581025" y="8086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9.0</a:t>
          </a:r>
        </a:p>
      </xdr:txBody>
    </xdr:sp>
    <xdr:clientData/>
  </xdr:oneCellAnchor>
  <xdr:oneCellAnchor>
    <xdr:from>
      <xdr:col>0</xdr:col>
      <xdr:colOff>990600</xdr:colOff>
      <xdr:row>29</xdr:row>
      <xdr:rowOff>142875</xdr:rowOff>
    </xdr:from>
    <xdr:ext cx="161925" cy="161925"/>
    <xdr:sp>
      <xdr:nvSpPr>
        <xdr:cNvPr id="31" name="Text Box 71"/>
        <xdr:cNvSpPr txBox="1">
          <a:spLocks noChangeArrowheads="1"/>
        </xdr:cNvSpPr>
      </xdr:nvSpPr>
      <xdr:spPr>
        <a:xfrm>
          <a:off x="990600" y="8086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8.0</a:t>
          </a:r>
        </a:p>
      </xdr:txBody>
    </xdr:sp>
    <xdr:clientData/>
  </xdr:oneCellAnchor>
  <xdr:oneCellAnchor>
    <xdr:from>
      <xdr:col>0</xdr:col>
      <xdr:colOff>1400175</xdr:colOff>
      <xdr:row>29</xdr:row>
      <xdr:rowOff>142875</xdr:rowOff>
    </xdr:from>
    <xdr:ext cx="161925" cy="161925"/>
    <xdr:sp>
      <xdr:nvSpPr>
        <xdr:cNvPr id="32" name="Text Box 72"/>
        <xdr:cNvSpPr txBox="1">
          <a:spLocks noChangeArrowheads="1"/>
        </xdr:cNvSpPr>
      </xdr:nvSpPr>
      <xdr:spPr>
        <a:xfrm>
          <a:off x="1400175" y="8086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9.0</a:t>
          </a:r>
        </a:p>
      </xdr:txBody>
    </xdr:sp>
    <xdr:clientData/>
  </xdr:oneCellAnchor>
  <xdr:twoCellAnchor>
    <xdr:from>
      <xdr:col>0</xdr:col>
      <xdr:colOff>447675</xdr:colOff>
      <xdr:row>30</xdr:row>
      <xdr:rowOff>0</xdr:rowOff>
    </xdr:from>
    <xdr:to>
      <xdr:col>0</xdr:col>
      <xdr:colOff>447675</xdr:colOff>
      <xdr:row>30</xdr:row>
      <xdr:rowOff>76200</xdr:rowOff>
    </xdr:to>
    <xdr:sp>
      <xdr:nvSpPr>
        <xdr:cNvPr id="33" name="Line 73"/>
        <xdr:cNvSpPr>
          <a:spLocks/>
        </xdr:cNvSpPr>
      </xdr:nvSpPr>
      <xdr:spPr>
        <a:xfrm flipV="1">
          <a:off x="447675" y="82105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38100</xdr:rowOff>
    </xdr:from>
    <xdr:to>
      <xdr:col>0</xdr:col>
      <xdr:colOff>1695450</xdr:colOff>
      <xdr:row>30</xdr:row>
      <xdr:rowOff>38100</xdr:rowOff>
    </xdr:to>
    <xdr:sp>
      <xdr:nvSpPr>
        <xdr:cNvPr id="34" name="Line 74"/>
        <xdr:cNvSpPr>
          <a:spLocks/>
        </xdr:cNvSpPr>
      </xdr:nvSpPr>
      <xdr:spPr>
        <a:xfrm>
          <a:off x="447675" y="82486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1704975</xdr:colOff>
      <xdr:row>30</xdr:row>
      <xdr:rowOff>0</xdr:rowOff>
    </xdr:from>
    <xdr:to>
      <xdr:col>0</xdr:col>
      <xdr:colOff>1704975</xdr:colOff>
      <xdr:row>30</xdr:row>
      <xdr:rowOff>76200</xdr:rowOff>
    </xdr:to>
    <xdr:sp>
      <xdr:nvSpPr>
        <xdr:cNvPr id="35" name="Line 77"/>
        <xdr:cNvSpPr>
          <a:spLocks/>
        </xdr:cNvSpPr>
      </xdr:nvSpPr>
      <xdr:spPr>
        <a:xfrm flipV="1">
          <a:off x="1704975" y="82105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962025</xdr:colOff>
      <xdr:row>30</xdr:row>
      <xdr:rowOff>28575</xdr:rowOff>
    </xdr:from>
    <xdr:ext cx="219075" cy="161925"/>
    <xdr:sp>
      <xdr:nvSpPr>
        <xdr:cNvPr id="36" name="Text Box 78"/>
        <xdr:cNvSpPr txBox="1">
          <a:spLocks noChangeArrowheads="1"/>
        </xdr:cNvSpPr>
      </xdr:nvSpPr>
      <xdr:spPr>
        <a:xfrm>
          <a:off x="962025" y="82391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26.0</a:t>
          </a:r>
        </a:p>
      </xdr:txBody>
    </xdr:sp>
    <xdr:clientData/>
  </xdr:oneCellAnchor>
  <xdr:twoCellAnchor>
    <xdr:from>
      <xdr:col>0</xdr:col>
      <xdr:colOff>1847850</xdr:colOff>
      <xdr:row>24</xdr:row>
      <xdr:rowOff>257175</xdr:rowOff>
    </xdr:from>
    <xdr:to>
      <xdr:col>0</xdr:col>
      <xdr:colOff>1847850</xdr:colOff>
      <xdr:row>29</xdr:row>
      <xdr:rowOff>9525</xdr:rowOff>
    </xdr:to>
    <xdr:sp>
      <xdr:nvSpPr>
        <xdr:cNvPr id="37" name="Line 79"/>
        <xdr:cNvSpPr>
          <a:spLocks/>
        </xdr:cNvSpPr>
      </xdr:nvSpPr>
      <xdr:spPr>
        <a:xfrm>
          <a:off x="1847850" y="68675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1800225</xdr:colOff>
      <xdr:row>24</xdr:row>
      <xdr:rowOff>257175</xdr:rowOff>
    </xdr:from>
    <xdr:to>
      <xdr:col>0</xdr:col>
      <xdr:colOff>1885950</xdr:colOff>
      <xdr:row>24</xdr:row>
      <xdr:rowOff>257175</xdr:rowOff>
    </xdr:to>
    <xdr:sp>
      <xdr:nvSpPr>
        <xdr:cNvPr id="38" name="Line 80"/>
        <xdr:cNvSpPr>
          <a:spLocks/>
        </xdr:cNvSpPr>
      </xdr:nvSpPr>
      <xdr:spPr>
        <a:xfrm>
          <a:off x="1800225" y="6867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1809750</xdr:colOff>
      <xdr:row>25</xdr:row>
      <xdr:rowOff>228600</xdr:rowOff>
    </xdr:from>
    <xdr:to>
      <xdr:col>0</xdr:col>
      <xdr:colOff>1895475</xdr:colOff>
      <xdr:row>25</xdr:row>
      <xdr:rowOff>228600</xdr:rowOff>
    </xdr:to>
    <xdr:sp>
      <xdr:nvSpPr>
        <xdr:cNvPr id="39" name="Line 81"/>
        <xdr:cNvSpPr>
          <a:spLocks/>
        </xdr:cNvSpPr>
      </xdr:nvSpPr>
      <xdr:spPr>
        <a:xfrm>
          <a:off x="1809750" y="71056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1809750</xdr:colOff>
      <xdr:row>26</xdr:row>
      <xdr:rowOff>47625</xdr:rowOff>
    </xdr:from>
    <xdr:to>
      <xdr:col>0</xdr:col>
      <xdr:colOff>1895475</xdr:colOff>
      <xdr:row>26</xdr:row>
      <xdr:rowOff>47625</xdr:rowOff>
    </xdr:to>
    <xdr:sp>
      <xdr:nvSpPr>
        <xdr:cNvPr id="40" name="Line 82"/>
        <xdr:cNvSpPr>
          <a:spLocks/>
        </xdr:cNvSpPr>
      </xdr:nvSpPr>
      <xdr:spPr>
        <a:xfrm>
          <a:off x="1809750" y="7191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1809750</xdr:colOff>
      <xdr:row>28</xdr:row>
      <xdr:rowOff>47625</xdr:rowOff>
    </xdr:from>
    <xdr:to>
      <xdr:col>0</xdr:col>
      <xdr:colOff>1895475</xdr:colOff>
      <xdr:row>28</xdr:row>
      <xdr:rowOff>47625</xdr:rowOff>
    </xdr:to>
    <xdr:sp>
      <xdr:nvSpPr>
        <xdr:cNvPr id="41" name="Line 83"/>
        <xdr:cNvSpPr>
          <a:spLocks/>
        </xdr:cNvSpPr>
      </xdr:nvSpPr>
      <xdr:spPr>
        <a:xfrm>
          <a:off x="1809750" y="77247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1809750</xdr:colOff>
      <xdr:row>27</xdr:row>
      <xdr:rowOff>228600</xdr:rowOff>
    </xdr:from>
    <xdr:to>
      <xdr:col>0</xdr:col>
      <xdr:colOff>1895475</xdr:colOff>
      <xdr:row>27</xdr:row>
      <xdr:rowOff>228600</xdr:rowOff>
    </xdr:to>
    <xdr:sp>
      <xdr:nvSpPr>
        <xdr:cNvPr id="42" name="Line 84"/>
        <xdr:cNvSpPr>
          <a:spLocks/>
        </xdr:cNvSpPr>
      </xdr:nvSpPr>
      <xdr:spPr>
        <a:xfrm>
          <a:off x="1809750" y="76390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1809750</xdr:colOff>
      <xdr:row>29</xdr:row>
      <xdr:rowOff>9525</xdr:rowOff>
    </xdr:from>
    <xdr:to>
      <xdr:col>0</xdr:col>
      <xdr:colOff>1895475</xdr:colOff>
      <xdr:row>29</xdr:row>
      <xdr:rowOff>9525</xdr:rowOff>
    </xdr:to>
    <xdr:sp>
      <xdr:nvSpPr>
        <xdr:cNvPr id="43" name="Line 86"/>
        <xdr:cNvSpPr>
          <a:spLocks/>
        </xdr:cNvSpPr>
      </xdr:nvSpPr>
      <xdr:spPr>
        <a:xfrm>
          <a:off x="1809750" y="7953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1895475</xdr:colOff>
      <xdr:row>25</xdr:row>
      <xdr:rowOff>47625</xdr:rowOff>
    </xdr:from>
    <xdr:ext cx="161925" cy="161925"/>
    <xdr:sp>
      <xdr:nvSpPr>
        <xdr:cNvPr id="44" name="Text Box 87"/>
        <xdr:cNvSpPr txBox="1">
          <a:spLocks noChangeArrowheads="1"/>
        </xdr:cNvSpPr>
      </xdr:nvSpPr>
      <xdr:spPr>
        <a:xfrm>
          <a:off x="1895475" y="69246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6.5</a:t>
          </a:r>
        </a:p>
      </xdr:txBody>
    </xdr:sp>
    <xdr:clientData/>
  </xdr:oneCellAnchor>
  <xdr:oneCellAnchor>
    <xdr:from>
      <xdr:col>0</xdr:col>
      <xdr:colOff>1895475</xdr:colOff>
      <xdr:row>25</xdr:row>
      <xdr:rowOff>200025</xdr:rowOff>
    </xdr:from>
    <xdr:ext cx="161925" cy="161925"/>
    <xdr:sp>
      <xdr:nvSpPr>
        <xdr:cNvPr id="45" name="Text Box 88"/>
        <xdr:cNvSpPr txBox="1">
          <a:spLocks noChangeArrowheads="1"/>
        </xdr:cNvSpPr>
      </xdr:nvSpPr>
      <xdr:spPr>
        <a:xfrm>
          <a:off x="1895475" y="7077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</a:t>
          </a:r>
        </a:p>
      </xdr:txBody>
    </xdr:sp>
    <xdr:clientData/>
  </xdr:oneCellAnchor>
  <xdr:oneCellAnchor>
    <xdr:from>
      <xdr:col>0</xdr:col>
      <xdr:colOff>1895475</xdr:colOff>
      <xdr:row>26</xdr:row>
      <xdr:rowOff>200025</xdr:rowOff>
    </xdr:from>
    <xdr:ext cx="161925" cy="161925"/>
    <xdr:sp>
      <xdr:nvSpPr>
        <xdr:cNvPr id="46" name="Text Box 89"/>
        <xdr:cNvSpPr txBox="1">
          <a:spLocks noChangeArrowheads="1"/>
        </xdr:cNvSpPr>
      </xdr:nvSpPr>
      <xdr:spPr>
        <a:xfrm>
          <a:off x="1895475" y="73437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8.0</a:t>
          </a:r>
        </a:p>
      </xdr:txBody>
    </xdr:sp>
    <xdr:clientData/>
  </xdr:oneCellAnchor>
  <xdr:oneCellAnchor>
    <xdr:from>
      <xdr:col>0</xdr:col>
      <xdr:colOff>1876425</xdr:colOff>
      <xdr:row>28</xdr:row>
      <xdr:rowOff>85725</xdr:rowOff>
    </xdr:from>
    <xdr:ext cx="161925" cy="161925"/>
    <xdr:sp>
      <xdr:nvSpPr>
        <xdr:cNvPr id="47" name="Text Box 90"/>
        <xdr:cNvSpPr txBox="1">
          <a:spLocks noChangeArrowheads="1"/>
        </xdr:cNvSpPr>
      </xdr:nvSpPr>
      <xdr:spPr>
        <a:xfrm>
          <a:off x="1876425" y="77628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6.5</a:t>
          </a:r>
        </a:p>
      </xdr:txBody>
    </xdr:sp>
    <xdr:clientData/>
  </xdr:oneCellAnchor>
  <xdr:oneCellAnchor>
    <xdr:from>
      <xdr:col>0</xdr:col>
      <xdr:colOff>1895475</xdr:colOff>
      <xdr:row>27</xdr:row>
      <xdr:rowOff>200025</xdr:rowOff>
    </xdr:from>
    <xdr:ext cx="161925" cy="161925"/>
    <xdr:sp>
      <xdr:nvSpPr>
        <xdr:cNvPr id="48" name="Text Box 91"/>
        <xdr:cNvSpPr txBox="1">
          <a:spLocks noChangeArrowheads="1"/>
        </xdr:cNvSpPr>
      </xdr:nvSpPr>
      <xdr:spPr>
        <a:xfrm>
          <a:off x="1895475" y="76104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</a:t>
          </a:r>
        </a:p>
      </xdr:txBody>
    </xdr:sp>
    <xdr:clientData/>
  </xdr:oneCellAnchor>
  <xdr:twoCellAnchor>
    <xdr:from>
      <xdr:col>0</xdr:col>
      <xdr:colOff>2143125</xdr:colOff>
      <xdr:row>24</xdr:row>
      <xdr:rowOff>257175</xdr:rowOff>
    </xdr:from>
    <xdr:to>
      <xdr:col>0</xdr:col>
      <xdr:colOff>2143125</xdr:colOff>
      <xdr:row>29</xdr:row>
      <xdr:rowOff>9525</xdr:rowOff>
    </xdr:to>
    <xdr:sp>
      <xdr:nvSpPr>
        <xdr:cNvPr id="49" name="Line 92"/>
        <xdr:cNvSpPr>
          <a:spLocks/>
        </xdr:cNvSpPr>
      </xdr:nvSpPr>
      <xdr:spPr>
        <a:xfrm>
          <a:off x="2143125" y="68675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24</xdr:row>
      <xdr:rowOff>257175</xdr:rowOff>
    </xdr:from>
    <xdr:to>
      <xdr:col>0</xdr:col>
      <xdr:colOff>2190750</xdr:colOff>
      <xdr:row>24</xdr:row>
      <xdr:rowOff>257175</xdr:rowOff>
    </xdr:to>
    <xdr:sp>
      <xdr:nvSpPr>
        <xdr:cNvPr id="50" name="Line 93"/>
        <xdr:cNvSpPr>
          <a:spLocks/>
        </xdr:cNvSpPr>
      </xdr:nvSpPr>
      <xdr:spPr>
        <a:xfrm>
          <a:off x="2105025" y="6867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29</xdr:row>
      <xdr:rowOff>9525</xdr:rowOff>
    </xdr:from>
    <xdr:to>
      <xdr:col>0</xdr:col>
      <xdr:colOff>2190750</xdr:colOff>
      <xdr:row>29</xdr:row>
      <xdr:rowOff>9525</xdr:rowOff>
    </xdr:to>
    <xdr:sp>
      <xdr:nvSpPr>
        <xdr:cNvPr id="51" name="Line 98"/>
        <xdr:cNvSpPr>
          <a:spLocks/>
        </xdr:cNvSpPr>
      </xdr:nvSpPr>
      <xdr:spPr>
        <a:xfrm>
          <a:off x="2105025" y="7953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2143125</xdr:colOff>
      <xdr:row>26</xdr:row>
      <xdr:rowOff>200025</xdr:rowOff>
    </xdr:from>
    <xdr:ext cx="219075" cy="161925"/>
    <xdr:sp>
      <xdr:nvSpPr>
        <xdr:cNvPr id="52" name="Text Box 106"/>
        <xdr:cNvSpPr txBox="1">
          <a:spLocks noChangeArrowheads="1"/>
        </xdr:cNvSpPr>
      </xdr:nvSpPr>
      <xdr:spPr>
        <a:xfrm>
          <a:off x="2143125" y="7343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26.0</a:t>
          </a:r>
        </a:p>
      </xdr:txBody>
    </xdr:sp>
    <xdr:clientData/>
  </xdr:oneCellAnchor>
  <xdr:twoCellAnchor>
    <xdr:from>
      <xdr:col>0</xdr:col>
      <xdr:colOff>942975</xdr:colOff>
      <xdr:row>26</xdr:row>
      <xdr:rowOff>19050</xdr:rowOff>
    </xdr:from>
    <xdr:to>
      <xdr:col>0</xdr:col>
      <xdr:colOff>942975</xdr:colOff>
      <xdr:row>28</xdr:row>
      <xdr:rowOff>0</xdr:rowOff>
    </xdr:to>
    <xdr:sp>
      <xdr:nvSpPr>
        <xdr:cNvPr id="53" name="Line 130"/>
        <xdr:cNvSpPr>
          <a:spLocks/>
        </xdr:cNvSpPr>
      </xdr:nvSpPr>
      <xdr:spPr>
        <a:xfrm>
          <a:off x="942975" y="71628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57150</xdr:rowOff>
    </xdr:from>
    <xdr:to>
      <xdr:col>0</xdr:col>
      <xdr:colOff>1628775</xdr:colOff>
      <xdr:row>26</xdr:row>
      <xdr:rowOff>19050</xdr:rowOff>
    </xdr:to>
    <xdr:grpSp>
      <xdr:nvGrpSpPr>
        <xdr:cNvPr id="54" name="Group 133"/>
        <xdr:cNvGrpSpPr>
          <a:grpSpLocks/>
        </xdr:cNvGrpSpPr>
      </xdr:nvGrpSpPr>
      <xdr:grpSpPr>
        <a:xfrm>
          <a:off x="523875" y="6934200"/>
          <a:ext cx="1104900" cy="228600"/>
          <a:chOff x="55" y="728"/>
          <a:chExt cx="116" cy="24"/>
        </a:xfrm>
        <a:solidFill>
          <a:srgbClr val="FFFFFF"/>
        </a:solidFill>
      </xdr:grpSpPr>
      <xdr:sp>
        <xdr:nvSpPr>
          <xdr:cNvPr id="55" name="Line 126"/>
          <xdr:cNvSpPr>
            <a:spLocks/>
          </xdr:cNvSpPr>
        </xdr:nvSpPr>
        <xdr:spPr>
          <a:xfrm>
            <a:off x="55" y="728"/>
            <a:ext cx="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27"/>
          <xdr:cNvSpPr>
            <a:spLocks/>
          </xdr:cNvSpPr>
        </xdr:nvSpPr>
        <xdr:spPr>
          <a:xfrm>
            <a:off x="55" y="728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28"/>
          <xdr:cNvSpPr>
            <a:spLocks/>
          </xdr:cNvSpPr>
        </xdr:nvSpPr>
        <xdr:spPr>
          <a:xfrm>
            <a:off x="171" y="728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29"/>
          <xdr:cNvSpPr>
            <a:spLocks/>
          </xdr:cNvSpPr>
        </xdr:nvSpPr>
        <xdr:spPr>
          <a:xfrm>
            <a:off x="55" y="743"/>
            <a:ext cx="44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31"/>
          <xdr:cNvSpPr>
            <a:spLocks/>
          </xdr:cNvSpPr>
        </xdr:nvSpPr>
        <xdr:spPr>
          <a:xfrm flipH="1">
            <a:off x="127" y="743"/>
            <a:ext cx="44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1209675</xdr:colOff>
      <xdr:row>26</xdr:row>
      <xdr:rowOff>19050</xdr:rowOff>
    </xdr:from>
    <xdr:to>
      <xdr:col>0</xdr:col>
      <xdr:colOff>1209675</xdr:colOff>
      <xdr:row>28</xdr:row>
      <xdr:rowOff>0</xdr:rowOff>
    </xdr:to>
    <xdr:sp>
      <xdr:nvSpPr>
        <xdr:cNvPr id="60" name="Line 132"/>
        <xdr:cNvSpPr>
          <a:spLocks/>
        </xdr:cNvSpPr>
      </xdr:nvSpPr>
      <xdr:spPr>
        <a:xfrm>
          <a:off x="1209675" y="71628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28</xdr:row>
      <xdr:rowOff>9525</xdr:rowOff>
    </xdr:from>
    <xdr:to>
      <xdr:col>0</xdr:col>
      <xdr:colOff>1628775</xdr:colOff>
      <xdr:row>28</xdr:row>
      <xdr:rowOff>238125</xdr:rowOff>
    </xdr:to>
    <xdr:grpSp>
      <xdr:nvGrpSpPr>
        <xdr:cNvPr id="61" name="Group 134"/>
        <xdr:cNvGrpSpPr>
          <a:grpSpLocks/>
        </xdr:cNvGrpSpPr>
      </xdr:nvGrpSpPr>
      <xdr:grpSpPr>
        <a:xfrm flipV="1">
          <a:off x="523875" y="7686675"/>
          <a:ext cx="1104900" cy="228600"/>
          <a:chOff x="55" y="728"/>
          <a:chExt cx="116" cy="24"/>
        </a:xfrm>
        <a:solidFill>
          <a:srgbClr val="FFFFFF"/>
        </a:solidFill>
      </xdr:grpSpPr>
      <xdr:sp>
        <xdr:nvSpPr>
          <xdr:cNvPr id="62" name="Line 135"/>
          <xdr:cNvSpPr>
            <a:spLocks/>
          </xdr:cNvSpPr>
        </xdr:nvSpPr>
        <xdr:spPr>
          <a:xfrm>
            <a:off x="55" y="728"/>
            <a:ext cx="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136"/>
          <xdr:cNvSpPr>
            <a:spLocks/>
          </xdr:cNvSpPr>
        </xdr:nvSpPr>
        <xdr:spPr>
          <a:xfrm>
            <a:off x="55" y="728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137"/>
          <xdr:cNvSpPr>
            <a:spLocks/>
          </xdr:cNvSpPr>
        </xdr:nvSpPr>
        <xdr:spPr>
          <a:xfrm>
            <a:off x="171" y="728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38"/>
          <xdr:cNvSpPr>
            <a:spLocks/>
          </xdr:cNvSpPr>
        </xdr:nvSpPr>
        <xdr:spPr>
          <a:xfrm>
            <a:off x="55" y="743"/>
            <a:ext cx="44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39"/>
          <xdr:cNvSpPr>
            <a:spLocks/>
          </xdr:cNvSpPr>
        </xdr:nvSpPr>
        <xdr:spPr>
          <a:xfrm flipH="1">
            <a:off x="127" y="743"/>
            <a:ext cx="44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533400</xdr:colOff>
      <xdr:row>25</xdr:row>
      <xdr:rowOff>66675</xdr:rowOff>
    </xdr:from>
    <xdr:to>
      <xdr:col>0</xdr:col>
      <xdr:colOff>571500</xdr:colOff>
      <xdr:row>25</xdr:row>
      <xdr:rowOff>104775</xdr:rowOff>
    </xdr:to>
    <xdr:sp>
      <xdr:nvSpPr>
        <xdr:cNvPr id="67" name="Oval 140"/>
        <xdr:cNvSpPr>
          <a:spLocks/>
        </xdr:cNvSpPr>
      </xdr:nvSpPr>
      <xdr:spPr>
        <a:xfrm>
          <a:off x="533400" y="6943725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25</xdr:row>
      <xdr:rowOff>66675</xdr:rowOff>
    </xdr:from>
    <xdr:to>
      <xdr:col>0</xdr:col>
      <xdr:colOff>904875</xdr:colOff>
      <xdr:row>25</xdr:row>
      <xdr:rowOff>104775</xdr:rowOff>
    </xdr:to>
    <xdr:sp>
      <xdr:nvSpPr>
        <xdr:cNvPr id="68" name="Oval 141"/>
        <xdr:cNvSpPr>
          <a:spLocks/>
        </xdr:cNvSpPr>
      </xdr:nvSpPr>
      <xdr:spPr>
        <a:xfrm>
          <a:off x="866775" y="6943725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1238250</xdr:colOff>
      <xdr:row>25</xdr:row>
      <xdr:rowOff>66675</xdr:rowOff>
    </xdr:from>
    <xdr:to>
      <xdr:col>0</xdr:col>
      <xdr:colOff>1276350</xdr:colOff>
      <xdr:row>25</xdr:row>
      <xdr:rowOff>104775</xdr:rowOff>
    </xdr:to>
    <xdr:sp>
      <xdr:nvSpPr>
        <xdr:cNvPr id="69" name="Oval 142"/>
        <xdr:cNvSpPr>
          <a:spLocks/>
        </xdr:cNvSpPr>
      </xdr:nvSpPr>
      <xdr:spPr>
        <a:xfrm>
          <a:off x="1238250" y="6943725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1581150</xdr:colOff>
      <xdr:row>25</xdr:row>
      <xdr:rowOff>66675</xdr:rowOff>
    </xdr:from>
    <xdr:to>
      <xdr:col>0</xdr:col>
      <xdr:colOff>1619250</xdr:colOff>
      <xdr:row>25</xdr:row>
      <xdr:rowOff>104775</xdr:rowOff>
    </xdr:to>
    <xdr:sp>
      <xdr:nvSpPr>
        <xdr:cNvPr id="70" name="Oval 143"/>
        <xdr:cNvSpPr>
          <a:spLocks/>
        </xdr:cNvSpPr>
      </xdr:nvSpPr>
      <xdr:spPr>
        <a:xfrm>
          <a:off x="1581150" y="6943725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28</xdr:row>
      <xdr:rowOff>190500</xdr:rowOff>
    </xdr:from>
    <xdr:to>
      <xdr:col>0</xdr:col>
      <xdr:colOff>561975</xdr:colOff>
      <xdr:row>28</xdr:row>
      <xdr:rowOff>228600</xdr:rowOff>
    </xdr:to>
    <xdr:sp>
      <xdr:nvSpPr>
        <xdr:cNvPr id="71" name="Oval 144"/>
        <xdr:cNvSpPr>
          <a:spLocks/>
        </xdr:cNvSpPr>
      </xdr:nvSpPr>
      <xdr:spPr>
        <a:xfrm>
          <a:off x="523875" y="7867650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28</xdr:row>
      <xdr:rowOff>190500</xdr:rowOff>
    </xdr:from>
    <xdr:to>
      <xdr:col>0</xdr:col>
      <xdr:colOff>895350</xdr:colOff>
      <xdr:row>28</xdr:row>
      <xdr:rowOff>228600</xdr:rowOff>
    </xdr:to>
    <xdr:sp>
      <xdr:nvSpPr>
        <xdr:cNvPr id="72" name="Oval 145"/>
        <xdr:cNvSpPr>
          <a:spLocks/>
        </xdr:cNvSpPr>
      </xdr:nvSpPr>
      <xdr:spPr>
        <a:xfrm>
          <a:off x="857250" y="7867650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1228725</xdr:colOff>
      <xdr:row>28</xdr:row>
      <xdr:rowOff>190500</xdr:rowOff>
    </xdr:from>
    <xdr:to>
      <xdr:col>0</xdr:col>
      <xdr:colOff>1266825</xdr:colOff>
      <xdr:row>28</xdr:row>
      <xdr:rowOff>228600</xdr:rowOff>
    </xdr:to>
    <xdr:sp>
      <xdr:nvSpPr>
        <xdr:cNvPr id="73" name="Oval 146"/>
        <xdr:cNvSpPr>
          <a:spLocks/>
        </xdr:cNvSpPr>
      </xdr:nvSpPr>
      <xdr:spPr>
        <a:xfrm>
          <a:off x="1228725" y="7867650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1581150</xdr:colOff>
      <xdr:row>28</xdr:row>
      <xdr:rowOff>190500</xdr:rowOff>
    </xdr:from>
    <xdr:to>
      <xdr:col>0</xdr:col>
      <xdr:colOff>1619250</xdr:colOff>
      <xdr:row>28</xdr:row>
      <xdr:rowOff>228600</xdr:rowOff>
    </xdr:to>
    <xdr:sp>
      <xdr:nvSpPr>
        <xdr:cNvPr id="74" name="Oval 147"/>
        <xdr:cNvSpPr>
          <a:spLocks/>
        </xdr:cNvSpPr>
      </xdr:nvSpPr>
      <xdr:spPr>
        <a:xfrm>
          <a:off x="1581150" y="7867650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32</xdr:row>
      <xdr:rowOff>104775</xdr:rowOff>
    </xdr:from>
    <xdr:to>
      <xdr:col>9</xdr:col>
      <xdr:colOff>276225</xdr:colOff>
      <xdr:row>33</xdr:row>
      <xdr:rowOff>171450</xdr:rowOff>
    </xdr:to>
    <xdr:sp>
      <xdr:nvSpPr>
        <xdr:cNvPr id="75" name="Rectangle 148"/>
        <xdr:cNvSpPr>
          <a:spLocks/>
        </xdr:cNvSpPr>
      </xdr:nvSpPr>
      <xdr:spPr>
        <a:xfrm>
          <a:off x="361950" y="8848725"/>
          <a:ext cx="53340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32</xdr:row>
      <xdr:rowOff>142875</xdr:rowOff>
    </xdr:from>
    <xdr:to>
      <xdr:col>9</xdr:col>
      <xdr:colOff>276225</xdr:colOff>
      <xdr:row>32</xdr:row>
      <xdr:rowOff>142875</xdr:rowOff>
    </xdr:to>
    <xdr:sp>
      <xdr:nvSpPr>
        <xdr:cNvPr id="76" name="Line 149"/>
        <xdr:cNvSpPr>
          <a:spLocks/>
        </xdr:cNvSpPr>
      </xdr:nvSpPr>
      <xdr:spPr>
        <a:xfrm>
          <a:off x="361950" y="8886825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33</xdr:row>
      <xdr:rowOff>133350</xdr:rowOff>
    </xdr:from>
    <xdr:to>
      <xdr:col>9</xdr:col>
      <xdr:colOff>276225</xdr:colOff>
      <xdr:row>33</xdr:row>
      <xdr:rowOff>133350</xdr:rowOff>
    </xdr:to>
    <xdr:sp>
      <xdr:nvSpPr>
        <xdr:cNvPr id="77" name="Line 150"/>
        <xdr:cNvSpPr>
          <a:spLocks/>
        </xdr:cNvSpPr>
      </xdr:nvSpPr>
      <xdr:spPr>
        <a:xfrm>
          <a:off x="361950" y="9144000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32</xdr:row>
      <xdr:rowOff>142875</xdr:rowOff>
    </xdr:from>
    <xdr:to>
      <xdr:col>0</xdr:col>
      <xdr:colOff>400050</xdr:colOff>
      <xdr:row>33</xdr:row>
      <xdr:rowOff>133350</xdr:rowOff>
    </xdr:to>
    <xdr:sp>
      <xdr:nvSpPr>
        <xdr:cNvPr id="78" name="Line 151"/>
        <xdr:cNvSpPr>
          <a:spLocks/>
        </xdr:cNvSpPr>
      </xdr:nvSpPr>
      <xdr:spPr>
        <a:xfrm>
          <a:off x="4000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32</xdr:row>
      <xdr:rowOff>142875</xdr:rowOff>
    </xdr:from>
    <xdr:to>
      <xdr:col>0</xdr:col>
      <xdr:colOff>438150</xdr:colOff>
      <xdr:row>33</xdr:row>
      <xdr:rowOff>133350</xdr:rowOff>
    </xdr:to>
    <xdr:sp>
      <xdr:nvSpPr>
        <xdr:cNvPr id="79" name="Line 152"/>
        <xdr:cNvSpPr>
          <a:spLocks/>
        </xdr:cNvSpPr>
      </xdr:nvSpPr>
      <xdr:spPr>
        <a:xfrm>
          <a:off x="4381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32</xdr:row>
      <xdr:rowOff>142875</xdr:rowOff>
    </xdr:from>
    <xdr:to>
      <xdr:col>0</xdr:col>
      <xdr:colOff>476250</xdr:colOff>
      <xdr:row>33</xdr:row>
      <xdr:rowOff>133350</xdr:rowOff>
    </xdr:to>
    <xdr:sp>
      <xdr:nvSpPr>
        <xdr:cNvPr id="80" name="Line 153"/>
        <xdr:cNvSpPr>
          <a:spLocks/>
        </xdr:cNvSpPr>
      </xdr:nvSpPr>
      <xdr:spPr>
        <a:xfrm>
          <a:off x="4762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32</xdr:row>
      <xdr:rowOff>142875</xdr:rowOff>
    </xdr:from>
    <xdr:to>
      <xdr:col>0</xdr:col>
      <xdr:colOff>514350</xdr:colOff>
      <xdr:row>33</xdr:row>
      <xdr:rowOff>133350</xdr:rowOff>
    </xdr:to>
    <xdr:sp>
      <xdr:nvSpPr>
        <xdr:cNvPr id="81" name="Line 154"/>
        <xdr:cNvSpPr>
          <a:spLocks/>
        </xdr:cNvSpPr>
      </xdr:nvSpPr>
      <xdr:spPr>
        <a:xfrm>
          <a:off x="5143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32</xdr:row>
      <xdr:rowOff>142875</xdr:rowOff>
    </xdr:from>
    <xdr:to>
      <xdr:col>0</xdr:col>
      <xdr:colOff>552450</xdr:colOff>
      <xdr:row>33</xdr:row>
      <xdr:rowOff>133350</xdr:rowOff>
    </xdr:to>
    <xdr:sp>
      <xdr:nvSpPr>
        <xdr:cNvPr id="82" name="Line 155"/>
        <xdr:cNvSpPr>
          <a:spLocks/>
        </xdr:cNvSpPr>
      </xdr:nvSpPr>
      <xdr:spPr>
        <a:xfrm>
          <a:off x="5524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32</xdr:row>
      <xdr:rowOff>142875</xdr:rowOff>
    </xdr:from>
    <xdr:to>
      <xdr:col>0</xdr:col>
      <xdr:colOff>590550</xdr:colOff>
      <xdr:row>33</xdr:row>
      <xdr:rowOff>133350</xdr:rowOff>
    </xdr:to>
    <xdr:sp>
      <xdr:nvSpPr>
        <xdr:cNvPr id="83" name="Line 156"/>
        <xdr:cNvSpPr>
          <a:spLocks/>
        </xdr:cNvSpPr>
      </xdr:nvSpPr>
      <xdr:spPr>
        <a:xfrm>
          <a:off x="5905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32</xdr:row>
      <xdr:rowOff>142875</xdr:rowOff>
    </xdr:from>
    <xdr:to>
      <xdr:col>0</xdr:col>
      <xdr:colOff>628650</xdr:colOff>
      <xdr:row>33</xdr:row>
      <xdr:rowOff>133350</xdr:rowOff>
    </xdr:to>
    <xdr:sp>
      <xdr:nvSpPr>
        <xdr:cNvPr id="84" name="Line 157"/>
        <xdr:cNvSpPr>
          <a:spLocks/>
        </xdr:cNvSpPr>
      </xdr:nvSpPr>
      <xdr:spPr>
        <a:xfrm>
          <a:off x="6286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32</xdr:row>
      <xdr:rowOff>142875</xdr:rowOff>
    </xdr:from>
    <xdr:to>
      <xdr:col>0</xdr:col>
      <xdr:colOff>666750</xdr:colOff>
      <xdr:row>33</xdr:row>
      <xdr:rowOff>133350</xdr:rowOff>
    </xdr:to>
    <xdr:sp>
      <xdr:nvSpPr>
        <xdr:cNvPr id="85" name="Line 158"/>
        <xdr:cNvSpPr>
          <a:spLocks/>
        </xdr:cNvSpPr>
      </xdr:nvSpPr>
      <xdr:spPr>
        <a:xfrm>
          <a:off x="6667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32</xdr:row>
      <xdr:rowOff>142875</xdr:rowOff>
    </xdr:from>
    <xdr:to>
      <xdr:col>0</xdr:col>
      <xdr:colOff>752475</xdr:colOff>
      <xdr:row>33</xdr:row>
      <xdr:rowOff>133350</xdr:rowOff>
    </xdr:to>
    <xdr:sp>
      <xdr:nvSpPr>
        <xdr:cNvPr id="86" name="Line 159"/>
        <xdr:cNvSpPr>
          <a:spLocks/>
        </xdr:cNvSpPr>
      </xdr:nvSpPr>
      <xdr:spPr>
        <a:xfrm>
          <a:off x="75247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32</xdr:row>
      <xdr:rowOff>142875</xdr:rowOff>
    </xdr:from>
    <xdr:to>
      <xdr:col>0</xdr:col>
      <xdr:colOff>847725</xdr:colOff>
      <xdr:row>33</xdr:row>
      <xdr:rowOff>133350</xdr:rowOff>
    </xdr:to>
    <xdr:sp>
      <xdr:nvSpPr>
        <xdr:cNvPr id="87" name="Line 160"/>
        <xdr:cNvSpPr>
          <a:spLocks/>
        </xdr:cNvSpPr>
      </xdr:nvSpPr>
      <xdr:spPr>
        <a:xfrm>
          <a:off x="84772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32</xdr:row>
      <xdr:rowOff>142875</xdr:rowOff>
    </xdr:from>
    <xdr:to>
      <xdr:col>0</xdr:col>
      <xdr:colOff>933450</xdr:colOff>
      <xdr:row>33</xdr:row>
      <xdr:rowOff>133350</xdr:rowOff>
    </xdr:to>
    <xdr:sp>
      <xdr:nvSpPr>
        <xdr:cNvPr id="88" name="Line 161"/>
        <xdr:cNvSpPr>
          <a:spLocks/>
        </xdr:cNvSpPr>
      </xdr:nvSpPr>
      <xdr:spPr>
        <a:xfrm>
          <a:off x="9334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32</xdr:row>
      <xdr:rowOff>142875</xdr:rowOff>
    </xdr:from>
    <xdr:to>
      <xdr:col>0</xdr:col>
      <xdr:colOff>1028700</xdr:colOff>
      <xdr:row>33</xdr:row>
      <xdr:rowOff>133350</xdr:rowOff>
    </xdr:to>
    <xdr:sp>
      <xdr:nvSpPr>
        <xdr:cNvPr id="89" name="Line 162"/>
        <xdr:cNvSpPr>
          <a:spLocks/>
        </xdr:cNvSpPr>
      </xdr:nvSpPr>
      <xdr:spPr>
        <a:xfrm>
          <a:off x="102870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1123950</xdr:colOff>
      <xdr:row>32</xdr:row>
      <xdr:rowOff>142875</xdr:rowOff>
    </xdr:from>
    <xdr:to>
      <xdr:col>0</xdr:col>
      <xdr:colOff>1123950</xdr:colOff>
      <xdr:row>33</xdr:row>
      <xdr:rowOff>133350</xdr:rowOff>
    </xdr:to>
    <xdr:sp>
      <xdr:nvSpPr>
        <xdr:cNvPr id="90" name="Line 163"/>
        <xdr:cNvSpPr>
          <a:spLocks/>
        </xdr:cNvSpPr>
      </xdr:nvSpPr>
      <xdr:spPr>
        <a:xfrm>
          <a:off x="11239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32</xdr:row>
      <xdr:rowOff>142875</xdr:rowOff>
    </xdr:from>
    <xdr:to>
      <xdr:col>0</xdr:col>
      <xdr:colOff>1219200</xdr:colOff>
      <xdr:row>33</xdr:row>
      <xdr:rowOff>133350</xdr:rowOff>
    </xdr:to>
    <xdr:sp>
      <xdr:nvSpPr>
        <xdr:cNvPr id="91" name="Line 164"/>
        <xdr:cNvSpPr>
          <a:spLocks/>
        </xdr:cNvSpPr>
      </xdr:nvSpPr>
      <xdr:spPr>
        <a:xfrm>
          <a:off x="121920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1304925</xdr:colOff>
      <xdr:row>32</xdr:row>
      <xdr:rowOff>142875</xdr:rowOff>
    </xdr:from>
    <xdr:to>
      <xdr:col>0</xdr:col>
      <xdr:colOff>1304925</xdr:colOff>
      <xdr:row>33</xdr:row>
      <xdr:rowOff>133350</xdr:rowOff>
    </xdr:to>
    <xdr:sp>
      <xdr:nvSpPr>
        <xdr:cNvPr id="92" name="Line 165"/>
        <xdr:cNvSpPr>
          <a:spLocks/>
        </xdr:cNvSpPr>
      </xdr:nvSpPr>
      <xdr:spPr>
        <a:xfrm>
          <a:off x="130492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1400175</xdr:colOff>
      <xdr:row>32</xdr:row>
      <xdr:rowOff>142875</xdr:rowOff>
    </xdr:from>
    <xdr:to>
      <xdr:col>0</xdr:col>
      <xdr:colOff>1400175</xdr:colOff>
      <xdr:row>33</xdr:row>
      <xdr:rowOff>133350</xdr:rowOff>
    </xdr:to>
    <xdr:sp>
      <xdr:nvSpPr>
        <xdr:cNvPr id="93" name="Line 166"/>
        <xdr:cNvSpPr>
          <a:spLocks/>
        </xdr:cNvSpPr>
      </xdr:nvSpPr>
      <xdr:spPr>
        <a:xfrm>
          <a:off x="140017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142875</xdr:rowOff>
    </xdr:from>
    <xdr:to>
      <xdr:col>8</xdr:col>
      <xdr:colOff>276225</xdr:colOff>
      <xdr:row>33</xdr:row>
      <xdr:rowOff>133350</xdr:rowOff>
    </xdr:to>
    <xdr:sp>
      <xdr:nvSpPr>
        <xdr:cNvPr id="94" name="Line 167"/>
        <xdr:cNvSpPr>
          <a:spLocks/>
        </xdr:cNvSpPr>
      </xdr:nvSpPr>
      <xdr:spPr>
        <a:xfrm>
          <a:off x="53911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32</xdr:row>
      <xdr:rowOff>142875</xdr:rowOff>
    </xdr:from>
    <xdr:to>
      <xdr:col>9</xdr:col>
      <xdr:colOff>9525</xdr:colOff>
      <xdr:row>33</xdr:row>
      <xdr:rowOff>133350</xdr:rowOff>
    </xdr:to>
    <xdr:sp>
      <xdr:nvSpPr>
        <xdr:cNvPr id="95" name="Line 168"/>
        <xdr:cNvSpPr>
          <a:spLocks/>
        </xdr:cNvSpPr>
      </xdr:nvSpPr>
      <xdr:spPr>
        <a:xfrm>
          <a:off x="54292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142875</xdr:rowOff>
    </xdr:from>
    <xdr:to>
      <xdr:col>9</xdr:col>
      <xdr:colOff>47625</xdr:colOff>
      <xdr:row>33</xdr:row>
      <xdr:rowOff>133350</xdr:rowOff>
    </xdr:to>
    <xdr:sp>
      <xdr:nvSpPr>
        <xdr:cNvPr id="96" name="Line 169"/>
        <xdr:cNvSpPr>
          <a:spLocks/>
        </xdr:cNvSpPr>
      </xdr:nvSpPr>
      <xdr:spPr>
        <a:xfrm>
          <a:off x="54673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142875</xdr:rowOff>
    </xdr:from>
    <xdr:to>
      <xdr:col>9</xdr:col>
      <xdr:colOff>85725</xdr:colOff>
      <xdr:row>33</xdr:row>
      <xdr:rowOff>133350</xdr:rowOff>
    </xdr:to>
    <xdr:sp>
      <xdr:nvSpPr>
        <xdr:cNvPr id="97" name="Line 170"/>
        <xdr:cNvSpPr>
          <a:spLocks/>
        </xdr:cNvSpPr>
      </xdr:nvSpPr>
      <xdr:spPr>
        <a:xfrm>
          <a:off x="55054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32</xdr:row>
      <xdr:rowOff>142875</xdr:rowOff>
    </xdr:from>
    <xdr:to>
      <xdr:col>9</xdr:col>
      <xdr:colOff>123825</xdr:colOff>
      <xdr:row>33</xdr:row>
      <xdr:rowOff>133350</xdr:rowOff>
    </xdr:to>
    <xdr:sp>
      <xdr:nvSpPr>
        <xdr:cNvPr id="98" name="Line 171"/>
        <xdr:cNvSpPr>
          <a:spLocks/>
        </xdr:cNvSpPr>
      </xdr:nvSpPr>
      <xdr:spPr>
        <a:xfrm>
          <a:off x="55435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32</xdr:row>
      <xdr:rowOff>142875</xdr:rowOff>
    </xdr:from>
    <xdr:to>
      <xdr:col>9</xdr:col>
      <xdr:colOff>161925</xdr:colOff>
      <xdr:row>33</xdr:row>
      <xdr:rowOff>133350</xdr:rowOff>
    </xdr:to>
    <xdr:sp>
      <xdr:nvSpPr>
        <xdr:cNvPr id="99" name="Line 172"/>
        <xdr:cNvSpPr>
          <a:spLocks/>
        </xdr:cNvSpPr>
      </xdr:nvSpPr>
      <xdr:spPr>
        <a:xfrm>
          <a:off x="55816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32</xdr:row>
      <xdr:rowOff>142875</xdr:rowOff>
    </xdr:from>
    <xdr:to>
      <xdr:col>9</xdr:col>
      <xdr:colOff>200025</xdr:colOff>
      <xdr:row>33</xdr:row>
      <xdr:rowOff>133350</xdr:rowOff>
    </xdr:to>
    <xdr:sp>
      <xdr:nvSpPr>
        <xdr:cNvPr id="100" name="Line 173"/>
        <xdr:cNvSpPr>
          <a:spLocks/>
        </xdr:cNvSpPr>
      </xdr:nvSpPr>
      <xdr:spPr>
        <a:xfrm>
          <a:off x="56197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32</xdr:row>
      <xdr:rowOff>142875</xdr:rowOff>
    </xdr:from>
    <xdr:to>
      <xdr:col>9</xdr:col>
      <xdr:colOff>238125</xdr:colOff>
      <xdr:row>33</xdr:row>
      <xdr:rowOff>133350</xdr:rowOff>
    </xdr:to>
    <xdr:sp>
      <xdr:nvSpPr>
        <xdr:cNvPr id="101" name="Line 174"/>
        <xdr:cNvSpPr>
          <a:spLocks/>
        </xdr:cNvSpPr>
      </xdr:nvSpPr>
      <xdr:spPr>
        <a:xfrm>
          <a:off x="56578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32</xdr:row>
      <xdr:rowOff>142875</xdr:rowOff>
    </xdr:from>
    <xdr:to>
      <xdr:col>7</xdr:col>
      <xdr:colOff>142875</xdr:colOff>
      <xdr:row>33</xdr:row>
      <xdr:rowOff>133350</xdr:rowOff>
    </xdr:to>
    <xdr:sp>
      <xdr:nvSpPr>
        <xdr:cNvPr id="102" name="Line 175"/>
        <xdr:cNvSpPr>
          <a:spLocks/>
        </xdr:cNvSpPr>
      </xdr:nvSpPr>
      <xdr:spPr>
        <a:xfrm>
          <a:off x="465772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32</xdr:row>
      <xdr:rowOff>142875</xdr:rowOff>
    </xdr:from>
    <xdr:to>
      <xdr:col>7</xdr:col>
      <xdr:colOff>238125</xdr:colOff>
      <xdr:row>33</xdr:row>
      <xdr:rowOff>133350</xdr:rowOff>
    </xdr:to>
    <xdr:sp>
      <xdr:nvSpPr>
        <xdr:cNvPr id="103" name="Line 176"/>
        <xdr:cNvSpPr>
          <a:spLocks/>
        </xdr:cNvSpPr>
      </xdr:nvSpPr>
      <xdr:spPr>
        <a:xfrm>
          <a:off x="475297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32</xdr:row>
      <xdr:rowOff>142875</xdr:rowOff>
    </xdr:from>
    <xdr:to>
      <xdr:col>7</xdr:col>
      <xdr:colOff>323850</xdr:colOff>
      <xdr:row>33</xdr:row>
      <xdr:rowOff>133350</xdr:rowOff>
    </xdr:to>
    <xdr:sp>
      <xdr:nvSpPr>
        <xdr:cNvPr id="104" name="Line 177"/>
        <xdr:cNvSpPr>
          <a:spLocks/>
        </xdr:cNvSpPr>
      </xdr:nvSpPr>
      <xdr:spPr>
        <a:xfrm>
          <a:off x="483870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32</xdr:row>
      <xdr:rowOff>142875</xdr:rowOff>
    </xdr:from>
    <xdr:to>
      <xdr:col>7</xdr:col>
      <xdr:colOff>419100</xdr:colOff>
      <xdr:row>33</xdr:row>
      <xdr:rowOff>133350</xdr:rowOff>
    </xdr:to>
    <xdr:sp>
      <xdr:nvSpPr>
        <xdr:cNvPr id="105" name="Line 178"/>
        <xdr:cNvSpPr>
          <a:spLocks/>
        </xdr:cNvSpPr>
      </xdr:nvSpPr>
      <xdr:spPr>
        <a:xfrm>
          <a:off x="49339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142875</xdr:rowOff>
    </xdr:from>
    <xdr:to>
      <xdr:col>7</xdr:col>
      <xdr:colOff>514350</xdr:colOff>
      <xdr:row>33</xdr:row>
      <xdr:rowOff>133350</xdr:rowOff>
    </xdr:to>
    <xdr:sp>
      <xdr:nvSpPr>
        <xdr:cNvPr id="106" name="Line 179"/>
        <xdr:cNvSpPr>
          <a:spLocks/>
        </xdr:cNvSpPr>
      </xdr:nvSpPr>
      <xdr:spPr>
        <a:xfrm>
          <a:off x="502920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32</xdr:row>
      <xdr:rowOff>142875</xdr:rowOff>
    </xdr:from>
    <xdr:to>
      <xdr:col>8</xdr:col>
      <xdr:colOff>9525</xdr:colOff>
      <xdr:row>33</xdr:row>
      <xdr:rowOff>133350</xdr:rowOff>
    </xdr:to>
    <xdr:sp>
      <xdr:nvSpPr>
        <xdr:cNvPr id="107" name="Line 180"/>
        <xdr:cNvSpPr>
          <a:spLocks/>
        </xdr:cNvSpPr>
      </xdr:nvSpPr>
      <xdr:spPr>
        <a:xfrm>
          <a:off x="51244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32</xdr:row>
      <xdr:rowOff>142875</xdr:rowOff>
    </xdr:from>
    <xdr:to>
      <xdr:col>8</xdr:col>
      <xdr:colOff>95250</xdr:colOff>
      <xdr:row>33</xdr:row>
      <xdr:rowOff>133350</xdr:rowOff>
    </xdr:to>
    <xdr:sp>
      <xdr:nvSpPr>
        <xdr:cNvPr id="108" name="Line 181"/>
        <xdr:cNvSpPr>
          <a:spLocks/>
        </xdr:cNvSpPr>
      </xdr:nvSpPr>
      <xdr:spPr>
        <a:xfrm>
          <a:off x="521017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142875</xdr:rowOff>
    </xdr:from>
    <xdr:to>
      <xdr:col>8</xdr:col>
      <xdr:colOff>190500</xdr:colOff>
      <xdr:row>33</xdr:row>
      <xdr:rowOff>133350</xdr:rowOff>
    </xdr:to>
    <xdr:sp>
      <xdr:nvSpPr>
        <xdr:cNvPr id="109" name="Line 182"/>
        <xdr:cNvSpPr>
          <a:spLocks/>
        </xdr:cNvSpPr>
      </xdr:nvSpPr>
      <xdr:spPr>
        <a:xfrm>
          <a:off x="530542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34</xdr:row>
      <xdr:rowOff>66675</xdr:rowOff>
    </xdr:from>
    <xdr:to>
      <xdr:col>9</xdr:col>
      <xdr:colOff>276225</xdr:colOff>
      <xdr:row>34</xdr:row>
      <xdr:rowOff>66675</xdr:rowOff>
    </xdr:to>
    <xdr:sp>
      <xdr:nvSpPr>
        <xdr:cNvPr id="110" name="Line 183"/>
        <xdr:cNvSpPr>
          <a:spLocks/>
        </xdr:cNvSpPr>
      </xdr:nvSpPr>
      <xdr:spPr>
        <a:xfrm>
          <a:off x="361950" y="9344025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34</xdr:row>
      <xdr:rowOff>28575</xdr:rowOff>
    </xdr:from>
    <xdr:to>
      <xdr:col>0</xdr:col>
      <xdr:colOff>361950</xdr:colOff>
      <xdr:row>34</xdr:row>
      <xdr:rowOff>95250</xdr:rowOff>
    </xdr:to>
    <xdr:sp>
      <xdr:nvSpPr>
        <xdr:cNvPr id="111" name="Line 184"/>
        <xdr:cNvSpPr>
          <a:spLocks/>
        </xdr:cNvSpPr>
      </xdr:nvSpPr>
      <xdr:spPr>
        <a:xfrm>
          <a:off x="361950" y="93059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34</xdr:row>
      <xdr:rowOff>28575</xdr:rowOff>
    </xdr:from>
    <xdr:to>
      <xdr:col>0</xdr:col>
      <xdr:colOff>657225</xdr:colOff>
      <xdr:row>34</xdr:row>
      <xdr:rowOff>95250</xdr:rowOff>
    </xdr:to>
    <xdr:sp>
      <xdr:nvSpPr>
        <xdr:cNvPr id="112" name="Line 185"/>
        <xdr:cNvSpPr>
          <a:spLocks/>
        </xdr:cNvSpPr>
      </xdr:nvSpPr>
      <xdr:spPr>
        <a:xfrm>
          <a:off x="657225" y="93059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1400175</xdr:colOff>
      <xdr:row>34</xdr:row>
      <xdr:rowOff>28575</xdr:rowOff>
    </xdr:from>
    <xdr:to>
      <xdr:col>0</xdr:col>
      <xdr:colOff>1400175</xdr:colOff>
      <xdr:row>34</xdr:row>
      <xdr:rowOff>95250</xdr:rowOff>
    </xdr:to>
    <xdr:sp>
      <xdr:nvSpPr>
        <xdr:cNvPr id="113" name="Line 186"/>
        <xdr:cNvSpPr>
          <a:spLocks/>
        </xdr:cNvSpPr>
      </xdr:nvSpPr>
      <xdr:spPr>
        <a:xfrm>
          <a:off x="1400175" y="93059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419100</xdr:colOff>
      <xdr:row>34</xdr:row>
      <xdr:rowOff>161925</xdr:rowOff>
    </xdr:from>
    <xdr:ext cx="76200" cy="200025"/>
    <xdr:sp fLocksText="0">
      <xdr:nvSpPr>
        <xdr:cNvPr id="114" name="Text Box 187"/>
        <xdr:cNvSpPr txBox="1">
          <a:spLocks noChangeArrowheads="1"/>
        </xdr:cNvSpPr>
      </xdr:nvSpPr>
      <xdr:spPr>
        <a:xfrm>
          <a:off x="419100" y="943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333375</xdr:colOff>
      <xdr:row>33</xdr:row>
      <xdr:rowOff>161925</xdr:rowOff>
    </xdr:from>
    <xdr:ext cx="323850" cy="161925"/>
    <xdr:sp>
      <xdr:nvSpPr>
        <xdr:cNvPr id="115" name="Text Box 188"/>
        <xdr:cNvSpPr txBox="1">
          <a:spLocks noChangeArrowheads="1"/>
        </xdr:cNvSpPr>
      </xdr:nvSpPr>
      <xdr:spPr>
        <a:xfrm>
          <a:off x="333375" y="91725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@0.03</a:t>
          </a:r>
        </a:p>
      </xdr:txBody>
    </xdr:sp>
    <xdr:clientData/>
  </xdr:oneCellAnchor>
  <xdr:oneCellAnchor>
    <xdr:from>
      <xdr:col>0</xdr:col>
      <xdr:colOff>857250</xdr:colOff>
      <xdr:row>33</xdr:row>
      <xdr:rowOff>161925</xdr:rowOff>
    </xdr:from>
    <xdr:ext cx="381000" cy="161925"/>
    <xdr:sp>
      <xdr:nvSpPr>
        <xdr:cNvPr id="116" name="Text Box 189"/>
        <xdr:cNvSpPr txBox="1">
          <a:spLocks noChangeArrowheads="1"/>
        </xdr:cNvSpPr>
      </xdr:nvSpPr>
      <xdr:spPr>
        <a:xfrm>
          <a:off x="857250" y="9172575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@0.075</a:t>
          </a:r>
        </a:p>
      </xdr:txBody>
    </xdr:sp>
    <xdr:clientData/>
  </xdr:oneCellAnchor>
  <xdr:twoCellAnchor>
    <xdr:from>
      <xdr:col>7</xdr:col>
      <xdr:colOff>142875</xdr:colOff>
      <xdr:row>34</xdr:row>
      <xdr:rowOff>28575</xdr:rowOff>
    </xdr:from>
    <xdr:to>
      <xdr:col>7</xdr:col>
      <xdr:colOff>142875</xdr:colOff>
      <xdr:row>34</xdr:row>
      <xdr:rowOff>95250</xdr:rowOff>
    </xdr:to>
    <xdr:sp>
      <xdr:nvSpPr>
        <xdr:cNvPr id="117" name="Line 190"/>
        <xdr:cNvSpPr>
          <a:spLocks/>
        </xdr:cNvSpPr>
      </xdr:nvSpPr>
      <xdr:spPr>
        <a:xfrm>
          <a:off x="4657725" y="93059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34</xdr:row>
      <xdr:rowOff>28575</xdr:rowOff>
    </xdr:from>
    <xdr:to>
      <xdr:col>8</xdr:col>
      <xdr:colOff>276225</xdr:colOff>
      <xdr:row>34</xdr:row>
      <xdr:rowOff>95250</xdr:rowOff>
    </xdr:to>
    <xdr:sp>
      <xdr:nvSpPr>
        <xdr:cNvPr id="118" name="Line 191"/>
        <xdr:cNvSpPr>
          <a:spLocks/>
        </xdr:cNvSpPr>
      </xdr:nvSpPr>
      <xdr:spPr>
        <a:xfrm>
          <a:off x="5391150" y="93059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34</xdr:row>
      <xdr:rowOff>28575</xdr:rowOff>
    </xdr:from>
    <xdr:to>
      <xdr:col>9</xdr:col>
      <xdr:colOff>276225</xdr:colOff>
      <xdr:row>34</xdr:row>
      <xdr:rowOff>95250</xdr:rowOff>
    </xdr:to>
    <xdr:sp>
      <xdr:nvSpPr>
        <xdr:cNvPr id="119" name="Line 192"/>
        <xdr:cNvSpPr>
          <a:spLocks/>
        </xdr:cNvSpPr>
      </xdr:nvSpPr>
      <xdr:spPr>
        <a:xfrm>
          <a:off x="5695950" y="93059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171450</xdr:colOff>
      <xdr:row>35</xdr:row>
      <xdr:rowOff>190500</xdr:rowOff>
    </xdr:from>
    <xdr:ext cx="76200" cy="200025"/>
    <xdr:sp fLocksText="0">
      <xdr:nvSpPr>
        <xdr:cNvPr id="120" name="Text Box 193"/>
        <xdr:cNvSpPr txBox="1">
          <a:spLocks noChangeArrowheads="1"/>
        </xdr:cNvSpPr>
      </xdr:nvSpPr>
      <xdr:spPr>
        <a:xfrm>
          <a:off x="4686300" y="973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33</xdr:row>
      <xdr:rowOff>161925</xdr:rowOff>
    </xdr:from>
    <xdr:ext cx="323850" cy="161925"/>
    <xdr:sp>
      <xdr:nvSpPr>
        <xdr:cNvPr id="121" name="Text Box 194"/>
        <xdr:cNvSpPr txBox="1">
          <a:spLocks noChangeArrowheads="1"/>
        </xdr:cNvSpPr>
      </xdr:nvSpPr>
      <xdr:spPr>
        <a:xfrm>
          <a:off x="5362575" y="91725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@0.03</a:t>
          </a:r>
        </a:p>
      </xdr:txBody>
    </xdr:sp>
    <xdr:clientData/>
  </xdr:oneCellAnchor>
  <xdr:oneCellAnchor>
    <xdr:from>
      <xdr:col>7</xdr:col>
      <xdr:colOff>295275</xdr:colOff>
      <xdr:row>33</xdr:row>
      <xdr:rowOff>161925</xdr:rowOff>
    </xdr:from>
    <xdr:ext cx="381000" cy="161925"/>
    <xdr:sp>
      <xdr:nvSpPr>
        <xdr:cNvPr id="122" name="Text Box 195"/>
        <xdr:cNvSpPr txBox="1">
          <a:spLocks noChangeArrowheads="1"/>
        </xdr:cNvSpPr>
      </xdr:nvSpPr>
      <xdr:spPr>
        <a:xfrm>
          <a:off x="4810125" y="9172575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@0.075</a:t>
          </a:r>
        </a:p>
      </xdr:txBody>
    </xdr:sp>
    <xdr:clientData/>
  </xdr:oneCellAnchor>
  <xdr:oneCellAnchor>
    <xdr:from>
      <xdr:col>0</xdr:col>
      <xdr:colOff>381000</xdr:colOff>
      <xdr:row>34</xdr:row>
      <xdr:rowOff>66675</xdr:rowOff>
    </xdr:from>
    <xdr:ext cx="219075" cy="161925"/>
    <xdr:sp>
      <xdr:nvSpPr>
        <xdr:cNvPr id="123" name="Text Box 196"/>
        <xdr:cNvSpPr txBox="1">
          <a:spLocks noChangeArrowheads="1"/>
        </xdr:cNvSpPr>
      </xdr:nvSpPr>
      <xdr:spPr>
        <a:xfrm>
          <a:off x="381000" y="9344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0.30</a:t>
          </a:r>
        </a:p>
      </xdr:txBody>
    </xdr:sp>
    <xdr:clientData/>
  </xdr:oneCellAnchor>
  <xdr:twoCellAnchor>
    <xdr:from>
      <xdr:col>0</xdr:col>
      <xdr:colOff>361950</xdr:colOff>
      <xdr:row>34</xdr:row>
      <xdr:rowOff>228600</xdr:rowOff>
    </xdr:from>
    <xdr:to>
      <xdr:col>9</xdr:col>
      <xdr:colOff>276225</xdr:colOff>
      <xdr:row>34</xdr:row>
      <xdr:rowOff>228600</xdr:rowOff>
    </xdr:to>
    <xdr:sp>
      <xdr:nvSpPr>
        <xdr:cNvPr id="124" name="Line 197"/>
        <xdr:cNvSpPr>
          <a:spLocks/>
        </xdr:cNvSpPr>
      </xdr:nvSpPr>
      <xdr:spPr>
        <a:xfrm>
          <a:off x="361950" y="9505950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34</xdr:row>
      <xdr:rowOff>66675</xdr:rowOff>
    </xdr:from>
    <xdr:ext cx="219075" cy="161925"/>
    <xdr:sp>
      <xdr:nvSpPr>
        <xdr:cNvPr id="125" name="Text Box 198"/>
        <xdr:cNvSpPr txBox="1">
          <a:spLocks noChangeArrowheads="1"/>
        </xdr:cNvSpPr>
      </xdr:nvSpPr>
      <xdr:spPr>
        <a:xfrm>
          <a:off x="876300" y="9344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0.60</a:t>
          </a:r>
        </a:p>
      </xdr:txBody>
    </xdr:sp>
    <xdr:clientData/>
  </xdr:oneCellAnchor>
  <xdr:oneCellAnchor>
    <xdr:from>
      <xdr:col>9</xdr:col>
      <xdr:colOff>9525</xdr:colOff>
      <xdr:row>34</xdr:row>
      <xdr:rowOff>66675</xdr:rowOff>
    </xdr:from>
    <xdr:ext cx="219075" cy="161925"/>
    <xdr:sp>
      <xdr:nvSpPr>
        <xdr:cNvPr id="126" name="Text Box 200"/>
        <xdr:cNvSpPr txBox="1">
          <a:spLocks noChangeArrowheads="1"/>
        </xdr:cNvSpPr>
      </xdr:nvSpPr>
      <xdr:spPr>
        <a:xfrm>
          <a:off x="5429250" y="9344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0.30</a:t>
          </a:r>
        </a:p>
      </xdr:txBody>
    </xdr:sp>
    <xdr:clientData/>
  </xdr:oneCellAnchor>
  <xdr:oneCellAnchor>
    <xdr:from>
      <xdr:col>7</xdr:col>
      <xdr:colOff>352425</xdr:colOff>
      <xdr:row>34</xdr:row>
      <xdr:rowOff>66675</xdr:rowOff>
    </xdr:from>
    <xdr:ext cx="219075" cy="161925"/>
    <xdr:sp>
      <xdr:nvSpPr>
        <xdr:cNvPr id="127" name="Text Box 201"/>
        <xdr:cNvSpPr txBox="1">
          <a:spLocks noChangeArrowheads="1"/>
        </xdr:cNvSpPr>
      </xdr:nvSpPr>
      <xdr:spPr>
        <a:xfrm>
          <a:off x="4867275" y="9344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0.60</a:t>
          </a:r>
        </a:p>
      </xdr:txBody>
    </xdr:sp>
    <xdr:clientData/>
  </xdr:oneCellAnchor>
  <xdr:twoCellAnchor>
    <xdr:from>
      <xdr:col>0</xdr:col>
      <xdr:colOff>361950</xdr:colOff>
      <xdr:row>34</xdr:row>
      <xdr:rowOff>190500</xdr:rowOff>
    </xdr:from>
    <xdr:to>
      <xdr:col>0</xdr:col>
      <xdr:colOff>361950</xdr:colOff>
      <xdr:row>34</xdr:row>
      <xdr:rowOff>257175</xdr:rowOff>
    </xdr:to>
    <xdr:sp>
      <xdr:nvSpPr>
        <xdr:cNvPr id="128" name="Line 202"/>
        <xdr:cNvSpPr>
          <a:spLocks/>
        </xdr:cNvSpPr>
      </xdr:nvSpPr>
      <xdr:spPr>
        <a:xfrm>
          <a:off x="361950" y="94678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34</xdr:row>
      <xdr:rowOff>190500</xdr:rowOff>
    </xdr:from>
    <xdr:to>
      <xdr:col>9</xdr:col>
      <xdr:colOff>276225</xdr:colOff>
      <xdr:row>34</xdr:row>
      <xdr:rowOff>257175</xdr:rowOff>
    </xdr:to>
    <xdr:sp>
      <xdr:nvSpPr>
        <xdr:cNvPr id="129" name="Line 203"/>
        <xdr:cNvSpPr>
          <a:spLocks/>
        </xdr:cNvSpPr>
      </xdr:nvSpPr>
      <xdr:spPr>
        <a:xfrm>
          <a:off x="5695950" y="94678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200025</xdr:colOff>
      <xdr:row>34</xdr:row>
      <xdr:rowOff>66675</xdr:rowOff>
    </xdr:from>
    <xdr:ext cx="304800" cy="161925"/>
    <xdr:sp>
      <xdr:nvSpPr>
        <xdr:cNvPr id="130" name="Text Box 204"/>
        <xdr:cNvSpPr txBox="1">
          <a:spLocks noChangeArrowheads="1"/>
        </xdr:cNvSpPr>
      </xdr:nvSpPr>
      <xdr:spPr>
        <a:xfrm>
          <a:off x="2990850" y="9344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varies</a:t>
          </a:r>
        </a:p>
      </xdr:txBody>
    </xdr:sp>
    <xdr:clientData/>
  </xdr:oneCellAnchor>
  <xdr:oneCellAnchor>
    <xdr:from>
      <xdr:col>3</xdr:col>
      <xdr:colOff>142875</xdr:colOff>
      <xdr:row>34</xdr:row>
      <xdr:rowOff>257175</xdr:rowOff>
    </xdr:from>
    <xdr:ext cx="390525" cy="161925"/>
    <xdr:sp>
      <xdr:nvSpPr>
        <xdr:cNvPr id="131" name="Text Box 205"/>
        <xdr:cNvSpPr txBox="1">
          <a:spLocks noChangeArrowheads="1"/>
        </xdr:cNvSpPr>
      </xdr:nvSpPr>
      <xdr:spPr>
        <a:xfrm>
          <a:off x="2933700" y="95345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L=10.50</a:t>
          </a:r>
        </a:p>
      </xdr:txBody>
    </xdr:sp>
    <xdr:clientData/>
  </xdr:oneCellAnchor>
  <xdr:twoCellAnchor>
    <xdr:from>
      <xdr:col>0</xdr:col>
      <xdr:colOff>1590675</xdr:colOff>
      <xdr:row>32</xdr:row>
      <xdr:rowOff>142875</xdr:rowOff>
    </xdr:from>
    <xdr:to>
      <xdr:col>0</xdr:col>
      <xdr:colOff>1590675</xdr:colOff>
      <xdr:row>33</xdr:row>
      <xdr:rowOff>133350</xdr:rowOff>
    </xdr:to>
    <xdr:sp>
      <xdr:nvSpPr>
        <xdr:cNvPr id="132" name="Line 206"/>
        <xdr:cNvSpPr>
          <a:spLocks/>
        </xdr:cNvSpPr>
      </xdr:nvSpPr>
      <xdr:spPr>
        <a:xfrm>
          <a:off x="159067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32</xdr:row>
      <xdr:rowOff>142875</xdr:rowOff>
    </xdr:from>
    <xdr:to>
      <xdr:col>0</xdr:col>
      <xdr:colOff>1781175</xdr:colOff>
      <xdr:row>33</xdr:row>
      <xdr:rowOff>133350</xdr:rowOff>
    </xdr:to>
    <xdr:sp>
      <xdr:nvSpPr>
        <xdr:cNvPr id="133" name="Line 207"/>
        <xdr:cNvSpPr>
          <a:spLocks/>
        </xdr:cNvSpPr>
      </xdr:nvSpPr>
      <xdr:spPr>
        <a:xfrm>
          <a:off x="178117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32</xdr:row>
      <xdr:rowOff>142875</xdr:rowOff>
    </xdr:from>
    <xdr:to>
      <xdr:col>0</xdr:col>
      <xdr:colOff>1971675</xdr:colOff>
      <xdr:row>33</xdr:row>
      <xdr:rowOff>133350</xdr:rowOff>
    </xdr:to>
    <xdr:sp>
      <xdr:nvSpPr>
        <xdr:cNvPr id="134" name="Line 208"/>
        <xdr:cNvSpPr>
          <a:spLocks/>
        </xdr:cNvSpPr>
      </xdr:nvSpPr>
      <xdr:spPr>
        <a:xfrm>
          <a:off x="197167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2181225</xdr:colOff>
      <xdr:row>32</xdr:row>
      <xdr:rowOff>142875</xdr:rowOff>
    </xdr:from>
    <xdr:to>
      <xdr:col>0</xdr:col>
      <xdr:colOff>2181225</xdr:colOff>
      <xdr:row>33</xdr:row>
      <xdr:rowOff>133350</xdr:rowOff>
    </xdr:to>
    <xdr:sp>
      <xdr:nvSpPr>
        <xdr:cNvPr id="135" name="Line 209"/>
        <xdr:cNvSpPr>
          <a:spLocks/>
        </xdr:cNvSpPr>
      </xdr:nvSpPr>
      <xdr:spPr>
        <a:xfrm>
          <a:off x="218122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32</xdr:row>
      <xdr:rowOff>142875</xdr:rowOff>
    </xdr:from>
    <xdr:to>
      <xdr:col>1</xdr:col>
      <xdr:colOff>171450</xdr:colOff>
      <xdr:row>33</xdr:row>
      <xdr:rowOff>133350</xdr:rowOff>
    </xdr:to>
    <xdr:sp>
      <xdr:nvSpPr>
        <xdr:cNvPr id="136" name="Line 210"/>
        <xdr:cNvSpPr>
          <a:spLocks/>
        </xdr:cNvSpPr>
      </xdr:nvSpPr>
      <xdr:spPr>
        <a:xfrm>
          <a:off x="239077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32</xdr:row>
      <xdr:rowOff>142875</xdr:rowOff>
    </xdr:from>
    <xdr:to>
      <xdr:col>1</xdr:col>
      <xdr:colOff>371475</xdr:colOff>
      <xdr:row>33</xdr:row>
      <xdr:rowOff>133350</xdr:rowOff>
    </xdr:to>
    <xdr:sp>
      <xdr:nvSpPr>
        <xdr:cNvPr id="137" name="Line 211"/>
        <xdr:cNvSpPr>
          <a:spLocks/>
        </xdr:cNvSpPr>
      </xdr:nvSpPr>
      <xdr:spPr>
        <a:xfrm>
          <a:off x="259080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142875</xdr:rowOff>
    </xdr:from>
    <xdr:to>
      <xdr:col>3</xdr:col>
      <xdr:colOff>0</xdr:colOff>
      <xdr:row>33</xdr:row>
      <xdr:rowOff>133350</xdr:rowOff>
    </xdr:to>
    <xdr:sp>
      <xdr:nvSpPr>
        <xdr:cNvPr id="138" name="Line 212"/>
        <xdr:cNvSpPr>
          <a:spLocks/>
        </xdr:cNvSpPr>
      </xdr:nvSpPr>
      <xdr:spPr>
        <a:xfrm>
          <a:off x="279082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32</xdr:row>
      <xdr:rowOff>142875</xdr:rowOff>
    </xdr:from>
    <xdr:to>
      <xdr:col>3</xdr:col>
      <xdr:colOff>219075</xdr:colOff>
      <xdr:row>33</xdr:row>
      <xdr:rowOff>133350</xdr:rowOff>
    </xdr:to>
    <xdr:sp>
      <xdr:nvSpPr>
        <xdr:cNvPr id="139" name="Line 213"/>
        <xdr:cNvSpPr>
          <a:spLocks/>
        </xdr:cNvSpPr>
      </xdr:nvSpPr>
      <xdr:spPr>
        <a:xfrm>
          <a:off x="300990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32</xdr:row>
      <xdr:rowOff>142875</xdr:rowOff>
    </xdr:from>
    <xdr:to>
      <xdr:col>3</xdr:col>
      <xdr:colOff>438150</xdr:colOff>
      <xdr:row>33</xdr:row>
      <xdr:rowOff>133350</xdr:rowOff>
    </xdr:to>
    <xdr:sp>
      <xdr:nvSpPr>
        <xdr:cNvPr id="140" name="Line 218"/>
        <xdr:cNvSpPr>
          <a:spLocks/>
        </xdr:cNvSpPr>
      </xdr:nvSpPr>
      <xdr:spPr>
        <a:xfrm>
          <a:off x="322897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32</xdr:row>
      <xdr:rowOff>142875</xdr:rowOff>
    </xdr:from>
    <xdr:to>
      <xdr:col>3</xdr:col>
      <xdr:colOff>638175</xdr:colOff>
      <xdr:row>33</xdr:row>
      <xdr:rowOff>133350</xdr:rowOff>
    </xdr:to>
    <xdr:sp>
      <xdr:nvSpPr>
        <xdr:cNvPr id="141" name="Line 219"/>
        <xdr:cNvSpPr>
          <a:spLocks/>
        </xdr:cNvSpPr>
      </xdr:nvSpPr>
      <xdr:spPr>
        <a:xfrm>
          <a:off x="342900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32</xdr:row>
      <xdr:rowOff>142875</xdr:rowOff>
    </xdr:from>
    <xdr:to>
      <xdr:col>4</xdr:col>
      <xdr:colOff>133350</xdr:colOff>
      <xdr:row>33</xdr:row>
      <xdr:rowOff>133350</xdr:rowOff>
    </xdr:to>
    <xdr:sp>
      <xdr:nvSpPr>
        <xdr:cNvPr id="142" name="Line 220"/>
        <xdr:cNvSpPr>
          <a:spLocks/>
        </xdr:cNvSpPr>
      </xdr:nvSpPr>
      <xdr:spPr>
        <a:xfrm>
          <a:off x="36385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32</xdr:row>
      <xdr:rowOff>142875</xdr:rowOff>
    </xdr:from>
    <xdr:to>
      <xdr:col>4</xdr:col>
      <xdr:colOff>342900</xdr:colOff>
      <xdr:row>33</xdr:row>
      <xdr:rowOff>133350</xdr:rowOff>
    </xdr:to>
    <xdr:sp>
      <xdr:nvSpPr>
        <xdr:cNvPr id="143" name="Line 221"/>
        <xdr:cNvSpPr>
          <a:spLocks/>
        </xdr:cNvSpPr>
      </xdr:nvSpPr>
      <xdr:spPr>
        <a:xfrm>
          <a:off x="384810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32</xdr:row>
      <xdr:rowOff>142875</xdr:rowOff>
    </xdr:from>
    <xdr:to>
      <xdr:col>5</xdr:col>
      <xdr:colOff>57150</xdr:colOff>
      <xdr:row>33</xdr:row>
      <xdr:rowOff>133350</xdr:rowOff>
    </xdr:to>
    <xdr:sp>
      <xdr:nvSpPr>
        <xdr:cNvPr id="144" name="Line 222"/>
        <xdr:cNvSpPr>
          <a:spLocks/>
        </xdr:cNvSpPr>
      </xdr:nvSpPr>
      <xdr:spPr>
        <a:xfrm>
          <a:off x="40576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32</xdr:row>
      <xdr:rowOff>142875</xdr:rowOff>
    </xdr:from>
    <xdr:to>
      <xdr:col>5</xdr:col>
      <xdr:colOff>247650</xdr:colOff>
      <xdr:row>33</xdr:row>
      <xdr:rowOff>133350</xdr:rowOff>
    </xdr:to>
    <xdr:sp>
      <xdr:nvSpPr>
        <xdr:cNvPr id="145" name="Line 223"/>
        <xdr:cNvSpPr>
          <a:spLocks/>
        </xdr:cNvSpPr>
      </xdr:nvSpPr>
      <xdr:spPr>
        <a:xfrm>
          <a:off x="4248150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142875</xdr:rowOff>
    </xdr:from>
    <xdr:to>
      <xdr:col>6</xdr:col>
      <xdr:colOff>114300</xdr:colOff>
      <xdr:row>33</xdr:row>
      <xdr:rowOff>133350</xdr:rowOff>
    </xdr:to>
    <xdr:sp>
      <xdr:nvSpPr>
        <xdr:cNvPr id="146" name="Line 224"/>
        <xdr:cNvSpPr>
          <a:spLocks/>
        </xdr:cNvSpPr>
      </xdr:nvSpPr>
      <xdr:spPr>
        <a:xfrm>
          <a:off x="4448175" y="8886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180975</xdr:colOff>
      <xdr:row>33</xdr:row>
      <xdr:rowOff>161925</xdr:rowOff>
    </xdr:from>
    <xdr:ext cx="323850" cy="161925"/>
    <xdr:sp>
      <xdr:nvSpPr>
        <xdr:cNvPr id="147" name="Text Box 226"/>
        <xdr:cNvSpPr txBox="1">
          <a:spLocks noChangeArrowheads="1"/>
        </xdr:cNvSpPr>
      </xdr:nvSpPr>
      <xdr:spPr>
        <a:xfrm>
          <a:off x="2971800" y="91725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@0.15</a:t>
          </a:r>
        </a:p>
      </xdr:txBody>
    </xdr:sp>
    <xdr:clientData/>
  </xdr:oneCellAnchor>
  <xdr:oneCellAnchor>
    <xdr:from>
      <xdr:col>0</xdr:col>
      <xdr:colOff>1857375</xdr:colOff>
      <xdr:row>31</xdr:row>
      <xdr:rowOff>190500</xdr:rowOff>
    </xdr:from>
    <xdr:ext cx="2200275" cy="180975"/>
    <xdr:sp>
      <xdr:nvSpPr>
        <xdr:cNvPr id="148" name="Text Box 227"/>
        <xdr:cNvSpPr txBox="1">
          <a:spLocks noChangeArrowheads="1"/>
        </xdr:cNvSpPr>
      </xdr:nvSpPr>
      <xdr:spPr>
        <a:xfrm>
          <a:off x="1857375" y="8667750"/>
          <a:ext cx="2200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Stirrups :Ties or Spirals Diameter 3 mm</a:t>
          </a:r>
        </a:p>
      </xdr:txBody>
    </xdr:sp>
    <xdr:clientData/>
  </xdr:oneCellAnchor>
  <xdr:twoCellAnchor>
    <xdr:from>
      <xdr:col>0</xdr:col>
      <xdr:colOff>1524000</xdr:colOff>
      <xdr:row>31</xdr:row>
      <xdr:rowOff>133350</xdr:rowOff>
    </xdr:from>
    <xdr:to>
      <xdr:col>0</xdr:col>
      <xdr:colOff>1524000</xdr:colOff>
      <xdr:row>32</xdr:row>
      <xdr:rowOff>95250</xdr:rowOff>
    </xdr:to>
    <xdr:sp>
      <xdr:nvSpPr>
        <xdr:cNvPr id="149" name="Line 228"/>
        <xdr:cNvSpPr>
          <a:spLocks/>
        </xdr:cNvSpPr>
      </xdr:nvSpPr>
      <xdr:spPr>
        <a:xfrm flipV="1">
          <a:off x="1524000" y="8610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1238250</xdr:colOff>
      <xdr:row>30</xdr:row>
      <xdr:rowOff>238125</xdr:rowOff>
    </xdr:from>
    <xdr:ext cx="542925" cy="161925"/>
    <xdr:sp>
      <xdr:nvSpPr>
        <xdr:cNvPr id="150" name="Text Box 229"/>
        <xdr:cNvSpPr txBox="1">
          <a:spLocks noChangeArrowheads="1"/>
        </xdr:cNvSpPr>
      </xdr:nvSpPr>
      <xdr:spPr>
        <a:xfrm>
          <a:off x="1238250" y="84486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Lifting Point</a:t>
          </a:r>
        </a:p>
      </xdr:txBody>
    </xdr:sp>
    <xdr:clientData/>
  </xdr:oneCellAnchor>
  <xdr:twoCellAnchor>
    <xdr:from>
      <xdr:col>7</xdr:col>
      <xdr:colOff>19050</xdr:colOff>
      <xdr:row>31</xdr:row>
      <xdr:rowOff>133350</xdr:rowOff>
    </xdr:from>
    <xdr:to>
      <xdr:col>7</xdr:col>
      <xdr:colOff>19050</xdr:colOff>
      <xdr:row>32</xdr:row>
      <xdr:rowOff>95250</xdr:rowOff>
    </xdr:to>
    <xdr:sp>
      <xdr:nvSpPr>
        <xdr:cNvPr id="151" name="Line 230"/>
        <xdr:cNvSpPr>
          <a:spLocks/>
        </xdr:cNvSpPr>
      </xdr:nvSpPr>
      <xdr:spPr>
        <a:xfrm flipV="1">
          <a:off x="4533900" y="8610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238125</xdr:colOff>
      <xdr:row>30</xdr:row>
      <xdr:rowOff>238125</xdr:rowOff>
    </xdr:from>
    <xdr:ext cx="542925" cy="161925"/>
    <xdr:sp>
      <xdr:nvSpPr>
        <xdr:cNvPr id="152" name="Text Box 231"/>
        <xdr:cNvSpPr txBox="1">
          <a:spLocks noChangeArrowheads="1"/>
        </xdr:cNvSpPr>
      </xdr:nvSpPr>
      <xdr:spPr>
        <a:xfrm>
          <a:off x="4238625" y="8448675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Lifting Point</a:t>
          </a:r>
        </a:p>
      </xdr:txBody>
    </xdr:sp>
    <xdr:clientData/>
  </xdr:oneCellAnchor>
  <xdr:oneCellAnchor>
    <xdr:from>
      <xdr:col>0</xdr:col>
      <xdr:colOff>428625</xdr:colOff>
      <xdr:row>30</xdr:row>
      <xdr:rowOff>171450</xdr:rowOff>
    </xdr:from>
    <xdr:ext cx="76200" cy="200025"/>
    <xdr:sp fLocksText="0">
      <xdr:nvSpPr>
        <xdr:cNvPr id="153" name="Text Box 232"/>
        <xdr:cNvSpPr txBox="1">
          <a:spLocks noChangeArrowheads="1"/>
        </xdr:cNvSpPr>
      </xdr:nvSpPr>
      <xdr:spPr>
        <a:xfrm>
          <a:off x="428625" y="838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371475</xdr:colOff>
      <xdr:row>31</xdr:row>
      <xdr:rowOff>238125</xdr:rowOff>
    </xdr:from>
    <xdr:to>
      <xdr:col>0</xdr:col>
      <xdr:colOff>371475</xdr:colOff>
      <xdr:row>32</xdr:row>
      <xdr:rowOff>38100</xdr:rowOff>
    </xdr:to>
    <xdr:sp>
      <xdr:nvSpPr>
        <xdr:cNvPr id="154" name="Line 234"/>
        <xdr:cNvSpPr>
          <a:spLocks/>
        </xdr:cNvSpPr>
      </xdr:nvSpPr>
      <xdr:spPr>
        <a:xfrm>
          <a:off x="371475" y="87153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31</xdr:row>
      <xdr:rowOff>228600</xdr:rowOff>
    </xdr:from>
    <xdr:to>
      <xdr:col>9</xdr:col>
      <xdr:colOff>276225</xdr:colOff>
      <xdr:row>32</xdr:row>
      <xdr:rowOff>28575</xdr:rowOff>
    </xdr:to>
    <xdr:sp>
      <xdr:nvSpPr>
        <xdr:cNvPr id="155" name="Line 235"/>
        <xdr:cNvSpPr>
          <a:spLocks/>
        </xdr:cNvSpPr>
      </xdr:nvSpPr>
      <xdr:spPr>
        <a:xfrm>
          <a:off x="5695950" y="87058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32</xdr:row>
      <xdr:rowOff>0</xdr:rowOff>
    </xdr:from>
    <xdr:to>
      <xdr:col>0</xdr:col>
      <xdr:colOff>1524000</xdr:colOff>
      <xdr:row>32</xdr:row>
      <xdr:rowOff>0</xdr:rowOff>
    </xdr:to>
    <xdr:sp>
      <xdr:nvSpPr>
        <xdr:cNvPr id="156" name="Line 237"/>
        <xdr:cNvSpPr>
          <a:spLocks/>
        </xdr:cNvSpPr>
      </xdr:nvSpPr>
      <xdr:spPr>
        <a:xfrm>
          <a:off x="371475" y="87439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704850</xdr:colOff>
      <xdr:row>31</xdr:row>
      <xdr:rowOff>123825</xdr:rowOff>
    </xdr:from>
    <xdr:ext cx="333375" cy="161925"/>
    <xdr:sp>
      <xdr:nvSpPr>
        <xdr:cNvPr id="157" name="Text Box 238"/>
        <xdr:cNvSpPr txBox="1">
          <a:spLocks noChangeArrowheads="1"/>
        </xdr:cNvSpPr>
      </xdr:nvSpPr>
      <xdr:spPr>
        <a:xfrm>
          <a:off x="704850" y="8601075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0.207L</a:t>
          </a:r>
        </a:p>
      </xdr:txBody>
    </xdr:sp>
    <xdr:clientData/>
  </xdr:oneCellAnchor>
  <xdr:twoCellAnchor>
    <xdr:from>
      <xdr:col>7</xdr:col>
      <xdr:colOff>19050</xdr:colOff>
      <xdr:row>32</xdr:row>
      <xdr:rowOff>0</xdr:rowOff>
    </xdr:from>
    <xdr:to>
      <xdr:col>9</xdr:col>
      <xdr:colOff>276225</xdr:colOff>
      <xdr:row>32</xdr:row>
      <xdr:rowOff>0</xdr:rowOff>
    </xdr:to>
    <xdr:sp>
      <xdr:nvSpPr>
        <xdr:cNvPr id="158" name="Line 239"/>
        <xdr:cNvSpPr>
          <a:spLocks/>
        </xdr:cNvSpPr>
      </xdr:nvSpPr>
      <xdr:spPr>
        <a:xfrm>
          <a:off x="4533900" y="87439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466725</xdr:colOff>
      <xdr:row>31</xdr:row>
      <xdr:rowOff>123825</xdr:rowOff>
    </xdr:from>
    <xdr:ext cx="333375" cy="161925"/>
    <xdr:sp>
      <xdr:nvSpPr>
        <xdr:cNvPr id="159" name="Text Box 240"/>
        <xdr:cNvSpPr txBox="1">
          <a:spLocks noChangeArrowheads="1"/>
        </xdr:cNvSpPr>
      </xdr:nvSpPr>
      <xdr:spPr>
        <a:xfrm>
          <a:off x="4981575" y="8601075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0.207L</a:t>
          </a:r>
        </a:p>
      </xdr:txBody>
    </xdr:sp>
    <xdr:clientData/>
  </xdr:oneCellAnchor>
  <xdr:oneCellAnchor>
    <xdr:from>
      <xdr:col>0</xdr:col>
      <xdr:colOff>409575</xdr:colOff>
      <xdr:row>24</xdr:row>
      <xdr:rowOff>76200</xdr:rowOff>
    </xdr:from>
    <xdr:ext cx="1190625" cy="180975"/>
    <xdr:sp>
      <xdr:nvSpPr>
        <xdr:cNvPr id="160" name="Text Box 241"/>
        <xdr:cNvSpPr txBox="1">
          <a:spLocks noChangeArrowheads="1"/>
        </xdr:cNvSpPr>
      </xdr:nvSpPr>
      <xdr:spPr>
        <a:xfrm>
          <a:off x="409575" y="6686550"/>
          <a:ext cx="1190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8PC Wires Dia.4 mm</a:t>
          </a:r>
        </a:p>
      </xdr:txBody>
    </xdr:sp>
    <xdr:clientData/>
  </xdr:oneCellAnchor>
  <xdr:twoCellAnchor>
    <xdr:from>
      <xdr:col>3</xdr:col>
      <xdr:colOff>9525</xdr:colOff>
      <xdr:row>26</xdr:row>
      <xdr:rowOff>0</xdr:rowOff>
    </xdr:from>
    <xdr:to>
      <xdr:col>4</xdr:col>
      <xdr:colOff>419100</xdr:colOff>
      <xdr:row>28</xdr:row>
      <xdr:rowOff>0</xdr:rowOff>
    </xdr:to>
    <xdr:grpSp>
      <xdr:nvGrpSpPr>
        <xdr:cNvPr id="161" name="Group 245"/>
        <xdr:cNvGrpSpPr>
          <a:grpSpLocks/>
        </xdr:cNvGrpSpPr>
      </xdr:nvGrpSpPr>
      <xdr:grpSpPr>
        <a:xfrm>
          <a:off x="2800350" y="7143750"/>
          <a:ext cx="1123950" cy="533400"/>
          <a:chOff x="294" y="750"/>
          <a:chExt cx="118" cy="56"/>
        </a:xfrm>
        <a:solidFill>
          <a:srgbClr val="FFFFFF"/>
        </a:solidFill>
      </xdr:grpSpPr>
      <xdr:sp>
        <xdr:nvSpPr>
          <xdr:cNvPr id="162" name="Line 242"/>
          <xdr:cNvSpPr>
            <a:spLocks/>
          </xdr:cNvSpPr>
        </xdr:nvSpPr>
        <xdr:spPr>
          <a:xfrm>
            <a:off x="294" y="750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243"/>
          <xdr:cNvSpPr>
            <a:spLocks/>
          </xdr:cNvSpPr>
        </xdr:nvSpPr>
        <xdr:spPr>
          <a:xfrm>
            <a:off x="294" y="806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244" descr="20%"/>
          <xdr:cNvSpPr>
            <a:spLocks/>
          </xdr:cNvSpPr>
        </xdr:nvSpPr>
        <xdr:spPr>
          <a:xfrm>
            <a:off x="407" y="750"/>
            <a:ext cx="5" cy="56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26</xdr:row>
      <xdr:rowOff>0</xdr:rowOff>
    </xdr:from>
    <xdr:to>
      <xdr:col>7</xdr:col>
      <xdr:colOff>533400</xdr:colOff>
      <xdr:row>28</xdr:row>
      <xdr:rowOff>0</xdr:rowOff>
    </xdr:to>
    <xdr:grpSp>
      <xdr:nvGrpSpPr>
        <xdr:cNvPr id="165" name="Group 246"/>
        <xdr:cNvGrpSpPr>
          <a:grpSpLocks/>
        </xdr:cNvGrpSpPr>
      </xdr:nvGrpSpPr>
      <xdr:grpSpPr>
        <a:xfrm flipH="1">
          <a:off x="3924300" y="7143750"/>
          <a:ext cx="1123950" cy="533400"/>
          <a:chOff x="294" y="750"/>
          <a:chExt cx="118" cy="56"/>
        </a:xfrm>
        <a:solidFill>
          <a:srgbClr val="FFFFFF"/>
        </a:solidFill>
      </xdr:grpSpPr>
      <xdr:sp>
        <xdr:nvSpPr>
          <xdr:cNvPr id="166" name="Line 247"/>
          <xdr:cNvSpPr>
            <a:spLocks/>
          </xdr:cNvSpPr>
        </xdr:nvSpPr>
        <xdr:spPr>
          <a:xfrm>
            <a:off x="294" y="750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248"/>
          <xdr:cNvSpPr>
            <a:spLocks/>
          </xdr:cNvSpPr>
        </xdr:nvSpPr>
        <xdr:spPr>
          <a:xfrm>
            <a:off x="294" y="806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249" descr="20%"/>
          <xdr:cNvSpPr>
            <a:spLocks/>
          </xdr:cNvSpPr>
        </xdr:nvSpPr>
        <xdr:spPr>
          <a:xfrm>
            <a:off x="407" y="750"/>
            <a:ext cx="5" cy="56"/>
          </a:xfrm>
          <a:prstGeom prst="rect">
            <a:avLst/>
          </a:prstGeom>
          <a:pattFill prst="pct2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361950</xdr:colOff>
      <xdr:row>26</xdr:row>
      <xdr:rowOff>76200</xdr:rowOff>
    </xdr:from>
    <xdr:to>
      <xdr:col>4</xdr:col>
      <xdr:colOff>371475</xdr:colOff>
      <xdr:row>26</xdr:row>
      <xdr:rowOff>123825</xdr:rowOff>
    </xdr:to>
    <xdr:sp>
      <xdr:nvSpPr>
        <xdr:cNvPr id="169" name="Rectangle 250"/>
        <xdr:cNvSpPr>
          <a:spLocks/>
        </xdr:cNvSpPr>
      </xdr:nvSpPr>
      <xdr:spPr>
        <a:xfrm>
          <a:off x="3152775" y="7219950"/>
          <a:ext cx="723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27</xdr:row>
      <xdr:rowOff>152400</xdr:rowOff>
    </xdr:from>
    <xdr:to>
      <xdr:col>4</xdr:col>
      <xdr:colOff>371475</xdr:colOff>
      <xdr:row>27</xdr:row>
      <xdr:rowOff>200025</xdr:rowOff>
    </xdr:to>
    <xdr:sp>
      <xdr:nvSpPr>
        <xdr:cNvPr id="170" name="Rectangle 251"/>
        <xdr:cNvSpPr>
          <a:spLocks/>
        </xdr:cNvSpPr>
      </xdr:nvSpPr>
      <xdr:spPr>
        <a:xfrm>
          <a:off x="3152775" y="7562850"/>
          <a:ext cx="723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76200</xdr:rowOff>
    </xdr:from>
    <xdr:to>
      <xdr:col>7</xdr:col>
      <xdr:colOff>180975</xdr:colOff>
      <xdr:row>26</xdr:row>
      <xdr:rowOff>123825</xdr:rowOff>
    </xdr:to>
    <xdr:sp>
      <xdr:nvSpPr>
        <xdr:cNvPr id="171" name="Rectangle 252"/>
        <xdr:cNvSpPr>
          <a:spLocks/>
        </xdr:cNvSpPr>
      </xdr:nvSpPr>
      <xdr:spPr>
        <a:xfrm>
          <a:off x="3971925" y="7219950"/>
          <a:ext cx="723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152400</xdr:rowOff>
    </xdr:from>
    <xdr:to>
      <xdr:col>7</xdr:col>
      <xdr:colOff>180975</xdr:colOff>
      <xdr:row>27</xdr:row>
      <xdr:rowOff>200025</xdr:rowOff>
    </xdr:to>
    <xdr:sp>
      <xdr:nvSpPr>
        <xdr:cNvPr id="172" name="Rectangle 253"/>
        <xdr:cNvSpPr>
          <a:spLocks/>
        </xdr:cNvSpPr>
      </xdr:nvSpPr>
      <xdr:spPr>
        <a:xfrm>
          <a:off x="3971925" y="7562850"/>
          <a:ext cx="723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25</xdr:row>
      <xdr:rowOff>47625</xdr:rowOff>
    </xdr:from>
    <xdr:to>
      <xdr:col>6</xdr:col>
      <xdr:colOff>161925</xdr:colOff>
      <xdr:row>26</xdr:row>
      <xdr:rowOff>76200</xdr:rowOff>
    </xdr:to>
    <xdr:grpSp>
      <xdr:nvGrpSpPr>
        <xdr:cNvPr id="173" name="Group 257"/>
        <xdr:cNvGrpSpPr>
          <a:grpSpLocks/>
        </xdr:cNvGrpSpPr>
      </xdr:nvGrpSpPr>
      <xdr:grpSpPr>
        <a:xfrm>
          <a:off x="4152900" y="6924675"/>
          <a:ext cx="342900" cy="295275"/>
          <a:chOff x="436" y="727"/>
          <a:chExt cx="36" cy="31"/>
        </a:xfrm>
        <a:solidFill>
          <a:srgbClr val="FFFFFF"/>
        </a:solidFill>
      </xdr:grpSpPr>
      <xdr:sp>
        <xdr:nvSpPr>
          <xdr:cNvPr id="174" name="Line 254"/>
          <xdr:cNvSpPr>
            <a:spLocks/>
          </xdr:cNvSpPr>
        </xdr:nvSpPr>
        <xdr:spPr>
          <a:xfrm flipV="1">
            <a:off x="436" y="727"/>
            <a:ext cx="19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255"/>
          <xdr:cNvSpPr>
            <a:spLocks/>
          </xdr:cNvSpPr>
        </xdr:nvSpPr>
        <xdr:spPr>
          <a:xfrm>
            <a:off x="455" y="72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</xdr:col>
      <xdr:colOff>28575</xdr:colOff>
      <xdr:row>24</xdr:row>
      <xdr:rowOff>219075</xdr:rowOff>
    </xdr:from>
    <xdr:ext cx="952500" cy="161925"/>
    <xdr:sp>
      <xdr:nvSpPr>
        <xdr:cNvPr id="176" name="Text Box 256"/>
        <xdr:cNvSpPr txBox="1">
          <a:spLocks noChangeArrowheads="1"/>
        </xdr:cNvSpPr>
      </xdr:nvSpPr>
      <xdr:spPr>
        <a:xfrm>
          <a:off x="4543425" y="6829425"/>
          <a:ext cx="952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4DB10 mm L= 40 cm</a:t>
          </a:r>
        </a:p>
      </xdr:txBody>
    </xdr:sp>
    <xdr:clientData/>
  </xdr:oneCellAnchor>
  <xdr:twoCellAnchor>
    <xdr:from>
      <xdr:col>4</xdr:col>
      <xdr:colOff>438150</xdr:colOff>
      <xdr:row>27</xdr:row>
      <xdr:rowOff>257175</xdr:rowOff>
    </xdr:from>
    <xdr:to>
      <xdr:col>5</xdr:col>
      <xdr:colOff>285750</xdr:colOff>
      <xdr:row>29</xdr:row>
      <xdr:rowOff>19050</xdr:rowOff>
    </xdr:to>
    <xdr:grpSp>
      <xdr:nvGrpSpPr>
        <xdr:cNvPr id="177" name="Group 258"/>
        <xdr:cNvGrpSpPr>
          <a:grpSpLocks/>
        </xdr:cNvGrpSpPr>
      </xdr:nvGrpSpPr>
      <xdr:grpSpPr>
        <a:xfrm flipV="1">
          <a:off x="3943350" y="7667625"/>
          <a:ext cx="342900" cy="295275"/>
          <a:chOff x="436" y="727"/>
          <a:chExt cx="36" cy="31"/>
        </a:xfrm>
        <a:solidFill>
          <a:srgbClr val="FFFFFF"/>
        </a:solidFill>
      </xdr:grpSpPr>
      <xdr:sp>
        <xdr:nvSpPr>
          <xdr:cNvPr id="178" name="Line 259"/>
          <xdr:cNvSpPr>
            <a:spLocks/>
          </xdr:cNvSpPr>
        </xdr:nvSpPr>
        <xdr:spPr>
          <a:xfrm flipV="1">
            <a:off x="436" y="727"/>
            <a:ext cx="19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260"/>
          <xdr:cNvSpPr>
            <a:spLocks/>
          </xdr:cNvSpPr>
        </xdr:nvSpPr>
        <xdr:spPr>
          <a:xfrm>
            <a:off x="455" y="72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9525</xdr:colOff>
      <xdr:row>28</xdr:row>
      <xdr:rowOff>209550</xdr:rowOff>
    </xdr:from>
    <xdr:ext cx="1257300" cy="161925"/>
    <xdr:sp>
      <xdr:nvSpPr>
        <xdr:cNvPr id="180" name="Text Box 261"/>
        <xdr:cNvSpPr txBox="1">
          <a:spLocks noChangeArrowheads="1"/>
        </xdr:cNvSpPr>
      </xdr:nvSpPr>
      <xdr:spPr>
        <a:xfrm>
          <a:off x="4343400" y="7886700"/>
          <a:ext cx="1257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Steel Plate 6 mm Thickness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38</xdr:row>
      <xdr:rowOff>0</xdr:rowOff>
    </xdr:from>
    <xdr:to>
      <xdr:col>4</xdr:col>
      <xdr:colOff>438150</xdr:colOff>
      <xdr:row>41</xdr:row>
      <xdr:rowOff>219075</xdr:rowOff>
    </xdr:to>
    <xdr:sp>
      <xdr:nvSpPr>
        <xdr:cNvPr id="1" name="Line 52"/>
        <xdr:cNvSpPr>
          <a:spLocks/>
        </xdr:cNvSpPr>
      </xdr:nvSpPr>
      <xdr:spPr>
        <a:xfrm>
          <a:off x="3914775" y="104108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39</xdr:row>
      <xdr:rowOff>228600</xdr:rowOff>
    </xdr:from>
    <xdr:to>
      <xdr:col>4</xdr:col>
      <xdr:colOff>485775</xdr:colOff>
      <xdr:row>39</xdr:row>
      <xdr:rowOff>228600</xdr:rowOff>
    </xdr:to>
    <xdr:sp>
      <xdr:nvSpPr>
        <xdr:cNvPr id="2" name="Line 53"/>
        <xdr:cNvSpPr>
          <a:spLocks/>
        </xdr:cNvSpPr>
      </xdr:nvSpPr>
      <xdr:spPr>
        <a:xfrm>
          <a:off x="3876675" y="109061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41</xdr:row>
      <xdr:rowOff>219075</xdr:rowOff>
    </xdr:from>
    <xdr:to>
      <xdr:col>4</xdr:col>
      <xdr:colOff>485775</xdr:colOff>
      <xdr:row>41</xdr:row>
      <xdr:rowOff>219075</xdr:rowOff>
    </xdr:to>
    <xdr:sp>
      <xdr:nvSpPr>
        <xdr:cNvPr id="3" name="Line 54"/>
        <xdr:cNvSpPr>
          <a:spLocks/>
        </xdr:cNvSpPr>
      </xdr:nvSpPr>
      <xdr:spPr>
        <a:xfrm>
          <a:off x="3876675" y="11430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552450</xdr:colOff>
      <xdr:row>40</xdr:row>
      <xdr:rowOff>161925</xdr:rowOff>
    </xdr:from>
    <xdr:ext cx="314325" cy="161925"/>
    <xdr:sp>
      <xdr:nvSpPr>
        <xdr:cNvPr id="4" name="Text Box 55"/>
        <xdr:cNvSpPr txBox="1">
          <a:spLocks noChangeArrowheads="1"/>
        </xdr:cNvSpPr>
      </xdr:nvSpPr>
      <xdr:spPr>
        <a:xfrm>
          <a:off x="4029075" y="11106150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mm</a:t>
          </a:r>
        </a:p>
      </xdr:txBody>
    </xdr:sp>
    <xdr:clientData/>
  </xdr:oneCellAnchor>
  <xdr:twoCellAnchor>
    <xdr:from>
      <xdr:col>0</xdr:col>
      <xdr:colOff>752475</xdr:colOff>
      <xdr:row>42</xdr:row>
      <xdr:rowOff>133350</xdr:rowOff>
    </xdr:from>
    <xdr:to>
      <xdr:col>4</xdr:col>
      <xdr:colOff>152400</xdr:colOff>
      <xdr:row>42</xdr:row>
      <xdr:rowOff>133350</xdr:rowOff>
    </xdr:to>
    <xdr:sp>
      <xdr:nvSpPr>
        <xdr:cNvPr id="5" name="Line 64"/>
        <xdr:cNvSpPr>
          <a:spLocks/>
        </xdr:cNvSpPr>
      </xdr:nvSpPr>
      <xdr:spPr>
        <a:xfrm>
          <a:off x="752475" y="116109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42</xdr:row>
      <xdr:rowOff>85725</xdr:rowOff>
    </xdr:from>
    <xdr:to>
      <xdr:col>0</xdr:col>
      <xdr:colOff>752475</xdr:colOff>
      <xdr:row>42</xdr:row>
      <xdr:rowOff>180975</xdr:rowOff>
    </xdr:to>
    <xdr:sp>
      <xdr:nvSpPr>
        <xdr:cNvPr id="6" name="Line 65"/>
        <xdr:cNvSpPr>
          <a:spLocks/>
        </xdr:cNvSpPr>
      </xdr:nvSpPr>
      <xdr:spPr>
        <a:xfrm>
          <a:off x="752475" y="115633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42</xdr:row>
      <xdr:rowOff>76200</xdr:rowOff>
    </xdr:from>
    <xdr:to>
      <xdr:col>4</xdr:col>
      <xdr:colOff>152400</xdr:colOff>
      <xdr:row>42</xdr:row>
      <xdr:rowOff>171450</xdr:rowOff>
    </xdr:to>
    <xdr:sp>
      <xdr:nvSpPr>
        <xdr:cNvPr id="7" name="Line 66"/>
        <xdr:cNvSpPr>
          <a:spLocks/>
        </xdr:cNvSpPr>
      </xdr:nvSpPr>
      <xdr:spPr>
        <a:xfrm>
          <a:off x="3629025" y="11553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2028825</xdr:colOff>
      <xdr:row>42</xdr:row>
      <xdr:rowOff>161925</xdr:rowOff>
    </xdr:from>
    <xdr:ext cx="371475" cy="161925"/>
    <xdr:sp>
      <xdr:nvSpPr>
        <xdr:cNvPr id="8" name="Text Box 67"/>
        <xdr:cNvSpPr txBox="1">
          <a:spLocks noChangeArrowheads="1"/>
        </xdr:cNvSpPr>
      </xdr:nvSpPr>
      <xdr:spPr>
        <a:xfrm>
          <a:off x="2028825" y="1163955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345 mm</a:t>
          </a:r>
        </a:p>
      </xdr:txBody>
    </xdr:sp>
    <xdr:clientData/>
  </xdr:oneCellAnchor>
  <xdr:twoCellAnchor>
    <xdr:from>
      <xdr:col>0</xdr:col>
      <xdr:colOff>714375</xdr:colOff>
      <xdr:row>39</xdr:row>
      <xdr:rowOff>228600</xdr:rowOff>
    </xdr:from>
    <xdr:to>
      <xdr:col>4</xdr:col>
      <xdr:colOff>190500</xdr:colOff>
      <xdr:row>41</xdr:row>
      <xdr:rowOff>228600</xdr:rowOff>
    </xdr:to>
    <xdr:grpSp>
      <xdr:nvGrpSpPr>
        <xdr:cNvPr id="9" name="Group 79"/>
        <xdr:cNvGrpSpPr>
          <a:grpSpLocks/>
        </xdr:cNvGrpSpPr>
      </xdr:nvGrpSpPr>
      <xdr:grpSpPr>
        <a:xfrm>
          <a:off x="714375" y="10906125"/>
          <a:ext cx="2952750" cy="533400"/>
          <a:chOff x="299" y="756"/>
          <a:chExt cx="320" cy="56"/>
        </a:xfrm>
        <a:solidFill>
          <a:srgbClr val="FFFFFF"/>
        </a:solidFill>
      </xdr:grpSpPr>
      <xdr:sp>
        <xdr:nvSpPr>
          <xdr:cNvPr id="10" name="Line 71"/>
          <xdr:cNvSpPr>
            <a:spLocks/>
          </xdr:cNvSpPr>
        </xdr:nvSpPr>
        <xdr:spPr>
          <a:xfrm>
            <a:off x="300" y="756"/>
            <a:ext cx="0" cy="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74"/>
          <xdr:cNvSpPr>
            <a:spLocks/>
          </xdr:cNvSpPr>
        </xdr:nvSpPr>
        <xdr:spPr>
          <a:xfrm>
            <a:off x="299" y="756"/>
            <a:ext cx="3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76"/>
          <xdr:cNvSpPr>
            <a:spLocks/>
          </xdr:cNvSpPr>
        </xdr:nvSpPr>
        <xdr:spPr>
          <a:xfrm>
            <a:off x="303" y="812"/>
            <a:ext cx="31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77"/>
          <xdr:cNvSpPr>
            <a:spLocks/>
          </xdr:cNvSpPr>
        </xdr:nvSpPr>
        <xdr:spPr>
          <a:xfrm>
            <a:off x="299" y="756"/>
            <a:ext cx="4" cy="5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78"/>
          <xdr:cNvSpPr>
            <a:spLocks/>
          </xdr:cNvSpPr>
        </xdr:nvSpPr>
        <xdr:spPr>
          <a:xfrm flipH="1">
            <a:off x="615" y="756"/>
            <a:ext cx="4" cy="5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723900</xdr:colOff>
      <xdr:row>37</xdr:row>
      <xdr:rowOff>76200</xdr:rowOff>
    </xdr:from>
    <xdr:to>
      <xdr:col>4</xdr:col>
      <xdr:colOff>190500</xdr:colOff>
      <xdr:row>37</xdr:row>
      <xdr:rowOff>76200</xdr:rowOff>
    </xdr:to>
    <xdr:sp>
      <xdr:nvSpPr>
        <xdr:cNvPr id="15" name="Line 80"/>
        <xdr:cNvSpPr>
          <a:spLocks/>
        </xdr:cNvSpPr>
      </xdr:nvSpPr>
      <xdr:spPr>
        <a:xfrm>
          <a:off x="723900" y="102203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37</xdr:row>
      <xdr:rowOff>28575</xdr:rowOff>
    </xdr:from>
    <xdr:to>
      <xdr:col>0</xdr:col>
      <xdr:colOff>723900</xdr:colOff>
      <xdr:row>37</xdr:row>
      <xdr:rowOff>123825</xdr:rowOff>
    </xdr:to>
    <xdr:sp>
      <xdr:nvSpPr>
        <xdr:cNvPr id="16" name="Line 81"/>
        <xdr:cNvSpPr>
          <a:spLocks/>
        </xdr:cNvSpPr>
      </xdr:nvSpPr>
      <xdr:spPr>
        <a:xfrm>
          <a:off x="723900" y="101727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37</xdr:row>
      <xdr:rowOff>19050</xdr:rowOff>
    </xdr:from>
    <xdr:to>
      <xdr:col>4</xdr:col>
      <xdr:colOff>190500</xdr:colOff>
      <xdr:row>37</xdr:row>
      <xdr:rowOff>114300</xdr:rowOff>
    </xdr:to>
    <xdr:sp>
      <xdr:nvSpPr>
        <xdr:cNvPr id="17" name="Line 82"/>
        <xdr:cNvSpPr>
          <a:spLocks/>
        </xdr:cNvSpPr>
      </xdr:nvSpPr>
      <xdr:spPr>
        <a:xfrm>
          <a:off x="3667125" y="10163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2028825</xdr:colOff>
      <xdr:row>36</xdr:row>
      <xdr:rowOff>161925</xdr:rowOff>
    </xdr:from>
    <xdr:ext cx="371475" cy="161925"/>
    <xdr:sp>
      <xdr:nvSpPr>
        <xdr:cNvPr id="18" name="Text Box 83"/>
        <xdr:cNvSpPr txBox="1">
          <a:spLocks noChangeArrowheads="1"/>
        </xdr:cNvSpPr>
      </xdr:nvSpPr>
      <xdr:spPr>
        <a:xfrm>
          <a:off x="2028825" y="1003935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 mm</a:t>
          </a:r>
        </a:p>
      </xdr:txBody>
    </xdr:sp>
    <xdr:clientData/>
  </xdr:oneCellAnchor>
  <xdr:twoCellAnchor>
    <xdr:from>
      <xdr:col>0</xdr:col>
      <xdr:colOff>647700</xdr:colOff>
      <xdr:row>40</xdr:row>
      <xdr:rowOff>228600</xdr:rowOff>
    </xdr:from>
    <xdr:to>
      <xdr:col>4</xdr:col>
      <xdr:colOff>390525</xdr:colOff>
      <xdr:row>40</xdr:row>
      <xdr:rowOff>228600</xdr:rowOff>
    </xdr:to>
    <xdr:sp>
      <xdr:nvSpPr>
        <xdr:cNvPr id="19" name="Line 84"/>
        <xdr:cNvSpPr>
          <a:spLocks/>
        </xdr:cNvSpPr>
      </xdr:nvSpPr>
      <xdr:spPr>
        <a:xfrm>
          <a:off x="647700" y="1117282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2209800</xdr:colOff>
      <xdr:row>41</xdr:row>
      <xdr:rowOff>47625</xdr:rowOff>
    </xdr:from>
    <xdr:to>
      <xdr:col>1</xdr:col>
      <xdr:colOff>19050</xdr:colOff>
      <xdr:row>41</xdr:row>
      <xdr:rowOff>104775</xdr:rowOff>
    </xdr:to>
    <xdr:sp>
      <xdr:nvSpPr>
        <xdr:cNvPr id="20" name="Oval 85"/>
        <xdr:cNvSpPr>
          <a:spLocks/>
        </xdr:cNvSpPr>
      </xdr:nvSpPr>
      <xdr:spPr>
        <a:xfrm>
          <a:off x="2209800" y="112585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41</xdr:row>
      <xdr:rowOff>38100</xdr:rowOff>
    </xdr:from>
    <xdr:to>
      <xdr:col>0</xdr:col>
      <xdr:colOff>923925</xdr:colOff>
      <xdr:row>41</xdr:row>
      <xdr:rowOff>95250</xdr:rowOff>
    </xdr:to>
    <xdr:sp>
      <xdr:nvSpPr>
        <xdr:cNvPr id="21" name="Oval 86"/>
        <xdr:cNvSpPr>
          <a:spLocks/>
        </xdr:cNvSpPr>
      </xdr:nvSpPr>
      <xdr:spPr>
        <a:xfrm>
          <a:off x="866775" y="112490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41</xdr:row>
      <xdr:rowOff>47625</xdr:rowOff>
    </xdr:from>
    <xdr:to>
      <xdr:col>0</xdr:col>
      <xdr:colOff>1533525</xdr:colOff>
      <xdr:row>41</xdr:row>
      <xdr:rowOff>104775</xdr:rowOff>
    </xdr:to>
    <xdr:sp>
      <xdr:nvSpPr>
        <xdr:cNvPr id="22" name="Oval 87"/>
        <xdr:cNvSpPr>
          <a:spLocks/>
        </xdr:cNvSpPr>
      </xdr:nvSpPr>
      <xdr:spPr>
        <a:xfrm>
          <a:off x="1476375" y="1125855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41</xdr:row>
      <xdr:rowOff>38100</xdr:rowOff>
    </xdr:from>
    <xdr:to>
      <xdr:col>3</xdr:col>
      <xdr:colOff>114300</xdr:colOff>
      <xdr:row>41</xdr:row>
      <xdr:rowOff>95250</xdr:rowOff>
    </xdr:to>
    <xdr:sp>
      <xdr:nvSpPr>
        <xdr:cNvPr id="23" name="Oval 88"/>
        <xdr:cNvSpPr>
          <a:spLocks/>
        </xdr:cNvSpPr>
      </xdr:nvSpPr>
      <xdr:spPr>
        <a:xfrm>
          <a:off x="2819400" y="112490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41</xdr:row>
      <xdr:rowOff>38100</xdr:rowOff>
    </xdr:from>
    <xdr:to>
      <xdr:col>4</xdr:col>
      <xdr:colOff>0</xdr:colOff>
      <xdr:row>41</xdr:row>
      <xdr:rowOff>95250</xdr:rowOff>
    </xdr:to>
    <xdr:sp>
      <xdr:nvSpPr>
        <xdr:cNvPr id="24" name="Oval 89"/>
        <xdr:cNvSpPr>
          <a:spLocks/>
        </xdr:cNvSpPr>
      </xdr:nvSpPr>
      <xdr:spPr>
        <a:xfrm>
          <a:off x="3419475" y="112490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40</xdr:row>
      <xdr:rowOff>228600</xdr:rowOff>
    </xdr:from>
    <xdr:to>
      <xdr:col>0</xdr:col>
      <xdr:colOff>657225</xdr:colOff>
      <xdr:row>40</xdr:row>
      <xdr:rowOff>228600</xdr:rowOff>
    </xdr:to>
    <xdr:sp>
      <xdr:nvSpPr>
        <xdr:cNvPr id="25" name="Line 92"/>
        <xdr:cNvSpPr>
          <a:spLocks/>
        </xdr:cNvSpPr>
      </xdr:nvSpPr>
      <xdr:spPr>
        <a:xfrm>
          <a:off x="571500" y="11172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</xdr:colOff>
      <xdr:row>40</xdr:row>
      <xdr:rowOff>209550</xdr:rowOff>
    </xdr:from>
    <xdr:ext cx="314325" cy="161925"/>
    <xdr:sp>
      <xdr:nvSpPr>
        <xdr:cNvPr id="26" name="Text Box 94"/>
        <xdr:cNvSpPr txBox="1">
          <a:spLocks noChangeArrowheads="1"/>
        </xdr:cNvSpPr>
      </xdr:nvSpPr>
      <xdr:spPr>
        <a:xfrm>
          <a:off x="95250" y="1115377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mm</a:t>
          </a:r>
        </a:p>
      </xdr:txBody>
    </xdr:sp>
    <xdr:clientData/>
  </xdr:oneCellAnchor>
  <xdr:twoCellAnchor>
    <xdr:from>
      <xdr:col>0</xdr:col>
      <xdr:colOff>504825</xdr:colOff>
      <xdr:row>40</xdr:row>
      <xdr:rowOff>238125</xdr:rowOff>
    </xdr:from>
    <xdr:to>
      <xdr:col>0</xdr:col>
      <xdr:colOff>504825</xdr:colOff>
      <xdr:row>41</xdr:row>
      <xdr:rowOff>66675</xdr:rowOff>
    </xdr:to>
    <xdr:sp>
      <xdr:nvSpPr>
        <xdr:cNvPr id="27" name="Line 98"/>
        <xdr:cNvSpPr>
          <a:spLocks/>
        </xdr:cNvSpPr>
      </xdr:nvSpPr>
      <xdr:spPr>
        <a:xfrm>
          <a:off x="504825" y="111823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40</xdr:row>
      <xdr:rowOff>228600</xdr:rowOff>
    </xdr:from>
    <xdr:to>
      <xdr:col>0</xdr:col>
      <xdr:colOff>552450</xdr:colOff>
      <xdr:row>40</xdr:row>
      <xdr:rowOff>228600</xdr:rowOff>
    </xdr:to>
    <xdr:sp>
      <xdr:nvSpPr>
        <xdr:cNvPr id="28" name="Line 99"/>
        <xdr:cNvSpPr>
          <a:spLocks/>
        </xdr:cNvSpPr>
      </xdr:nvSpPr>
      <xdr:spPr>
        <a:xfrm>
          <a:off x="466725" y="11172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41</xdr:row>
      <xdr:rowOff>76200</xdr:rowOff>
    </xdr:from>
    <xdr:to>
      <xdr:col>0</xdr:col>
      <xdr:colOff>552450</xdr:colOff>
      <xdr:row>41</xdr:row>
      <xdr:rowOff>76200</xdr:rowOff>
    </xdr:to>
    <xdr:sp>
      <xdr:nvSpPr>
        <xdr:cNvPr id="29" name="Line 100"/>
        <xdr:cNvSpPr>
          <a:spLocks/>
        </xdr:cNvSpPr>
      </xdr:nvSpPr>
      <xdr:spPr>
        <a:xfrm>
          <a:off x="466725" y="112871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38</xdr:row>
      <xdr:rowOff>38100</xdr:rowOff>
    </xdr:from>
    <xdr:to>
      <xdr:col>4</xdr:col>
      <xdr:colOff>190500</xdr:colOff>
      <xdr:row>39</xdr:row>
      <xdr:rowOff>228600</xdr:rowOff>
    </xdr:to>
    <xdr:sp>
      <xdr:nvSpPr>
        <xdr:cNvPr id="30" name="Rectangle 101"/>
        <xdr:cNvSpPr>
          <a:spLocks/>
        </xdr:cNvSpPr>
      </xdr:nvSpPr>
      <xdr:spPr>
        <a:xfrm>
          <a:off x="714375" y="10448925"/>
          <a:ext cx="2952750" cy="457200"/>
        </a:xfrm>
        <a:prstGeom prst="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38</xdr:row>
      <xdr:rowOff>0</xdr:rowOff>
    </xdr:from>
    <xdr:to>
      <xdr:col>4</xdr:col>
      <xdr:colOff>485775</xdr:colOff>
      <xdr:row>38</xdr:row>
      <xdr:rowOff>0</xdr:rowOff>
    </xdr:to>
    <xdr:sp>
      <xdr:nvSpPr>
        <xdr:cNvPr id="31" name="Line 103"/>
        <xdr:cNvSpPr>
          <a:spLocks/>
        </xdr:cNvSpPr>
      </xdr:nvSpPr>
      <xdr:spPr>
        <a:xfrm>
          <a:off x="3876675" y="104108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552450</xdr:colOff>
      <xdr:row>38</xdr:row>
      <xdr:rowOff>190500</xdr:rowOff>
    </xdr:from>
    <xdr:ext cx="314325" cy="161925"/>
    <xdr:sp>
      <xdr:nvSpPr>
        <xdr:cNvPr id="32" name="Text Box 105"/>
        <xdr:cNvSpPr txBox="1">
          <a:spLocks noChangeArrowheads="1"/>
        </xdr:cNvSpPr>
      </xdr:nvSpPr>
      <xdr:spPr>
        <a:xfrm>
          <a:off x="4029075" y="1060132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mm</a:t>
          </a:r>
        </a:p>
      </xdr:txBody>
    </xdr:sp>
    <xdr:clientData/>
  </xdr:oneCellAnchor>
  <xdr:oneCellAnchor>
    <xdr:from>
      <xdr:col>0</xdr:col>
      <xdr:colOff>1781175</xdr:colOff>
      <xdr:row>38</xdr:row>
      <xdr:rowOff>161925</xdr:rowOff>
    </xdr:from>
    <xdr:ext cx="981075" cy="180975"/>
    <xdr:sp>
      <xdr:nvSpPr>
        <xdr:cNvPr id="33" name="Text Box 106"/>
        <xdr:cNvSpPr txBox="1">
          <a:spLocks noChangeArrowheads="1"/>
        </xdr:cNvSpPr>
      </xdr:nvSpPr>
      <xdr:spPr>
        <a:xfrm>
          <a:off x="1781175" y="10572750"/>
          <a:ext cx="981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Concrete Topping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38</xdr:row>
      <xdr:rowOff>0</xdr:rowOff>
    </xdr:from>
    <xdr:to>
      <xdr:col>4</xdr:col>
      <xdr:colOff>438150</xdr:colOff>
      <xdr:row>41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933825" y="104013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39</xdr:row>
      <xdr:rowOff>228600</xdr:rowOff>
    </xdr:from>
    <xdr:to>
      <xdr:col>4</xdr:col>
      <xdr:colOff>485775</xdr:colOff>
      <xdr:row>39</xdr:row>
      <xdr:rowOff>228600</xdr:rowOff>
    </xdr:to>
    <xdr:sp>
      <xdr:nvSpPr>
        <xdr:cNvPr id="2" name="Line 2"/>
        <xdr:cNvSpPr>
          <a:spLocks/>
        </xdr:cNvSpPr>
      </xdr:nvSpPr>
      <xdr:spPr>
        <a:xfrm>
          <a:off x="3895725" y="108966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41</xdr:row>
      <xdr:rowOff>219075</xdr:rowOff>
    </xdr:from>
    <xdr:to>
      <xdr:col>4</xdr:col>
      <xdr:colOff>485775</xdr:colOff>
      <xdr:row>41</xdr:row>
      <xdr:rowOff>219075</xdr:rowOff>
    </xdr:to>
    <xdr:sp>
      <xdr:nvSpPr>
        <xdr:cNvPr id="3" name="Line 3"/>
        <xdr:cNvSpPr>
          <a:spLocks/>
        </xdr:cNvSpPr>
      </xdr:nvSpPr>
      <xdr:spPr>
        <a:xfrm>
          <a:off x="3895725" y="11420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561975</xdr:colOff>
      <xdr:row>40</xdr:row>
      <xdr:rowOff>152400</xdr:rowOff>
    </xdr:from>
    <xdr:ext cx="314325" cy="161925"/>
    <xdr:sp>
      <xdr:nvSpPr>
        <xdr:cNvPr id="4" name="Text Box 4"/>
        <xdr:cNvSpPr txBox="1">
          <a:spLocks noChangeArrowheads="1"/>
        </xdr:cNvSpPr>
      </xdr:nvSpPr>
      <xdr:spPr>
        <a:xfrm>
          <a:off x="4057650" y="11087100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mm</a:t>
          </a:r>
        </a:p>
      </xdr:txBody>
    </xdr:sp>
    <xdr:clientData/>
  </xdr:oneCellAnchor>
  <xdr:twoCellAnchor>
    <xdr:from>
      <xdr:col>0</xdr:col>
      <xdr:colOff>752475</xdr:colOff>
      <xdr:row>42</xdr:row>
      <xdr:rowOff>133350</xdr:rowOff>
    </xdr:from>
    <xdr:to>
      <xdr:col>4</xdr:col>
      <xdr:colOff>152400</xdr:colOff>
      <xdr:row>42</xdr:row>
      <xdr:rowOff>133350</xdr:rowOff>
    </xdr:to>
    <xdr:sp>
      <xdr:nvSpPr>
        <xdr:cNvPr id="5" name="Line 5"/>
        <xdr:cNvSpPr>
          <a:spLocks/>
        </xdr:cNvSpPr>
      </xdr:nvSpPr>
      <xdr:spPr>
        <a:xfrm>
          <a:off x="752475" y="116014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42</xdr:row>
      <xdr:rowOff>85725</xdr:rowOff>
    </xdr:from>
    <xdr:to>
      <xdr:col>0</xdr:col>
      <xdr:colOff>752475</xdr:colOff>
      <xdr:row>42</xdr:row>
      <xdr:rowOff>180975</xdr:rowOff>
    </xdr:to>
    <xdr:sp>
      <xdr:nvSpPr>
        <xdr:cNvPr id="6" name="Line 6"/>
        <xdr:cNvSpPr>
          <a:spLocks/>
        </xdr:cNvSpPr>
      </xdr:nvSpPr>
      <xdr:spPr>
        <a:xfrm>
          <a:off x="752475" y="11553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42</xdr:row>
      <xdr:rowOff>76200</xdr:rowOff>
    </xdr:from>
    <xdr:to>
      <xdr:col>4</xdr:col>
      <xdr:colOff>152400</xdr:colOff>
      <xdr:row>42</xdr:row>
      <xdr:rowOff>171450</xdr:rowOff>
    </xdr:to>
    <xdr:sp>
      <xdr:nvSpPr>
        <xdr:cNvPr id="7" name="Line 7"/>
        <xdr:cNvSpPr>
          <a:spLocks/>
        </xdr:cNvSpPr>
      </xdr:nvSpPr>
      <xdr:spPr>
        <a:xfrm>
          <a:off x="3648075" y="11544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2038350</xdr:colOff>
      <xdr:row>42</xdr:row>
      <xdr:rowOff>161925</xdr:rowOff>
    </xdr:from>
    <xdr:ext cx="371475" cy="161925"/>
    <xdr:sp>
      <xdr:nvSpPr>
        <xdr:cNvPr id="8" name="Text Box 8"/>
        <xdr:cNvSpPr txBox="1">
          <a:spLocks noChangeArrowheads="1"/>
        </xdr:cNvSpPr>
      </xdr:nvSpPr>
      <xdr:spPr>
        <a:xfrm>
          <a:off x="2038350" y="116300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345 mm</a:t>
          </a:r>
        </a:p>
      </xdr:txBody>
    </xdr:sp>
    <xdr:clientData/>
  </xdr:oneCellAnchor>
  <xdr:twoCellAnchor>
    <xdr:from>
      <xdr:col>0</xdr:col>
      <xdr:colOff>714375</xdr:colOff>
      <xdr:row>39</xdr:row>
      <xdr:rowOff>228600</xdr:rowOff>
    </xdr:from>
    <xdr:to>
      <xdr:col>4</xdr:col>
      <xdr:colOff>190500</xdr:colOff>
      <xdr:row>41</xdr:row>
      <xdr:rowOff>228600</xdr:rowOff>
    </xdr:to>
    <xdr:grpSp>
      <xdr:nvGrpSpPr>
        <xdr:cNvPr id="9" name="Group 9"/>
        <xdr:cNvGrpSpPr>
          <a:grpSpLocks/>
        </xdr:cNvGrpSpPr>
      </xdr:nvGrpSpPr>
      <xdr:grpSpPr>
        <a:xfrm>
          <a:off x="714375" y="10896600"/>
          <a:ext cx="2971800" cy="533400"/>
          <a:chOff x="299" y="756"/>
          <a:chExt cx="320" cy="56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300" y="756"/>
            <a:ext cx="0" cy="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99" y="756"/>
            <a:ext cx="3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03" y="812"/>
            <a:ext cx="31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99" y="756"/>
            <a:ext cx="4" cy="5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>
            <a:off x="615" y="756"/>
            <a:ext cx="4" cy="5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723900</xdr:colOff>
      <xdr:row>37</xdr:row>
      <xdr:rowOff>76200</xdr:rowOff>
    </xdr:from>
    <xdr:to>
      <xdr:col>4</xdr:col>
      <xdr:colOff>190500</xdr:colOff>
      <xdr:row>37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723900" y="1021080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37</xdr:row>
      <xdr:rowOff>28575</xdr:rowOff>
    </xdr:from>
    <xdr:to>
      <xdr:col>0</xdr:col>
      <xdr:colOff>723900</xdr:colOff>
      <xdr:row>37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723900" y="10163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37</xdr:row>
      <xdr:rowOff>19050</xdr:rowOff>
    </xdr:from>
    <xdr:to>
      <xdr:col>4</xdr:col>
      <xdr:colOff>190500</xdr:colOff>
      <xdr:row>37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3686175" y="101536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2038350</xdr:colOff>
      <xdr:row>36</xdr:row>
      <xdr:rowOff>161925</xdr:rowOff>
    </xdr:from>
    <xdr:ext cx="371475" cy="161925"/>
    <xdr:sp>
      <xdr:nvSpPr>
        <xdr:cNvPr id="18" name="Text Box 18"/>
        <xdr:cNvSpPr txBox="1">
          <a:spLocks noChangeArrowheads="1"/>
        </xdr:cNvSpPr>
      </xdr:nvSpPr>
      <xdr:spPr>
        <a:xfrm>
          <a:off x="2038350" y="1002982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 mm</a:t>
          </a:r>
        </a:p>
      </xdr:txBody>
    </xdr:sp>
    <xdr:clientData/>
  </xdr:oneCellAnchor>
  <xdr:twoCellAnchor>
    <xdr:from>
      <xdr:col>0</xdr:col>
      <xdr:colOff>647700</xdr:colOff>
      <xdr:row>40</xdr:row>
      <xdr:rowOff>228600</xdr:rowOff>
    </xdr:from>
    <xdr:to>
      <xdr:col>4</xdr:col>
      <xdr:colOff>390525</xdr:colOff>
      <xdr:row>40</xdr:row>
      <xdr:rowOff>228600</xdr:rowOff>
    </xdr:to>
    <xdr:sp>
      <xdr:nvSpPr>
        <xdr:cNvPr id="19" name="Line 19"/>
        <xdr:cNvSpPr>
          <a:spLocks/>
        </xdr:cNvSpPr>
      </xdr:nvSpPr>
      <xdr:spPr>
        <a:xfrm>
          <a:off x="647700" y="111633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2209800</xdr:colOff>
      <xdr:row>41</xdr:row>
      <xdr:rowOff>47625</xdr:rowOff>
    </xdr:from>
    <xdr:to>
      <xdr:col>1</xdr:col>
      <xdr:colOff>19050</xdr:colOff>
      <xdr:row>41</xdr:row>
      <xdr:rowOff>104775</xdr:rowOff>
    </xdr:to>
    <xdr:sp>
      <xdr:nvSpPr>
        <xdr:cNvPr id="20" name="Oval 20"/>
        <xdr:cNvSpPr>
          <a:spLocks/>
        </xdr:cNvSpPr>
      </xdr:nvSpPr>
      <xdr:spPr>
        <a:xfrm>
          <a:off x="2209800" y="11249025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952500</xdr:colOff>
      <xdr:row>41</xdr:row>
      <xdr:rowOff>38100</xdr:rowOff>
    </xdr:from>
    <xdr:to>
      <xdr:col>0</xdr:col>
      <xdr:colOff>1009650</xdr:colOff>
      <xdr:row>41</xdr:row>
      <xdr:rowOff>95250</xdr:rowOff>
    </xdr:to>
    <xdr:sp>
      <xdr:nvSpPr>
        <xdr:cNvPr id="21" name="Oval 21"/>
        <xdr:cNvSpPr>
          <a:spLocks/>
        </xdr:cNvSpPr>
      </xdr:nvSpPr>
      <xdr:spPr>
        <a:xfrm>
          <a:off x="952500" y="112395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41</xdr:row>
      <xdr:rowOff>38100</xdr:rowOff>
    </xdr:from>
    <xdr:to>
      <xdr:col>3</xdr:col>
      <xdr:colOff>628650</xdr:colOff>
      <xdr:row>41</xdr:row>
      <xdr:rowOff>95250</xdr:rowOff>
    </xdr:to>
    <xdr:sp>
      <xdr:nvSpPr>
        <xdr:cNvPr id="22" name="Oval 24"/>
        <xdr:cNvSpPr>
          <a:spLocks/>
        </xdr:cNvSpPr>
      </xdr:nvSpPr>
      <xdr:spPr>
        <a:xfrm>
          <a:off x="3352800" y="112395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40</xdr:row>
      <xdr:rowOff>228600</xdr:rowOff>
    </xdr:from>
    <xdr:to>
      <xdr:col>0</xdr:col>
      <xdr:colOff>657225</xdr:colOff>
      <xdr:row>40</xdr:row>
      <xdr:rowOff>228600</xdr:rowOff>
    </xdr:to>
    <xdr:sp>
      <xdr:nvSpPr>
        <xdr:cNvPr id="23" name="Line 25"/>
        <xdr:cNvSpPr>
          <a:spLocks/>
        </xdr:cNvSpPr>
      </xdr:nvSpPr>
      <xdr:spPr>
        <a:xfrm>
          <a:off x="571500" y="11163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</xdr:colOff>
      <xdr:row>40</xdr:row>
      <xdr:rowOff>209550</xdr:rowOff>
    </xdr:from>
    <xdr:ext cx="314325" cy="161925"/>
    <xdr:sp>
      <xdr:nvSpPr>
        <xdr:cNvPr id="24" name="Text Box 26"/>
        <xdr:cNvSpPr txBox="1">
          <a:spLocks noChangeArrowheads="1"/>
        </xdr:cNvSpPr>
      </xdr:nvSpPr>
      <xdr:spPr>
        <a:xfrm>
          <a:off x="95250" y="11144250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mm</a:t>
          </a:r>
        </a:p>
      </xdr:txBody>
    </xdr:sp>
    <xdr:clientData/>
  </xdr:oneCellAnchor>
  <xdr:twoCellAnchor>
    <xdr:from>
      <xdr:col>0</xdr:col>
      <xdr:colOff>504825</xdr:colOff>
      <xdr:row>40</xdr:row>
      <xdr:rowOff>238125</xdr:rowOff>
    </xdr:from>
    <xdr:to>
      <xdr:col>0</xdr:col>
      <xdr:colOff>504825</xdr:colOff>
      <xdr:row>41</xdr:row>
      <xdr:rowOff>66675</xdr:rowOff>
    </xdr:to>
    <xdr:sp>
      <xdr:nvSpPr>
        <xdr:cNvPr id="25" name="Line 27"/>
        <xdr:cNvSpPr>
          <a:spLocks/>
        </xdr:cNvSpPr>
      </xdr:nvSpPr>
      <xdr:spPr>
        <a:xfrm>
          <a:off x="504825" y="11172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40</xdr:row>
      <xdr:rowOff>228600</xdr:rowOff>
    </xdr:from>
    <xdr:to>
      <xdr:col>0</xdr:col>
      <xdr:colOff>552450</xdr:colOff>
      <xdr:row>40</xdr:row>
      <xdr:rowOff>228600</xdr:rowOff>
    </xdr:to>
    <xdr:sp>
      <xdr:nvSpPr>
        <xdr:cNvPr id="26" name="Line 28"/>
        <xdr:cNvSpPr>
          <a:spLocks/>
        </xdr:cNvSpPr>
      </xdr:nvSpPr>
      <xdr:spPr>
        <a:xfrm>
          <a:off x="466725" y="11163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41</xdr:row>
      <xdr:rowOff>76200</xdr:rowOff>
    </xdr:from>
    <xdr:to>
      <xdr:col>0</xdr:col>
      <xdr:colOff>552450</xdr:colOff>
      <xdr:row>41</xdr:row>
      <xdr:rowOff>76200</xdr:rowOff>
    </xdr:to>
    <xdr:sp>
      <xdr:nvSpPr>
        <xdr:cNvPr id="27" name="Line 29"/>
        <xdr:cNvSpPr>
          <a:spLocks/>
        </xdr:cNvSpPr>
      </xdr:nvSpPr>
      <xdr:spPr>
        <a:xfrm>
          <a:off x="466725" y="112776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38</xdr:row>
      <xdr:rowOff>38100</xdr:rowOff>
    </xdr:from>
    <xdr:to>
      <xdr:col>4</xdr:col>
      <xdr:colOff>190500</xdr:colOff>
      <xdr:row>39</xdr:row>
      <xdr:rowOff>228600</xdr:rowOff>
    </xdr:to>
    <xdr:sp>
      <xdr:nvSpPr>
        <xdr:cNvPr id="28" name="Rectangle 30"/>
        <xdr:cNvSpPr>
          <a:spLocks/>
        </xdr:cNvSpPr>
      </xdr:nvSpPr>
      <xdr:spPr>
        <a:xfrm>
          <a:off x="714375" y="10439400"/>
          <a:ext cx="2971800" cy="457200"/>
        </a:xfrm>
        <a:prstGeom prst="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38</xdr:row>
      <xdr:rowOff>0</xdr:rowOff>
    </xdr:from>
    <xdr:to>
      <xdr:col>4</xdr:col>
      <xdr:colOff>485775</xdr:colOff>
      <xdr:row>38</xdr:row>
      <xdr:rowOff>0</xdr:rowOff>
    </xdr:to>
    <xdr:sp>
      <xdr:nvSpPr>
        <xdr:cNvPr id="29" name="Line 31"/>
        <xdr:cNvSpPr>
          <a:spLocks/>
        </xdr:cNvSpPr>
      </xdr:nvSpPr>
      <xdr:spPr>
        <a:xfrm>
          <a:off x="3895725" y="10401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561975</xdr:colOff>
      <xdr:row>38</xdr:row>
      <xdr:rowOff>190500</xdr:rowOff>
    </xdr:from>
    <xdr:ext cx="314325" cy="161925"/>
    <xdr:sp>
      <xdr:nvSpPr>
        <xdr:cNvPr id="30" name="Text Box 32"/>
        <xdr:cNvSpPr txBox="1">
          <a:spLocks noChangeArrowheads="1"/>
        </xdr:cNvSpPr>
      </xdr:nvSpPr>
      <xdr:spPr>
        <a:xfrm>
          <a:off x="4057650" y="10591800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mm</a:t>
          </a:r>
        </a:p>
      </xdr:txBody>
    </xdr:sp>
    <xdr:clientData/>
  </xdr:oneCellAnchor>
  <xdr:oneCellAnchor>
    <xdr:from>
      <xdr:col>0</xdr:col>
      <xdr:colOff>1771650</xdr:colOff>
      <xdr:row>38</xdr:row>
      <xdr:rowOff>161925</xdr:rowOff>
    </xdr:from>
    <xdr:ext cx="981075" cy="180975"/>
    <xdr:sp>
      <xdr:nvSpPr>
        <xdr:cNvPr id="31" name="Text Box 33"/>
        <xdr:cNvSpPr txBox="1">
          <a:spLocks noChangeArrowheads="1"/>
        </xdr:cNvSpPr>
      </xdr:nvSpPr>
      <xdr:spPr>
        <a:xfrm>
          <a:off x="1771650" y="10563225"/>
          <a:ext cx="981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Concrete Topping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zoomScalePageLayoutView="0" workbookViewId="0" topLeftCell="A1">
      <selection activeCell="A1" sqref="A1:K63"/>
    </sheetView>
  </sheetViews>
  <sheetFormatPr defaultColWidth="9.140625" defaultRowHeight="12.75"/>
  <cols>
    <col min="1" max="1" width="33.28125" style="1" customWidth="1"/>
    <col min="2" max="2" width="5.7109375" style="1" customWidth="1"/>
    <col min="3" max="3" width="2.8515625" style="1" customWidth="1"/>
    <col min="4" max="4" width="10.7109375" style="1" customWidth="1"/>
    <col min="5" max="5" width="7.421875" style="1" customWidth="1"/>
    <col min="6" max="6" width="5.00390625" style="1" customWidth="1"/>
    <col min="7" max="7" width="2.7109375" style="1" customWidth="1"/>
    <col min="8" max="8" width="9.00390625" style="1" customWidth="1"/>
    <col min="9" max="9" width="4.57421875" style="1" customWidth="1"/>
    <col min="10" max="10" width="4.28125" style="1" customWidth="1"/>
    <col min="11" max="11" width="9.140625" style="1" customWidth="1"/>
    <col min="12" max="14" width="9.140625" style="1" hidden="1" customWidth="1"/>
    <col min="15" max="16384" width="9.140625" style="1" customWidth="1"/>
  </cols>
  <sheetData>
    <row r="1" spans="1:10" ht="26.25">
      <c r="A1" s="34" t="s">
        <v>0</v>
      </c>
      <c r="B1" s="2"/>
      <c r="C1" s="2"/>
      <c r="D1" s="2"/>
      <c r="E1" s="2"/>
      <c r="F1" s="2"/>
      <c r="G1" s="2"/>
      <c r="H1" s="32"/>
      <c r="I1" s="2"/>
      <c r="J1" s="2"/>
    </row>
    <row r="2" spans="1:10" ht="21">
      <c r="A2" s="3"/>
      <c r="B2" s="3"/>
      <c r="C2" s="3"/>
      <c r="D2" s="3"/>
      <c r="E2" s="3"/>
      <c r="F2" s="3"/>
      <c r="G2" s="3"/>
      <c r="H2" s="3"/>
      <c r="I2" s="3"/>
      <c r="J2" s="2"/>
    </row>
    <row r="3" spans="1:10" ht="21">
      <c r="A3" s="10" t="s">
        <v>8</v>
      </c>
      <c r="B3" s="3"/>
      <c r="C3" s="3"/>
      <c r="D3" s="3"/>
      <c r="E3" s="3"/>
      <c r="F3" s="3"/>
      <c r="G3" s="3"/>
      <c r="H3" s="3"/>
      <c r="I3" s="3"/>
      <c r="J3" s="2"/>
    </row>
    <row r="4" spans="1:12" ht="21">
      <c r="A4" s="5" t="s">
        <v>2</v>
      </c>
      <c r="B4" s="2" t="s">
        <v>80</v>
      </c>
      <c r="C4" s="2" t="s">
        <v>7</v>
      </c>
      <c r="E4" s="25">
        <v>350</v>
      </c>
      <c r="F4" s="2" t="s">
        <v>1</v>
      </c>
      <c r="G4" s="2"/>
      <c r="H4" s="2"/>
      <c r="I4" s="2"/>
      <c r="J4" s="2"/>
      <c r="K4" s="2"/>
      <c r="L4" s="2"/>
    </row>
    <row r="5" spans="1:12" ht="21">
      <c r="A5" s="5" t="s">
        <v>3</v>
      </c>
      <c r="B5" s="2" t="s">
        <v>81</v>
      </c>
      <c r="C5" s="2" t="s">
        <v>7</v>
      </c>
      <c r="E5" s="25">
        <v>250</v>
      </c>
      <c r="F5" s="2" t="s">
        <v>1</v>
      </c>
      <c r="G5" s="2"/>
      <c r="H5" s="2" t="s">
        <v>75</v>
      </c>
      <c r="I5" s="2"/>
      <c r="J5" s="2"/>
      <c r="K5" s="2"/>
      <c r="L5" s="2"/>
    </row>
    <row r="6" spans="1:10" ht="21">
      <c r="A6" s="5"/>
      <c r="B6" s="2"/>
      <c r="C6" s="2"/>
      <c r="D6" s="2"/>
      <c r="E6" s="2"/>
      <c r="F6" s="2"/>
      <c r="G6" s="2"/>
      <c r="H6" s="2"/>
      <c r="I6" s="2"/>
      <c r="J6" s="2"/>
    </row>
    <row r="7" spans="1:10" ht="21">
      <c r="A7" s="5" t="s">
        <v>5</v>
      </c>
      <c r="B7" s="2" t="s">
        <v>82</v>
      </c>
      <c r="C7" s="2" t="s">
        <v>7</v>
      </c>
      <c r="D7" s="6" t="s">
        <v>218</v>
      </c>
      <c r="E7" s="6"/>
      <c r="F7" s="2" t="s">
        <v>7</v>
      </c>
      <c r="G7" s="2"/>
      <c r="H7" s="2">
        <f>0.45*E5</f>
        <v>112.5</v>
      </c>
      <c r="I7" s="2" t="s">
        <v>1</v>
      </c>
      <c r="J7" s="2"/>
    </row>
    <row r="8" spans="1:10" ht="23.25">
      <c r="A8" s="5" t="s">
        <v>6</v>
      </c>
      <c r="B8" s="2" t="s">
        <v>83</v>
      </c>
      <c r="C8" s="2" t="s">
        <v>7</v>
      </c>
      <c r="D8" s="6" t="s">
        <v>123</v>
      </c>
      <c r="E8" s="6"/>
      <c r="F8" s="2" t="s">
        <v>7</v>
      </c>
      <c r="G8" s="2"/>
      <c r="H8" s="8">
        <f>-0.8*E5^0.5</f>
        <v>-12.649110640673518</v>
      </c>
      <c r="I8" s="2" t="s">
        <v>1</v>
      </c>
      <c r="J8" s="2"/>
    </row>
    <row r="9" spans="1:10" ht="21">
      <c r="A9" s="5" t="s">
        <v>4</v>
      </c>
      <c r="B9" s="2" t="s">
        <v>84</v>
      </c>
      <c r="C9" s="2" t="s">
        <v>7</v>
      </c>
      <c r="D9" s="6" t="s">
        <v>106</v>
      </c>
      <c r="E9" s="6"/>
      <c r="F9" s="2" t="s">
        <v>7</v>
      </c>
      <c r="G9" s="2"/>
      <c r="H9" s="8">
        <f>0.45*E4</f>
        <v>157.5</v>
      </c>
      <c r="I9" s="2" t="s">
        <v>1</v>
      </c>
      <c r="J9" s="2"/>
    </row>
    <row r="10" spans="1:10" ht="23.25">
      <c r="A10" s="5"/>
      <c r="B10" s="2" t="s">
        <v>85</v>
      </c>
      <c r="C10" s="2" t="s">
        <v>7</v>
      </c>
      <c r="D10" s="6" t="s">
        <v>107</v>
      </c>
      <c r="E10" s="6"/>
      <c r="F10" s="2" t="s">
        <v>7</v>
      </c>
      <c r="G10" s="2"/>
      <c r="H10" s="8">
        <f>-1.6*E4^0.5</f>
        <v>-29.933259094191534</v>
      </c>
      <c r="I10" s="2" t="s">
        <v>1</v>
      </c>
      <c r="J10" s="2"/>
    </row>
    <row r="11" spans="1:10" ht="21">
      <c r="A11" s="5"/>
      <c r="B11" s="2"/>
      <c r="C11" s="2"/>
      <c r="D11" s="2"/>
      <c r="E11" s="2"/>
      <c r="F11" s="2"/>
      <c r="G11" s="2"/>
      <c r="H11" s="2"/>
      <c r="I11" s="2"/>
      <c r="J11" s="2"/>
    </row>
    <row r="12" spans="1:10" ht="21">
      <c r="A12" s="10" t="s">
        <v>9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21">
      <c r="A13" s="5" t="s">
        <v>10</v>
      </c>
      <c r="B13" s="2"/>
      <c r="C13" s="2" t="s">
        <v>7</v>
      </c>
      <c r="E13" s="25">
        <v>4</v>
      </c>
      <c r="F13" s="2" t="s">
        <v>11</v>
      </c>
      <c r="G13" s="2"/>
      <c r="H13" s="2"/>
      <c r="I13" s="2"/>
      <c r="J13" s="2"/>
    </row>
    <row r="14" spans="1:10" ht="21">
      <c r="A14" s="5" t="s">
        <v>17</v>
      </c>
      <c r="B14" s="2"/>
      <c r="C14" s="2" t="s">
        <v>7</v>
      </c>
      <c r="E14" s="25">
        <v>8</v>
      </c>
      <c r="F14" s="2" t="s">
        <v>18</v>
      </c>
      <c r="G14" s="2"/>
      <c r="H14" s="2"/>
      <c r="I14" s="2"/>
      <c r="J14" s="2"/>
    </row>
    <row r="15" spans="1:10" ht="23.25">
      <c r="A15" s="5" t="s">
        <v>19</v>
      </c>
      <c r="B15" s="2" t="s">
        <v>86</v>
      </c>
      <c r="C15" s="2" t="s">
        <v>7</v>
      </c>
      <c r="E15" s="7">
        <f>3.1416/4*E13^2/100*E14</f>
        <v>1.005312</v>
      </c>
      <c r="F15" s="2" t="s">
        <v>100</v>
      </c>
      <c r="G15" s="2"/>
      <c r="H15" s="2"/>
      <c r="I15" s="2"/>
      <c r="J15" s="2"/>
    </row>
    <row r="16" spans="1:10" ht="21">
      <c r="A16" s="5" t="s">
        <v>12</v>
      </c>
      <c r="B16" s="2" t="s">
        <v>87</v>
      </c>
      <c r="C16" s="2" t="s">
        <v>7</v>
      </c>
      <c r="E16" s="26">
        <v>17500</v>
      </c>
      <c r="F16" s="2" t="s">
        <v>1</v>
      </c>
      <c r="G16" s="2"/>
      <c r="H16" s="2"/>
      <c r="I16" s="2"/>
      <c r="J16" s="2"/>
    </row>
    <row r="17" spans="1:10" ht="21">
      <c r="A17" s="5" t="s">
        <v>13</v>
      </c>
      <c r="B17" s="2" t="s">
        <v>88</v>
      </c>
      <c r="C17" s="2" t="s">
        <v>7</v>
      </c>
      <c r="E17" s="26">
        <v>15000</v>
      </c>
      <c r="F17" s="2" t="s">
        <v>1</v>
      </c>
      <c r="G17" s="2"/>
      <c r="H17" s="2"/>
      <c r="I17" s="2"/>
      <c r="J17" s="2"/>
    </row>
    <row r="18" spans="1:10" ht="21">
      <c r="A18" s="5" t="s">
        <v>41</v>
      </c>
      <c r="B18" s="2" t="s">
        <v>89</v>
      </c>
      <c r="C18" s="2" t="s">
        <v>7</v>
      </c>
      <c r="D18" s="6" t="s">
        <v>134</v>
      </c>
      <c r="E18" s="11"/>
      <c r="F18" s="2"/>
      <c r="G18" s="2" t="s">
        <v>7</v>
      </c>
      <c r="H18" s="12">
        <f>MIN(0.8*E16,0.94*E17)*E15</f>
        <v>14074.368</v>
      </c>
      <c r="I18" s="2" t="s">
        <v>14</v>
      </c>
      <c r="J18" s="2"/>
    </row>
    <row r="19" spans="1:10" ht="21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0" ht="21">
      <c r="A20" s="10" t="s">
        <v>16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21">
      <c r="A21" s="5" t="s">
        <v>20</v>
      </c>
      <c r="B21" s="2" t="s">
        <v>26</v>
      </c>
      <c r="C21" s="2" t="s">
        <v>7</v>
      </c>
      <c r="D21" s="2"/>
      <c r="E21" s="25">
        <v>10.5</v>
      </c>
      <c r="F21" s="2" t="s">
        <v>27</v>
      </c>
      <c r="G21" s="2"/>
      <c r="H21" s="2"/>
      <c r="I21" s="2"/>
      <c r="J21" s="2"/>
    </row>
    <row r="22" spans="1:10" ht="23.25">
      <c r="A22" s="5" t="s">
        <v>21</v>
      </c>
      <c r="B22" s="2" t="s">
        <v>90</v>
      </c>
      <c r="C22" s="2" t="s">
        <v>7</v>
      </c>
      <c r="D22" s="2"/>
      <c r="E22" s="25">
        <v>487</v>
      </c>
      <c r="F22" s="2" t="s">
        <v>100</v>
      </c>
      <c r="G22" s="2"/>
      <c r="H22" s="2"/>
      <c r="I22" s="2"/>
      <c r="J22" s="2"/>
    </row>
    <row r="23" spans="1:10" ht="23.25">
      <c r="A23" s="5" t="s">
        <v>22</v>
      </c>
      <c r="B23" s="2" t="s">
        <v>91</v>
      </c>
      <c r="C23" s="2" t="s">
        <v>7</v>
      </c>
      <c r="D23" s="2"/>
      <c r="E23" s="25">
        <v>2688</v>
      </c>
      <c r="F23" s="2" t="s">
        <v>101</v>
      </c>
      <c r="G23" s="2"/>
      <c r="H23" s="2"/>
      <c r="I23" s="2"/>
      <c r="J23" s="2"/>
    </row>
    <row r="24" spans="1:10" ht="21">
      <c r="A24" s="5" t="s">
        <v>23</v>
      </c>
      <c r="B24" s="2" t="s">
        <v>24</v>
      </c>
      <c r="C24" s="2" t="s">
        <v>7</v>
      </c>
      <c r="D24" s="2"/>
      <c r="E24" s="2">
        <f>E22/10000*2400</f>
        <v>116.88</v>
      </c>
      <c r="F24" s="2" t="s">
        <v>25</v>
      </c>
      <c r="G24" s="2"/>
      <c r="H24" s="2"/>
      <c r="I24" s="2"/>
      <c r="J24" s="2"/>
    </row>
    <row r="25" spans="1:10" ht="21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21">
      <c r="A26" s="5"/>
      <c r="B26" s="2"/>
      <c r="C26" s="2"/>
      <c r="D26" s="2"/>
      <c r="E26" s="2"/>
      <c r="F26" s="2"/>
      <c r="G26" s="2"/>
      <c r="H26" s="2"/>
      <c r="I26" s="2"/>
      <c r="J26" s="2"/>
    </row>
    <row r="27" spans="1:10" ht="21">
      <c r="A27" s="5"/>
      <c r="B27" s="2"/>
      <c r="C27" s="2"/>
      <c r="D27" s="2"/>
      <c r="E27" s="2"/>
      <c r="F27" s="2"/>
      <c r="G27" s="2"/>
      <c r="H27" s="2"/>
      <c r="I27" s="2"/>
      <c r="J27" s="2"/>
    </row>
    <row r="28" spans="2:10" ht="21">
      <c r="B28" s="2"/>
      <c r="C28" s="2"/>
      <c r="D28" s="2"/>
      <c r="E28" s="2"/>
      <c r="F28" s="2"/>
      <c r="G28" s="2"/>
      <c r="H28" s="2"/>
      <c r="I28" s="2"/>
      <c r="J28" s="2"/>
    </row>
    <row r="29" spans="1:10" ht="21">
      <c r="A29" s="5"/>
      <c r="B29" s="2"/>
      <c r="C29" s="2"/>
      <c r="D29" s="2"/>
      <c r="E29" s="2"/>
      <c r="F29" s="2"/>
      <c r="G29" s="2"/>
      <c r="H29" s="2"/>
      <c r="I29" s="2"/>
      <c r="J29" s="2"/>
    </row>
    <row r="30" spans="1:10" ht="21">
      <c r="A30" s="5"/>
      <c r="B30" s="2"/>
      <c r="C30" s="2"/>
      <c r="D30" s="2"/>
      <c r="E30" s="2"/>
      <c r="F30" s="2"/>
      <c r="G30" s="2"/>
      <c r="H30" s="2"/>
      <c r="I30" s="2"/>
      <c r="J30" s="2"/>
    </row>
    <row r="31" spans="1:10" ht="21">
      <c r="A31" s="5"/>
      <c r="B31" s="2"/>
      <c r="C31" s="2"/>
      <c r="D31" s="2"/>
      <c r="E31" s="2"/>
      <c r="F31" s="2"/>
      <c r="G31" s="2"/>
      <c r="H31" s="2"/>
      <c r="I31" s="2"/>
      <c r="J31" s="2"/>
    </row>
    <row r="32" spans="1:10" ht="21">
      <c r="A32" s="5"/>
      <c r="B32" s="2"/>
      <c r="C32" s="2"/>
      <c r="D32" s="2"/>
      <c r="E32" s="2"/>
      <c r="F32" s="2"/>
      <c r="G32" s="2"/>
      <c r="H32" s="2"/>
      <c r="I32" s="2"/>
      <c r="J32" s="2"/>
    </row>
    <row r="33" spans="1:10" ht="21">
      <c r="A33" s="5"/>
      <c r="B33" s="2"/>
      <c r="C33" s="2"/>
      <c r="D33" s="2"/>
      <c r="E33" s="2"/>
      <c r="F33" s="2"/>
      <c r="G33" s="2"/>
      <c r="H33" s="2"/>
      <c r="I33" s="2"/>
      <c r="J33" s="2"/>
    </row>
    <row r="34" spans="1:10" ht="21">
      <c r="A34" s="5"/>
      <c r="B34" s="2"/>
      <c r="C34" s="2"/>
      <c r="D34" s="2"/>
      <c r="E34" s="2"/>
      <c r="F34" s="2"/>
      <c r="G34" s="2"/>
      <c r="H34" s="2"/>
      <c r="I34" s="2"/>
      <c r="J34" s="2"/>
    </row>
    <row r="35" spans="1:10" ht="21">
      <c r="A35" s="5"/>
      <c r="B35" s="2"/>
      <c r="C35" s="2"/>
      <c r="D35" s="2"/>
      <c r="E35" s="2"/>
      <c r="F35" s="2"/>
      <c r="G35" s="2"/>
      <c r="H35" s="2"/>
      <c r="I35" s="2"/>
      <c r="J35" s="2"/>
    </row>
    <row r="36" spans="1:10" ht="21">
      <c r="A36" s="5"/>
      <c r="B36" s="2"/>
      <c r="C36" s="2"/>
      <c r="D36" s="2"/>
      <c r="E36" s="2"/>
      <c r="F36" s="2"/>
      <c r="G36" s="2"/>
      <c r="H36" s="2"/>
      <c r="I36" s="2"/>
      <c r="J36" s="2"/>
    </row>
    <row r="37" spans="1:10" ht="21">
      <c r="A37" s="10" t="s">
        <v>15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21">
      <c r="A38" s="5" t="s">
        <v>29</v>
      </c>
      <c r="B38" s="2" t="s">
        <v>92</v>
      </c>
      <c r="C38" s="2" t="s">
        <v>7</v>
      </c>
      <c r="D38" s="2" t="s">
        <v>108</v>
      </c>
      <c r="E38" s="2"/>
      <c r="F38" s="2"/>
      <c r="G38" s="2" t="s">
        <v>7</v>
      </c>
      <c r="H38" s="12">
        <f>0.9*H18/E22</f>
        <v>26.010125667351133</v>
      </c>
      <c r="I38" s="2" t="s">
        <v>1</v>
      </c>
      <c r="J38" s="2"/>
    </row>
    <row r="39" spans="1:10" ht="21">
      <c r="A39" s="5"/>
      <c r="B39" s="2" t="s">
        <v>28</v>
      </c>
      <c r="C39" s="2" t="s">
        <v>7</v>
      </c>
      <c r="D39" s="2" t="s">
        <v>130</v>
      </c>
      <c r="E39" s="2"/>
      <c r="F39" s="2"/>
      <c r="G39" s="2" t="s">
        <v>7</v>
      </c>
      <c r="H39" s="12">
        <f>2.04*10^6/15200/E5^0.5*H38</f>
        <v>220.77964242830893</v>
      </c>
      <c r="I39" s="2" t="s">
        <v>1</v>
      </c>
      <c r="J39" s="2"/>
    </row>
    <row r="40" spans="1:10" ht="21">
      <c r="A40" s="5" t="s">
        <v>30</v>
      </c>
      <c r="B40" s="1" t="s">
        <v>31</v>
      </c>
      <c r="C40" s="2" t="s">
        <v>7</v>
      </c>
      <c r="E40" s="27">
        <v>75</v>
      </c>
      <c r="F40" s="1" t="s">
        <v>32</v>
      </c>
      <c r="J40" s="2"/>
    </row>
    <row r="41" spans="2:10" ht="21">
      <c r="B41" s="2" t="s">
        <v>33</v>
      </c>
      <c r="C41" s="2" t="s">
        <v>7</v>
      </c>
      <c r="D41" s="2" t="s">
        <v>34</v>
      </c>
      <c r="E41" s="2"/>
      <c r="F41" s="2"/>
      <c r="G41" s="2" t="s">
        <v>7</v>
      </c>
      <c r="H41" s="2">
        <f>1200-11*E40</f>
        <v>375</v>
      </c>
      <c r="I41" s="2" t="s">
        <v>1</v>
      </c>
      <c r="J41" s="2"/>
    </row>
    <row r="42" spans="1:10" ht="21">
      <c r="A42" s="5" t="s">
        <v>36</v>
      </c>
      <c r="B42" s="1" t="s">
        <v>93</v>
      </c>
      <c r="C42" s="1" t="s">
        <v>7</v>
      </c>
      <c r="D42" s="2"/>
      <c r="E42" s="25">
        <v>0</v>
      </c>
      <c r="F42" s="2" t="s">
        <v>1</v>
      </c>
      <c r="G42" s="2"/>
      <c r="H42" s="2"/>
      <c r="I42" s="4"/>
      <c r="J42" s="2"/>
    </row>
    <row r="43" spans="1:10" ht="21">
      <c r="A43" s="5"/>
      <c r="B43" s="2" t="s">
        <v>35</v>
      </c>
      <c r="C43" s="2" t="s">
        <v>7</v>
      </c>
      <c r="D43" s="2" t="s">
        <v>102</v>
      </c>
      <c r="E43" s="2"/>
      <c r="F43" s="2"/>
      <c r="G43" s="2" t="s">
        <v>7</v>
      </c>
      <c r="H43" s="12">
        <f>12*H38-7*E42</f>
        <v>312.1215080082136</v>
      </c>
      <c r="I43" s="2" t="s">
        <v>1</v>
      </c>
      <c r="J43" s="2"/>
    </row>
    <row r="44" spans="1:10" ht="21">
      <c r="A44" s="5" t="s">
        <v>37</v>
      </c>
      <c r="B44" s="2" t="s">
        <v>38</v>
      </c>
      <c r="C44" s="2" t="s">
        <v>7</v>
      </c>
      <c r="D44" s="2" t="s">
        <v>39</v>
      </c>
      <c r="E44" s="2"/>
      <c r="F44" s="2"/>
      <c r="G44" s="2" t="s">
        <v>7</v>
      </c>
      <c r="H44" s="12">
        <f>1270-0.4*H39-0.2*(H41+H43)</f>
        <v>1044.2638414270336</v>
      </c>
      <c r="I44" s="2" t="s">
        <v>1</v>
      </c>
      <c r="J44" s="2"/>
    </row>
    <row r="45" spans="1:10" ht="21">
      <c r="A45" s="5"/>
      <c r="B45" s="2"/>
      <c r="C45" s="2"/>
      <c r="D45" s="2"/>
      <c r="E45" s="2"/>
      <c r="F45" s="2"/>
      <c r="I45" s="2"/>
      <c r="J45" s="2"/>
    </row>
    <row r="46" spans="1:10" ht="21">
      <c r="A46" s="5" t="s">
        <v>42</v>
      </c>
      <c r="B46" s="2"/>
      <c r="C46" s="2"/>
      <c r="D46" s="2"/>
      <c r="E46" s="2"/>
      <c r="F46" s="2"/>
      <c r="G46" s="1" t="s">
        <v>7</v>
      </c>
      <c r="H46" s="15">
        <f>H39</f>
        <v>220.77964242830893</v>
      </c>
      <c r="I46" s="2" t="s">
        <v>1</v>
      </c>
      <c r="J46" s="2"/>
    </row>
    <row r="47" spans="1:10" ht="21">
      <c r="A47" s="5"/>
      <c r="B47" s="31" t="s">
        <v>155</v>
      </c>
      <c r="C47" s="2"/>
      <c r="D47" s="2"/>
      <c r="E47" s="2"/>
      <c r="F47" s="2"/>
      <c r="G47" s="1" t="s">
        <v>7</v>
      </c>
      <c r="H47" s="15">
        <f>H46/(H18/E15)*100</f>
        <v>1.5769974459164924</v>
      </c>
      <c r="I47" s="2" t="s">
        <v>32</v>
      </c>
      <c r="J47" s="2"/>
    </row>
    <row r="48" spans="1:10" ht="21">
      <c r="A48" s="5" t="s">
        <v>40</v>
      </c>
      <c r="B48" s="2"/>
      <c r="C48" s="2"/>
      <c r="D48" s="2"/>
      <c r="E48" s="2"/>
      <c r="F48" s="2"/>
      <c r="G48" s="2" t="s">
        <v>7</v>
      </c>
      <c r="H48" s="12">
        <f>H39+H41+H43+H44</f>
        <v>1952.1649918635562</v>
      </c>
      <c r="I48" s="2" t="s">
        <v>1</v>
      </c>
      <c r="J48" s="2"/>
    </row>
    <row r="49" spans="1:10" ht="21">
      <c r="A49" s="5"/>
      <c r="B49" s="31" t="s">
        <v>156</v>
      </c>
      <c r="C49" s="2"/>
      <c r="D49" s="2"/>
      <c r="E49" s="2"/>
      <c r="F49" s="2"/>
      <c r="G49" s="2" t="s">
        <v>7</v>
      </c>
      <c r="H49" s="12">
        <f>H48/(H18/E15)*100</f>
        <v>13.944035656168257</v>
      </c>
      <c r="I49" s="2" t="s">
        <v>32</v>
      </c>
      <c r="J49" s="2"/>
    </row>
    <row r="50" ht="21">
      <c r="A50" s="5"/>
    </row>
    <row r="51" ht="21">
      <c r="A51" s="10" t="s">
        <v>43</v>
      </c>
    </row>
    <row r="52" spans="1:10" ht="21">
      <c r="A52" s="5" t="s">
        <v>44</v>
      </c>
      <c r="B52" s="2" t="s">
        <v>94</v>
      </c>
      <c r="C52" s="2" t="s">
        <v>7</v>
      </c>
      <c r="D52" s="2" t="s">
        <v>157</v>
      </c>
      <c r="E52" s="16"/>
      <c r="F52" s="2"/>
      <c r="G52" s="2" t="s">
        <v>7</v>
      </c>
      <c r="H52" s="16">
        <f>MIN(0.7*E16*E15,(1-H47/100)*H18)</f>
        <v>12315.072</v>
      </c>
      <c r="I52" s="2" t="s">
        <v>14</v>
      </c>
      <c r="J52" s="2"/>
    </row>
    <row r="53" spans="2:15" ht="21">
      <c r="B53" s="2" t="s">
        <v>95</v>
      </c>
      <c r="C53" s="2" t="s">
        <v>7</v>
      </c>
      <c r="D53" s="2" t="s">
        <v>103</v>
      </c>
      <c r="E53" s="2"/>
      <c r="F53" s="2"/>
      <c r="G53" s="2" t="s">
        <v>7</v>
      </c>
      <c r="H53" s="12">
        <f>H52/E22</f>
        <v>25.287622176591377</v>
      </c>
      <c r="I53" s="2" t="s">
        <v>1</v>
      </c>
      <c r="J53" s="20" t="str">
        <f>IF(H53&gt;25,"OK","NOT OK")</f>
        <v>OK</v>
      </c>
      <c r="O53" s="42" t="s">
        <v>220</v>
      </c>
    </row>
    <row r="54" spans="1:15" ht="21">
      <c r="A54" s="5"/>
      <c r="B54" s="2" t="s">
        <v>96</v>
      </c>
      <c r="C54" s="2" t="s">
        <v>7</v>
      </c>
      <c r="D54" s="2" t="s">
        <v>103</v>
      </c>
      <c r="E54" s="2"/>
      <c r="F54" s="2"/>
      <c r="G54" s="2" t="s">
        <v>7</v>
      </c>
      <c r="H54" s="12">
        <f>H52/E22</f>
        <v>25.287622176591377</v>
      </c>
      <c r="I54" s="2" t="s">
        <v>1</v>
      </c>
      <c r="J54" s="20" t="str">
        <f>IF(H54&gt;25,"OK","NOT OK")</f>
        <v>OK</v>
      </c>
      <c r="O54" s="42" t="s">
        <v>221</v>
      </c>
    </row>
    <row r="55" spans="1:10" ht="21">
      <c r="A55" s="5" t="s">
        <v>45</v>
      </c>
      <c r="B55" s="2" t="s">
        <v>97</v>
      </c>
      <c r="C55" s="2" t="s">
        <v>7</v>
      </c>
      <c r="D55" s="2" t="s">
        <v>159</v>
      </c>
      <c r="F55" s="2"/>
      <c r="G55" s="2" t="s">
        <v>7</v>
      </c>
      <c r="H55" s="11">
        <f>(1-H49/100)*H18</f>
        <v>12111.833107699664</v>
      </c>
      <c r="I55" s="2" t="s">
        <v>14</v>
      </c>
      <c r="J55" s="13"/>
    </row>
    <row r="56" spans="1:10" ht="23.25">
      <c r="A56" s="5"/>
      <c r="B56" s="2" t="s">
        <v>46</v>
      </c>
      <c r="C56" s="2" t="s">
        <v>7</v>
      </c>
      <c r="D56" s="2" t="s">
        <v>131</v>
      </c>
      <c r="E56" s="2"/>
      <c r="F56" s="2"/>
      <c r="G56" s="2" t="s">
        <v>7</v>
      </c>
      <c r="H56" s="17">
        <f>0.5*E24*(0.207*E21)^2</f>
        <v>276.0765354899999</v>
      </c>
      <c r="I56" s="2" t="s">
        <v>47</v>
      </c>
      <c r="J56" s="13"/>
    </row>
    <row r="57" spans="1:10" ht="21">
      <c r="A57" s="5" t="s">
        <v>168</v>
      </c>
      <c r="B57" s="2" t="s">
        <v>98</v>
      </c>
      <c r="C57" s="2" t="s">
        <v>7</v>
      </c>
      <c r="D57" s="2" t="s">
        <v>167</v>
      </c>
      <c r="E57" s="2"/>
      <c r="F57" s="2"/>
      <c r="G57" s="2" t="s">
        <v>7</v>
      </c>
      <c r="H57" s="17">
        <f>1.5*H56</f>
        <v>414.11480323499984</v>
      </c>
      <c r="I57" s="2" t="s">
        <v>47</v>
      </c>
      <c r="J57" s="13"/>
    </row>
    <row r="58" spans="1:10" ht="21">
      <c r="A58" s="5"/>
      <c r="B58" s="2" t="s">
        <v>95</v>
      </c>
      <c r="C58" s="2" t="s">
        <v>7</v>
      </c>
      <c r="D58" s="2" t="s">
        <v>109</v>
      </c>
      <c r="E58" s="2"/>
      <c r="F58" s="2"/>
      <c r="G58" s="2" t="s">
        <v>7</v>
      </c>
      <c r="H58" s="12">
        <f>H55/E22+H57*100/E23</f>
        <v>40.27635052361487</v>
      </c>
      <c r="I58" s="2" t="s">
        <v>1</v>
      </c>
      <c r="J58" s="20" t="str">
        <f>IF(H58&lt;H9,"OK","NOT OK")</f>
        <v>OK</v>
      </c>
    </row>
    <row r="59" spans="2:10" ht="21">
      <c r="B59" s="2" t="s">
        <v>96</v>
      </c>
      <c r="C59" s="2" t="s">
        <v>7</v>
      </c>
      <c r="D59" s="2" t="s">
        <v>104</v>
      </c>
      <c r="E59" s="2"/>
      <c r="F59" s="2"/>
      <c r="G59" s="2" t="s">
        <v>7</v>
      </c>
      <c r="H59" s="12">
        <f>H55/E22-H57*100/E23</f>
        <v>9.464237187677384</v>
      </c>
      <c r="I59" s="2" t="s">
        <v>1</v>
      </c>
      <c r="J59" s="20" t="str">
        <f>IF(H59&gt;H10,"OK","NOT OK")</f>
        <v>OK</v>
      </c>
    </row>
    <row r="60" spans="2:10" ht="21">
      <c r="B60" s="2"/>
      <c r="C60" s="2"/>
      <c r="D60" s="2"/>
      <c r="E60" s="2"/>
      <c r="F60" s="2"/>
      <c r="G60" s="2"/>
      <c r="H60" s="2"/>
      <c r="I60" s="2"/>
      <c r="J60" s="2"/>
    </row>
    <row r="61" spans="1:10" ht="21">
      <c r="A61" s="10" t="s">
        <v>48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21">
      <c r="A62" s="5" t="s">
        <v>169</v>
      </c>
      <c r="B62" s="2" t="s">
        <v>171</v>
      </c>
      <c r="C62" s="2" t="s">
        <v>7</v>
      </c>
      <c r="D62" s="2" t="s">
        <v>172</v>
      </c>
      <c r="E62" s="2"/>
      <c r="F62" s="2"/>
      <c r="G62" s="2" t="s">
        <v>7</v>
      </c>
      <c r="H62" s="8">
        <f>(0.33*E4-0.27*H55/E22)*E22/1000</f>
        <v>52.978305060921095</v>
      </c>
      <c r="I62" s="2" t="s">
        <v>49</v>
      </c>
      <c r="J62" s="2"/>
    </row>
    <row r="63" spans="1:10" ht="21">
      <c r="A63" s="5" t="s">
        <v>170</v>
      </c>
      <c r="B63" s="2" t="s">
        <v>99</v>
      </c>
      <c r="C63" s="2" t="s">
        <v>7</v>
      </c>
      <c r="D63" s="2" t="s">
        <v>132</v>
      </c>
      <c r="E63" s="2"/>
      <c r="F63" s="2"/>
      <c r="G63" s="2" t="s">
        <v>7</v>
      </c>
      <c r="H63" s="8">
        <f>(0.85*E4-0.6*H55/E22)*E22/1000</f>
        <v>137.61540013538018</v>
      </c>
      <c r="I63" s="2" t="s">
        <v>49</v>
      </c>
      <c r="J63" s="2"/>
    </row>
    <row r="64" ht="21">
      <c r="A64" s="33"/>
    </row>
    <row r="65" spans="1:10" ht="21">
      <c r="A65" s="5"/>
      <c r="B65" s="2"/>
      <c r="C65" s="2"/>
      <c r="D65" s="2"/>
      <c r="E65" s="2"/>
      <c r="F65" s="2"/>
      <c r="G65" s="2"/>
      <c r="H65" s="2"/>
      <c r="I65" s="2"/>
      <c r="J65" s="2"/>
    </row>
    <row r="66" spans="1:10" ht="21">
      <c r="A66" s="5"/>
      <c r="B66" s="2"/>
      <c r="C66" s="2"/>
      <c r="D66" s="2"/>
      <c r="E66" s="2"/>
      <c r="F66" s="2"/>
      <c r="G66" s="2"/>
      <c r="H66" s="2"/>
      <c r="I66" s="2"/>
      <c r="J66" s="2"/>
    </row>
    <row r="67" spans="1:10" ht="21">
      <c r="A67" s="5"/>
      <c r="B67" s="2"/>
      <c r="C67" s="2"/>
      <c r="D67" s="2"/>
      <c r="E67" s="2"/>
      <c r="F67" s="2"/>
      <c r="G67" s="2"/>
      <c r="H67" s="2"/>
      <c r="I67" s="2"/>
      <c r="J67" s="2"/>
    </row>
    <row r="68" spans="1:10" ht="21">
      <c r="A68" s="5"/>
      <c r="B68" s="2"/>
      <c r="C68" s="2"/>
      <c r="D68" s="2"/>
      <c r="E68" s="2"/>
      <c r="F68" s="2"/>
      <c r="G68" s="2"/>
      <c r="H68" s="2"/>
      <c r="I68" s="2"/>
      <c r="J68" s="2"/>
    </row>
    <row r="69" spans="1:10" ht="21">
      <c r="A69" s="5"/>
      <c r="B69" s="2"/>
      <c r="C69" s="2"/>
      <c r="D69" s="2"/>
      <c r="E69" s="2"/>
      <c r="F69" s="2"/>
      <c r="G69" s="2"/>
      <c r="H69" s="2"/>
      <c r="I69" s="2"/>
      <c r="J69" s="2"/>
    </row>
    <row r="70" spans="1:10" ht="21">
      <c r="A70" s="5"/>
      <c r="B70" s="2"/>
      <c r="C70" s="2"/>
      <c r="D70" s="2"/>
      <c r="E70" s="2"/>
      <c r="F70" s="2"/>
      <c r="G70" s="2"/>
      <c r="H70" s="2"/>
      <c r="I70" s="2"/>
      <c r="J70" s="2"/>
    </row>
    <row r="71" spans="1:10" ht="21">
      <c r="A71" s="5"/>
      <c r="B71" s="2"/>
      <c r="C71" s="2"/>
      <c r="D71" s="2"/>
      <c r="E71" s="2"/>
      <c r="F71" s="2"/>
      <c r="G71" s="2"/>
      <c r="H71" s="2"/>
      <c r="I71" s="2"/>
      <c r="J71" s="2"/>
    </row>
    <row r="72" spans="1:10" ht="21">
      <c r="A72" s="5"/>
      <c r="B72" s="2"/>
      <c r="C72" s="2"/>
      <c r="D72" s="2"/>
      <c r="E72" s="2"/>
      <c r="F72" s="2"/>
      <c r="G72" s="2"/>
      <c r="H72" s="2"/>
      <c r="I72" s="2"/>
      <c r="J72" s="2"/>
    </row>
    <row r="73" spans="1:10" ht="21">
      <c r="A73" s="5"/>
      <c r="B73" s="2"/>
      <c r="C73" s="2"/>
      <c r="D73" s="2"/>
      <c r="E73" s="2"/>
      <c r="F73" s="2"/>
      <c r="G73" s="2"/>
      <c r="H73" s="2"/>
      <c r="I73" s="2"/>
      <c r="J73" s="2"/>
    </row>
    <row r="74" spans="1:10" ht="21">
      <c r="A74" s="5"/>
      <c r="B74" s="2"/>
      <c r="C74" s="2"/>
      <c r="D74" s="2"/>
      <c r="E74" s="2"/>
      <c r="F74" s="2"/>
      <c r="G74" s="2"/>
      <c r="H74" s="2"/>
      <c r="I74" s="2"/>
      <c r="J74" s="2"/>
    </row>
    <row r="75" spans="1:10" ht="21">
      <c r="A75" s="5"/>
      <c r="B75" s="2"/>
      <c r="C75" s="2"/>
      <c r="D75" s="2"/>
      <c r="E75" s="2"/>
      <c r="F75" s="2"/>
      <c r="G75" s="2"/>
      <c r="H75" s="2"/>
      <c r="I75" s="2"/>
      <c r="J75" s="2"/>
    </row>
    <row r="76" spans="1:10" ht="21">
      <c r="A76" s="5"/>
      <c r="B76" s="2"/>
      <c r="C76" s="2"/>
      <c r="D76" s="2"/>
      <c r="E76" s="2"/>
      <c r="F76" s="2"/>
      <c r="G76" s="2"/>
      <c r="H76" s="2"/>
      <c r="I76" s="2"/>
      <c r="J76" s="2"/>
    </row>
    <row r="77" spans="1:10" ht="21">
      <c r="A77" s="5"/>
      <c r="B77" s="2"/>
      <c r="C77" s="2"/>
      <c r="D77" s="2"/>
      <c r="E77" s="2"/>
      <c r="F77" s="2"/>
      <c r="G77" s="2"/>
      <c r="H77" s="2"/>
      <c r="I77" s="2"/>
      <c r="J77" s="2"/>
    </row>
    <row r="78" spans="1:10" ht="21">
      <c r="A78" s="5"/>
      <c r="B78" s="2"/>
      <c r="C78" s="2"/>
      <c r="D78" s="2"/>
      <c r="E78" s="2"/>
      <c r="F78" s="2"/>
      <c r="G78" s="2"/>
      <c r="H78" s="2"/>
      <c r="I78" s="2"/>
      <c r="J78" s="2"/>
    </row>
    <row r="79" spans="1:10" ht="21">
      <c r="A79" s="5"/>
      <c r="B79" s="2"/>
      <c r="C79" s="2"/>
      <c r="D79" s="2"/>
      <c r="E79" s="2"/>
      <c r="F79" s="2"/>
      <c r="G79" s="2"/>
      <c r="H79" s="2"/>
      <c r="I79" s="2"/>
      <c r="J79" s="2"/>
    </row>
    <row r="80" spans="1:10" ht="21">
      <c r="A80" s="5"/>
      <c r="B80" s="2"/>
      <c r="C80" s="2"/>
      <c r="D80" s="2"/>
      <c r="E80" s="2"/>
      <c r="F80" s="2"/>
      <c r="G80" s="2"/>
      <c r="H80" s="2"/>
      <c r="I80" s="2"/>
      <c r="J80" s="2"/>
    </row>
    <row r="81" spans="1:10" ht="21">
      <c r="A81" s="5"/>
      <c r="B81" s="2"/>
      <c r="C81" s="2"/>
      <c r="D81" s="2"/>
      <c r="E81" s="2"/>
      <c r="F81" s="2"/>
      <c r="G81" s="2"/>
      <c r="H81" s="2"/>
      <c r="I81" s="2"/>
      <c r="J81" s="2"/>
    </row>
    <row r="82" spans="1:10" ht="21">
      <c r="A82" s="5"/>
      <c r="B82" s="2"/>
      <c r="C82" s="2"/>
      <c r="D82" s="2"/>
      <c r="E82" s="2"/>
      <c r="F82" s="2"/>
      <c r="G82" s="2"/>
      <c r="H82" s="2"/>
      <c r="I82" s="2"/>
      <c r="J82" s="2"/>
    </row>
    <row r="83" spans="1:10" ht="21">
      <c r="A83" s="5"/>
      <c r="B83" s="2"/>
      <c r="C83" s="2"/>
      <c r="D83" s="2"/>
      <c r="E83" s="2"/>
      <c r="F83" s="2"/>
      <c r="G83" s="2"/>
      <c r="H83" s="2"/>
      <c r="I83" s="2"/>
      <c r="J83" s="2"/>
    </row>
    <row r="84" spans="1:10" ht="21">
      <c r="A84" s="5"/>
      <c r="B84" s="2"/>
      <c r="C84" s="2"/>
      <c r="D84" s="2"/>
      <c r="E84" s="2"/>
      <c r="F84" s="2"/>
      <c r="G84" s="2"/>
      <c r="H84" s="2"/>
      <c r="I84" s="2"/>
      <c r="J84" s="2"/>
    </row>
    <row r="85" spans="1:10" ht="21">
      <c r="A85" s="5"/>
      <c r="B85" s="2"/>
      <c r="C85" s="2"/>
      <c r="D85" s="2"/>
      <c r="E85" s="2"/>
      <c r="F85" s="2"/>
      <c r="G85" s="2"/>
      <c r="H85" s="2"/>
      <c r="I85" s="2"/>
      <c r="J85" s="2"/>
    </row>
    <row r="86" spans="1:10" ht="21">
      <c r="A86" s="5"/>
      <c r="B86" s="2"/>
      <c r="C86" s="2"/>
      <c r="D86" s="2"/>
      <c r="E86" s="2"/>
      <c r="F86" s="2"/>
      <c r="G86" s="2"/>
      <c r="H86" s="2"/>
      <c r="I86" s="2"/>
      <c r="J86" s="2"/>
    </row>
    <row r="87" spans="1:10" ht="21">
      <c r="A87" s="5"/>
      <c r="B87" s="2"/>
      <c r="C87" s="2"/>
      <c r="D87" s="2"/>
      <c r="E87" s="2"/>
      <c r="F87" s="2"/>
      <c r="G87" s="2"/>
      <c r="H87" s="2"/>
      <c r="I87" s="2"/>
      <c r="J87" s="2"/>
    </row>
    <row r="88" spans="1:10" ht="21">
      <c r="A88" s="5"/>
      <c r="B88" s="2"/>
      <c r="C88" s="2"/>
      <c r="D88" s="2"/>
      <c r="E88" s="2"/>
      <c r="F88" s="2"/>
      <c r="G88" s="2"/>
      <c r="H88" s="2"/>
      <c r="I88" s="2"/>
      <c r="J88" s="2"/>
    </row>
    <row r="89" spans="1:10" ht="21">
      <c r="A89" s="5"/>
      <c r="B89" s="2"/>
      <c r="C89" s="2"/>
      <c r="D89" s="2"/>
      <c r="E89" s="2"/>
      <c r="F89" s="2"/>
      <c r="G89" s="2"/>
      <c r="H89" s="2"/>
      <c r="I89" s="2"/>
      <c r="J89" s="2"/>
    </row>
    <row r="90" spans="1:10" ht="21">
      <c r="A90" s="5"/>
      <c r="B90" s="2"/>
      <c r="C90" s="2"/>
      <c r="D90" s="2"/>
      <c r="E90" s="2"/>
      <c r="F90" s="2"/>
      <c r="G90" s="2"/>
      <c r="H90" s="2"/>
      <c r="I90" s="2"/>
      <c r="J90" s="2"/>
    </row>
    <row r="91" spans="1:10" ht="21">
      <c r="A91" s="5"/>
      <c r="B91" s="2"/>
      <c r="C91" s="2"/>
      <c r="D91" s="2"/>
      <c r="E91" s="2"/>
      <c r="F91" s="2"/>
      <c r="G91" s="2"/>
      <c r="H91" s="2"/>
      <c r="I91" s="2"/>
      <c r="J91" s="2"/>
    </row>
    <row r="92" spans="1:10" ht="21">
      <c r="A92" s="5"/>
      <c r="B92" s="2"/>
      <c r="C92" s="2"/>
      <c r="D92" s="2"/>
      <c r="E92" s="2"/>
      <c r="F92" s="2"/>
      <c r="G92" s="2"/>
      <c r="H92" s="2"/>
      <c r="I92" s="2"/>
      <c r="J92" s="2"/>
    </row>
    <row r="93" spans="1:10" ht="21">
      <c r="A93" s="5"/>
      <c r="B93" s="2"/>
      <c r="C93" s="2"/>
      <c r="D93" s="2"/>
      <c r="E93" s="2"/>
      <c r="F93" s="2"/>
      <c r="G93" s="2"/>
      <c r="H93" s="2"/>
      <c r="I93" s="2"/>
      <c r="J93" s="2"/>
    </row>
    <row r="94" spans="1:10" ht="21">
      <c r="A94" s="5"/>
      <c r="B94" s="2"/>
      <c r="C94" s="2"/>
      <c r="D94" s="2"/>
      <c r="E94" s="2"/>
      <c r="F94" s="2"/>
      <c r="G94" s="2"/>
      <c r="H94" s="2"/>
      <c r="I94" s="2"/>
      <c r="J94" s="2"/>
    </row>
    <row r="95" spans="1:10" ht="21">
      <c r="A95" s="5"/>
      <c r="B95" s="2"/>
      <c r="C95" s="2"/>
      <c r="D95" s="2"/>
      <c r="E95" s="2"/>
      <c r="F95" s="2"/>
      <c r="G95" s="2"/>
      <c r="H95" s="2"/>
      <c r="I95" s="2"/>
      <c r="J95" s="2"/>
    </row>
    <row r="96" spans="1:10" ht="21">
      <c r="A96" s="5"/>
      <c r="B96" s="2"/>
      <c r="C96" s="2"/>
      <c r="D96" s="2"/>
      <c r="E96" s="2"/>
      <c r="F96" s="2"/>
      <c r="G96" s="2"/>
      <c r="H96" s="2"/>
      <c r="I96" s="2"/>
      <c r="J96" s="2"/>
    </row>
    <row r="97" spans="1:10" ht="21">
      <c r="A97" s="5"/>
      <c r="B97" s="2"/>
      <c r="C97" s="2"/>
      <c r="D97" s="2"/>
      <c r="E97" s="2"/>
      <c r="F97" s="2"/>
      <c r="G97" s="2"/>
      <c r="H97" s="2"/>
      <c r="I97" s="2"/>
      <c r="J97" s="2"/>
    </row>
    <row r="98" spans="1:10" ht="21">
      <c r="A98" s="5"/>
      <c r="B98" s="2"/>
      <c r="C98" s="2"/>
      <c r="D98" s="2"/>
      <c r="E98" s="2"/>
      <c r="F98" s="2"/>
      <c r="G98" s="2"/>
      <c r="H98" s="2"/>
      <c r="I98" s="2"/>
      <c r="J98" s="2"/>
    </row>
    <row r="99" spans="1:10" ht="21">
      <c r="A99" s="5"/>
      <c r="B99" s="2"/>
      <c r="C99" s="2"/>
      <c r="D99" s="2"/>
      <c r="E99" s="2"/>
      <c r="F99" s="2"/>
      <c r="G99" s="2"/>
      <c r="H99" s="2"/>
      <c r="I99" s="2"/>
      <c r="J99" s="2"/>
    </row>
    <row r="100" spans="1:10" ht="21">
      <c r="A100" s="5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21">
      <c r="A101" s="5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21">
      <c r="A102" s="5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21">
      <c r="A103" s="5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21">
      <c r="A104" s="5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21">
      <c r="A105" s="5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2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2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2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2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2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2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2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2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2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2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2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2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2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2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2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2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2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2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2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2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2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2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2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2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2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2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2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2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2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2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2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2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2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2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2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2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2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2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2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2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2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2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2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2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2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2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2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2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2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2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2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2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2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2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2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2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2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2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2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2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2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2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2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2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2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2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2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2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2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2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2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2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2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2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2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2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2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2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2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2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2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2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2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2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2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2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2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2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2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2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2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2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2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2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2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2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2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2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2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2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2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2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2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2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2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2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2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2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2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2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2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2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2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2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2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2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2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2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2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2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2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2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2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2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2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2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2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2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2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2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2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2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2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2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2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2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2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2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2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2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2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2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2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2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2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2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2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2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2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2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2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2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2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2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2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2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2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2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2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2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2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2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2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2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2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2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2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2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2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2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2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2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2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2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2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2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2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2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2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2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2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2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2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2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2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2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2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2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2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2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2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2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2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2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2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2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2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2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2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2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2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2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2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2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2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2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2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2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2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2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2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2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2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2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2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2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2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2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2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2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2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2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2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2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2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2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2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2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2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2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2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2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2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2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2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2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2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2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2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2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2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2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2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2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2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2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2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2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2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2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2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2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2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2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2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2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2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2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2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2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2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2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2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2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2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2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2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2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2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2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2:10" ht="21">
      <c r="B382" s="2"/>
      <c r="C382" s="2"/>
      <c r="D382" s="2"/>
      <c r="E382" s="2"/>
      <c r="F382" s="2"/>
      <c r="G382" s="2"/>
      <c r="H382" s="2"/>
      <c r="I382" s="2"/>
      <c r="J382" s="2"/>
    </row>
    <row r="383" spans="2:10" ht="21">
      <c r="B383" s="2"/>
      <c r="C383" s="2"/>
      <c r="D383" s="2"/>
      <c r="E383" s="2"/>
      <c r="F383" s="2"/>
      <c r="G383" s="2"/>
      <c r="H383" s="2"/>
      <c r="I383" s="2"/>
      <c r="J383" s="2"/>
    </row>
  </sheetData>
  <sheetProtection/>
  <printOptions/>
  <pageMargins left="0.5905511811023623" right="0.15748031496062992" top="0.7874015748031497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E108" sqref="E108"/>
    </sheetView>
  </sheetViews>
  <sheetFormatPr defaultColWidth="9.140625" defaultRowHeight="12.75"/>
  <cols>
    <col min="1" max="1" width="33.7109375" style="1" customWidth="1"/>
    <col min="2" max="2" width="5.7109375" style="1" customWidth="1"/>
    <col min="3" max="3" width="2.00390625" style="1" customWidth="1"/>
    <col min="4" max="5" width="10.7109375" style="1" customWidth="1"/>
    <col min="6" max="6" width="5.421875" style="1" customWidth="1"/>
    <col min="7" max="7" width="2.28125" style="1" customWidth="1"/>
    <col min="8" max="8" width="8.00390625" style="1" customWidth="1"/>
    <col min="9" max="9" width="4.421875" style="1" customWidth="1"/>
    <col min="10" max="10" width="4.28125" style="1" customWidth="1"/>
    <col min="11" max="16384" width="9.140625" style="1" customWidth="1"/>
  </cols>
  <sheetData>
    <row r="1" spans="1:10" ht="26.25">
      <c r="A1" s="34" t="s">
        <v>165</v>
      </c>
      <c r="B1" s="2"/>
      <c r="C1" s="2"/>
      <c r="D1" s="2"/>
      <c r="E1" s="2"/>
      <c r="F1" s="2"/>
      <c r="G1" s="2"/>
      <c r="H1" s="2"/>
      <c r="I1" s="2"/>
      <c r="J1" s="2"/>
    </row>
    <row r="2" spans="1:10" ht="21">
      <c r="A2" s="3"/>
      <c r="B2" s="3"/>
      <c r="C2" s="3"/>
      <c r="D2" s="3"/>
      <c r="E2" s="3"/>
      <c r="F2" s="3"/>
      <c r="G2" s="3"/>
      <c r="H2" s="3"/>
      <c r="I2" s="3"/>
      <c r="J2" s="2"/>
    </row>
    <row r="3" spans="1:10" ht="21">
      <c r="A3" s="10" t="s">
        <v>62</v>
      </c>
      <c r="B3" s="3"/>
      <c r="C3" s="3"/>
      <c r="D3" s="3"/>
      <c r="E3" s="3"/>
      <c r="F3" s="3"/>
      <c r="G3" s="3"/>
      <c r="H3" s="3"/>
      <c r="I3" s="3"/>
      <c r="J3" s="2"/>
    </row>
    <row r="4" spans="1:10" ht="21.75" customHeight="1">
      <c r="A4" s="5" t="s">
        <v>63</v>
      </c>
      <c r="B4" s="5" t="s">
        <v>64</v>
      </c>
      <c r="C4" s="5" t="s">
        <v>7</v>
      </c>
      <c r="E4" s="29">
        <v>200</v>
      </c>
      <c r="F4" s="5" t="s">
        <v>78</v>
      </c>
      <c r="G4" s="3"/>
      <c r="H4" s="3"/>
      <c r="I4" s="3"/>
      <c r="J4" s="2"/>
    </row>
    <row r="5" spans="1:10" ht="21">
      <c r="A5" s="5" t="s">
        <v>65</v>
      </c>
      <c r="B5" s="5" t="s">
        <v>66</v>
      </c>
      <c r="C5" s="5" t="s">
        <v>7</v>
      </c>
      <c r="D5" s="3"/>
      <c r="E5" s="29">
        <v>5</v>
      </c>
      <c r="F5" s="5" t="s">
        <v>55</v>
      </c>
      <c r="G5" s="3"/>
      <c r="H5" s="3"/>
      <c r="I5" s="3"/>
      <c r="J5" s="2"/>
    </row>
    <row r="6" spans="1:10" ht="21">
      <c r="A6" s="5" t="s">
        <v>73</v>
      </c>
      <c r="B6" s="5" t="s">
        <v>79</v>
      </c>
      <c r="C6" s="5" t="s">
        <v>7</v>
      </c>
      <c r="D6" s="3"/>
      <c r="E6" s="29">
        <v>210</v>
      </c>
      <c r="F6" s="5" t="s">
        <v>1</v>
      </c>
      <c r="G6" s="3"/>
      <c r="H6" s="3"/>
      <c r="I6" s="3"/>
      <c r="J6" s="2"/>
    </row>
    <row r="7" spans="1:10" ht="21">
      <c r="A7" s="5"/>
      <c r="B7" s="5"/>
      <c r="C7" s="5"/>
      <c r="D7" s="3"/>
      <c r="E7" s="18"/>
      <c r="F7" s="5"/>
      <c r="G7" s="3"/>
      <c r="H7" s="3"/>
      <c r="I7" s="3"/>
      <c r="J7" s="2"/>
    </row>
    <row r="8" spans="1:10" ht="21">
      <c r="A8" s="10" t="s">
        <v>8</v>
      </c>
      <c r="B8" s="3"/>
      <c r="C8" s="3"/>
      <c r="D8" s="3"/>
      <c r="E8" s="3"/>
      <c r="F8" s="3"/>
      <c r="G8" s="3"/>
      <c r="H8" s="3"/>
      <c r="I8" s="3"/>
      <c r="J8" s="2"/>
    </row>
    <row r="9" spans="1:10" ht="21">
      <c r="A9" s="5" t="s">
        <v>2</v>
      </c>
      <c r="B9" s="2" t="s">
        <v>80</v>
      </c>
      <c r="C9" s="2" t="s">
        <v>7</v>
      </c>
      <c r="E9" s="25">
        <v>350</v>
      </c>
      <c r="F9" s="2" t="s">
        <v>1</v>
      </c>
      <c r="G9" s="2"/>
      <c r="H9" s="2"/>
      <c r="I9" s="2"/>
      <c r="J9" s="2"/>
    </row>
    <row r="10" spans="1:10" ht="21">
      <c r="A10" s="5" t="s">
        <v>3</v>
      </c>
      <c r="B10" s="2" t="s">
        <v>81</v>
      </c>
      <c r="C10" s="2" t="s">
        <v>7</v>
      </c>
      <c r="E10" s="25">
        <v>250</v>
      </c>
      <c r="F10" s="2" t="s">
        <v>1</v>
      </c>
      <c r="G10" s="2"/>
      <c r="H10" s="2"/>
      <c r="I10" s="2"/>
      <c r="J10" s="2"/>
    </row>
    <row r="11" spans="1:10" ht="21">
      <c r="A11" s="5"/>
      <c r="B11" s="2"/>
      <c r="C11" s="2"/>
      <c r="D11" s="2"/>
      <c r="E11" s="2"/>
      <c r="F11" s="2"/>
      <c r="G11" s="2"/>
      <c r="H11" s="2"/>
      <c r="I11" s="2"/>
      <c r="J11" s="2"/>
    </row>
    <row r="12" spans="1:10" ht="21">
      <c r="A12" s="5" t="s">
        <v>5</v>
      </c>
      <c r="B12" s="2" t="s">
        <v>82</v>
      </c>
      <c r="C12" s="2" t="s">
        <v>7</v>
      </c>
      <c r="D12" s="6" t="s">
        <v>105</v>
      </c>
      <c r="E12" s="6"/>
      <c r="F12" s="2" t="s">
        <v>7</v>
      </c>
      <c r="G12" s="2"/>
      <c r="H12" s="2">
        <f>0.6*E10</f>
        <v>150</v>
      </c>
      <c r="I12" s="2" t="s">
        <v>1</v>
      </c>
      <c r="J12" s="2"/>
    </row>
    <row r="13" spans="1:10" ht="23.25">
      <c r="A13" s="5" t="s">
        <v>6</v>
      </c>
      <c r="B13" s="2" t="s">
        <v>83</v>
      </c>
      <c r="C13" s="2" t="s">
        <v>7</v>
      </c>
      <c r="D13" s="6" t="s">
        <v>123</v>
      </c>
      <c r="E13" s="6"/>
      <c r="F13" s="2" t="s">
        <v>7</v>
      </c>
      <c r="G13" s="2"/>
      <c r="H13" s="8">
        <f>-0.8*E10^0.5</f>
        <v>-12.649110640673518</v>
      </c>
      <c r="I13" s="2" t="s">
        <v>1</v>
      </c>
      <c r="J13" s="2"/>
    </row>
    <row r="14" spans="1:10" ht="21">
      <c r="A14" s="5" t="s">
        <v>4</v>
      </c>
      <c r="B14" s="2" t="s">
        <v>84</v>
      </c>
      <c r="C14" s="2" t="s">
        <v>7</v>
      </c>
      <c r="D14" s="6" t="s">
        <v>106</v>
      </c>
      <c r="E14" s="6"/>
      <c r="F14" s="2" t="s">
        <v>7</v>
      </c>
      <c r="G14" s="2"/>
      <c r="H14" s="8">
        <f>0.45*E9</f>
        <v>157.5</v>
      </c>
      <c r="I14" s="2" t="s">
        <v>1</v>
      </c>
      <c r="J14" s="2"/>
    </row>
    <row r="15" spans="1:10" ht="23.25">
      <c r="A15" s="5"/>
      <c r="B15" s="2" t="s">
        <v>85</v>
      </c>
      <c r="C15" s="2" t="s">
        <v>7</v>
      </c>
      <c r="D15" s="6" t="s">
        <v>107</v>
      </c>
      <c r="E15" s="6"/>
      <c r="F15" s="2" t="s">
        <v>7</v>
      </c>
      <c r="G15" s="2"/>
      <c r="H15" s="8">
        <f>-1.6*E9^0.5</f>
        <v>-29.933259094191534</v>
      </c>
      <c r="I15" s="2" t="s">
        <v>1</v>
      </c>
      <c r="J15" s="2"/>
    </row>
    <row r="16" spans="1:10" ht="21">
      <c r="A16" s="5"/>
      <c r="B16" s="2"/>
      <c r="C16" s="2"/>
      <c r="D16" s="2"/>
      <c r="E16" s="2"/>
      <c r="F16" s="2"/>
      <c r="G16" s="2"/>
      <c r="H16" s="2"/>
      <c r="I16" s="2"/>
      <c r="J16" s="2"/>
    </row>
    <row r="17" spans="1:10" ht="21">
      <c r="A17" s="10" t="s">
        <v>9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21">
      <c r="A18" s="5" t="s">
        <v>10</v>
      </c>
      <c r="B18" s="2"/>
      <c r="C18" s="2" t="s">
        <v>7</v>
      </c>
      <c r="E18" s="25">
        <v>4</v>
      </c>
      <c r="F18" s="2" t="s">
        <v>11</v>
      </c>
      <c r="G18" s="2"/>
      <c r="H18" s="2"/>
      <c r="I18" s="2"/>
      <c r="J18" s="2"/>
    </row>
    <row r="19" spans="1:10" ht="21">
      <c r="A19" s="5" t="s">
        <v>17</v>
      </c>
      <c r="B19" s="2"/>
      <c r="C19" s="2" t="s">
        <v>7</v>
      </c>
      <c r="E19" s="25">
        <v>5</v>
      </c>
      <c r="F19" s="2" t="s">
        <v>18</v>
      </c>
      <c r="G19" s="2"/>
      <c r="H19" s="2"/>
      <c r="I19" s="2"/>
      <c r="J19" s="2"/>
    </row>
    <row r="20" spans="1:10" ht="23.25">
      <c r="A20" s="5" t="s">
        <v>19</v>
      </c>
      <c r="B20" s="2" t="s">
        <v>86</v>
      </c>
      <c r="C20" s="2" t="s">
        <v>7</v>
      </c>
      <c r="E20" s="7">
        <f>3.1416/4*E18^2/100*E19</f>
        <v>0.62832</v>
      </c>
      <c r="F20" s="2" t="s">
        <v>100</v>
      </c>
      <c r="G20" s="2"/>
      <c r="H20" s="2"/>
      <c r="I20" s="2"/>
      <c r="J20" s="2"/>
    </row>
    <row r="21" spans="1:10" ht="21">
      <c r="A21" s="5" t="s">
        <v>12</v>
      </c>
      <c r="B21" s="2" t="s">
        <v>87</v>
      </c>
      <c r="C21" s="2" t="s">
        <v>7</v>
      </c>
      <c r="E21" s="26">
        <v>17500</v>
      </c>
      <c r="F21" s="2" t="s">
        <v>1</v>
      </c>
      <c r="G21" s="2"/>
      <c r="H21" s="2"/>
      <c r="I21" s="2"/>
      <c r="J21" s="2"/>
    </row>
    <row r="22" spans="1:10" ht="21">
      <c r="A22" s="5" t="s">
        <v>13</v>
      </c>
      <c r="B22" s="2" t="s">
        <v>88</v>
      </c>
      <c r="C22" s="2" t="s">
        <v>7</v>
      </c>
      <c r="E22" s="26">
        <v>15000</v>
      </c>
      <c r="F22" s="2" t="s">
        <v>1</v>
      </c>
      <c r="G22" s="2"/>
      <c r="H22" s="2"/>
      <c r="I22" s="2"/>
      <c r="J22" s="2"/>
    </row>
    <row r="23" spans="1:10" ht="21">
      <c r="A23" s="5" t="s">
        <v>41</v>
      </c>
      <c r="B23" s="2" t="s">
        <v>89</v>
      </c>
      <c r="C23" s="2" t="s">
        <v>7</v>
      </c>
      <c r="D23" s="6" t="s">
        <v>133</v>
      </c>
      <c r="E23" s="11"/>
      <c r="F23" s="2"/>
      <c r="G23" s="2" t="s">
        <v>7</v>
      </c>
      <c r="H23" s="12">
        <f>MIN(0.8*E21,0.94*E22)*E20</f>
        <v>8796.48</v>
      </c>
      <c r="I23" s="2" t="s">
        <v>14</v>
      </c>
      <c r="J23" s="2"/>
    </row>
    <row r="24" spans="1:10" ht="21">
      <c r="A24" s="5"/>
      <c r="B24" s="2"/>
      <c r="C24" s="2"/>
      <c r="D24" s="2"/>
      <c r="E24" s="2"/>
      <c r="F24" s="2"/>
      <c r="G24" s="2"/>
      <c r="H24" s="2"/>
      <c r="I24" s="2"/>
      <c r="J24" s="2"/>
    </row>
    <row r="25" spans="1:10" ht="21">
      <c r="A25" s="10" t="s">
        <v>51</v>
      </c>
      <c r="C25" s="2"/>
      <c r="D25" s="2"/>
      <c r="E25" s="2"/>
      <c r="F25" s="2"/>
      <c r="G25" s="2"/>
      <c r="H25" s="2"/>
      <c r="I25" s="2"/>
      <c r="J25" s="2"/>
    </row>
    <row r="26" spans="1:10" ht="21">
      <c r="A26" s="5" t="s">
        <v>50</v>
      </c>
      <c r="B26" s="2" t="s">
        <v>26</v>
      </c>
      <c r="C26" s="2" t="s">
        <v>7</v>
      </c>
      <c r="D26" s="2"/>
      <c r="E26" s="25">
        <v>3.5</v>
      </c>
      <c r="F26" s="2" t="s">
        <v>27</v>
      </c>
      <c r="G26" s="2"/>
      <c r="H26" s="2"/>
      <c r="I26" s="2"/>
      <c r="J26" s="2"/>
    </row>
    <row r="27" spans="1:10" ht="21">
      <c r="A27" s="5" t="s">
        <v>52</v>
      </c>
      <c r="B27" s="2" t="s">
        <v>60</v>
      </c>
      <c r="C27" s="2" t="s">
        <v>7</v>
      </c>
      <c r="D27" s="2"/>
      <c r="E27" s="25">
        <v>35</v>
      </c>
      <c r="F27" s="2" t="s">
        <v>55</v>
      </c>
      <c r="G27" s="2"/>
      <c r="H27" s="2"/>
      <c r="I27" s="2"/>
      <c r="J27" s="2"/>
    </row>
    <row r="28" spans="1:10" ht="21">
      <c r="A28" s="5" t="s">
        <v>53</v>
      </c>
      <c r="B28" s="2" t="s">
        <v>54</v>
      </c>
      <c r="C28" s="2" t="s">
        <v>7</v>
      </c>
      <c r="D28" s="2"/>
      <c r="E28" s="25">
        <v>5</v>
      </c>
      <c r="F28" s="2" t="s">
        <v>55</v>
      </c>
      <c r="G28" s="2"/>
      <c r="H28" s="2"/>
      <c r="I28" s="2"/>
      <c r="J28" s="2"/>
    </row>
    <row r="29" spans="1:10" ht="21">
      <c r="A29" s="5" t="s">
        <v>58</v>
      </c>
      <c r="B29" s="2" t="s">
        <v>59</v>
      </c>
      <c r="C29" s="2" t="s">
        <v>7</v>
      </c>
      <c r="D29" s="2"/>
      <c r="E29" s="28">
        <v>1</v>
      </c>
      <c r="F29" s="2" t="s">
        <v>55</v>
      </c>
      <c r="G29" s="2"/>
      <c r="H29" s="2"/>
      <c r="I29" s="2"/>
      <c r="J29" s="2"/>
    </row>
    <row r="30" spans="1:10" ht="23.25">
      <c r="A30" s="5" t="s">
        <v>21</v>
      </c>
      <c r="B30" s="2" t="s">
        <v>90</v>
      </c>
      <c r="C30" s="2" t="s">
        <v>7</v>
      </c>
      <c r="D30" s="2"/>
      <c r="E30" s="2">
        <f>E27*E28</f>
        <v>175</v>
      </c>
      <c r="F30" s="2" t="s">
        <v>100</v>
      </c>
      <c r="G30" s="2"/>
      <c r="H30" s="2"/>
      <c r="I30" s="2"/>
      <c r="J30" s="2"/>
    </row>
    <row r="31" spans="1:10" ht="23.25">
      <c r="A31" s="5" t="s">
        <v>56</v>
      </c>
      <c r="B31" s="2" t="s">
        <v>57</v>
      </c>
      <c r="C31" s="2" t="s">
        <v>7</v>
      </c>
      <c r="D31" s="2"/>
      <c r="E31" s="8">
        <f>1/12*E27*E28^3</f>
        <v>364.5833333333333</v>
      </c>
      <c r="F31" s="2" t="s">
        <v>120</v>
      </c>
      <c r="G31" s="2"/>
      <c r="H31" s="2"/>
      <c r="I31" s="2"/>
      <c r="J31" s="2"/>
    </row>
    <row r="32" spans="1:10" ht="23.25">
      <c r="A32" s="5" t="s">
        <v>248</v>
      </c>
      <c r="B32" s="2" t="s">
        <v>219</v>
      </c>
      <c r="C32" s="2" t="s">
        <v>7</v>
      </c>
      <c r="D32" s="2"/>
      <c r="E32" s="8">
        <f>1/12*$E$27*($E$28+$E$5)^3</f>
        <v>2916.6666666666665</v>
      </c>
      <c r="F32" s="2" t="s">
        <v>120</v>
      </c>
      <c r="G32" s="2"/>
      <c r="H32" s="2"/>
      <c r="I32" s="2"/>
      <c r="J32" s="2"/>
    </row>
    <row r="33" spans="1:10" ht="23.25">
      <c r="A33" s="5" t="s">
        <v>22</v>
      </c>
      <c r="B33" s="2" t="s">
        <v>91</v>
      </c>
      <c r="C33" s="2" t="s">
        <v>7</v>
      </c>
      <c r="D33" s="2"/>
      <c r="E33" s="8">
        <f>1/6*E27*E28^2</f>
        <v>145.83333333333331</v>
      </c>
      <c r="F33" s="2" t="s">
        <v>101</v>
      </c>
      <c r="G33" s="2"/>
      <c r="H33" s="2"/>
      <c r="I33" s="2"/>
      <c r="J33" s="2"/>
    </row>
    <row r="34" spans="1:10" ht="21">
      <c r="A34" s="5" t="s">
        <v>182</v>
      </c>
      <c r="B34" s="2" t="s">
        <v>147</v>
      </c>
      <c r="C34" s="2" t="s">
        <v>7</v>
      </c>
      <c r="D34" s="2"/>
      <c r="E34" s="2">
        <f>E30/10000*2400</f>
        <v>42.00000000000001</v>
      </c>
      <c r="F34" s="2" t="s">
        <v>25</v>
      </c>
      <c r="G34" s="2"/>
      <c r="H34" s="2"/>
      <c r="I34" s="2"/>
      <c r="J34" s="2"/>
    </row>
    <row r="35" spans="1:10" ht="21">
      <c r="A35" s="5"/>
      <c r="B35" s="2"/>
      <c r="C35" s="2"/>
      <c r="D35" s="2"/>
      <c r="E35" s="2"/>
      <c r="F35" s="2"/>
      <c r="G35" s="2"/>
      <c r="H35" s="2"/>
      <c r="I35" s="2"/>
      <c r="J35" s="2"/>
    </row>
    <row r="36" spans="1:10" ht="21">
      <c r="A36" s="5"/>
      <c r="B36" s="2"/>
      <c r="C36" s="2"/>
      <c r="D36" s="2"/>
      <c r="E36" s="2"/>
      <c r="F36" s="2"/>
      <c r="G36" s="2"/>
      <c r="H36" s="2"/>
      <c r="I36" s="2"/>
      <c r="J36" s="2"/>
    </row>
    <row r="37" spans="1:12" ht="21">
      <c r="A37" s="5"/>
      <c r="B37" s="2"/>
      <c r="C37" s="2"/>
      <c r="D37" s="2"/>
      <c r="E37" s="2"/>
      <c r="F37" s="2"/>
      <c r="G37" s="2"/>
      <c r="H37" s="2"/>
      <c r="I37" s="2"/>
      <c r="J37" s="2"/>
      <c r="L37" s="14"/>
    </row>
    <row r="38" spans="1:10" ht="21">
      <c r="A38" s="5"/>
      <c r="B38" s="2"/>
      <c r="C38" s="2"/>
      <c r="D38" s="2"/>
      <c r="E38" s="2"/>
      <c r="F38" s="2"/>
      <c r="G38" s="2"/>
      <c r="H38" s="2"/>
      <c r="I38" s="2"/>
      <c r="J38" s="2"/>
    </row>
    <row r="39" spans="1:10" ht="21">
      <c r="A39" s="5"/>
      <c r="B39" s="2"/>
      <c r="C39" s="2"/>
      <c r="D39" s="2"/>
      <c r="E39" s="2"/>
      <c r="F39" s="2"/>
      <c r="G39" s="2"/>
      <c r="H39" s="2"/>
      <c r="I39" s="2"/>
      <c r="J39" s="2"/>
    </row>
    <row r="40" spans="1:10" ht="21">
      <c r="A40" s="5"/>
      <c r="B40" s="2"/>
      <c r="C40" s="2"/>
      <c r="D40" s="2"/>
      <c r="E40" s="2"/>
      <c r="F40" s="2"/>
      <c r="G40" s="2"/>
      <c r="H40" s="2"/>
      <c r="I40" s="2"/>
      <c r="J40" s="2"/>
    </row>
    <row r="41" spans="1:10" ht="21">
      <c r="A41" s="5"/>
      <c r="B41" s="2"/>
      <c r="C41" s="2"/>
      <c r="D41" s="2"/>
      <c r="E41" s="2"/>
      <c r="F41" s="2"/>
      <c r="G41" s="2"/>
      <c r="H41" s="2"/>
      <c r="I41" s="2"/>
      <c r="J41" s="2"/>
    </row>
    <row r="42" spans="2:10" ht="21">
      <c r="B42" s="2"/>
      <c r="C42" s="2"/>
      <c r="D42" s="2"/>
      <c r="E42" s="2"/>
      <c r="F42" s="2"/>
      <c r="G42" s="2"/>
      <c r="H42" s="2"/>
      <c r="I42" s="2"/>
      <c r="J42" s="2"/>
    </row>
    <row r="43" spans="1:10" ht="21">
      <c r="A43" s="5"/>
      <c r="B43" s="2"/>
      <c r="C43" s="2"/>
      <c r="D43" s="2"/>
      <c r="E43" s="2"/>
      <c r="F43" s="2"/>
      <c r="G43" s="2"/>
      <c r="H43" s="2"/>
      <c r="I43" s="2"/>
      <c r="J43" s="2"/>
    </row>
    <row r="44" spans="1:10" ht="21">
      <c r="A44" s="5"/>
      <c r="B44" s="9" t="s">
        <v>61</v>
      </c>
      <c r="C44" s="2"/>
      <c r="D44" s="2"/>
      <c r="E44" s="2"/>
      <c r="F44" s="2"/>
      <c r="G44" s="2"/>
      <c r="H44" s="2"/>
      <c r="I44" s="2"/>
      <c r="J44" s="2"/>
    </row>
    <row r="45" spans="1:10" ht="21">
      <c r="A45" s="5"/>
      <c r="B45" s="2"/>
      <c r="C45" s="2"/>
      <c r="D45" s="2"/>
      <c r="E45" s="2"/>
      <c r="F45" s="2"/>
      <c r="G45" s="2"/>
      <c r="H45" s="2"/>
      <c r="I45" s="2"/>
      <c r="J45" s="2"/>
    </row>
    <row r="46" spans="1:10" ht="21">
      <c r="A46" s="10" t="s">
        <v>15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ht="23.25">
      <c r="A47" s="5" t="s">
        <v>29</v>
      </c>
      <c r="B47" s="2" t="s">
        <v>110</v>
      </c>
      <c r="C47" s="2" t="s">
        <v>7</v>
      </c>
      <c r="D47" s="2" t="s">
        <v>148</v>
      </c>
      <c r="E47" s="2"/>
      <c r="F47" s="2"/>
      <c r="G47" s="2" t="s">
        <v>7</v>
      </c>
      <c r="H47" s="8">
        <f>1/8*E34*E26^2</f>
        <v>64.31250000000001</v>
      </c>
      <c r="I47" s="2" t="s">
        <v>47</v>
      </c>
      <c r="J47" s="2"/>
    </row>
    <row r="48" spans="2:10" ht="23.25">
      <c r="B48" s="2" t="s">
        <v>92</v>
      </c>
      <c r="C48" s="2" t="s">
        <v>7</v>
      </c>
      <c r="D48" s="2" t="s">
        <v>135</v>
      </c>
      <c r="E48" s="2"/>
      <c r="F48" s="2"/>
      <c r="G48" s="2" t="s">
        <v>7</v>
      </c>
      <c r="H48" s="12">
        <f>0.9*H23/E30+0.9*H23*E29^2/E31-H47*100*E29/E31</f>
        <v>49.31377919999999</v>
      </c>
      <c r="I48" s="2" t="s">
        <v>1</v>
      </c>
      <c r="J48" s="2"/>
    </row>
    <row r="49" spans="1:10" ht="21">
      <c r="A49" s="5"/>
      <c r="B49" s="2" t="s">
        <v>28</v>
      </c>
      <c r="C49" s="2" t="s">
        <v>7</v>
      </c>
      <c r="D49" s="2" t="s">
        <v>130</v>
      </c>
      <c r="E49" s="2"/>
      <c r="F49" s="2"/>
      <c r="G49" s="2" t="s">
        <v>7</v>
      </c>
      <c r="H49" s="12">
        <f>2.04*10^6/15200/E10^0.5*H48</f>
        <v>418.5861567070758</v>
      </c>
      <c r="I49" s="2" t="s">
        <v>1</v>
      </c>
      <c r="J49" s="2"/>
    </row>
    <row r="50" spans="1:10" ht="21">
      <c r="A50" s="5" t="s">
        <v>30</v>
      </c>
      <c r="B50" s="1" t="s">
        <v>31</v>
      </c>
      <c r="C50" s="2" t="s">
        <v>7</v>
      </c>
      <c r="E50" s="27">
        <v>75</v>
      </c>
      <c r="F50" s="1" t="s">
        <v>32</v>
      </c>
      <c r="J50" s="2"/>
    </row>
    <row r="51" spans="2:10" ht="21">
      <c r="B51" s="2" t="s">
        <v>33</v>
      </c>
      <c r="C51" s="2" t="s">
        <v>7</v>
      </c>
      <c r="D51" s="2" t="s">
        <v>34</v>
      </c>
      <c r="E51" s="2"/>
      <c r="F51" s="2"/>
      <c r="G51" s="2" t="s">
        <v>7</v>
      </c>
      <c r="H51" s="2">
        <f>1200-11*E50</f>
        <v>375</v>
      </c>
      <c r="I51" s="2" t="s">
        <v>1</v>
      </c>
      <c r="J51" s="2"/>
    </row>
    <row r="52" spans="1:10" ht="21">
      <c r="A52" s="5" t="s">
        <v>36</v>
      </c>
      <c r="B52" s="2" t="s">
        <v>150</v>
      </c>
      <c r="C52" s="2" t="s">
        <v>7</v>
      </c>
      <c r="E52" s="2">
        <f>E5*E27*0.24</f>
        <v>42</v>
      </c>
      <c r="F52" s="2" t="s">
        <v>25</v>
      </c>
      <c r="G52" s="2"/>
      <c r="H52" s="2"/>
      <c r="I52" s="2"/>
      <c r="J52" s="2"/>
    </row>
    <row r="53" spans="2:10" ht="23.25">
      <c r="B53" s="2" t="s">
        <v>111</v>
      </c>
      <c r="C53" s="2" t="s">
        <v>7</v>
      </c>
      <c r="D53" s="2" t="s">
        <v>149</v>
      </c>
      <c r="E53" s="2"/>
      <c r="F53" s="2"/>
      <c r="G53" s="2" t="s">
        <v>7</v>
      </c>
      <c r="H53" s="8">
        <f>1/8*E52*E26^2</f>
        <v>64.3125</v>
      </c>
      <c r="I53" s="2" t="s">
        <v>47</v>
      </c>
      <c r="J53" s="2"/>
    </row>
    <row r="54" spans="2:10" ht="21">
      <c r="B54" s="1" t="s">
        <v>93</v>
      </c>
      <c r="C54" s="1" t="s">
        <v>7</v>
      </c>
      <c r="D54" s="2" t="s">
        <v>136</v>
      </c>
      <c r="E54" s="13"/>
      <c r="F54" s="2"/>
      <c r="G54" s="2" t="s">
        <v>7</v>
      </c>
      <c r="H54" s="2">
        <f>H53*100*E29/E31</f>
        <v>17.64</v>
      </c>
      <c r="I54" s="2" t="s">
        <v>1</v>
      </c>
      <c r="J54" s="2"/>
    </row>
    <row r="55" spans="1:10" ht="21">
      <c r="A55" s="5"/>
      <c r="B55" s="2" t="s">
        <v>35</v>
      </c>
      <c r="C55" s="2" t="s">
        <v>7</v>
      </c>
      <c r="D55" s="2" t="s">
        <v>102</v>
      </c>
      <c r="E55" s="2"/>
      <c r="F55" s="2"/>
      <c r="G55" s="2" t="s">
        <v>7</v>
      </c>
      <c r="H55" s="12">
        <f>12*H48-7*H54</f>
        <v>468.28535039999986</v>
      </c>
      <c r="I55" s="2" t="s">
        <v>1</v>
      </c>
      <c r="J55" s="2"/>
    </row>
    <row r="56" spans="1:10" ht="21">
      <c r="A56" s="5" t="s">
        <v>37</v>
      </c>
      <c r="B56" s="2" t="s">
        <v>38</v>
      </c>
      <c r="C56" s="2" t="s">
        <v>7</v>
      </c>
      <c r="D56" s="2" t="s">
        <v>39</v>
      </c>
      <c r="E56" s="2"/>
      <c r="F56" s="2"/>
      <c r="G56" s="2" t="s">
        <v>7</v>
      </c>
      <c r="H56" s="12">
        <f>1270-0.4*H49-0.2*(H51+H55)</f>
        <v>933.9084672371696</v>
      </c>
      <c r="I56" s="2" t="s">
        <v>1</v>
      </c>
      <c r="J56" s="2"/>
    </row>
    <row r="57" spans="1:10" ht="21">
      <c r="A57" s="5"/>
      <c r="B57" s="2"/>
      <c r="C57" s="2"/>
      <c r="D57" s="2"/>
      <c r="E57" s="2"/>
      <c r="F57" s="2"/>
      <c r="I57" s="2"/>
      <c r="J57" s="2"/>
    </row>
    <row r="58" spans="1:10" ht="21">
      <c r="A58" s="5" t="s">
        <v>42</v>
      </c>
      <c r="B58" s="2"/>
      <c r="C58" s="2"/>
      <c r="D58" s="2"/>
      <c r="E58" s="2"/>
      <c r="F58" s="2"/>
      <c r="G58" s="1" t="s">
        <v>7</v>
      </c>
      <c r="H58" s="15">
        <f>H49</f>
        <v>418.5861567070758</v>
      </c>
      <c r="I58" s="2" t="s">
        <v>1</v>
      </c>
      <c r="J58" s="2"/>
    </row>
    <row r="59" spans="1:10" ht="21">
      <c r="A59" s="5"/>
      <c r="B59" s="31" t="s">
        <v>155</v>
      </c>
      <c r="C59" s="2"/>
      <c r="D59" s="2"/>
      <c r="E59" s="2"/>
      <c r="F59" s="2"/>
      <c r="G59" s="1" t="s">
        <v>7</v>
      </c>
      <c r="H59" s="15">
        <f>H58/(H23/E20)*100</f>
        <v>2.9899011193362557</v>
      </c>
      <c r="I59" s="2" t="s">
        <v>32</v>
      </c>
      <c r="J59" s="2"/>
    </row>
    <row r="60" spans="1:10" ht="21">
      <c r="A60" s="5" t="s">
        <v>40</v>
      </c>
      <c r="B60" s="2"/>
      <c r="C60" s="2"/>
      <c r="D60" s="2"/>
      <c r="E60" s="2"/>
      <c r="F60" s="2"/>
      <c r="G60" s="2" t="s">
        <v>7</v>
      </c>
      <c r="H60" s="12">
        <f>H49+H51+H55+H56</f>
        <v>2195.779974344245</v>
      </c>
      <c r="I60" s="2" t="s">
        <v>1</v>
      </c>
      <c r="J60" s="2"/>
    </row>
    <row r="61" spans="1:10" ht="21">
      <c r="A61" s="5"/>
      <c r="B61" s="31" t="s">
        <v>156</v>
      </c>
      <c r="C61" s="2"/>
      <c r="D61" s="2"/>
      <c r="E61" s="2"/>
      <c r="F61" s="2"/>
      <c r="G61" s="2" t="s">
        <v>7</v>
      </c>
      <c r="H61" s="12">
        <f>H60/(H23/E20)*100</f>
        <v>15.684142673887466</v>
      </c>
      <c r="I61" s="2" t="s">
        <v>32</v>
      </c>
      <c r="J61" s="2"/>
    </row>
    <row r="62" spans="1:10" ht="21">
      <c r="A62" s="5"/>
      <c r="B62" s="2"/>
      <c r="C62" s="2"/>
      <c r="D62" s="2"/>
      <c r="E62" s="2"/>
      <c r="F62" s="2"/>
      <c r="G62" s="2"/>
      <c r="H62" s="2"/>
      <c r="I62" s="2"/>
      <c r="J62" s="2"/>
    </row>
    <row r="63" spans="1:10" ht="21">
      <c r="A63" s="10" t="s">
        <v>43</v>
      </c>
      <c r="B63" s="2"/>
      <c r="C63" s="2"/>
      <c r="D63" s="2"/>
      <c r="E63" s="2"/>
      <c r="F63" s="2"/>
      <c r="G63" s="2"/>
      <c r="H63" s="2"/>
      <c r="I63" s="2"/>
      <c r="J63" s="2"/>
    </row>
    <row r="64" spans="1:11" ht="21">
      <c r="A64" s="5" t="s">
        <v>44</v>
      </c>
      <c r="B64" s="2" t="s">
        <v>94</v>
      </c>
      <c r="C64" s="2" t="s">
        <v>7</v>
      </c>
      <c r="D64" s="2" t="s">
        <v>157</v>
      </c>
      <c r="E64" s="16"/>
      <c r="F64" s="2"/>
      <c r="G64" s="2" t="s">
        <v>7</v>
      </c>
      <c r="H64" s="16">
        <f>MIN(0.7*E21*E20,(1-H59/100)*H23)</f>
        <v>7696.92</v>
      </c>
      <c r="I64" s="2" t="s">
        <v>14</v>
      </c>
      <c r="J64" s="2"/>
      <c r="K64" s="16"/>
    </row>
    <row r="65" spans="1:10" ht="21">
      <c r="A65" s="5"/>
      <c r="B65" s="2" t="s">
        <v>95</v>
      </c>
      <c r="C65" s="2" t="s">
        <v>7</v>
      </c>
      <c r="D65" s="2" t="s">
        <v>137</v>
      </c>
      <c r="E65" s="2"/>
      <c r="F65" s="2"/>
      <c r="G65" s="2" t="s">
        <v>7</v>
      </c>
      <c r="H65" s="12">
        <f>H64/E30-H64*E29/E33+H47*100/E33</f>
        <v>35.303520000000006</v>
      </c>
      <c r="I65" s="2" t="s">
        <v>1</v>
      </c>
      <c r="J65" s="20" t="str">
        <f>IF(H65&gt;H13,"OK","NOT OK")</f>
        <v>OK</v>
      </c>
    </row>
    <row r="66" spans="1:10" ht="21">
      <c r="A66" s="5"/>
      <c r="B66" s="2" t="s">
        <v>96</v>
      </c>
      <c r="C66" s="2" t="s">
        <v>7</v>
      </c>
      <c r="D66" s="2" t="s">
        <v>138</v>
      </c>
      <c r="E66" s="2"/>
      <c r="F66" s="2"/>
      <c r="G66" s="2" t="s">
        <v>7</v>
      </c>
      <c r="H66" s="12">
        <f>H64/E30+H64*E29/E33-H47*100/E33</f>
        <v>52.661279999999984</v>
      </c>
      <c r="I66" s="2" t="s">
        <v>1</v>
      </c>
      <c r="J66" s="20" t="str">
        <f>IF(H66&lt;H12,"OK","NOT OK")</f>
        <v>OK</v>
      </c>
    </row>
    <row r="67" spans="1:10" ht="21">
      <c r="A67" s="5" t="s">
        <v>67</v>
      </c>
      <c r="B67" s="2" t="s">
        <v>97</v>
      </c>
      <c r="C67" s="2" t="s">
        <v>7</v>
      </c>
      <c r="D67" s="2" t="s">
        <v>159</v>
      </c>
      <c r="F67" s="2"/>
      <c r="G67" s="2" t="s">
        <v>7</v>
      </c>
      <c r="H67" s="11">
        <f>(1-H61/100)*H23</f>
        <v>7416.827526520024</v>
      </c>
      <c r="I67" s="2" t="s">
        <v>14</v>
      </c>
      <c r="J67" s="13"/>
    </row>
    <row r="68" spans="1:10" ht="21">
      <c r="A68" s="5"/>
      <c r="B68" s="2" t="s">
        <v>95</v>
      </c>
      <c r="C68" s="2" t="s">
        <v>7</v>
      </c>
      <c r="D68" s="2" t="s">
        <v>139</v>
      </c>
      <c r="E68" s="2"/>
      <c r="F68" s="2"/>
      <c r="G68" s="2" t="s">
        <v>7</v>
      </c>
      <c r="H68" s="12">
        <f>H67/E30-H67*E29/E33+H47*100/E33+H53*100/E33</f>
        <v>79.72362568397713</v>
      </c>
      <c r="I68" s="2" t="s">
        <v>1</v>
      </c>
      <c r="J68" s="20" t="str">
        <f>IF(H68&lt;H14,"OK","NOT OK")</f>
        <v>OK</v>
      </c>
    </row>
    <row r="69" spans="1:11" ht="21">
      <c r="A69" s="5"/>
      <c r="B69" s="2" t="s">
        <v>96</v>
      </c>
      <c r="C69" s="2" t="s">
        <v>7</v>
      </c>
      <c r="D69" s="2" t="s">
        <v>140</v>
      </c>
      <c r="E69" s="2"/>
      <c r="F69" s="2"/>
      <c r="G69" s="2" t="s">
        <v>7</v>
      </c>
      <c r="H69" s="12">
        <f>H67/E30+H67*E29/E33-H47*100/E33-H53*100/E33</f>
        <v>5.040117476251702</v>
      </c>
      <c r="I69" s="2" t="s">
        <v>1</v>
      </c>
      <c r="J69" s="20" t="str">
        <f>IF(H69&gt;H15,"OK","NOT OK")</f>
        <v>OK</v>
      </c>
      <c r="K69" s="19"/>
    </row>
    <row r="70" spans="1:11" ht="21">
      <c r="A70" s="5" t="s">
        <v>68</v>
      </c>
      <c r="B70" s="2" t="s">
        <v>97</v>
      </c>
      <c r="C70" s="2" t="s">
        <v>7</v>
      </c>
      <c r="D70" s="11"/>
      <c r="E70" s="11">
        <f>(1-H61/100)*H23</f>
        <v>7416.827526520024</v>
      </c>
      <c r="F70" s="2" t="s">
        <v>14</v>
      </c>
      <c r="G70" s="2"/>
      <c r="J70" s="13"/>
      <c r="K70" s="19"/>
    </row>
    <row r="71" spans="1:11" ht="23.25">
      <c r="A71" s="5" t="s">
        <v>70</v>
      </c>
      <c r="B71" s="2" t="s">
        <v>71</v>
      </c>
      <c r="C71" s="2" t="s">
        <v>7</v>
      </c>
      <c r="D71" s="11"/>
      <c r="E71" s="11">
        <f>1/12*E27*(E28+E5)^3</f>
        <v>2916.6666666666665</v>
      </c>
      <c r="F71" s="2" t="s">
        <v>120</v>
      </c>
      <c r="G71" s="2"/>
      <c r="J71" s="13"/>
      <c r="K71" s="19"/>
    </row>
    <row r="72" spans="1:11" ht="21">
      <c r="A72" s="5"/>
      <c r="B72" s="2" t="s">
        <v>112</v>
      </c>
      <c r="C72" s="2" t="s">
        <v>7</v>
      </c>
      <c r="D72" s="11"/>
      <c r="E72" s="11">
        <f>0.5*(E28+E5)</f>
        <v>5</v>
      </c>
      <c r="F72" s="2" t="s">
        <v>55</v>
      </c>
      <c r="G72" s="2"/>
      <c r="J72" s="13"/>
      <c r="K72" s="19"/>
    </row>
    <row r="73" spans="1:11" ht="21">
      <c r="A73" s="5"/>
      <c r="B73" s="2" t="s">
        <v>151</v>
      </c>
      <c r="C73" s="2" t="s">
        <v>7</v>
      </c>
      <c r="D73" s="11"/>
      <c r="E73" s="11">
        <f>E4*E27/100</f>
        <v>70</v>
      </c>
      <c r="F73" s="2" t="s">
        <v>25</v>
      </c>
      <c r="G73" s="2"/>
      <c r="J73" s="13"/>
      <c r="K73" s="19"/>
    </row>
    <row r="74" spans="1:11" ht="23.25">
      <c r="A74" s="5"/>
      <c r="B74" s="2" t="s">
        <v>113</v>
      </c>
      <c r="C74" s="2" t="s">
        <v>7</v>
      </c>
      <c r="D74" s="2" t="s">
        <v>152</v>
      </c>
      <c r="G74" s="2" t="s">
        <v>7</v>
      </c>
      <c r="H74" s="11">
        <f>1/8*E73*E26^2</f>
        <v>107.1875</v>
      </c>
      <c r="I74" s="2" t="s">
        <v>47</v>
      </c>
      <c r="J74" s="13"/>
      <c r="K74" s="19"/>
    </row>
    <row r="75" spans="1:11" ht="21">
      <c r="A75" s="5" t="s">
        <v>69</v>
      </c>
      <c r="B75" s="2" t="s">
        <v>95</v>
      </c>
      <c r="C75" s="2" t="s">
        <v>7</v>
      </c>
      <c r="D75" s="2" t="s">
        <v>141</v>
      </c>
      <c r="E75" s="2"/>
      <c r="F75" s="2"/>
      <c r="G75" s="2" t="s">
        <v>7</v>
      </c>
      <c r="H75" s="12">
        <f>H68+H74*100*(E72-E5)/E71</f>
        <v>79.72362568397713</v>
      </c>
      <c r="I75" s="2" t="s">
        <v>1</v>
      </c>
      <c r="J75" s="20" t="str">
        <f>IF(H75&lt;H14,"OK","NOT OK")</f>
        <v>OK</v>
      </c>
      <c r="K75" s="19"/>
    </row>
    <row r="76" spans="1:11" ht="21">
      <c r="A76" s="5"/>
      <c r="B76" s="2" t="s">
        <v>96</v>
      </c>
      <c r="C76" s="2" t="s">
        <v>7</v>
      </c>
      <c r="D76" s="2" t="s">
        <v>142</v>
      </c>
      <c r="E76" s="2"/>
      <c r="F76" s="2"/>
      <c r="G76" s="2" t="s">
        <v>7</v>
      </c>
      <c r="H76" s="12">
        <f>H69-H74*100*E72/E71</f>
        <v>-13.334882523748298</v>
      </c>
      <c r="I76" s="2" t="s">
        <v>1</v>
      </c>
      <c r="J76" s="20" t="str">
        <f>IF(H76&gt;H15,"OK","NOT OK")</f>
        <v>OK</v>
      </c>
      <c r="K76" s="19"/>
    </row>
    <row r="77" spans="1:11" ht="21">
      <c r="A77" s="5" t="s">
        <v>72</v>
      </c>
      <c r="B77" s="2" t="s">
        <v>95</v>
      </c>
      <c r="C77" s="2" t="s">
        <v>7</v>
      </c>
      <c r="D77" s="2" t="s">
        <v>143</v>
      </c>
      <c r="E77" s="2"/>
      <c r="F77" s="2"/>
      <c r="G77" s="2" t="s">
        <v>7</v>
      </c>
      <c r="H77" s="12">
        <f>H74*100*E72/E71</f>
        <v>18.375</v>
      </c>
      <c r="I77" s="2" t="s">
        <v>1</v>
      </c>
      <c r="J77" s="20" t="str">
        <f>IF(H77&lt;0.45*E6,"OK","NOT OK")</f>
        <v>OK</v>
      </c>
      <c r="K77" s="19"/>
    </row>
    <row r="78" spans="1:11" ht="21">
      <c r="A78" s="5"/>
      <c r="B78" s="2" t="s">
        <v>96</v>
      </c>
      <c r="C78" s="2" t="s">
        <v>7</v>
      </c>
      <c r="D78" s="2" t="s">
        <v>143</v>
      </c>
      <c r="E78" s="2"/>
      <c r="F78" s="2"/>
      <c r="G78" s="2" t="s">
        <v>7</v>
      </c>
      <c r="H78" s="12">
        <f>H74*100*(E72-E5)/E71</f>
        <v>0</v>
      </c>
      <c r="I78" s="2" t="s">
        <v>1</v>
      </c>
      <c r="J78" s="20" t="str">
        <f>IF(H78&gt;-1.6*E6^0.5,"OK","NOT OK")</f>
        <v>OK</v>
      </c>
      <c r="K78" s="19"/>
    </row>
    <row r="79" spans="1:10" ht="21">
      <c r="A79" s="5"/>
      <c r="B79" s="2"/>
      <c r="C79" s="2"/>
      <c r="D79" s="2"/>
      <c r="E79" s="2"/>
      <c r="F79" s="2"/>
      <c r="G79" s="2"/>
      <c r="H79" s="2"/>
      <c r="I79" s="2"/>
      <c r="J79" s="24"/>
    </row>
    <row r="80" spans="1:10" ht="21">
      <c r="A80" s="10" t="s">
        <v>74</v>
      </c>
      <c r="B80" s="1" t="s">
        <v>114</v>
      </c>
      <c r="C80" s="1" t="s">
        <v>7</v>
      </c>
      <c r="D80" s="1" t="s">
        <v>144</v>
      </c>
      <c r="G80" s="1" t="s">
        <v>7</v>
      </c>
      <c r="H80" s="21">
        <f>1.4*(H47+H53)+1.7*H74</f>
        <v>362.29375</v>
      </c>
      <c r="I80" s="1" t="s">
        <v>47</v>
      </c>
      <c r="J80" s="24"/>
    </row>
    <row r="81" spans="1:10" ht="21">
      <c r="A81" s="5"/>
      <c r="B81" s="2" t="s">
        <v>115</v>
      </c>
      <c r="C81" s="2" t="s">
        <v>7</v>
      </c>
      <c r="E81" s="2">
        <f>IF(E22/E21&lt;0.9,0.4,0.28)</f>
        <v>0.4</v>
      </c>
      <c r="F81" s="2"/>
      <c r="G81" s="2"/>
      <c r="H81" s="2"/>
      <c r="I81" s="2"/>
      <c r="J81" s="24"/>
    </row>
    <row r="82" spans="1:10" ht="21">
      <c r="A82" s="5"/>
      <c r="B82" s="31" t="s">
        <v>122</v>
      </c>
      <c r="C82" s="2" t="s">
        <v>7</v>
      </c>
      <c r="E82" s="2">
        <f>IF(E6&lt;=300,0.85,0.85-0.0008*(E6-300))</f>
        <v>0.85</v>
      </c>
      <c r="F82" s="2"/>
      <c r="G82" s="2"/>
      <c r="H82" s="8"/>
      <c r="I82" s="2"/>
      <c r="J82" s="24"/>
    </row>
    <row r="83" spans="1:10" ht="21">
      <c r="A83" s="5"/>
      <c r="B83" s="31" t="s">
        <v>115</v>
      </c>
      <c r="C83" s="2" t="s">
        <v>7</v>
      </c>
      <c r="D83" s="1" t="s">
        <v>121</v>
      </c>
      <c r="G83" s="2"/>
      <c r="H83" s="2">
        <f>E20/E27/(E5+E28/2+E29)</f>
        <v>0.0021119999999999997</v>
      </c>
      <c r="I83" s="2"/>
      <c r="J83" s="24"/>
    </row>
    <row r="84" spans="1:13" ht="21">
      <c r="A84" s="5"/>
      <c r="B84" s="2" t="s">
        <v>116</v>
      </c>
      <c r="C84" s="2" t="s">
        <v>7</v>
      </c>
      <c r="D84" s="1" t="s">
        <v>145</v>
      </c>
      <c r="G84" s="2" t="s">
        <v>7</v>
      </c>
      <c r="H84" s="11">
        <f>E21*(1-E81/E82*(H83*E21/E6))</f>
        <v>16050.588235294117</v>
      </c>
      <c r="I84" s="2" t="s">
        <v>1</v>
      </c>
      <c r="J84" s="24"/>
      <c r="M84" s="14"/>
    </row>
    <row r="85" spans="1:10" ht="21">
      <c r="A85" s="5"/>
      <c r="B85" s="31" t="s">
        <v>117</v>
      </c>
      <c r="C85" s="2" t="s">
        <v>7</v>
      </c>
      <c r="D85" s="31" t="s">
        <v>146</v>
      </c>
      <c r="G85" s="2" t="s">
        <v>7</v>
      </c>
      <c r="H85" s="11">
        <f>0.9*E20*H84*((E5+E28/2+E29)-E20*H84/2/0.85/E6/E27)/100</f>
        <v>698.2381444545656</v>
      </c>
      <c r="I85" s="2" t="s">
        <v>47</v>
      </c>
      <c r="J85" s="20" t="str">
        <f>IF(H85&gt;=H80,"OK","NOT OK")</f>
        <v>OK</v>
      </c>
    </row>
    <row r="86" spans="1:10" ht="21">
      <c r="A86" s="5"/>
      <c r="B86" s="2"/>
      <c r="C86" s="2"/>
      <c r="D86" s="11"/>
      <c r="E86" s="2"/>
      <c r="F86" s="2"/>
      <c r="G86" s="2"/>
      <c r="H86" s="2"/>
      <c r="I86" s="2"/>
      <c r="J86" s="2"/>
    </row>
    <row r="87" spans="1:10" ht="21">
      <c r="A87" s="10" t="s">
        <v>76</v>
      </c>
      <c r="B87" s="2" t="s">
        <v>118</v>
      </c>
      <c r="C87" s="1" t="s">
        <v>7</v>
      </c>
      <c r="D87" s="1" t="s">
        <v>153</v>
      </c>
      <c r="G87" s="1" t="s">
        <v>7</v>
      </c>
      <c r="H87" s="21">
        <f>1.4*(E34+E52)*E26/2+1.7*E73*E26/2</f>
        <v>414.04999999999995</v>
      </c>
      <c r="I87" s="1" t="s">
        <v>14</v>
      </c>
      <c r="J87" s="2"/>
    </row>
    <row r="88" spans="1:10" ht="23.25">
      <c r="A88" s="5"/>
      <c r="B88" s="31" t="s">
        <v>194</v>
      </c>
      <c r="C88" s="2" t="s">
        <v>7</v>
      </c>
      <c r="D88" s="31" t="s">
        <v>193</v>
      </c>
      <c r="E88" s="2"/>
      <c r="F88" s="2"/>
      <c r="G88" s="2" t="s">
        <v>7</v>
      </c>
      <c r="H88" s="17">
        <f>0.85*0.53*E6^0.5*E27*(E5+E28/2+E29)</f>
        <v>1942.1886541871067</v>
      </c>
      <c r="I88" s="2" t="s">
        <v>14</v>
      </c>
      <c r="J88" s="20" t="str">
        <f>IF(H88&gt;=H87,"OK","NOT OK")</f>
        <v>OK</v>
      </c>
    </row>
    <row r="89" spans="1:10" ht="21">
      <c r="A89" s="5"/>
      <c r="B89" s="2"/>
      <c r="C89" s="2"/>
      <c r="D89" s="2"/>
      <c r="E89" s="2"/>
      <c r="F89" s="2"/>
      <c r="G89" s="2"/>
      <c r="H89" s="2"/>
      <c r="I89" s="2"/>
      <c r="J89" s="2"/>
    </row>
    <row r="90" spans="1:10" ht="21">
      <c r="A90" s="10" t="s">
        <v>222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21">
      <c r="A91" s="5" t="s">
        <v>44</v>
      </c>
      <c r="B91" s="2" t="s">
        <v>119</v>
      </c>
      <c r="C91" s="2" t="s">
        <v>7</v>
      </c>
      <c r="D91" s="2"/>
      <c r="E91" s="16">
        <f>15200*E10^0.5</f>
        <v>240333.10217279682</v>
      </c>
      <c r="F91" s="2" t="s">
        <v>1</v>
      </c>
      <c r="G91" s="2"/>
      <c r="H91" s="2"/>
      <c r="I91" s="2"/>
      <c r="J91" s="2"/>
    </row>
    <row r="92" spans="1:10" ht="23.25">
      <c r="A92" s="5"/>
      <c r="B92" s="31" t="s">
        <v>127</v>
      </c>
      <c r="C92" s="2" t="s">
        <v>7</v>
      </c>
      <c r="D92" s="2" t="s">
        <v>125</v>
      </c>
      <c r="E92" s="2"/>
      <c r="F92" s="2"/>
      <c r="G92" s="2" t="s">
        <v>7</v>
      </c>
      <c r="H92" s="12">
        <f>-2*H64*E29*(E26*100)^2/16/E91/E31+5*E34/100*(E26*100)^4/384/E91/E31</f>
        <v>-0.40850340262080065</v>
      </c>
      <c r="I92" s="2" t="s">
        <v>55</v>
      </c>
      <c r="J92" s="20" t="str">
        <f>IF(ABS(H92)&lt;=E26*100/360,"OK","NOT OK")</f>
        <v>OK</v>
      </c>
    </row>
    <row r="93" spans="1:10" ht="21">
      <c r="A93" s="5" t="s">
        <v>68</v>
      </c>
      <c r="B93" s="2" t="s">
        <v>126</v>
      </c>
      <c r="C93" s="2" t="s">
        <v>7</v>
      </c>
      <c r="D93" s="2"/>
      <c r="E93" s="16">
        <f>15200*E9^0.5</f>
        <v>284365.96139481955</v>
      </c>
      <c r="F93" s="2" t="s">
        <v>1</v>
      </c>
      <c r="G93" s="2"/>
      <c r="H93" s="2"/>
      <c r="I93" s="2"/>
      <c r="J93" s="2"/>
    </row>
    <row r="94" spans="1:10" ht="23.25">
      <c r="A94" s="5"/>
      <c r="B94" s="31" t="s">
        <v>128</v>
      </c>
      <c r="C94" s="2" t="s">
        <v>7</v>
      </c>
      <c r="D94" s="31" t="s">
        <v>129</v>
      </c>
      <c r="E94" s="2"/>
      <c r="F94" s="2"/>
      <c r="G94" s="2" t="s">
        <v>7</v>
      </c>
      <c r="H94" s="12">
        <f>H92+5*(E52+E73)/100*(E26*100)^4/384/E93/E71</f>
        <v>-0.14464886239393754</v>
      </c>
      <c r="I94" s="2" t="s">
        <v>55</v>
      </c>
      <c r="J94" s="20" t="str">
        <f>IF(ABS(H94)&lt;=E26*100/360,"OK","NOT OK")</f>
        <v>OK</v>
      </c>
    </row>
    <row r="95" spans="1:10" ht="21">
      <c r="A95" s="5"/>
      <c r="B95" s="2"/>
      <c r="C95" s="2"/>
      <c r="D95" s="2"/>
      <c r="E95" s="2"/>
      <c r="F95" s="2"/>
      <c r="G95" s="2"/>
      <c r="H95" s="2"/>
      <c r="I95" s="2"/>
      <c r="J95" s="2"/>
    </row>
    <row r="96" spans="1:10" ht="21">
      <c r="A96" s="10" t="s">
        <v>223</v>
      </c>
      <c r="B96" s="2"/>
      <c r="C96" s="2"/>
      <c r="D96" s="2"/>
      <c r="E96" s="2"/>
      <c r="F96" s="2"/>
      <c r="G96" s="2"/>
      <c r="H96" s="2"/>
      <c r="I96" s="2"/>
      <c r="J96" s="2"/>
    </row>
    <row r="97" spans="1:10" ht="21">
      <c r="A97" s="10" t="s">
        <v>239</v>
      </c>
      <c r="B97" s="2"/>
      <c r="C97" s="2"/>
      <c r="D97" s="2"/>
      <c r="E97" s="2"/>
      <c r="F97" s="2"/>
      <c r="G97" s="2"/>
      <c r="H97" s="2"/>
      <c r="I97" s="2"/>
      <c r="J97" s="2"/>
    </row>
    <row r="98" spans="1:10" ht="23.25">
      <c r="A98" s="5" t="s">
        <v>232</v>
      </c>
      <c r="B98" s="31" t="s">
        <v>224</v>
      </c>
      <c r="C98" s="2" t="s">
        <v>7</v>
      </c>
      <c r="D98" s="2" t="s">
        <v>240</v>
      </c>
      <c r="E98" s="2"/>
      <c r="F98" s="2"/>
      <c r="G98" s="2" t="s">
        <v>7</v>
      </c>
      <c r="H98" s="12">
        <f>1.85*5*$E$34/100*($E$26*100)^4/384/$E$91/$E$31</f>
        <v>1.7326928073378602</v>
      </c>
      <c r="I98" s="2" t="s">
        <v>55</v>
      </c>
      <c r="J98" s="2"/>
    </row>
    <row r="99" spans="1:10" ht="23.25">
      <c r="A99" s="5" t="s">
        <v>233</v>
      </c>
      <c r="B99" s="31" t="s">
        <v>226</v>
      </c>
      <c r="C99" s="2" t="s">
        <v>7</v>
      </c>
      <c r="D99" s="2" t="s">
        <v>241</v>
      </c>
      <c r="E99" s="2"/>
      <c r="F99" s="2"/>
      <c r="G99" s="2" t="s">
        <v>7</v>
      </c>
      <c r="H99" s="12">
        <f>-1.8*2*$H$64*$E$29*($E$26*100)^2/16/$E$91/$E$31</f>
        <v>-2.421169396721845</v>
      </c>
      <c r="I99" s="2" t="s">
        <v>55</v>
      </c>
      <c r="J99" s="2"/>
    </row>
    <row r="100" spans="1:10" ht="23.25">
      <c r="A100" s="5" t="s">
        <v>235</v>
      </c>
      <c r="B100" s="31" t="s">
        <v>230</v>
      </c>
      <c r="C100" s="2" t="s">
        <v>7</v>
      </c>
      <c r="D100" s="2" t="s">
        <v>244</v>
      </c>
      <c r="E100" s="2"/>
      <c r="F100" s="2"/>
      <c r="G100" s="2" t="s">
        <v>7</v>
      </c>
      <c r="H100" s="12">
        <f>5*$E$52/100*($E$26*100)^4/384/$E$91/$E$31</f>
        <v>0.9365907066691134</v>
      </c>
      <c r="I100" s="2" t="s">
        <v>55</v>
      </c>
      <c r="J100" s="2"/>
    </row>
    <row r="101" spans="1:10" ht="21">
      <c r="A101" s="5" t="s">
        <v>238</v>
      </c>
      <c r="B101" s="31" t="s">
        <v>242</v>
      </c>
      <c r="C101" s="2" t="s">
        <v>7</v>
      </c>
      <c r="D101" s="12"/>
      <c r="E101" s="12">
        <f>SUM(H98:H100)</f>
        <v>0.24811411728512855</v>
      </c>
      <c r="F101" s="2" t="s">
        <v>55</v>
      </c>
      <c r="G101" s="2"/>
      <c r="H101" s="2"/>
      <c r="I101" s="2"/>
      <c r="J101" s="2"/>
    </row>
    <row r="102" spans="1:10" ht="21">
      <c r="A102" s="10" t="s">
        <v>237</v>
      </c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23.25">
      <c r="A103" s="5" t="s">
        <v>232</v>
      </c>
      <c r="B103" s="31" t="s">
        <v>224</v>
      </c>
      <c r="C103" s="2" t="s">
        <v>7</v>
      </c>
      <c r="D103" s="2" t="s">
        <v>225</v>
      </c>
      <c r="E103" s="2"/>
      <c r="F103" s="2"/>
      <c r="G103" s="2" t="s">
        <v>7</v>
      </c>
      <c r="H103" s="12">
        <f>2.4*5*$E$34/100*($E$26*100)^4/384/$E$91/$E$31</f>
        <v>2.2478176960058724</v>
      </c>
      <c r="I103" s="2" t="s">
        <v>55</v>
      </c>
      <c r="J103" s="2"/>
    </row>
    <row r="104" spans="1:10" ht="23.25">
      <c r="A104" s="5" t="s">
        <v>233</v>
      </c>
      <c r="B104" s="31" t="s">
        <v>226</v>
      </c>
      <c r="C104" s="2" t="s">
        <v>7</v>
      </c>
      <c r="D104" s="2" t="s">
        <v>227</v>
      </c>
      <c r="E104" s="2"/>
      <c r="F104" s="2"/>
      <c r="G104" s="2" t="s">
        <v>7</v>
      </c>
      <c r="H104" s="12">
        <f>-2.2*2*$H$64*$E$29*($E$26*100)^2/16/$E$91/$E$31</f>
        <v>-2.959207040437811</v>
      </c>
      <c r="I104" s="2" t="s">
        <v>55</v>
      </c>
      <c r="J104" s="2"/>
    </row>
    <row r="105" spans="1:10" ht="23.25">
      <c r="A105" s="5" t="s">
        <v>234</v>
      </c>
      <c r="B105" s="31" t="s">
        <v>228</v>
      </c>
      <c r="C105" s="2" t="s">
        <v>7</v>
      </c>
      <c r="D105" s="2" t="s">
        <v>229</v>
      </c>
      <c r="E105" s="2"/>
      <c r="F105" s="2"/>
      <c r="G105" s="2" t="s">
        <v>7</v>
      </c>
      <c r="H105" s="2">
        <v>0</v>
      </c>
      <c r="I105" s="2" t="s">
        <v>55</v>
      </c>
      <c r="J105" s="2"/>
    </row>
    <row r="106" spans="1:10" ht="23.25">
      <c r="A106" s="5" t="s">
        <v>235</v>
      </c>
      <c r="B106" s="31" t="s">
        <v>230</v>
      </c>
      <c r="C106" s="2" t="s">
        <v>7</v>
      </c>
      <c r="D106" s="2" t="s">
        <v>231</v>
      </c>
      <c r="E106" s="2"/>
      <c r="F106" s="2"/>
      <c r="G106" s="2" t="s">
        <v>7</v>
      </c>
      <c r="H106" s="12">
        <f>2.3*5*$E$52/100*($E$26*100)^4/384/$E$91/$E$31</f>
        <v>2.154158625338961</v>
      </c>
      <c r="I106" s="2" t="s">
        <v>55</v>
      </c>
      <c r="J106" s="2"/>
    </row>
    <row r="107" spans="1:10" ht="23.25">
      <c r="A107" s="5" t="s">
        <v>245</v>
      </c>
      <c r="B107" s="31" t="s">
        <v>246</v>
      </c>
      <c r="C107" s="2" t="s">
        <v>7</v>
      </c>
      <c r="D107" s="2" t="s">
        <v>247</v>
      </c>
      <c r="E107" s="2"/>
      <c r="F107" s="2"/>
      <c r="G107" s="2" t="s">
        <v>7</v>
      </c>
      <c r="H107" s="12">
        <f>5*$E$73/100*($E$26*100)^4/384/$E$91/$E$32</f>
        <v>0.19512306388939862</v>
      </c>
      <c r="I107" s="2" t="s">
        <v>55</v>
      </c>
      <c r="J107" s="2"/>
    </row>
    <row r="108" spans="1:10" ht="21">
      <c r="A108" s="5" t="s">
        <v>236</v>
      </c>
      <c r="B108" s="31" t="s">
        <v>243</v>
      </c>
      <c r="C108" s="2" t="s">
        <v>7</v>
      </c>
      <c r="D108" s="31"/>
      <c r="E108" s="12">
        <f>SUM(H103:H107)</f>
        <v>1.6378923447964209</v>
      </c>
      <c r="F108" s="2" t="s">
        <v>55</v>
      </c>
      <c r="G108" s="2"/>
      <c r="H108" s="2"/>
      <c r="I108" s="2"/>
      <c r="J108" s="2"/>
    </row>
    <row r="109" spans="1:10" ht="21">
      <c r="A109" s="5"/>
      <c r="B109" s="31" t="s">
        <v>249</v>
      </c>
      <c r="C109" s="2" t="s">
        <v>7</v>
      </c>
      <c r="D109" s="31" t="s">
        <v>250</v>
      </c>
      <c r="E109" s="2"/>
      <c r="F109" s="2"/>
      <c r="G109" s="2" t="s">
        <v>7</v>
      </c>
      <c r="H109" s="12">
        <f>E108-E101</f>
        <v>1.3897782275112922</v>
      </c>
      <c r="I109" s="2" t="s">
        <v>55</v>
      </c>
      <c r="J109" s="20" t="str">
        <f>IF(ABS($H$109)&lt;=$E$26*100/180,"OK","NOT OK")</f>
        <v>OK</v>
      </c>
    </row>
    <row r="110" spans="1:10" ht="21">
      <c r="A110" s="5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21">
      <c r="A111" s="5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21">
      <c r="A112" s="5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21">
      <c r="A113" s="5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21">
      <c r="A114" s="5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21">
      <c r="A115" s="5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21">
      <c r="A116" s="5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21">
      <c r="A117" s="5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21">
      <c r="A118" s="5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21">
      <c r="A119" s="5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21">
      <c r="A120" s="5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21">
      <c r="A121" s="5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21">
      <c r="A122" s="5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21">
      <c r="A123" s="5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21">
      <c r="A124" s="5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21">
      <c r="A125" s="5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2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2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2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2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2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21">
      <c r="A137" s="2"/>
      <c r="B137" s="2"/>
      <c r="C137" s="2"/>
      <c r="D137" s="2"/>
      <c r="E137" s="2"/>
      <c r="F137" s="2"/>
      <c r="H137" s="2"/>
      <c r="I137" s="2"/>
      <c r="J137" s="2"/>
    </row>
    <row r="138" spans="1:10" ht="21">
      <c r="A138" s="2"/>
      <c r="B138" s="2"/>
      <c r="C138" s="2"/>
      <c r="D138" s="2"/>
      <c r="E138" s="2"/>
      <c r="F138" s="2"/>
      <c r="H138" s="2"/>
      <c r="I138" s="2"/>
      <c r="J138" s="2"/>
    </row>
    <row r="139" spans="1:10" ht="2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2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2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2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2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2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2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2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2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2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2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2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2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2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2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2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2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2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2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2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2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2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2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2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2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2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2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2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2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2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2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2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2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2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2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2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2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2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2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2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2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2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2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2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2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2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2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2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2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2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2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2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2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2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2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2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2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2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2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2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2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2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2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2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2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2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2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2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2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2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2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2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2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2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2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2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2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2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2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2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2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2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2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2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2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2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2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2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2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2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2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2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2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2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2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2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2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2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2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2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2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2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2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2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2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2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2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2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2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2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2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2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2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2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2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2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2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2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2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2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2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2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2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2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2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2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2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2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2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2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2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2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2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2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2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2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2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2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2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2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2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2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2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2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2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2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2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2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2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2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2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2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2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2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2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2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2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2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2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2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2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2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2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2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2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2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2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2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2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2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2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2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2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2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2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2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2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2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2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2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2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2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2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2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2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2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2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2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2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2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2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2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2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2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2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2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2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2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2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2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2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2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2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2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2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2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2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2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2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2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2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2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2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2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2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2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2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2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2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2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2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2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2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2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2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2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2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2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2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2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2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2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2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2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2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2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2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2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2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2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2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2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2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2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2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2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2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21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21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21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2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2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2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2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2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2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2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2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2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2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2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2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21">
      <c r="A401" s="2"/>
      <c r="B401" s="2"/>
      <c r="C401" s="2"/>
      <c r="D401" s="2"/>
      <c r="E401" s="2"/>
      <c r="F401" s="2"/>
      <c r="G401" s="2"/>
      <c r="H401" s="2"/>
      <c r="I401" s="2"/>
      <c r="J401" s="2"/>
    </row>
  </sheetData>
  <sheetProtection/>
  <printOptions/>
  <pageMargins left="0.5905511811023623" right="0.15748031496062992" top="0.7874015748031497" bottom="0.3937007874015748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9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33.7109375" style="1" customWidth="1"/>
    <col min="2" max="2" width="5.57421875" style="1" customWidth="1"/>
    <col min="3" max="3" width="2.421875" style="1" customWidth="1"/>
    <col min="4" max="5" width="10.7109375" style="1" customWidth="1"/>
    <col min="6" max="6" width="5.28125" style="1" customWidth="1"/>
    <col min="7" max="7" width="2.28125" style="1" customWidth="1"/>
    <col min="8" max="8" width="8.421875" style="1" customWidth="1"/>
    <col min="9" max="9" width="4.421875" style="1" customWidth="1"/>
    <col min="10" max="10" width="4.140625" style="1" customWidth="1"/>
    <col min="11" max="16384" width="9.140625" style="1" customWidth="1"/>
  </cols>
  <sheetData>
    <row r="1" spans="1:10" ht="26.25">
      <c r="A1" s="34" t="s">
        <v>166</v>
      </c>
      <c r="B1" s="2"/>
      <c r="C1" s="2"/>
      <c r="D1" s="2"/>
      <c r="E1" s="2"/>
      <c r="F1" s="2"/>
      <c r="G1" s="2"/>
      <c r="H1" s="2"/>
      <c r="I1" s="2"/>
      <c r="J1" s="2"/>
    </row>
    <row r="2" spans="1:10" ht="21">
      <c r="A2" s="3"/>
      <c r="B2" s="3"/>
      <c r="C2" s="3"/>
      <c r="D2" s="3"/>
      <c r="E2" s="3"/>
      <c r="F2" s="3"/>
      <c r="G2" s="3"/>
      <c r="H2" s="3"/>
      <c r="I2" s="3"/>
      <c r="J2" s="2"/>
    </row>
    <row r="3" spans="1:10" ht="21">
      <c r="A3" s="10" t="s">
        <v>62</v>
      </c>
      <c r="B3" s="3"/>
      <c r="C3" s="3"/>
      <c r="D3" s="3"/>
      <c r="E3" s="3"/>
      <c r="F3" s="3"/>
      <c r="G3" s="3"/>
      <c r="H3" s="3"/>
      <c r="I3" s="3"/>
      <c r="J3" s="2"/>
    </row>
    <row r="4" spans="1:10" ht="21" customHeight="1">
      <c r="A4" s="5" t="s">
        <v>63</v>
      </c>
      <c r="B4" s="5" t="s">
        <v>64</v>
      </c>
      <c r="C4" s="5" t="s">
        <v>7</v>
      </c>
      <c r="E4" s="30">
        <v>200</v>
      </c>
      <c r="F4" s="5" t="s">
        <v>78</v>
      </c>
      <c r="G4" s="3"/>
      <c r="H4" s="3"/>
      <c r="I4" s="3"/>
      <c r="J4" s="2"/>
    </row>
    <row r="5" spans="1:10" ht="21">
      <c r="A5" s="5" t="s">
        <v>65</v>
      </c>
      <c r="B5" s="5" t="s">
        <v>66</v>
      </c>
      <c r="C5" s="5" t="s">
        <v>7</v>
      </c>
      <c r="D5" s="3"/>
      <c r="E5" s="30">
        <v>5</v>
      </c>
      <c r="F5" s="5" t="s">
        <v>55</v>
      </c>
      <c r="G5" s="3"/>
      <c r="H5" s="3"/>
      <c r="I5" s="3"/>
      <c r="J5" s="2"/>
    </row>
    <row r="6" spans="1:10" ht="21">
      <c r="A6" s="5" t="s">
        <v>73</v>
      </c>
      <c r="B6" s="5" t="s">
        <v>79</v>
      </c>
      <c r="C6" s="5" t="s">
        <v>7</v>
      </c>
      <c r="D6" s="3"/>
      <c r="E6" s="30">
        <v>210</v>
      </c>
      <c r="F6" s="5" t="s">
        <v>1</v>
      </c>
      <c r="G6" s="3"/>
      <c r="H6" s="3"/>
      <c r="I6" s="3"/>
      <c r="J6" s="2"/>
    </row>
    <row r="7" spans="1:10" ht="21">
      <c r="A7" s="5"/>
      <c r="B7" s="5"/>
      <c r="C7" s="5"/>
      <c r="D7" s="3"/>
      <c r="E7" s="18"/>
      <c r="F7" s="5"/>
      <c r="G7" s="3"/>
      <c r="H7" s="3"/>
      <c r="I7" s="3"/>
      <c r="J7" s="2"/>
    </row>
    <row r="8" spans="1:10" ht="21">
      <c r="A8" s="10" t="s">
        <v>8</v>
      </c>
      <c r="B8" s="3"/>
      <c r="C8" s="3"/>
      <c r="D8" s="3"/>
      <c r="E8" s="3"/>
      <c r="F8" s="3"/>
      <c r="G8" s="3"/>
      <c r="H8" s="3"/>
      <c r="I8" s="3"/>
      <c r="J8" s="2"/>
    </row>
    <row r="9" spans="1:10" ht="21">
      <c r="A9" s="5" t="s">
        <v>2</v>
      </c>
      <c r="B9" s="2" t="s">
        <v>80</v>
      </c>
      <c r="C9" s="2" t="s">
        <v>7</v>
      </c>
      <c r="E9" s="25">
        <v>350</v>
      </c>
      <c r="F9" s="2" t="s">
        <v>1</v>
      </c>
      <c r="G9" s="2"/>
      <c r="H9" s="2"/>
      <c r="I9" s="2"/>
      <c r="J9" s="2"/>
    </row>
    <row r="10" spans="1:10" ht="21">
      <c r="A10" s="5" t="s">
        <v>3</v>
      </c>
      <c r="B10" s="2" t="s">
        <v>81</v>
      </c>
      <c r="C10" s="2" t="s">
        <v>7</v>
      </c>
      <c r="E10" s="25">
        <v>250</v>
      </c>
      <c r="F10" s="2" t="s">
        <v>1</v>
      </c>
      <c r="G10" s="2"/>
      <c r="H10" s="2"/>
      <c r="I10" s="2"/>
      <c r="J10" s="2"/>
    </row>
    <row r="11" spans="1:10" ht="21">
      <c r="A11" s="5"/>
      <c r="B11" s="2"/>
      <c r="C11" s="2"/>
      <c r="D11" s="2"/>
      <c r="E11" s="2"/>
      <c r="F11" s="2"/>
      <c r="G11" s="2"/>
      <c r="H11" s="2"/>
      <c r="I11" s="2"/>
      <c r="J11" s="2"/>
    </row>
    <row r="12" spans="1:10" ht="21">
      <c r="A12" s="5" t="s">
        <v>5</v>
      </c>
      <c r="B12" s="2" t="s">
        <v>82</v>
      </c>
      <c r="C12" s="2" t="s">
        <v>7</v>
      </c>
      <c r="D12" s="6" t="s">
        <v>105</v>
      </c>
      <c r="E12" s="6"/>
      <c r="F12" s="2" t="s">
        <v>7</v>
      </c>
      <c r="G12" s="2"/>
      <c r="H12" s="2">
        <f>0.6*E10</f>
        <v>150</v>
      </c>
      <c r="I12" s="2" t="s">
        <v>1</v>
      </c>
      <c r="J12" s="2"/>
    </row>
    <row r="13" spans="1:10" ht="23.25">
      <c r="A13" s="5" t="s">
        <v>6</v>
      </c>
      <c r="B13" s="2" t="s">
        <v>83</v>
      </c>
      <c r="C13" s="2" t="s">
        <v>7</v>
      </c>
      <c r="D13" s="6" t="s">
        <v>123</v>
      </c>
      <c r="E13" s="6"/>
      <c r="F13" s="2" t="s">
        <v>7</v>
      </c>
      <c r="G13" s="2"/>
      <c r="H13" s="8">
        <f>-0.8*E10^0.5</f>
        <v>-12.649110640673518</v>
      </c>
      <c r="I13" s="2" t="s">
        <v>1</v>
      </c>
      <c r="J13" s="2"/>
    </row>
    <row r="14" spans="1:10" ht="21">
      <c r="A14" s="5" t="s">
        <v>4</v>
      </c>
      <c r="B14" s="2" t="s">
        <v>84</v>
      </c>
      <c r="C14" s="2" t="s">
        <v>7</v>
      </c>
      <c r="D14" s="6" t="s">
        <v>106</v>
      </c>
      <c r="E14" s="6"/>
      <c r="F14" s="2" t="s">
        <v>7</v>
      </c>
      <c r="G14" s="2"/>
      <c r="H14" s="8">
        <f>0.45*E9</f>
        <v>157.5</v>
      </c>
      <c r="I14" s="2" t="s">
        <v>1</v>
      </c>
      <c r="J14" s="2"/>
    </row>
    <row r="15" spans="1:10" ht="23.25">
      <c r="A15" s="5"/>
      <c r="B15" s="2" t="s">
        <v>85</v>
      </c>
      <c r="C15" s="2" t="s">
        <v>7</v>
      </c>
      <c r="D15" s="6" t="s">
        <v>107</v>
      </c>
      <c r="E15" s="6"/>
      <c r="F15" s="2" t="s">
        <v>7</v>
      </c>
      <c r="G15" s="2"/>
      <c r="H15" s="8">
        <f>-1.6*E9^0.5</f>
        <v>-29.933259094191534</v>
      </c>
      <c r="I15" s="2" t="s">
        <v>1</v>
      </c>
      <c r="J15" s="2"/>
    </row>
    <row r="16" spans="1:10" ht="21">
      <c r="A16" s="5"/>
      <c r="B16" s="2"/>
      <c r="C16" s="2"/>
      <c r="D16" s="2"/>
      <c r="E16" s="2"/>
      <c r="F16" s="2"/>
      <c r="G16" s="2"/>
      <c r="H16" s="2"/>
      <c r="I16" s="2"/>
      <c r="J16" s="2"/>
    </row>
    <row r="17" spans="1:10" ht="21">
      <c r="A17" s="10" t="s">
        <v>9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21">
      <c r="A18" s="5" t="s">
        <v>10</v>
      </c>
      <c r="B18" s="2"/>
      <c r="C18" s="2" t="s">
        <v>7</v>
      </c>
      <c r="E18" s="25">
        <v>4</v>
      </c>
      <c r="F18" s="2" t="s">
        <v>11</v>
      </c>
      <c r="G18" s="2"/>
      <c r="H18" s="2"/>
      <c r="I18" s="2"/>
      <c r="J18" s="2"/>
    </row>
    <row r="19" spans="1:11" ht="21">
      <c r="A19" s="5" t="s">
        <v>17</v>
      </c>
      <c r="B19" s="2"/>
      <c r="C19" s="2" t="s">
        <v>7</v>
      </c>
      <c r="E19" s="25">
        <v>3</v>
      </c>
      <c r="F19" s="2" t="s">
        <v>18</v>
      </c>
      <c r="G19" s="2"/>
      <c r="H19" s="2"/>
      <c r="I19" s="2"/>
      <c r="J19" s="22"/>
      <c r="K19" s="23"/>
    </row>
    <row r="20" spans="1:11" ht="23.25">
      <c r="A20" s="5" t="s">
        <v>19</v>
      </c>
      <c r="B20" s="2" t="s">
        <v>86</v>
      </c>
      <c r="C20" s="2" t="s">
        <v>7</v>
      </c>
      <c r="E20" s="7">
        <f>3.1416/4*E18^2/100*E19</f>
        <v>0.376992</v>
      </c>
      <c r="F20" s="2" t="s">
        <v>100</v>
      </c>
      <c r="G20" s="2"/>
      <c r="H20" s="2"/>
      <c r="I20" s="2"/>
      <c r="J20" s="22"/>
      <c r="K20" s="23"/>
    </row>
    <row r="21" spans="1:10" ht="21">
      <c r="A21" s="5" t="s">
        <v>12</v>
      </c>
      <c r="B21" s="2" t="s">
        <v>87</v>
      </c>
      <c r="C21" s="2" t="s">
        <v>7</v>
      </c>
      <c r="E21" s="26">
        <v>17500</v>
      </c>
      <c r="F21" s="2" t="s">
        <v>1</v>
      </c>
      <c r="G21" s="2"/>
      <c r="H21" s="2"/>
      <c r="I21" s="2"/>
      <c r="J21" s="2"/>
    </row>
    <row r="22" spans="1:10" ht="21">
      <c r="A22" s="5" t="s">
        <v>13</v>
      </c>
      <c r="B22" s="2" t="s">
        <v>88</v>
      </c>
      <c r="C22" s="2" t="s">
        <v>7</v>
      </c>
      <c r="E22" s="26">
        <v>15000</v>
      </c>
      <c r="F22" s="2" t="s">
        <v>1</v>
      </c>
      <c r="G22" s="2"/>
      <c r="H22" s="2"/>
      <c r="I22" s="2"/>
      <c r="J22" s="2"/>
    </row>
    <row r="23" spans="1:10" ht="21">
      <c r="A23" s="5" t="s">
        <v>41</v>
      </c>
      <c r="B23" s="2" t="s">
        <v>89</v>
      </c>
      <c r="C23" s="2" t="s">
        <v>7</v>
      </c>
      <c r="D23" s="6" t="s">
        <v>134</v>
      </c>
      <c r="E23" s="11"/>
      <c r="F23" s="2"/>
      <c r="G23" s="2" t="s">
        <v>7</v>
      </c>
      <c r="H23" s="12">
        <f>MIN(0.8*E21,0.94*E22)*E20</f>
        <v>5277.888</v>
      </c>
      <c r="I23" s="2" t="s">
        <v>14</v>
      </c>
      <c r="J23" s="2"/>
    </row>
    <row r="24" spans="1:10" ht="21">
      <c r="A24" s="5"/>
      <c r="B24" s="2"/>
      <c r="C24" s="2"/>
      <c r="D24" s="2"/>
      <c r="E24" s="2"/>
      <c r="F24" s="2"/>
      <c r="G24" s="2"/>
      <c r="H24" s="2"/>
      <c r="I24" s="2"/>
      <c r="J24" s="2"/>
    </row>
    <row r="25" spans="1:10" ht="21">
      <c r="A25" s="10" t="s">
        <v>51</v>
      </c>
      <c r="C25" s="2"/>
      <c r="D25" s="2"/>
      <c r="E25" s="2"/>
      <c r="F25" s="2"/>
      <c r="G25" s="2"/>
      <c r="H25" s="2"/>
      <c r="I25" s="2"/>
      <c r="J25" s="2"/>
    </row>
    <row r="26" spans="1:10" ht="21">
      <c r="A26" s="5" t="s">
        <v>50</v>
      </c>
      <c r="B26" s="2" t="s">
        <v>26</v>
      </c>
      <c r="C26" s="2" t="s">
        <v>7</v>
      </c>
      <c r="D26" s="2"/>
      <c r="E26" s="25">
        <v>3.5</v>
      </c>
      <c r="F26" s="2" t="s">
        <v>27</v>
      </c>
      <c r="G26" s="2"/>
      <c r="H26" s="2"/>
      <c r="I26" s="2"/>
      <c r="J26" s="2"/>
    </row>
    <row r="27" spans="1:10" ht="21">
      <c r="A27" s="5" t="s">
        <v>52</v>
      </c>
      <c r="B27" s="2" t="s">
        <v>60</v>
      </c>
      <c r="C27" s="2" t="s">
        <v>7</v>
      </c>
      <c r="D27" s="2"/>
      <c r="E27" s="25">
        <v>35</v>
      </c>
      <c r="F27" s="2" t="s">
        <v>55</v>
      </c>
      <c r="G27" s="2"/>
      <c r="H27" s="2"/>
      <c r="I27" s="2"/>
      <c r="J27" s="2"/>
    </row>
    <row r="28" spans="1:10" ht="21">
      <c r="A28" s="5" t="s">
        <v>53</v>
      </c>
      <c r="B28" s="2" t="s">
        <v>54</v>
      </c>
      <c r="C28" s="2" t="s">
        <v>7</v>
      </c>
      <c r="D28" s="2"/>
      <c r="E28" s="25">
        <v>5</v>
      </c>
      <c r="F28" s="2" t="s">
        <v>55</v>
      </c>
      <c r="G28" s="2"/>
      <c r="H28" s="2"/>
      <c r="I28" s="2"/>
      <c r="J28" s="2"/>
    </row>
    <row r="29" spans="1:10" ht="21">
      <c r="A29" s="5" t="s">
        <v>58</v>
      </c>
      <c r="B29" s="2" t="s">
        <v>59</v>
      </c>
      <c r="C29" s="2" t="s">
        <v>7</v>
      </c>
      <c r="D29" s="2"/>
      <c r="E29" s="28">
        <v>1</v>
      </c>
      <c r="F29" s="2" t="s">
        <v>55</v>
      </c>
      <c r="G29" s="2"/>
      <c r="H29" s="2"/>
      <c r="I29" s="2"/>
      <c r="J29" s="2"/>
    </row>
    <row r="30" spans="1:10" ht="23.25">
      <c r="A30" s="5" t="s">
        <v>21</v>
      </c>
      <c r="B30" s="2" t="s">
        <v>90</v>
      </c>
      <c r="C30" s="2" t="s">
        <v>7</v>
      </c>
      <c r="D30" s="2"/>
      <c r="E30" s="2">
        <f>E27*E28</f>
        <v>175</v>
      </c>
      <c r="F30" s="2" t="s">
        <v>100</v>
      </c>
      <c r="G30" s="2"/>
      <c r="H30" s="2"/>
      <c r="I30" s="2"/>
      <c r="J30" s="2"/>
    </row>
    <row r="31" spans="1:10" ht="23.25">
      <c r="A31" s="5" t="s">
        <v>56</v>
      </c>
      <c r="B31" s="2" t="s">
        <v>57</v>
      </c>
      <c r="C31" s="2" t="s">
        <v>7</v>
      </c>
      <c r="D31" s="2"/>
      <c r="E31" s="8">
        <f>1/12*$E$27*$E$28^3</f>
        <v>364.5833333333333</v>
      </c>
      <c r="F31" s="2" t="s">
        <v>120</v>
      </c>
      <c r="G31" s="2"/>
      <c r="H31" s="2"/>
      <c r="I31" s="2"/>
      <c r="J31" s="2"/>
    </row>
    <row r="32" spans="1:10" ht="23.25">
      <c r="A32" s="5" t="s">
        <v>248</v>
      </c>
      <c r="B32" s="2" t="s">
        <v>219</v>
      </c>
      <c r="C32" s="2" t="s">
        <v>7</v>
      </c>
      <c r="D32" s="2"/>
      <c r="E32" s="8">
        <f>1/12*$E$27*($E$28+$E$5)^3</f>
        <v>2916.6666666666665</v>
      </c>
      <c r="F32" s="2" t="s">
        <v>120</v>
      </c>
      <c r="G32" s="2"/>
      <c r="H32" s="2"/>
      <c r="I32" s="2"/>
      <c r="J32" s="2"/>
    </row>
    <row r="33" spans="1:10" ht="23.25">
      <c r="A33" s="5" t="s">
        <v>22</v>
      </c>
      <c r="B33" s="2" t="s">
        <v>91</v>
      </c>
      <c r="C33" s="2" t="s">
        <v>7</v>
      </c>
      <c r="D33" s="2"/>
      <c r="E33" s="8">
        <f>1/6*E27*E28^2</f>
        <v>145.83333333333331</v>
      </c>
      <c r="F33" s="2" t="s">
        <v>101</v>
      </c>
      <c r="G33" s="2"/>
      <c r="H33" s="2"/>
      <c r="I33" s="2"/>
      <c r="J33" s="2"/>
    </row>
    <row r="34" spans="1:10" ht="21">
      <c r="A34" s="5" t="s">
        <v>182</v>
      </c>
      <c r="B34" s="2" t="s">
        <v>147</v>
      </c>
      <c r="C34" s="2" t="s">
        <v>7</v>
      </c>
      <c r="D34" s="2"/>
      <c r="E34" s="2">
        <f>E30/10000*2400</f>
        <v>42.00000000000001</v>
      </c>
      <c r="F34" s="2" t="s">
        <v>25</v>
      </c>
      <c r="G34" s="2"/>
      <c r="H34" s="2"/>
      <c r="I34" s="2"/>
      <c r="J34" s="2"/>
    </row>
    <row r="35" spans="1:10" ht="21">
      <c r="A35" s="5"/>
      <c r="B35" s="2"/>
      <c r="C35" s="2"/>
      <c r="D35" s="2"/>
      <c r="E35" s="2"/>
      <c r="F35" s="2"/>
      <c r="G35" s="2"/>
      <c r="H35" s="2"/>
      <c r="I35" s="2"/>
      <c r="J35" s="2"/>
    </row>
    <row r="36" spans="1:10" ht="21">
      <c r="A36" s="5"/>
      <c r="B36" s="2"/>
      <c r="C36" s="2"/>
      <c r="D36" s="2"/>
      <c r="E36" s="2"/>
      <c r="F36" s="2"/>
      <c r="G36" s="2"/>
      <c r="H36" s="2"/>
      <c r="I36" s="2"/>
      <c r="J36" s="2"/>
    </row>
    <row r="37" spans="1:12" ht="21">
      <c r="A37" s="5"/>
      <c r="B37" s="2"/>
      <c r="C37" s="2"/>
      <c r="D37" s="2"/>
      <c r="E37" s="2"/>
      <c r="F37" s="2"/>
      <c r="G37" s="2"/>
      <c r="H37" s="2"/>
      <c r="I37" s="2"/>
      <c r="J37" s="2"/>
      <c r="L37" s="14"/>
    </row>
    <row r="38" spans="1:10" ht="21">
      <c r="A38" s="5"/>
      <c r="B38" s="2"/>
      <c r="C38" s="2"/>
      <c r="D38" s="2"/>
      <c r="E38" s="2"/>
      <c r="F38" s="2"/>
      <c r="G38" s="2"/>
      <c r="H38" s="2"/>
      <c r="I38" s="2"/>
      <c r="J38" s="2"/>
    </row>
    <row r="39" spans="1:10" ht="21">
      <c r="A39" s="5"/>
      <c r="B39" s="2"/>
      <c r="C39" s="2"/>
      <c r="D39" s="2"/>
      <c r="E39" s="2"/>
      <c r="F39" s="2"/>
      <c r="G39" s="2"/>
      <c r="H39" s="2"/>
      <c r="I39" s="2"/>
      <c r="J39" s="2"/>
    </row>
    <row r="40" spans="1:10" ht="21">
      <c r="A40" s="5"/>
      <c r="B40" s="2"/>
      <c r="C40" s="2"/>
      <c r="D40" s="2"/>
      <c r="E40" s="2"/>
      <c r="F40" s="2"/>
      <c r="G40" s="2"/>
      <c r="H40" s="2"/>
      <c r="I40" s="2"/>
      <c r="J40" s="2"/>
    </row>
    <row r="41" spans="1:10" ht="21">
      <c r="A41" s="5"/>
      <c r="B41" s="2"/>
      <c r="C41" s="2"/>
      <c r="D41" s="2"/>
      <c r="E41" s="2"/>
      <c r="F41" s="2"/>
      <c r="G41" s="2"/>
      <c r="H41" s="2"/>
      <c r="I41" s="2"/>
      <c r="J41" s="2"/>
    </row>
    <row r="42" spans="2:10" ht="21">
      <c r="B42" s="2"/>
      <c r="C42" s="2"/>
      <c r="D42" s="2"/>
      <c r="E42" s="2"/>
      <c r="F42" s="2"/>
      <c r="G42" s="2"/>
      <c r="H42" s="2"/>
      <c r="I42" s="2"/>
      <c r="J42" s="2"/>
    </row>
    <row r="43" spans="1:10" ht="21">
      <c r="A43" s="5"/>
      <c r="B43" s="2"/>
      <c r="C43" s="2"/>
      <c r="D43" s="2"/>
      <c r="E43" s="2"/>
      <c r="F43" s="2"/>
      <c r="G43" s="2"/>
      <c r="H43" s="2"/>
      <c r="I43" s="2"/>
      <c r="J43" s="2"/>
    </row>
    <row r="44" spans="1:10" ht="21">
      <c r="A44" s="5"/>
      <c r="B44" s="9" t="s">
        <v>61</v>
      </c>
      <c r="C44" s="2"/>
      <c r="D44" s="2"/>
      <c r="E44" s="2"/>
      <c r="F44" s="2"/>
      <c r="G44" s="2"/>
      <c r="H44" s="2"/>
      <c r="I44" s="2"/>
      <c r="J44" s="2"/>
    </row>
    <row r="45" spans="1:10" ht="21">
      <c r="A45" s="5"/>
      <c r="B45" s="2"/>
      <c r="C45" s="2"/>
      <c r="D45" s="2"/>
      <c r="E45" s="2"/>
      <c r="F45" s="2"/>
      <c r="G45" s="2"/>
      <c r="H45" s="2"/>
      <c r="I45" s="2"/>
      <c r="J45" s="2"/>
    </row>
    <row r="46" spans="1:10" ht="21">
      <c r="A46" s="10" t="s">
        <v>15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ht="23.25">
      <c r="A47" s="5" t="s">
        <v>29</v>
      </c>
      <c r="B47" s="2" t="s">
        <v>110</v>
      </c>
      <c r="C47" s="2" t="s">
        <v>7</v>
      </c>
      <c r="D47" s="2" t="s">
        <v>148</v>
      </c>
      <c r="E47" s="2"/>
      <c r="F47" s="2"/>
      <c r="G47" s="2" t="s">
        <v>7</v>
      </c>
      <c r="H47" s="8">
        <f>1/8*E34*E26^2</f>
        <v>64.31250000000001</v>
      </c>
      <c r="I47" s="2" t="s">
        <v>47</v>
      </c>
      <c r="J47" s="2"/>
    </row>
    <row r="48" spans="2:10" ht="23.25">
      <c r="B48" s="2" t="s">
        <v>92</v>
      </c>
      <c r="C48" s="2" t="s">
        <v>7</v>
      </c>
      <c r="D48" s="2" t="s">
        <v>154</v>
      </c>
      <c r="E48" s="2"/>
      <c r="F48" s="2"/>
      <c r="G48" s="2" t="s">
        <v>7</v>
      </c>
      <c r="H48" s="12">
        <f>0.9*H23/E30+0.9*H23*E29^2/E31-H47*100*E29/E31</f>
        <v>22.53226751999999</v>
      </c>
      <c r="I48" s="2" t="s">
        <v>1</v>
      </c>
      <c r="J48" s="2"/>
    </row>
    <row r="49" spans="1:10" ht="21">
      <c r="A49" s="5"/>
      <c r="B49" s="2" t="s">
        <v>28</v>
      </c>
      <c r="C49" s="2" t="s">
        <v>7</v>
      </c>
      <c r="D49" s="2" t="s">
        <v>130</v>
      </c>
      <c r="E49" s="2"/>
      <c r="F49" s="2"/>
      <c r="G49" s="2" t="s">
        <v>7</v>
      </c>
      <c r="H49" s="12">
        <f>2.04*10^6/15200/E10^0.5*H48</f>
        <v>191.25882088332165</v>
      </c>
      <c r="I49" s="2" t="s">
        <v>1</v>
      </c>
      <c r="J49" s="2"/>
    </row>
    <row r="50" spans="1:10" ht="21">
      <c r="A50" s="5" t="s">
        <v>30</v>
      </c>
      <c r="B50" s="1" t="s">
        <v>31</v>
      </c>
      <c r="C50" s="2" t="s">
        <v>7</v>
      </c>
      <c r="E50" s="27">
        <v>75</v>
      </c>
      <c r="F50" s="1" t="s">
        <v>32</v>
      </c>
      <c r="J50" s="2"/>
    </row>
    <row r="51" spans="2:10" ht="21">
      <c r="B51" s="2" t="s">
        <v>33</v>
      </c>
      <c r="C51" s="2" t="s">
        <v>7</v>
      </c>
      <c r="D51" s="2" t="s">
        <v>34</v>
      </c>
      <c r="E51" s="2"/>
      <c r="F51" s="2"/>
      <c r="G51" s="2" t="s">
        <v>7</v>
      </c>
      <c r="H51" s="2">
        <f>1200-11*E50</f>
        <v>375</v>
      </c>
      <c r="I51" s="2" t="s">
        <v>1</v>
      </c>
      <c r="J51" s="2"/>
    </row>
    <row r="52" spans="1:10" ht="21">
      <c r="A52" s="5" t="s">
        <v>36</v>
      </c>
      <c r="B52" s="2" t="s">
        <v>150</v>
      </c>
      <c r="C52" s="2" t="s">
        <v>7</v>
      </c>
      <c r="E52" s="2">
        <f>E5*E27*0.24</f>
        <v>42</v>
      </c>
      <c r="F52" s="2" t="s">
        <v>25</v>
      </c>
      <c r="G52" s="2"/>
      <c r="H52" s="2"/>
      <c r="I52" s="2"/>
      <c r="J52" s="2"/>
    </row>
    <row r="53" spans="2:10" ht="23.25">
      <c r="B53" s="2" t="s">
        <v>111</v>
      </c>
      <c r="C53" s="2" t="s">
        <v>7</v>
      </c>
      <c r="D53" s="2" t="s">
        <v>149</v>
      </c>
      <c r="E53" s="2"/>
      <c r="F53" s="2"/>
      <c r="G53" s="2" t="s">
        <v>7</v>
      </c>
      <c r="H53" s="8">
        <f>1/8*E52*E26^2</f>
        <v>64.3125</v>
      </c>
      <c r="I53" s="2" t="s">
        <v>47</v>
      </c>
      <c r="J53" s="2"/>
    </row>
    <row r="54" spans="2:10" ht="21">
      <c r="B54" s="1" t="s">
        <v>93</v>
      </c>
      <c r="C54" s="1" t="s">
        <v>7</v>
      </c>
      <c r="D54" s="2" t="s">
        <v>136</v>
      </c>
      <c r="E54" s="13"/>
      <c r="F54" s="2"/>
      <c r="G54" s="2" t="s">
        <v>7</v>
      </c>
      <c r="H54" s="2">
        <f>H53*100*E29/E31</f>
        <v>17.64</v>
      </c>
      <c r="I54" s="2" t="s">
        <v>1</v>
      </c>
      <c r="J54" s="2"/>
    </row>
    <row r="55" spans="1:10" ht="21">
      <c r="A55" s="5"/>
      <c r="B55" s="2" t="s">
        <v>35</v>
      </c>
      <c r="C55" s="2" t="s">
        <v>7</v>
      </c>
      <c r="D55" s="2" t="s">
        <v>102</v>
      </c>
      <c r="E55" s="2"/>
      <c r="F55" s="2"/>
      <c r="G55" s="2" t="s">
        <v>7</v>
      </c>
      <c r="H55" s="12">
        <f>12*H48-7*H54</f>
        <v>146.90721023999987</v>
      </c>
      <c r="I55" s="2" t="s">
        <v>1</v>
      </c>
      <c r="J55" s="2"/>
    </row>
    <row r="56" spans="1:10" ht="21">
      <c r="A56" s="5" t="s">
        <v>37</v>
      </c>
      <c r="B56" s="2" t="s">
        <v>38</v>
      </c>
      <c r="C56" s="2" t="s">
        <v>7</v>
      </c>
      <c r="D56" s="2" t="s">
        <v>39</v>
      </c>
      <c r="E56" s="2"/>
      <c r="F56" s="2"/>
      <c r="G56" s="2" t="s">
        <v>7</v>
      </c>
      <c r="H56" s="12">
        <f>1270-0.4*H49-0.2*(H51+H55)</f>
        <v>1089.1150295986713</v>
      </c>
      <c r="I56" s="2" t="s">
        <v>1</v>
      </c>
      <c r="J56" s="2"/>
    </row>
    <row r="57" spans="1:10" ht="21">
      <c r="A57" s="5"/>
      <c r="B57" s="2"/>
      <c r="C57" s="2"/>
      <c r="D57" s="2"/>
      <c r="E57" s="2"/>
      <c r="F57" s="2"/>
      <c r="I57" s="2"/>
      <c r="J57" s="2"/>
    </row>
    <row r="58" spans="1:10" ht="21">
      <c r="A58" s="5" t="s">
        <v>42</v>
      </c>
      <c r="B58" s="2"/>
      <c r="C58" s="2"/>
      <c r="D58" s="2"/>
      <c r="E58" s="2"/>
      <c r="F58" s="2"/>
      <c r="G58" s="1" t="s">
        <v>7</v>
      </c>
      <c r="H58" s="15">
        <f>H49</f>
        <v>191.25882088332165</v>
      </c>
      <c r="I58" s="2" t="s">
        <v>1</v>
      </c>
      <c r="J58" s="2"/>
    </row>
    <row r="59" spans="1:13" ht="21">
      <c r="A59" s="5"/>
      <c r="B59" s="31" t="s">
        <v>155</v>
      </c>
      <c r="C59" s="2"/>
      <c r="D59" s="2"/>
      <c r="E59" s="2"/>
      <c r="F59" s="2"/>
      <c r="G59" s="1" t="s">
        <v>7</v>
      </c>
      <c r="H59" s="15">
        <f>H58/(H23/E20)*100</f>
        <v>1.3661344348808688</v>
      </c>
      <c r="I59" s="2" t="s">
        <v>32</v>
      </c>
      <c r="J59" s="2"/>
      <c r="M59" s="35"/>
    </row>
    <row r="60" spans="1:10" ht="21">
      <c r="A60" s="5" t="s">
        <v>40</v>
      </c>
      <c r="B60" s="2"/>
      <c r="C60" s="2"/>
      <c r="D60" s="2"/>
      <c r="E60" s="2"/>
      <c r="F60" s="2"/>
      <c r="G60" s="2" t="s">
        <v>7</v>
      </c>
      <c r="H60" s="12">
        <f>H49+H51+H55+H56</f>
        <v>1802.2810607219928</v>
      </c>
      <c r="I60" s="2" t="s">
        <v>1</v>
      </c>
      <c r="J60" s="2"/>
    </row>
    <row r="61" spans="1:10" ht="21">
      <c r="A61" s="5"/>
      <c r="B61" s="31" t="s">
        <v>156</v>
      </c>
      <c r="C61" s="2"/>
      <c r="D61" s="2"/>
      <c r="E61" s="2"/>
      <c r="F61" s="2"/>
      <c r="G61" s="2" t="s">
        <v>7</v>
      </c>
      <c r="H61" s="12">
        <f>H60/(H23/E20)*100</f>
        <v>12.873436148014234</v>
      </c>
      <c r="I61" s="2" t="s">
        <v>32</v>
      </c>
      <c r="J61" s="2"/>
    </row>
    <row r="62" spans="1:10" ht="21">
      <c r="A62" s="5"/>
      <c r="B62" s="2"/>
      <c r="C62" s="2"/>
      <c r="D62" s="2"/>
      <c r="E62" s="2"/>
      <c r="F62" s="2"/>
      <c r="G62" s="2"/>
      <c r="H62" s="2"/>
      <c r="I62" s="2"/>
      <c r="J62" s="2"/>
    </row>
    <row r="63" spans="1:10" ht="21">
      <c r="A63" s="10" t="s">
        <v>43</v>
      </c>
      <c r="B63" s="2"/>
      <c r="C63" s="2"/>
      <c r="D63" s="2"/>
      <c r="E63" s="2"/>
      <c r="F63" s="2"/>
      <c r="G63" s="2"/>
      <c r="H63" s="2"/>
      <c r="I63" s="2"/>
      <c r="J63" s="2"/>
    </row>
    <row r="64" spans="1:11" ht="21">
      <c r="A64" s="5" t="s">
        <v>44</v>
      </c>
      <c r="B64" s="2" t="s">
        <v>94</v>
      </c>
      <c r="C64" s="2" t="s">
        <v>7</v>
      </c>
      <c r="D64" s="2" t="s">
        <v>157</v>
      </c>
      <c r="E64" s="16"/>
      <c r="F64" s="2"/>
      <c r="G64" s="2" t="s">
        <v>7</v>
      </c>
      <c r="H64" s="16">
        <f>MIN(0.7*E21*E20,(1-H59/100)*H23)</f>
        <v>4618.152</v>
      </c>
      <c r="I64" s="2" t="s">
        <v>14</v>
      </c>
      <c r="J64" s="13"/>
      <c r="K64" s="16"/>
    </row>
    <row r="65" spans="1:10" ht="21">
      <c r="A65" s="5"/>
      <c r="B65" s="2" t="s">
        <v>95</v>
      </c>
      <c r="C65" s="2" t="s">
        <v>7</v>
      </c>
      <c r="D65" s="2" t="s">
        <v>158</v>
      </c>
      <c r="E65" s="2"/>
      <c r="F65" s="2"/>
      <c r="G65" s="2" t="s">
        <v>7</v>
      </c>
      <c r="H65" s="12">
        <f>H64/E30-H64*E29/E33+H47*100/E33</f>
        <v>38.82211200000001</v>
      </c>
      <c r="I65" s="2" t="s">
        <v>1</v>
      </c>
      <c r="J65" s="20" t="str">
        <f>IF(H65&gt;H13,"OK","NOT OK")</f>
        <v>OK</v>
      </c>
    </row>
    <row r="66" spans="1:10" ht="21">
      <c r="A66" s="5"/>
      <c r="B66" s="2" t="s">
        <v>96</v>
      </c>
      <c r="C66" s="2" t="s">
        <v>7</v>
      </c>
      <c r="D66" s="2" t="s">
        <v>138</v>
      </c>
      <c r="E66" s="2"/>
      <c r="F66" s="2"/>
      <c r="G66" s="2" t="s">
        <v>7</v>
      </c>
      <c r="H66" s="12">
        <f>H64/E30+H64*E29/E33-H47*100/E33</f>
        <v>13.95676799999999</v>
      </c>
      <c r="I66" s="2" t="s">
        <v>1</v>
      </c>
      <c r="J66" s="20" t="str">
        <f>IF(H66&lt;H12,"OK","NOT OK")</f>
        <v>OK</v>
      </c>
    </row>
    <row r="67" spans="1:10" ht="21">
      <c r="A67" s="5" t="s">
        <v>67</v>
      </c>
      <c r="B67" s="2" t="s">
        <v>97</v>
      </c>
      <c r="C67" s="2" t="s">
        <v>7</v>
      </c>
      <c r="D67" s="2" t="s">
        <v>159</v>
      </c>
      <c r="F67" s="2"/>
      <c r="G67" s="2" t="s">
        <v>7</v>
      </c>
      <c r="H67" s="11">
        <f>(1-H61/100)*H23</f>
        <v>4598.442458356294</v>
      </c>
      <c r="I67" s="2" t="s">
        <v>14</v>
      </c>
      <c r="J67" s="13"/>
    </row>
    <row r="68" spans="1:10" ht="21">
      <c r="A68" s="5"/>
      <c r="B68" s="2" t="s">
        <v>95</v>
      </c>
      <c r="C68" s="2" t="s">
        <v>7</v>
      </c>
      <c r="D68" s="2" t="s">
        <v>160</v>
      </c>
      <c r="E68" s="2"/>
      <c r="F68" s="2"/>
      <c r="G68" s="2" t="s">
        <v>7</v>
      </c>
      <c r="H68" s="12">
        <f>H67/E30-H67*E29/E33+H47*100/E33</f>
        <v>38.84463719044996</v>
      </c>
      <c r="I68" s="2" t="s">
        <v>1</v>
      </c>
      <c r="J68" s="20" t="str">
        <f>IF(H68&lt;H14,"OK","NOT OK")</f>
        <v>OK</v>
      </c>
    </row>
    <row r="69" spans="1:11" ht="21">
      <c r="A69" s="5"/>
      <c r="B69" s="2" t="s">
        <v>96</v>
      </c>
      <c r="C69" s="2" t="s">
        <v>7</v>
      </c>
      <c r="D69" s="2" t="s">
        <v>161</v>
      </c>
      <c r="E69" s="2"/>
      <c r="F69" s="2"/>
      <c r="G69" s="2" t="s">
        <v>7</v>
      </c>
      <c r="H69" s="12">
        <f>H67/E30+H67*E29/E33-H47*100/E33</f>
        <v>13.708990905050548</v>
      </c>
      <c r="I69" s="2" t="s">
        <v>1</v>
      </c>
      <c r="J69" s="20" t="str">
        <f>IF(H69&gt;H15,"OK","NOT OK")</f>
        <v>OK</v>
      </c>
      <c r="K69" s="19"/>
    </row>
    <row r="70" spans="1:11" ht="21">
      <c r="A70" s="5" t="s">
        <v>68</v>
      </c>
      <c r="B70" s="2" t="s">
        <v>97</v>
      </c>
      <c r="C70" s="2" t="s">
        <v>7</v>
      </c>
      <c r="D70" s="11"/>
      <c r="E70" s="11">
        <f>(1-H61/100)*H23</f>
        <v>4598.442458356294</v>
      </c>
      <c r="F70" s="2" t="s">
        <v>14</v>
      </c>
      <c r="G70" s="2"/>
      <c r="J70" s="24"/>
      <c r="K70" s="19"/>
    </row>
    <row r="71" spans="1:11" ht="23.25">
      <c r="A71" s="5" t="s">
        <v>70</v>
      </c>
      <c r="B71" s="2" t="s">
        <v>71</v>
      </c>
      <c r="C71" s="2" t="s">
        <v>7</v>
      </c>
      <c r="D71" s="11"/>
      <c r="E71" s="11">
        <f>1/12*E27*(E28+E5)^3</f>
        <v>2916.6666666666665</v>
      </c>
      <c r="F71" s="2" t="s">
        <v>120</v>
      </c>
      <c r="G71" s="2"/>
      <c r="J71" s="24"/>
      <c r="K71" s="19"/>
    </row>
    <row r="72" spans="1:11" ht="21">
      <c r="A72" s="5"/>
      <c r="B72" s="2" t="s">
        <v>112</v>
      </c>
      <c r="C72" s="2" t="s">
        <v>7</v>
      </c>
      <c r="D72" s="11"/>
      <c r="E72" s="11">
        <f>0.5*(E28+E5)</f>
        <v>5</v>
      </c>
      <c r="F72" s="2" t="s">
        <v>55</v>
      </c>
      <c r="G72" s="2"/>
      <c r="J72" s="24"/>
      <c r="K72" s="19"/>
    </row>
    <row r="73" spans="1:11" ht="21">
      <c r="A73" s="5"/>
      <c r="B73" s="2" t="s">
        <v>151</v>
      </c>
      <c r="C73" s="2" t="s">
        <v>7</v>
      </c>
      <c r="D73" s="11"/>
      <c r="E73" s="11">
        <f>E4*E27/100</f>
        <v>70</v>
      </c>
      <c r="F73" s="2" t="s">
        <v>25</v>
      </c>
      <c r="G73" s="2"/>
      <c r="J73" s="24"/>
      <c r="K73" s="19"/>
    </row>
    <row r="74" spans="1:11" ht="23.25">
      <c r="A74" s="5"/>
      <c r="B74" s="2" t="s">
        <v>113</v>
      </c>
      <c r="C74" s="2" t="s">
        <v>7</v>
      </c>
      <c r="D74" s="2" t="s">
        <v>152</v>
      </c>
      <c r="G74" s="2" t="s">
        <v>7</v>
      </c>
      <c r="H74" s="11">
        <f>1/8*E73*E26^2</f>
        <v>107.1875</v>
      </c>
      <c r="I74" s="2" t="s">
        <v>47</v>
      </c>
      <c r="J74" s="24"/>
      <c r="K74" s="19"/>
    </row>
    <row r="75" spans="1:11" ht="21">
      <c r="A75" s="5" t="s">
        <v>69</v>
      </c>
      <c r="B75" s="2" t="s">
        <v>95</v>
      </c>
      <c r="C75" s="2" t="s">
        <v>7</v>
      </c>
      <c r="D75" s="2" t="s">
        <v>162</v>
      </c>
      <c r="E75" s="2"/>
      <c r="F75" s="2"/>
      <c r="G75" s="2" t="s">
        <v>7</v>
      </c>
      <c r="H75" s="12">
        <f>H68+(H53+H74)*100*(E72-E5)/E71</f>
        <v>38.84463719044996</v>
      </c>
      <c r="I75" s="2" t="s">
        <v>1</v>
      </c>
      <c r="J75" s="20" t="str">
        <f>IF(H75&lt;H14,"OK","NOT OK")</f>
        <v>OK</v>
      </c>
      <c r="K75" s="19"/>
    </row>
    <row r="76" spans="1:11" ht="21">
      <c r="A76" s="5"/>
      <c r="B76" s="2" t="s">
        <v>96</v>
      </c>
      <c r="C76" s="2" t="s">
        <v>7</v>
      </c>
      <c r="D76" s="2" t="s">
        <v>163</v>
      </c>
      <c r="E76" s="2"/>
      <c r="F76" s="2"/>
      <c r="G76" s="2" t="s">
        <v>7</v>
      </c>
      <c r="H76" s="12">
        <f>H69-(H53+H74)*100*E72/E71</f>
        <v>-15.691009094949454</v>
      </c>
      <c r="I76" s="2" t="s">
        <v>1</v>
      </c>
      <c r="J76" s="20" t="str">
        <f>IF(H76&gt;H15,"OK","NOT OK")</f>
        <v>OK</v>
      </c>
      <c r="K76" s="19"/>
    </row>
    <row r="77" spans="1:11" ht="21">
      <c r="A77" s="5" t="s">
        <v>72</v>
      </c>
      <c r="B77" s="2" t="s">
        <v>95</v>
      </c>
      <c r="C77" s="2" t="s">
        <v>7</v>
      </c>
      <c r="D77" s="2" t="s">
        <v>164</v>
      </c>
      <c r="E77" s="2"/>
      <c r="F77" s="2"/>
      <c r="G77" s="2" t="s">
        <v>7</v>
      </c>
      <c r="H77" s="12">
        <f>(H53+H74)*100*E72/E71</f>
        <v>29.400000000000002</v>
      </c>
      <c r="I77" s="2" t="s">
        <v>1</v>
      </c>
      <c r="J77" s="20" t="str">
        <f>IF(H77&lt;0.45*E6,"OK","NOT OK")</f>
        <v>OK</v>
      </c>
      <c r="K77" s="19"/>
    </row>
    <row r="78" spans="1:11" ht="21">
      <c r="A78" s="5"/>
      <c r="B78" s="2" t="s">
        <v>96</v>
      </c>
      <c r="C78" s="2" t="s">
        <v>7</v>
      </c>
      <c r="D78" s="2" t="s">
        <v>164</v>
      </c>
      <c r="E78" s="2"/>
      <c r="F78" s="2"/>
      <c r="G78" s="2" t="s">
        <v>7</v>
      </c>
      <c r="H78" s="12">
        <f>(H53+H74)*100*(E72-E5)/E71</f>
        <v>0</v>
      </c>
      <c r="I78" s="2" t="s">
        <v>1</v>
      </c>
      <c r="J78" s="20" t="str">
        <f>IF(H78&gt;-1.6*E6^0.5,"OK","NOT OK")</f>
        <v>OK</v>
      </c>
      <c r="K78" s="19"/>
    </row>
    <row r="79" spans="1:10" ht="21">
      <c r="A79" s="5"/>
      <c r="B79" s="2"/>
      <c r="C79" s="2"/>
      <c r="D79" s="2"/>
      <c r="E79" s="2"/>
      <c r="F79" s="2"/>
      <c r="G79" s="2"/>
      <c r="H79" s="2"/>
      <c r="I79" s="2"/>
      <c r="J79" s="13"/>
    </row>
    <row r="80" spans="1:10" ht="21">
      <c r="A80" s="10" t="s">
        <v>74</v>
      </c>
      <c r="B80" s="1" t="s">
        <v>114</v>
      </c>
      <c r="C80" s="1" t="s">
        <v>7</v>
      </c>
      <c r="D80" s="1" t="s">
        <v>144</v>
      </c>
      <c r="G80" s="1" t="s">
        <v>7</v>
      </c>
      <c r="H80" s="21">
        <f>1.4*(H47+H53)+1.7*H74</f>
        <v>362.29375</v>
      </c>
      <c r="I80" s="1" t="s">
        <v>47</v>
      </c>
      <c r="J80" s="13"/>
    </row>
    <row r="81" spans="1:10" ht="21">
      <c r="A81" s="5"/>
      <c r="B81" s="2" t="s">
        <v>115</v>
      </c>
      <c r="C81" s="2" t="s">
        <v>7</v>
      </c>
      <c r="E81" s="2">
        <f>IF(E22/E21&lt;0.9,0.4,0.28)</f>
        <v>0.4</v>
      </c>
      <c r="F81" s="2"/>
      <c r="G81" s="2"/>
      <c r="H81" s="2"/>
      <c r="I81" s="2"/>
      <c r="J81" s="13"/>
    </row>
    <row r="82" spans="1:10" ht="21">
      <c r="A82" s="5"/>
      <c r="B82" s="31" t="s">
        <v>122</v>
      </c>
      <c r="C82" s="2" t="s">
        <v>7</v>
      </c>
      <c r="E82" s="2">
        <f>IF(E6&lt;=300,0.85,0.85-0.0008*(E6-300))</f>
        <v>0.85</v>
      </c>
      <c r="F82" s="2"/>
      <c r="G82" s="2"/>
      <c r="H82" s="8"/>
      <c r="I82" s="2"/>
      <c r="J82" s="13"/>
    </row>
    <row r="83" spans="1:10" ht="21">
      <c r="A83" s="5"/>
      <c r="B83" s="31" t="s">
        <v>115</v>
      </c>
      <c r="C83" s="2" t="s">
        <v>7</v>
      </c>
      <c r="D83" s="1" t="s">
        <v>121</v>
      </c>
      <c r="G83" s="2" t="s">
        <v>7</v>
      </c>
      <c r="H83" s="2">
        <f>E20/E27/(E5+E28/2+E29)</f>
        <v>0.0012672</v>
      </c>
      <c r="I83" s="2"/>
      <c r="J83" s="13"/>
    </row>
    <row r="84" spans="1:10" ht="21">
      <c r="A84" s="5"/>
      <c r="B84" s="2" t="s">
        <v>116</v>
      </c>
      <c r="C84" s="2" t="s">
        <v>7</v>
      </c>
      <c r="D84" s="1" t="s">
        <v>145</v>
      </c>
      <c r="G84" s="2" t="s">
        <v>7</v>
      </c>
      <c r="H84" s="11">
        <f>E21*(1-E81/E82*(H83*E21/E6))</f>
        <v>16630.35294117647</v>
      </c>
      <c r="I84" s="2" t="s">
        <v>1</v>
      </c>
      <c r="J84" s="13"/>
    </row>
    <row r="85" spans="1:10" ht="21">
      <c r="A85" s="5"/>
      <c r="B85" s="31" t="s">
        <v>117</v>
      </c>
      <c r="C85" s="2" t="s">
        <v>7</v>
      </c>
      <c r="D85" s="31" t="s">
        <v>146</v>
      </c>
      <c r="G85" s="2" t="s">
        <v>7</v>
      </c>
      <c r="H85" s="11">
        <f>0.9*E20*H84*((E5+E28/2+E29)-E20*H84/2/0.85/E6/E27)/100</f>
        <v>451.3053271430461</v>
      </c>
      <c r="I85" s="2" t="s">
        <v>47</v>
      </c>
      <c r="J85" s="20" t="str">
        <f>IF(H85&gt;=H80,"OK","NOT OK")</f>
        <v>OK</v>
      </c>
    </row>
    <row r="86" spans="1:10" ht="21">
      <c r="A86" s="5"/>
      <c r="B86" s="2"/>
      <c r="C86" s="2"/>
      <c r="D86" s="11"/>
      <c r="E86" s="2"/>
      <c r="F86" s="2"/>
      <c r="G86" s="2"/>
      <c r="H86" s="2"/>
      <c r="I86" s="2"/>
      <c r="J86" s="2"/>
    </row>
    <row r="87" spans="1:10" ht="21">
      <c r="A87" s="10" t="s">
        <v>76</v>
      </c>
      <c r="B87" s="2" t="s">
        <v>118</v>
      </c>
      <c r="C87" s="2" t="s">
        <v>7</v>
      </c>
      <c r="D87" s="1" t="s">
        <v>153</v>
      </c>
      <c r="E87" s="2"/>
      <c r="F87" s="2"/>
      <c r="G87" s="1" t="s">
        <v>7</v>
      </c>
      <c r="H87" s="21">
        <f>1.4*(E34+E52)*E26/2+1.7*E73*E26/2</f>
        <v>414.04999999999995</v>
      </c>
      <c r="I87" s="1" t="s">
        <v>14</v>
      </c>
      <c r="J87" s="2"/>
    </row>
    <row r="88" spans="1:10" ht="23.25">
      <c r="A88" s="5"/>
      <c r="B88" s="31" t="s">
        <v>194</v>
      </c>
      <c r="C88" s="2" t="s">
        <v>7</v>
      </c>
      <c r="D88" s="31" t="s">
        <v>193</v>
      </c>
      <c r="E88" s="2"/>
      <c r="F88" s="2"/>
      <c r="G88" s="2" t="s">
        <v>7</v>
      </c>
      <c r="H88" s="17">
        <f>0.85*0.53*E6^0.5*E27*(E5+E28/2+E29)</f>
        <v>1942.1886541871067</v>
      </c>
      <c r="I88" s="2" t="s">
        <v>14</v>
      </c>
      <c r="J88" s="20" t="str">
        <f>IF(H88&gt;=H87,"OK","NOT OK")</f>
        <v>OK</v>
      </c>
    </row>
    <row r="89" spans="1:10" ht="21">
      <c r="A89" s="5"/>
      <c r="B89" s="2"/>
      <c r="C89" s="2"/>
      <c r="D89" s="2"/>
      <c r="E89" s="2"/>
      <c r="F89" s="2"/>
      <c r="G89" s="2"/>
      <c r="H89" s="2"/>
      <c r="I89" s="2"/>
      <c r="J89" s="2"/>
    </row>
    <row r="90" spans="1:10" ht="21">
      <c r="A90" s="10" t="s">
        <v>222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21">
      <c r="A91" s="5" t="s">
        <v>44</v>
      </c>
      <c r="B91" s="2" t="s">
        <v>119</v>
      </c>
      <c r="C91" s="2" t="s">
        <v>7</v>
      </c>
      <c r="D91" s="2"/>
      <c r="E91" s="16">
        <f>15200*E10^0.5</f>
        <v>240333.10217279682</v>
      </c>
      <c r="F91" s="2" t="s">
        <v>1</v>
      </c>
      <c r="G91" s="2"/>
      <c r="H91" s="2"/>
      <c r="I91" s="2"/>
      <c r="J91" s="2"/>
    </row>
    <row r="92" spans="1:10" ht="23.25">
      <c r="A92" s="5"/>
      <c r="B92" s="31" t="s">
        <v>127</v>
      </c>
      <c r="C92" s="2" t="s">
        <v>7</v>
      </c>
      <c r="D92" s="2" t="s">
        <v>124</v>
      </c>
      <c r="E92" s="2"/>
      <c r="F92" s="2"/>
      <c r="G92" s="2" t="s">
        <v>7</v>
      </c>
      <c r="H92" s="12">
        <f>-2*$H$64*$E$29*($E$26*100)^2/16/$E$91/$E$31+5*$E$34/100*($E$26*100)^4/384/$E$91/$E$31</f>
        <v>0.12953424109516498</v>
      </c>
      <c r="I92" s="2" t="s">
        <v>55</v>
      </c>
      <c r="J92" s="20" t="str">
        <f>IF(ABS(H92)&lt;=E26*100/360,"OK","NOT OK")</f>
        <v>OK</v>
      </c>
    </row>
    <row r="93" spans="1:10" ht="21">
      <c r="A93" s="5" t="s">
        <v>68</v>
      </c>
      <c r="B93" s="2" t="s">
        <v>126</v>
      </c>
      <c r="C93" s="2" t="s">
        <v>7</v>
      </c>
      <c r="D93" s="2"/>
      <c r="E93" s="16">
        <f>15200*E9^0.5</f>
        <v>284365.96139481955</v>
      </c>
      <c r="F93" s="2" t="s">
        <v>1</v>
      </c>
      <c r="G93" s="2"/>
      <c r="H93" s="2"/>
      <c r="I93" s="2"/>
      <c r="J93" s="2"/>
    </row>
    <row r="94" spans="1:10" ht="23.25">
      <c r="A94" s="5"/>
      <c r="B94" s="31" t="s">
        <v>128</v>
      </c>
      <c r="C94" s="2" t="s">
        <v>7</v>
      </c>
      <c r="D94" s="31" t="s">
        <v>129</v>
      </c>
      <c r="E94" s="2"/>
      <c r="F94" s="2"/>
      <c r="G94" s="2" t="s">
        <v>7</v>
      </c>
      <c r="H94" s="12">
        <f>H92+5*(E52+E73)/100*(E26*100)^4/384/E93/E71</f>
        <v>0.3933887813220281</v>
      </c>
      <c r="I94" s="2" t="s">
        <v>55</v>
      </c>
      <c r="J94" s="20" t="str">
        <f>IF(ABS($H$94)&lt;=$E$26*100/360,"OK","NOT OK")</f>
        <v>OK</v>
      </c>
    </row>
    <row r="95" spans="1:10" ht="21">
      <c r="A95" s="5"/>
      <c r="B95" s="31"/>
      <c r="C95" s="2"/>
      <c r="D95" s="31"/>
      <c r="E95" s="2"/>
      <c r="F95" s="2"/>
      <c r="G95" s="2"/>
      <c r="H95" s="12"/>
      <c r="I95" s="2"/>
      <c r="J95" s="20"/>
    </row>
    <row r="96" spans="1:10" ht="21">
      <c r="A96" s="10" t="s">
        <v>223</v>
      </c>
      <c r="B96" s="2"/>
      <c r="C96" s="2"/>
      <c r="D96" s="2"/>
      <c r="E96" s="2"/>
      <c r="F96" s="2"/>
      <c r="G96" s="2"/>
      <c r="H96" s="2"/>
      <c r="I96" s="2"/>
      <c r="J96" s="2"/>
    </row>
    <row r="97" spans="1:10" ht="21">
      <c r="A97" s="10" t="s">
        <v>239</v>
      </c>
      <c r="B97" s="2"/>
      <c r="C97" s="2"/>
      <c r="D97" s="2"/>
      <c r="E97" s="2"/>
      <c r="F97" s="2"/>
      <c r="G97" s="2"/>
      <c r="H97" s="2"/>
      <c r="I97" s="2"/>
      <c r="J97" s="2"/>
    </row>
    <row r="98" spans="1:10" ht="23.25">
      <c r="A98" s="5" t="s">
        <v>232</v>
      </c>
      <c r="B98" s="31" t="s">
        <v>224</v>
      </c>
      <c r="C98" s="2" t="s">
        <v>7</v>
      </c>
      <c r="D98" s="2" t="s">
        <v>240</v>
      </c>
      <c r="E98" s="2"/>
      <c r="F98" s="2"/>
      <c r="G98" s="2" t="s">
        <v>7</v>
      </c>
      <c r="H98" s="12">
        <f>1.85*5*$E$34/100*($E$26*100)^4/384/$E$91/$E$31</f>
        <v>1.7326928073378602</v>
      </c>
      <c r="I98" s="2" t="s">
        <v>55</v>
      </c>
      <c r="J98" s="2"/>
    </row>
    <row r="99" spans="1:10" ht="23.25">
      <c r="A99" s="5" t="s">
        <v>233</v>
      </c>
      <c r="B99" s="31" t="s">
        <v>226</v>
      </c>
      <c r="C99" s="2" t="s">
        <v>7</v>
      </c>
      <c r="D99" s="2" t="s">
        <v>241</v>
      </c>
      <c r="E99" s="2"/>
      <c r="F99" s="2"/>
      <c r="G99" s="2" t="s">
        <v>7</v>
      </c>
      <c r="H99" s="12">
        <f>-1.8*2*$H$64*$E$29*($E$26*100)^2/16/$E$91/$E$31</f>
        <v>-1.4527016380331068</v>
      </c>
      <c r="I99" s="2" t="s">
        <v>55</v>
      </c>
      <c r="J99" s="2"/>
    </row>
    <row r="100" spans="1:10" ht="23.25">
      <c r="A100" s="5" t="s">
        <v>235</v>
      </c>
      <c r="B100" s="31" t="s">
        <v>230</v>
      </c>
      <c r="C100" s="2" t="s">
        <v>7</v>
      </c>
      <c r="D100" s="2" t="s">
        <v>244</v>
      </c>
      <c r="E100" s="2"/>
      <c r="F100" s="2"/>
      <c r="G100" s="2" t="s">
        <v>7</v>
      </c>
      <c r="H100" s="12">
        <f>5*$E$52/100*($E$26*100)^4/384/$E$91/$E$31</f>
        <v>0.9365907066691134</v>
      </c>
      <c r="I100" s="2" t="s">
        <v>55</v>
      </c>
      <c r="J100" s="2"/>
    </row>
    <row r="101" spans="1:10" ht="21">
      <c r="A101" s="5" t="s">
        <v>238</v>
      </c>
      <c r="B101" s="31" t="s">
        <v>242</v>
      </c>
      <c r="C101" s="2" t="s">
        <v>7</v>
      </c>
      <c r="D101" s="12"/>
      <c r="E101" s="12">
        <f>SUM(H98:H100)</f>
        <v>1.216581875973867</v>
      </c>
      <c r="F101" s="2" t="s">
        <v>55</v>
      </c>
      <c r="G101" s="2"/>
      <c r="H101" s="2"/>
      <c r="I101" s="2"/>
      <c r="J101" s="2"/>
    </row>
    <row r="102" spans="1:10" ht="21">
      <c r="A102" s="10" t="s">
        <v>237</v>
      </c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23.25">
      <c r="A103" s="5" t="s">
        <v>232</v>
      </c>
      <c r="B103" s="31" t="s">
        <v>224</v>
      </c>
      <c r="C103" s="2" t="s">
        <v>7</v>
      </c>
      <c r="D103" s="2" t="s">
        <v>225</v>
      </c>
      <c r="E103" s="2"/>
      <c r="F103" s="2"/>
      <c r="G103" s="2" t="s">
        <v>7</v>
      </c>
      <c r="H103" s="12">
        <f>2.4*5*$E$34/100*($E$26*100)^4/384/$E$91/$E$31</f>
        <v>2.2478176960058724</v>
      </c>
      <c r="I103" s="2" t="s">
        <v>55</v>
      </c>
      <c r="J103" s="2"/>
    </row>
    <row r="104" spans="1:10" ht="23.25">
      <c r="A104" s="5" t="s">
        <v>233</v>
      </c>
      <c r="B104" s="31" t="s">
        <v>226</v>
      </c>
      <c r="C104" s="2" t="s">
        <v>7</v>
      </c>
      <c r="D104" s="2" t="s">
        <v>227</v>
      </c>
      <c r="E104" s="2"/>
      <c r="F104" s="2"/>
      <c r="G104" s="2" t="s">
        <v>7</v>
      </c>
      <c r="H104" s="12">
        <f>-2.2*2*$H$64*$E$29*($E$26*100)^2/16/$E$91/$E$31</f>
        <v>-1.7755242242626865</v>
      </c>
      <c r="I104" s="2" t="s">
        <v>55</v>
      </c>
      <c r="J104" s="2"/>
    </row>
    <row r="105" spans="1:10" ht="23.25">
      <c r="A105" s="5" t="s">
        <v>234</v>
      </c>
      <c r="B105" s="31" t="s">
        <v>228</v>
      </c>
      <c r="C105" s="2" t="s">
        <v>7</v>
      </c>
      <c r="D105" s="2" t="s">
        <v>229</v>
      </c>
      <c r="E105" s="2"/>
      <c r="F105" s="2"/>
      <c r="G105" s="2" t="s">
        <v>7</v>
      </c>
      <c r="H105" s="2">
        <v>0</v>
      </c>
      <c r="I105" s="2" t="s">
        <v>55</v>
      </c>
      <c r="J105" s="2"/>
    </row>
    <row r="106" spans="1:10" ht="23.25">
      <c r="A106" s="5" t="s">
        <v>235</v>
      </c>
      <c r="B106" s="31" t="s">
        <v>230</v>
      </c>
      <c r="C106" s="2" t="s">
        <v>7</v>
      </c>
      <c r="D106" s="2" t="s">
        <v>231</v>
      </c>
      <c r="E106" s="2"/>
      <c r="F106" s="2"/>
      <c r="G106" s="2" t="s">
        <v>7</v>
      </c>
      <c r="H106" s="12">
        <f>2.3*5*$E$52/100*($E$26*100)^4/384/$E$91/$E$31</f>
        <v>2.154158625338961</v>
      </c>
      <c r="I106" s="2" t="s">
        <v>55</v>
      </c>
      <c r="J106" s="2"/>
    </row>
    <row r="107" spans="1:10" ht="23.25">
      <c r="A107" s="5" t="s">
        <v>245</v>
      </c>
      <c r="B107" s="31" t="s">
        <v>246</v>
      </c>
      <c r="C107" s="2" t="s">
        <v>7</v>
      </c>
      <c r="D107" s="2" t="s">
        <v>247</v>
      </c>
      <c r="E107" s="2"/>
      <c r="F107" s="2"/>
      <c r="G107" s="2" t="s">
        <v>7</v>
      </c>
      <c r="H107" s="12">
        <f>5*$E$73/100*($E$26*100)^4/384/$E$91/$E$32</f>
        <v>0.19512306388939862</v>
      </c>
      <c r="I107" s="2" t="s">
        <v>55</v>
      </c>
      <c r="J107" s="2"/>
    </row>
    <row r="108" spans="1:10" ht="21">
      <c r="A108" s="5" t="s">
        <v>236</v>
      </c>
      <c r="B108" s="31" t="s">
        <v>243</v>
      </c>
      <c r="C108" s="2" t="s">
        <v>7</v>
      </c>
      <c r="D108" s="31"/>
      <c r="E108" s="12">
        <f>SUM(H103:H107)</f>
        <v>2.8215751609715456</v>
      </c>
      <c r="F108" s="2" t="s">
        <v>55</v>
      </c>
      <c r="G108" s="2"/>
      <c r="H108" s="2"/>
      <c r="I108" s="2"/>
      <c r="J108" s="2"/>
    </row>
    <row r="109" spans="1:10" ht="21">
      <c r="A109" s="5"/>
      <c r="B109" s="31" t="s">
        <v>249</v>
      </c>
      <c r="C109" s="2" t="s">
        <v>7</v>
      </c>
      <c r="D109" s="31" t="s">
        <v>250</v>
      </c>
      <c r="E109" s="2"/>
      <c r="F109" s="2"/>
      <c r="G109" s="2" t="s">
        <v>7</v>
      </c>
      <c r="H109" s="12">
        <f>E108-E101</f>
        <v>1.6049932849976787</v>
      </c>
      <c r="I109" s="2" t="s">
        <v>55</v>
      </c>
      <c r="J109" s="20" t="str">
        <f>IF(ABS($H$109)&lt;=$E$26*100/180,"OK","NOT OK")</f>
        <v>OK</v>
      </c>
    </row>
    <row r="110" spans="1:10" ht="21">
      <c r="A110" s="5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21">
      <c r="A111" s="5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21">
      <c r="A112" s="5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21">
      <c r="A113" s="5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21">
      <c r="A114" s="5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21">
      <c r="A115" s="5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21">
      <c r="A116" s="5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21">
      <c r="A117" s="5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21">
      <c r="A118" s="5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21">
      <c r="A119" s="5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21">
      <c r="A120" s="5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21">
      <c r="A121" s="5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21">
      <c r="A122" s="5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21">
      <c r="A123" s="5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21">
      <c r="A124" s="5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21">
      <c r="A125" s="5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21">
      <c r="A126" s="5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21">
      <c r="A127" s="5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21">
      <c r="A128" s="5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21">
      <c r="A129" s="5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">
      <c r="A130" s="5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">
      <c r="A131" s="5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">
      <c r="A132" s="5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">
      <c r="A133" s="5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2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2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2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2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2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2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2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2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2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2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2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2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2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2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2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2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2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2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2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2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2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2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2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2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2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2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2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2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2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2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2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2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2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2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2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2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2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2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2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2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2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2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2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2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2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2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2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2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2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2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2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2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2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2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2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2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2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2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2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2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2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2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2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2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2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2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2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2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2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2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2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2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2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2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2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2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2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2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2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2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2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2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2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2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2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2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2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2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2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2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2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2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2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2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2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2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2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2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2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2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2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2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2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2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2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2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2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2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2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2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2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2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2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2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2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2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2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2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2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2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2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2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2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2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2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2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2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2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2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2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2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2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2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2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2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2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2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2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2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2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2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2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2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2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2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2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2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2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2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2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2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2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2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2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2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2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2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2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2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2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2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2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2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2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2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2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2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2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2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2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2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2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2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2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2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2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2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2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2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2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2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2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2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2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2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2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2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2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2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2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2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2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2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2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2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2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2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2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2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2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2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2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2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2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2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2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2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2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2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2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2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2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2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2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2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2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2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2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2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2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2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2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2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2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2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2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2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2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2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2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2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2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2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2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2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2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2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2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2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2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2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2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2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2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2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2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2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2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2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2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21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21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21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2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2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2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2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2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2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2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2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2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2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2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2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2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2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21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21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2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2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2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2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21">
      <c r="A409" s="2"/>
      <c r="B409" s="2"/>
      <c r="C409" s="2"/>
      <c r="D409" s="2"/>
      <c r="E409" s="2"/>
      <c r="F409" s="2"/>
      <c r="G409" s="2"/>
      <c r="H409" s="2"/>
      <c r="I409" s="2"/>
      <c r="J409" s="2"/>
    </row>
  </sheetData>
  <sheetProtection/>
  <printOptions/>
  <pageMargins left="0.5905511811023623" right="0.15748031496062992" top="0.7874015748031497" bottom="0.3937007874015748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7"/>
  <sheetViews>
    <sheetView tabSelected="1" zoomScalePageLayoutView="0" workbookViewId="0" topLeftCell="A1">
      <selection activeCell="B70" sqref="B70"/>
    </sheetView>
  </sheetViews>
  <sheetFormatPr defaultColWidth="9.140625" defaultRowHeight="12.75"/>
  <cols>
    <col min="1" max="1" width="33.00390625" style="1" customWidth="1"/>
    <col min="2" max="2" width="7.57421875" style="1" customWidth="1"/>
    <col min="3" max="3" width="2.421875" style="1" customWidth="1"/>
    <col min="4" max="4" width="10.7109375" style="1" customWidth="1"/>
    <col min="5" max="5" width="9.7109375" style="1" customWidth="1"/>
    <col min="6" max="6" width="6.140625" style="1" customWidth="1"/>
    <col min="7" max="7" width="2.28125" style="1" customWidth="1"/>
    <col min="8" max="8" width="9.8515625" style="1" customWidth="1"/>
    <col min="9" max="9" width="4.421875" style="1" customWidth="1"/>
    <col min="10" max="10" width="4.140625" style="1" customWidth="1"/>
    <col min="11" max="16384" width="9.140625" style="1" customWidth="1"/>
  </cols>
  <sheetData>
    <row r="1" spans="1:10" ht="26.25">
      <c r="A1" s="34" t="s">
        <v>173</v>
      </c>
      <c r="B1" s="2"/>
      <c r="C1" s="2"/>
      <c r="D1" s="2"/>
      <c r="E1" s="2"/>
      <c r="F1" s="2"/>
      <c r="G1" s="2"/>
      <c r="H1" s="2"/>
      <c r="I1" s="2"/>
      <c r="J1" s="2"/>
    </row>
    <row r="2" spans="1:10" ht="21">
      <c r="A2" s="3"/>
      <c r="B2" s="3"/>
      <c r="C2" s="3"/>
      <c r="D2" s="3"/>
      <c r="E2" s="3"/>
      <c r="F2" s="3"/>
      <c r="G2" s="3"/>
      <c r="H2" s="3"/>
      <c r="I2" s="3"/>
      <c r="J2" s="2"/>
    </row>
    <row r="3" spans="1:10" ht="21">
      <c r="A3" s="10" t="s">
        <v>62</v>
      </c>
      <c r="B3" s="3"/>
      <c r="C3" s="3"/>
      <c r="D3" s="3"/>
      <c r="E3" s="3"/>
      <c r="F3" s="3"/>
      <c r="G3" s="3"/>
      <c r="H3" s="3"/>
      <c r="I3" s="3"/>
      <c r="J3" s="2"/>
    </row>
    <row r="4" spans="1:10" ht="21" customHeight="1">
      <c r="A4" s="5" t="s">
        <v>63</v>
      </c>
      <c r="B4" s="5" t="s">
        <v>151</v>
      </c>
      <c r="C4" s="5" t="s">
        <v>7</v>
      </c>
      <c r="E4" s="37">
        <v>3000</v>
      </c>
      <c r="F4" s="5" t="s">
        <v>25</v>
      </c>
      <c r="G4" s="3"/>
      <c r="H4" s="3"/>
      <c r="I4" s="3"/>
      <c r="J4" s="2"/>
    </row>
    <row r="5" spans="1:10" ht="21" customHeight="1">
      <c r="A5" s="5" t="s">
        <v>174</v>
      </c>
      <c r="B5" s="31" t="s">
        <v>155</v>
      </c>
      <c r="C5" s="5" t="s">
        <v>7</v>
      </c>
      <c r="E5" s="37">
        <v>8</v>
      </c>
      <c r="F5" s="5" t="s">
        <v>32</v>
      </c>
      <c r="G5" s="3"/>
      <c r="H5" s="3"/>
      <c r="I5" s="3"/>
      <c r="J5" s="2"/>
    </row>
    <row r="6" spans="1:10" ht="21" customHeight="1">
      <c r="A6" s="5" t="s">
        <v>175</v>
      </c>
      <c r="B6" s="31" t="s">
        <v>156</v>
      </c>
      <c r="C6" s="5" t="s">
        <v>7</v>
      </c>
      <c r="E6" s="37">
        <v>24</v>
      </c>
      <c r="F6" s="5" t="s">
        <v>32</v>
      </c>
      <c r="G6" s="3"/>
      <c r="H6" s="3"/>
      <c r="I6" s="3"/>
      <c r="J6" s="2"/>
    </row>
    <row r="7" spans="1:10" ht="21">
      <c r="A7" s="5"/>
      <c r="C7" s="5"/>
      <c r="D7" s="3"/>
      <c r="E7" s="18"/>
      <c r="F7" s="5"/>
      <c r="G7" s="3"/>
      <c r="H7" s="3"/>
      <c r="I7" s="3"/>
      <c r="J7" s="2"/>
    </row>
    <row r="8" spans="1:10" ht="21">
      <c r="A8" s="10" t="s">
        <v>8</v>
      </c>
      <c r="B8" s="3"/>
      <c r="C8" s="3"/>
      <c r="D8" s="3"/>
      <c r="E8" s="3"/>
      <c r="F8" s="3"/>
      <c r="G8" s="3"/>
      <c r="H8" s="3"/>
      <c r="I8" s="3"/>
      <c r="J8" s="2"/>
    </row>
    <row r="9" spans="1:10" ht="21">
      <c r="A9" s="5" t="s">
        <v>2</v>
      </c>
      <c r="B9" s="2" t="s">
        <v>80</v>
      </c>
      <c r="C9" s="2" t="s">
        <v>7</v>
      </c>
      <c r="E9" s="25">
        <v>500</v>
      </c>
      <c r="F9" s="2" t="s">
        <v>1</v>
      </c>
      <c r="G9" s="2"/>
      <c r="H9" s="2"/>
      <c r="I9" s="2"/>
      <c r="J9" s="2"/>
    </row>
    <row r="10" spans="1:10" ht="21">
      <c r="A10" s="5" t="s">
        <v>3</v>
      </c>
      <c r="B10" s="2" t="s">
        <v>81</v>
      </c>
      <c r="C10" s="2" t="s">
        <v>7</v>
      </c>
      <c r="E10" s="25">
        <v>350</v>
      </c>
      <c r="F10" s="2" t="s">
        <v>1</v>
      </c>
      <c r="G10" s="2"/>
      <c r="H10" s="2"/>
      <c r="I10" s="2"/>
      <c r="J10" s="2"/>
    </row>
    <row r="11" spans="1:10" ht="21">
      <c r="A11" s="5"/>
      <c r="B11" s="2"/>
      <c r="C11" s="2"/>
      <c r="D11" s="2"/>
      <c r="E11" s="2"/>
      <c r="F11" s="2"/>
      <c r="G11" s="2"/>
      <c r="H11" s="2"/>
      <c r="I11" s="2"/>
      <c r="J11" s="2"/>
    </row>
    <row r="12" spans="1:10" ht="21">
      <c r="A12" s="5" t="s">
        <v>5</v>
      </c>
      <c r="B12" s="2" t="s">
        <v>82</v>
      </c>
      <c r="C12" s="2" t="s">
        <v>7</v>
      </c>
      <c r="D12" s="6" t="s">
        <v>105</v>
      </c>
      <c r="E12" s="6"/>
      <c r="F12" s="2" t="s">
        <v>7</v>
      </c>
      <c r="G12" s="2"/>
      <c r="H12" s="2">
        <f>0.6*E10</f>
        <v>210</v>
      </c>
      <c r="I12" s="2" t="s">
        <v>1</v>
      </c>
      <c r="J12" s="2"/>
    </row>
    <row r="13" spans="1:10" ht="23.25">
      <c r="A13" s="5" t="s">
        <v>6</v>
      </c>
      <c r="B13" s="2" t="s">
        <v>83</v>
      </c>
      <c r="C13" s="2" t="s">
        <v>7</v>
      </c>
      <c r="D13" s="6" t="s">
        <v>123</v>
      </c>
      <c r="E13" s="6"/>
      <c r="F13" s="2" t="s">
        <v>7</v>
      </c>
      <c r="G13" s="2"/>
      <c r="H13" s="8">
        <f>-0.8*E10^0.5</f>
        <v>-14.966629547095767</v>
      </c>
      <c r="I13" s="2" t="s">
        <v>1</v>
      </c>
      <c r="J13" s="2"/>
    </row>
    <row r="14" spans="1:10" ht="21">
      <c r="A14" s="5" t="s">
        <v>4</v>
      </c>
      <c r="B14" s="2" t="s">
        <v>84</v>
      </c>
      <c r="C14" s="2" t="s">
        <v>7</v>
      </c>
      <c r="D14" s="6" t="s">
        <v>106</v>
      </c>
      <c r="E14" s="6"/>
      <c r="F14" s="2" t="s">
        <v>7</v>
      </c>
      <c r="G14" s="2"/>
      <c r="H14" s="8">
        <f>0.45*E9</f>
        <v>225</v>
      </c>
      <c r="I14" s="2" t="s">
        <v>1</v>
      </c>
      <c r="J14" s="2"/>
    </row>
    <row r="15" spans="1:10" ht="23.25">
      <c r="A15" s="5"/>
      <c r="B15" s="2" t="s">
        <v>85</v>
      </c>
      <c r="C15" s="2" t="s">
        <v>7</v>
      </c>
      <c r="D15" s="6" t="s">
        <v>107</v>
      </c>
      <c r="E15" s="6"/>
      <c r="F15" s="2" t="s">
        <v>7</v>
      </c>
      <c r="G15" s="2"/>
      <c r="H15" s="8">
        <f>-1.6*E9^0.5</f>
        <v>-35.77708763999664</v>
      </c>
      <c r="I15" s="2" t="s">
        <v>1</v>
      </c>
      <c r="J15" s="2"/>
    </row>
    <row r="16" spans="1:10" ht="21">
      <c r="A16" s="5"/>
      <c r="B16" s="2"/>
      <c r="C16" s="2"/>
      <c r="D16" s="2"/>
      <c r="E16" s="2"/>
      <c r="F16" s="2"/>
      <c r="G16" s="2"/>
      <c r="H16" s="2"/>
      <c r="I16" s="2"/>
      <c r="J16" s="2"/>
    </row>
    <row r="17" spans="1:10" ht="21">
      <c r="A17" s="10" t="s">
        <v>9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21">
      <c r="A18" s="5" t="s">
        <v>10</v>
      </c>
      <c r="B18" s="2"/>
      <c r="C18" s="2" t="s">
        <v>7</v>
      </c>
      <c r="E18" s="25">
        <v>12.7</v>
      </c>
      <c r="F18" s="2" t="s">
        <v>11</v>
      </c>
      <c r="G18" s="2"/>
      <c r="H18" s="2"/>
      <c r="I18" s="2"/>
      <c r="J18" s="2"/>
    </row>
    <row r="19" spans="1:11" ht="21">
      <c r="A19" s="5" t="s">
        <v>17</v>
      </c>
      <c r="B19" s="2" t="s">
        <v>184</v>
      </c>
      <c r="C19" s="2" t="s">
        <v>7</v>
      </c>
      <c r="E19" s="25">
        <v>22</v>
      </c>
      <c r="F19" s="2" t="s">
        <v>18</v>
      </c>
      <c r="G19" s="2"/>
      <c r="H19" s="2"/>
      <c r="I19" s="2"/>
      <c r="J19" s="22"/>
      <c r="K19" s="23"/>
    </row>
    <row r="20" spans="1:11" ht="23.25">
      <c r="A20" s="5" t="s">
        <v>19</v>
      </c>
      <c r="B20" s="2" t="s">
        <v>86</v>
      </c>
      <c r="C20" s="2" t="s">
        <v>7</v>
      </c>
      <c r="E20" s="8">
        <f>3.1416/4*E18^2/100*E19</f>
        <v>27.868976519999997</v>
      </c>
      <c r="F20" s="2" t="s">
        <v>100</v>
      </c>
      <c r="G20" s="2"/>
      <c r="H20" s="2"/>
      <c r="I20" s="2"/>
      <c r="J20" s="22"/>
      <c r="K20" s="23"/>
    </row>
    <row r="21" spans="1:10" ht="21">
      <c r="A21" s="5" t="s">
        <v>12</v>
      </c>
      <c r="B21" s="2" t="s">
        <v>176</v>
      </c>
      <c r="C21" s="2" t="s">
        <v>7</v>
      </c>
      <c r="E21" s="26">
        <v>18730</v>
      </c>
      <c r="F21" s="2" t="s">
        <v>177</v>
      </c>
      <c r="G21" s="2"/>
      <c r="H21" s="2"/>
      <c r="I21" s="2"/>
      <c r="J21" s="2"/>
    </row>
    <row r="22" spans="1:10" ht="21">
      <c r="A22" s="5" t="s">
        <v>13</v>
      </c>
      <c r="B22" s="2" t="s">
        <v>178</v>
      </c>
      <c r="C22" s="2" t="s">
        <v>7</v>
      </c>
      <c r="E22" s="26">
        <v>16857</v>
      </c>
      <c r="F22" s="2" t="s">
        <v>177</v>
      </c>
      <c r="G22" s="2"/>
      <c r="H22" s="2"/>
      <c r="I22" s="2"/>
      <c r="J22" s="2"/>
    </row>
    <row r="23" spans="1:10" ht="21">
      <c r="A23" s="5" t="s">
        <v>41</v>
      </c>
      <c r="B23" s="2" t="s">
        <v>89</v>
      </c>
      <c r="C23" s="2" t="s">
        <v>7</v>
      </c>
      <c r="D23" s="6" t="s">
        <v>185</v>
      </c>
      <c r="E23" s="11"/>
      <c r="F23" s="2"/>
      <c r="G23" s="2" t="s">
        <v>7</v>
      </c>
      <c r="H23" s="11">
        <f>MIN(0.8*E21,0.94*E22)*E19</f>
        <v>329648</v>
      </c>
      <c r="I23" s="2" t="s">
        <v>14</v>
      </c>
      <c r="J23" s="2"/>
    </row>
    <row r="24" spans="1:10" ht="21">
      <c r="A24" s="5"/>
      <c r="B24" s="2"/>
      <c r="C24" s="2"/>
      <c r="D24" s="2"/>
      <c r="E24" s="2"/>
      <c r="F24" s="2"/>
      <c r="G24" s="2"/>
      <c r="H24" s="2"/>
      <c r="I24" s="2"/>
      <c r="J24" s="2"/>
    </row>
    <row r="25" spans="1:10" ht="21">
      <c r="A25" s="10" t="s">
        <v>51</v>
      </c>
      <c r="C25" s="2"/>
      <c r="D25" s="2"/>
      <c r="E25" s="2"/>
      <c r="F25" s="2"/>
      <c r="G25" s="2"/>
      <c r="H25" s="2"/>
      <c r="I25" s="2"/>
      <c r="J25" s="2"/>
    </row>
    <row r="26" spans="1:10" ht="21">
      <c r="A26" s="5" t="s">
        <v>50</v>
      </c>
      <c r="B26" s="2" t="s">
        <v>26</v>
      </c>
      <c r="C26" s="2" t="s">
        <v>7</v>
      </c>
      <c r="D26" s="2"/>
      <c r="E26" s="25">
        <v>15</v>
      </c>
      <c r="F26" s="2" t="s">
        <v>27</v>
      </c>
      <c r="G26" s="2"/>
      <c r="H26" s="2"/>
      <c r="I26" s="2"/>
      <c r="J26" s="2"/>
    </row>
    <row r="27" spans="1:10" ht="21">
      <c r="A27" s="5" t="s">
        <v>52</v>
      </c>
      <c r="B27" s="2" t="s">
        <v>60</v>
      </c>
      <c r="C27" s="2" t="s">
        <v>7</v>
      </c>
      <c r="D27" s="2"/>
      <c r="E27" s="25">
        <v>50</v>
      </c>
      <c r="F27" s="2" t="s">
        <v>55</v>
      </c>
      <c r="G27" s="2"/>
      <c r="H27" s="2"/>
      <c r="I27" s="2"/>
      <c r="J27" s="2"/>
    </row>
    <row r="28" spans="1:10" ht="21">
      <c r="A28" s="5" t="s">
        <v>180</v>
      </c>
      <c r="B28" s="2" t="s">
        <v>179</v>
      </c>
      <c r="C28" s="2" t="s">
        <v>7</v>
      </c>
      <c r="D28" s="2"/>
      <c r="E28" s="25">
        <v>80</v>
      </c>
      <c r="F28" s="2" t="s">
        <v>55</v>
      </c>
      <c r="G28" s="2"/>
      <c r="H28" s="2"/>
      <c r="I28" s="2"/>
      <c r="J28" s="2"/>
    </row>
    <row r="29" spans="1:10" ht="21">
      <c r="A29" s="5" t="s">
        <v>58</v>
      </c>
      <c r="B29" s="2" t="s">
        <v>59</v>
      </c>
      <c r="C29" s="2" t="s">
        <v>7</v>
      </c>
      <c r="D29" s="2"/>
      <c r="E29" s="38">
        <v>24</v>
      </c>
      <c r="F29" s="2" t="s">
        <v>55</v>
      </c>
      <c r="G29" s="2"/>
      <c r="H29" s="2"/>
      <c r="I29" s="2"/>
      <c r="J29" s="2"/>
    </row>
    <row r="30" spans="1:10" ht="21">
      <c r="A30" s="5" t="s">
        <v>191</v>
      </c>
      <c r="B30" s="2" t="s">
        <v>198</v>
      </c>
      <c r="C30" s="2" t="s">
        <v>7</v>
      </c>
      <c r="D30" s="2"/>
      <c r="E30" s="39">
        <f>E28/2+E29</f>
        <v>64</v>
      </c>
      <c r="F30" s="2" t="s">
        <v>55</v>
      </c>
      <c r="G30" s="2"/>
      <c r="H30" s="2"/>
      <c r="I30" s="2"/>
      <c r="J30" s="2"/>
    </row>
    <row r="31" spans="1:10" ht="23.25">
      <c r="A31" s="5" t="s">
        <v>21</v>
      </c>
      <c r="B31" s="2" t="s">
        <v>90</v>
      </c>
      <c r="C31" s="2" t="s">
        <v>7</v>
      </c>
      <c r="D31" s="2"/>
      <c r="E31" s="16">
        <f>E27*E28</f>
        <v>4000</v>
      </c>
      <c r="F31" s="2" t="s">
        <v>100</v>
      </c>
      <c r="G31" s="2"/>
      <c r="H31" s="2"/>
      <c r="I31" s="2"/>
      <c r="J31" s="2"/>
    </row>
    <row r="32" spans="1:10" ht="23.25">
      <c r="A32" s="5" t="s">
        <v>56</v>
      </c>
      <c r="B32" s="2" t="s">
        <v>57</v>
      </c>
      <c r="C32" s="2" t="s">
        <v>7</v>
      </c>
      <c r="D32" s="2"/>
      <c r="E32" s="16">
        <f>1/12*E27*E28^3</f>
        <v>2133333.333333333</v>
      </c>
      <c r="F32" s="2" t="s">
        <v>120</v>
      </c>
      <c r="G32" s="2"/>
      <c r="H32" s="2"/>
      <c r="I32" s="2"/>
      <c r="J32" s="2"/>
    </row>
    <row r="33" spans="1:10" ht="23.25">
      <c r="A33" s="5" t="s">
        <v>22</v>
      </c>
      <c r="B33" s="2" t="s">
        <v>181</v>
      </c>
      <c r="C33" s="2" t="s">
        <v>7</v>
      </c>
      <c r="D33" s="2"/>
      <c r="E33" s="16">
        <f>1/6*E27*E28^2</f>
        <v>53333.33333333333</v>
      </c>
      <c r="F33" s="2" t="s">
        <v>101</v>
      </c>
      <c r="G33" s="2"/>
      <c r="H33" s="2"/>
      <c r="I33" s="2"/>
      <c r="J33" s="2"/>
    </row>
    <row r="34" spans="1:10" ht="21">
      <c r="A34" s="5" t="s">
        <v>183</v>
      </c>
      <c r="B34" s="2" t="s">
        <v>147</v>
      </c>
      <c r="C34" s="2" t="s">
        <v>7</v>
      </c>
      <c r="D34" s="2"/>
      <c r="E34" s="2">
        <f>E31/10000*2400</f>
        <v>960</v>
      </c>
      <c r="F34" s="2" t="s">
        <v>25</v>
      </c>
      <c r="G34" s="2"/>
      <c r="H34" s="2"/>
      <c r="I34" s="2"/>
      <c r="J34" s="2"/>
    </row>
    <row r="35" spans="1:10" ht="21">
      <c r="A35" s="5"/>
      <c r="B35" s="2"/>
      <c r="C35" s="2"/>
      <c r="D35" s="2"/>
      <c r="E35" s="2"/>
      <c r="F35" s="2"/>
      <c r="G35" s="2"/>
      <c r="H35" s="2"/>
      <c r="I35" s="2"/>
      <c r="J35" s="2"/>
    </row>
    <row r="36" spans="1:10" ht="21">
      <c r="A36" s="10" t="s">
        <v>43</v>
      </c>
      <c r="B36" s="2"/>
      <c r="C36" s="2"/>
      <c r="D36" s="2"/>
      <c r="E36" s="2"/>
      <c r="F36" s="2"/>
      <c r="G36" s="2"/>
      <c r="H36" s="2"/>
      <c r="I36" s="2"/>
      <c r="J36" s="2"/>
    </row>
    <row r="37" spans="1:11" ht="21">
      <c r="A37" s="5" t="s">
        <v>44</v>
      </c>
      <c r="B37" s="2" t="s">
        <v>94</v>
      </c>
      <c r="C37" s="2" t="s">
        <v>7</v>
      </c>
      <c r="D37" s="2" t="s">
        <v>186</v>
      </c>
      <c r="E37" s="16"/>
      <c r="F37" s="2"/>
      <c r="G37" s="2" t="s">
        <v>7</v>
      </c>
      <c r="H37" s="16">
        <f>(1-E5/100)*H23</f>
        <v>303276.16000000003</v>
      </c>
      <c r="I37" s="2" t="s">
        <v>14</v>
      </c>
      <c r="J37" s="13"/>
      <c r="K37" s="16"/>
    </row>
    <row r="38" spans="1:11" ht="23.25">
      <c r="A38" s="5"/>
      <c r="B38" s="2" t="s">
        <v>110</v>
      </c>
      <c r="C38" s="2" t="s">
        <v>7</v>
      </c>
      <c r="D38" s="2" t="s">
        <v>148</v>
      </c>
      <c r="E38" s="2"/>
      <c r="F38" s="2"/>
      <c r="G38" s="2" t="s">
        <v>7</v>
      </c>
      <c r="H38" s="16">
        <f>1/8*E34*E26^2</f>
        <v>27000</v>
      </c>
      <c r="I38" s="2" t="s">
        <v>47</v>
      </c>
      <c r="J38" s="13"/>
      <c r="K38" s="16"/>
    </row>
    <row r="39" spans="1:10" ht="21">
      <c r="A39" s="5"/>
      <c r="B39" s="2" t="s">
        <v>95</v>
      </c>
      <c r="C39" s="2" t="s">
        <v>7</v>
      </c>
      <c r="D39" s="2" t="s">
        <v>158</v>
      </c>
      <c r="E39" s="2"/>
      <c r="F39" s="2"/>
      <c r="G39" s="2" t="s">
        <v>7</v>
      </c>
      <c r="H39" s="12">
        <f>H37/E31-H37*E29/E33+H38*100/E33</f>
        <v>-10.030232000000005</v>
      </c>
      <c r="I39" s="2" t="s">
        <v>1</v>
      </c>
      <c r="J39" s="20" t="str">
        <f>IF(H39&gt;H13,"OK","NOT OK")</f>
        <v>OK</v>
      </c>
    </row>
    <row r="40" spans="1:10" ht="21">
      <c r="A40" s="5"/>
      <c r="B40" s="2" t="s">
        <v>96</v>
      </c>
      <c r="C40" s="2" t="s">
        <v>7</v>
      </c>
      <c r="D40" s="2" t="s">
        <v>138</v>
      </c>
      <c r="E40" s="2"/>
      <c r="F40" s="2"/>
      <c r="G40" s="2" t="s">
        <v>7</v>
      </c>
      <c r="H40" s="12">
        <f>H37/E31+H37*E29/E33-H38*100/E33</f>
        <v>161.66831200000001</v>
      </c>
      <c r="I40" s="2" t="s">
        <v>1</v>
      </c>
      <c r="J40" s="20" t="str">
        <f>IF(H40&lt;H12,"OK","NOT OK")</f>
        <v>OK</v>
      </c>
    </row>
    <row r="41" spans="1:10" ht="21">
      <c r="A41" s="5" t="s">
        <v>68</v>
      </c>
      <c r="B41" s="2" t="s">
        <v>97</v>
      </c>
      <c r="C41" s="2" t="s">
        <v>7</v>
      </c>
      <c r="D41" s="2" t="s">
        <v>159</v>
      </c>
      <c r="F41" s="2"/>
      <c r="G41" s="2" t="s">
        <v>7</v>
      </c>
      <c r="H41" s="11">
        <f>(1-E6/100)*H23</f>
        <v>250532.48</v>
      </c>
      <c r="I41" s="2" t="s">
        <v>14</v>
      </c>
      <c r="J41" s="13"/>
    </row>
    <row r="42" spans="1:10" ht="23.25">
      <c r="A42" s="5"/>
      <c r="B42" s="2" t="s">
        <v>113</v>
      </c>
      <c r="C42" s="2" t="s">
        <v>7</v>
      </c>
      <c r="D42" s="2" t="s">
        <v>189</v>
      </c>
      <c r="F42" s="2"/>
      <c r="G42" s="2" t="s">
        <v>7</v>
      </c>
      <c r="H42" s="11">
        <f>1/8*E4*E26^2</f>
        <v>84375</v>
      </c>
      <c r="I42" s="2" t="s">
        <v>47</v>
      </c>
      <c r="J42" s="13"/>
    </row>
    <row r="43" spans="1:10" ht="21">
      <c r="A43" s="5"/>
      <c r="B43" s="2" t="s">
        <v>187</v>
      </c>
      <c r="C43" s="2" t="s">
        <v>7</v>
      </c>
      <c r="D43" s="2" t="s">
        <v>190</v>
      </c>
      <c r="G43" s="2" t="s">
        <v>7</v>
      </c>
      <c r="H43" s="21">
        <f>H38+H42</f>
        <v>111375</v>
      </c>
      <c r="I43" s="2" t="s">
        <v>47</v>
      </c>
      <c r="J43" s="13"/>
    </row>
    <row r="44" spans="1:10" ht="21">
      <c r="A44" s="5"/>
      <c r="B44" s="2" t="s">
        <v>95</v>
      </c>
      <c r="C44" s="2" t="s">
        <v>7</v>
      </c>
      <c r="D44" s="2" t="s">
        <v>160</v>
      </c>
      <c r="E44" s="2"/>
      <c r="F44" s="2"/>
      <c r="G44" s="2" t="s">
        <v>7</v>
      </c>
      <c r="H44" s="12">
        <f>H41/E31-H41*E29/E33+H43*100/E33</f>
        <v>158.721629</v>
      </c>
      <c r="I44" s="2" t="s">
        <v>1</v>
      </c>
      <c r="J44" s="20" t="str">
        <f>IF(H44&lt;H14,"OK","NOT OK")</f>
        <v>OK</v>
      </c>
    </row>
    <row r="45" spans="1:11" ht="21">
      <c r="A45" s="5"/>
      <c r="B45" s="2" t="s">
        <v>96</v>
      </c>
      <c r="C45" s="2" t="s">
        <v>7</v>
      </c>
      <c r="D45" s="2" t="s">
        <v>161</v>
      </c>
      <c r="E45" s="2"/>
      <c r="F45" s="2"/>
      <c r="G45" s="2" t="s">
        <v>7</v>
      </c>
      <c r="H45" s="12">
        <f>H41/E31+H41*E29/E33-H43*100/E33</f>
        <v>-33.455389</v>
      </c>
      <c r="I45" s="2" t="s">
        <v>1</v>
      </c>
      <c r="J45" s="20" t="str">
        <f>IF(H45&gt;H15,"OK","NOT OK")</f>
        <v>OK</v>
      </c>
      <c r="K45" s="19"/>
    </row>
    <row r="46" spans="1:10" ht="21">
      <c r="A46" s="5"/>
      <c r="B46" s="2"/>
      <c r="C46" s="2"/>
      <c r="D46" s="2"/>
      <c r="E46" s="2"/>
      <c r="F46" s="2"/>
      <c r="G46" s="2"/>
      <c r="H46" s="2"/>
      <c r="I46" s="2"/>
      <c r="J46" s="13"/>
    </row>
    <row r="47" spans="1:10" ht="21">
      <c r="A47" s="10" t="s">
        <v>74</v>
      </c>
      <c r="B47" s="1" t="s">
        <v>114</v>
      </c>
      <c r="C47" s="1" t="s">
        <v>7</v>
      </c>
      <c r="D47" s="1" t="s">
        <v>188</v>
      </c>
      <c r="G47" s="1" t="s">
        <v>7</v>
      </c>
      <c r="H47" s="21">
        <f>1.4*H38+1.7*H42</f>
        <v>181237.5</v>
      </c>
      <c r="I47" s="1" t="s">
        <v>47</v>
      </c>
      <c r="J47" s="13"/>
    </row>
    <row r="48" spans="1:10" ht="21">
      <c r="A48" s="5"/>
      <c r="B48" s="2" t="s">
        <v>115</v>
      </c>
      <c r="C48" s="2" t="s">
        <v>7</v>
      </c>
      <c r="E48" s="2">
        <f>IF(E22/E21&lt;0.9,0.4,0.28)</f>
        <v>0.28</v>
      </c>
      <c r="F48" s="2"/>
      <c r="G48" s="2"/>
      <c r="H48" s="2"/>
      <c r="I48" s="2"/>
      <c r="J48" s="13"/>
    </row>
    <row r="49" spans="1:10" ht="21">
      <c r="A49" s="5"/>
      <c r="B49" s="31" t="s">
        <v>122</v>
      </c>
      <c r="C49" s="2" t="s">
        <v>7</v>
      </c>
      <c r="E49" s="2">
        <f>IF(E9&lt;=300,0.85,0.85-0.0008*(E9-300))</f>
        <v>0.69</v>
      </c>
      <c r="F49" s="2"/>
      <c r="G49" s="2"/>
      <c r="H49" s="8"/>
      <c r="I49" s="2"/>
      <c r="J49" s="13"/>
    </row>
    <row r="50" spans="1:10" ht="21">
      <c r="A50" s="5"/>
      <c r="B50" s="31" t="s">
        <v>115</v>
      </c>
      <c r="C50" s="2" t="s">
        <v>7</v>
      </c>
      <c r="D50" s="1" t="s">
        <v>199</v>
      </c>
      <c r="G50" s="2" t="s">
        <v>7</v>
      </c>
      <c r="H50" s="36">
        <f>E20/E27/E30</f>
        <v>0.0087090551625</v>
      </c>
      <c r="I50" s="2"/>
      <c r="J50" s="13"/>
    </row>
    <row r="51" spans="1:10" ht="21">
      <c r="A51" s="5"/>
      <c r="B51" s="2" t="s">
        <v>116</v>
      </c>
      <c r="C51" s="2" t="s">
        <v>7</v>
      </c>
      <c r="D51" s="1" t="s">
        <v>192</v>
      </c>
      <c r="G51" s="2" t="s">
        <v>7</v>
      </c>
      <c r="H51" s="11">
        <f>E19*E21/E20*(1-E48/E49*(H50*E19*E21/E20/E9))</f>
        <v>13240.401749198076</v>
      </c>
      <c r="I51" s="2" t="s">
        <v>1</v>
      </c>
      <c r="J51" s="13"/>
    </row>
    <row r="52" spans="1:10" ht="21">
      <c r="A52" s="5"/>
      <c r="B52" s="31" t="s">
        <v>117</v>
      </c>
      <c r="C52" s="2" t="s">
        <v>7</v>
      </c>
      <c r="D52" s="31" t="s">
        <v>200</v>
      </c>
      <c r="G52" s="2" t="s">
        <v>7</v>
      </c>
      <c r="H52" s="11">
        <f>0.9*E20*H51*(E30-E20*H51/(2*0.85*E9*E27))/100</f>
        <v>183708.4139780937</v>
      </c>
      <c r="I52" s="2" t="s">
        <v>47</v>
      </c>
      <c r="J52" s="20" t="str">
        <f>IF(H52&gt;=H47,"OK","NOT OK")</f>
        <v>OK</v>
      </c>
    </row>
    <row r="53" spans="1:10" ht="21">
      <c r="A53" s="5"/>
      <c r="B53" s="2" t="s">
        <v>216</v>
      </c>
      <c r="C53" s="2" t="s">
        <v>7</v>
      </c>
      <c r="D53" s="2" t="s">
        <v>215</v>
      </c>
      <c r="G53" s="2" t="s">
        <v>7</v>
      </c>
      <c r="H53" s="11">
        <f>1.2*(H41*E29+H41*E32/E31/(E28/2)+2*E9^0.5*E32/(E28/2))/100</f>
        <v>140860.2211519973</v>
      </c>
      <c r="I53" s="2" t="s">
        <v>47</v>
      </c>
      <c r="J53" s="20" t="str">
        <f>IF(H52&gt;=H53,"OK","NOT OK)")</f>
        <v>OK</v>
      </c>
    </row>
    <row r="54" spans="1:10" ht="21">
      <c r="A54" s="5"/>
      <c r="B54" s="2"/>
      <c r="C54" s="2"/>
      <c r="D54" s="11"/>
      <c r="E54" s="2"/>
      <c r="F54" s="2"/>
      <c r="G54" s="2"/>
      <c r="H54" s="2"/>
      <c r="I54" s="2"/>
      <c r="J54" s="2"/>
    </row>
    <row r="55" spans="1:10" ht="21">
      <c r="A55" s="10" t="s">
        <v>76</v>
      </c>
      <c r="B55" s="2" t="s">
        <v>118</v>
      </c>
      <c r="C55" s="2" t="s">
        <v>7</v>
      </c>
      <c r="D55" s="1" t="s">
        <v>195</v>
      </c>
      <c r="E55" s="2"/>
      <c r="F55" s="2"/>
      <c r="G55" s="1" t="s">
        <v>7</v>
      </c>
      <c r="H55" s="21">
        <f>1.4*E34*E26/2+1.7*E4*E26/2</f>
        <v>48330</v>
      </c>
      <c r="I55" s="1" t="s">
        <v>14</v>
      </c>
      <c r="J55" s="2"/>
    </row>
    <row r="56" spans="1:10" ht="21">
      <c r="A56" s="5"/>
      <c r="B56" s="2" t="s">
        <v>202</v>
      </c>
      <c r="C56" s="2" t="s">
        <v>7</v>
      </c>
      <c r="D56" s="1">
        <f>H55*E30/H47/100</f>
        <v>0.17066666666666666</v>
      </c>
      <c r="G56" s="1" t="s">
        <v>203</v>
      </c>
      <c r="H56" s="1">
        <v>1</v>
      </c>
      <c r="I56" s="2"/>
      <c r="J56" s="20"/>
    </row>
    <row r="57" spans="1:10" ht="23.25">
      <c r="A57" s="5"/>
      <c r="B57" s="2" t="s">
        <v>196</v>
      </c>
      <c r="C57" s="2" t="s">
        <v>7</v>
      </c>
      <c r="D57" s="2" t="s">
        <v>204</v>
      </c>
      <c r="E57" s="2"/>
      <c r="F57" s="2"/>
      <c r="G57" s="2" t="s">
        <v>7</v>
      </c>
      <c r="H57" s="40">
        <f>IF(D56&lt;H56,(0.16*E9^0.5+49*D56)*E27*E30,(0.16*E9^0.5+49*1)*E27*E30)</f>
        <v>38209.20137813225</v>
      </c>
      <c r="I57" s="2" t="s">
        <v>14</v>
      </c>
      <c r="J57" s="20"/>
    </row>
    <row r="58" spans="1:10" ht="23.25">
      <c r="A58" s="5"/>
      <c r="B58" s="2"/>
      <c r="C58" s="2" t="s">
        <v>7</v>
      </c>
      <c r="D58" s="2" t="s">
        <v>201</v>
      </c>
      <c r="E58" s="2"/>
      <c r="F58" s="2"/>
      <c r="G58" s="2" t="s">
        <v>7</v>
      </c>
      <c r="H58" s="16">
        <f>0.53*E9^0.5*E27*E30</f>
        <v>37923.71289839644</v>
      </c>
      <c r="I58" s="2" t="s">
        <v>14</v>
      </c>
      <c r="J58" s="20"/>
    </row>
    <row r="59" spans="1:10" ht="21">
      <c r="A59" s="5"/>
      <c r="B59" s="2"/>
      <c r="C59" s="2"/>
      <c r="D59" s="2"/>
      <c r="E59" s="2"/>
      <c r="F59" s="2" t="s">
        <v>205</v>
      </c>
      <c r="G59" s="2"/>
      <c r="H59" s="16">
        <f>MAX(H57,H58)</f>
        <v>38209.20137813225</v>
      </c>
      <c r="I59" s="2" t="s">
        <v>14</v>
      </c>
      <c r="J59" s="20"/>
    </row>
    <row r="60" spans="1:10" ht="21">
      <c r="A60" s="5" t="s">
        <v>207</v>
      </c>
      <c r="B60" s="1" t="s">
        <v>206</v>
      </c>
      <c r="C60" s="1" t="s">
        <v>7</v>
      </c>
      <c r="D60" s="2"/>
      <c r="E60" s="20">
        <v>12</v>
      </c>
      <c r="F60" s="2" t="s">
        <v>11</v>
      </c>
      <c r="G60" s="2"/>
      <c r="H60" s="2"/>
      <c r="I60" s="2"/>
      <c r="J60" s="2"/>
    </row>
    <row r="61" spans="1:10" ht="21">
      <c r="A61" s="5" t="s">
        <v>209</v>
      </c>
      <c r="B61" s="2" t="s">
        <v>208</v>
      </c>
      <c r="C61" s="2" t="s">
        <v>7</v>
      </c>
      <c r="D61" s="2"/>
      <c r="E61" s="20">
        <v>15</v>
      </c>
      <c r="F61" s="2" t="s">
        <v>55</v>
      </c>
      <c r="G61" s="2"/>
      <c r="H61" s="2"/>
      <c r="I61" s="2"/>
      <c r="J61" s="2"/>
    </row>
    <row r="62" spans="1:10" ht="21">
      <c r="A62" s="5" t="s">
        <v>210</v>
      </c>
      <c r="B62" s="2" t="s">
        <v>211</v>
      </c>
      <c r="C62" s="2" t="s">
        <v>7</v>
      </c>
      <c r="D62" s="2"/>
      <c r="E62" s="41">
        <v>4000</v>
      </c>
      <c r="F62" s="2" t="s">
        <v>1</v>
      </c>
      <c r="G62" s="2"/>
      <c r="H62" s="2"/>
      <c r="I62" s="2"/>
      <c r="J62" s="2"/>
    </row>
    <row r="63" spans="1:10" ht="21">
      <c r="A63" s="5"/>
      <c r="B63" s="2" t="s">
        <v>197</v>
      </c>
      <c r="C63" s="2" t="s">
        <v>7</v>
      </c>
      <c r="D63" s="2" t="s">
        <v>212</v>
      </c>
      <c r="E63" s="11">
        <f>(3.1416/4*(E60/10)^2)*E62*E30/E61</f>
        <v>19301.9904</v>
      </c>
      <c r="F63" s="2" t="s">
        <v>14</v>
      </c>
      <c r="G63" s="2"/>
      <c r="H63" s="2"/>
      <c r="I63" s="2"/>
      <c r="J63" s="2"/>
    </row>
    <row r="64" spans="1:10" ht="21">
      <c r="A64" s="5"/>
      <c r="B64" s="2" t="s">
        <v>214</v>
      </c>
      <c r="C64" s="2" t="s">
        <v>7</v>
      </c>
      <c r="D64" s="31" t="s">
        <v>213</v>
      </c>
      <c r="G64" s="2" t="s">
        <v>7</v>
      </c>
      <c r="H64" s="11">
        <f>0.85*(H57+E63)</f>
        <v>48884.51301141242</v>
      </c>
      <c r="I64" s="2" t="s">
        <v>14</v>
      </c>
      <c r="J64" s="20" t="str">
        <f>IF(H64&gt;=H55,"OK","NOT OK")</f>
        <v>OK</v>
      </c>
    </row>
    <row r="65" spans="1:10" ht="21">
      <c r="A65" s="5"/>
      <c r="B65" s="2"/>
      <c r="C65" s="2"/>
      <c r="D65" s="31"/>
      <c r="G65" s="2"/>
      <c r="H65" s="11"/>
      <c r="I65" s="2"/>
      <c r="J65" s="20"/>
    </row>
    <row r="66" spans="1:10" ht="21">
      <c r="A66" s="10" t="s">
        <v>77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21">
      <c r="A67" s="5" t="s">
        <v>44</v>
      </c>
      <c r="B67" s="2" t="s">
        <v>119</v>
      </c>
      <c r="C67" s="2" t="s">
        <v>7</v>
      </c>
      <c r="D67" s="2"/>
      <c r="E67" s="16">
        <f>15200*E10^0.5</f>
        <v>284365.96139481955</v>
      </c>
      <c r="F67" s="2" t="s">
        <v>1</v>
      </c>
      <c r="G67" s="2"/>
      <c r="H67" s="2"/>
      <c r="I67" s="2"/>
      <c r="J67" s="2"/>
    </row>
    <row r="68" spans="1:10" ht="23.25">
      <c r="A68" s="5"/>
      <c r="B68" s="31" t="s">
        <v>127</v>
      </c>
      <c r="C68" s="2" t="s">
        <v>7</v>
      </c>
      <c r="D68" s="2" t="s">
        <v>124</v>
      </c>
      <c r="E68" s="2"/>
      <c r="F68" s="2"/>
      <c r="G68" s="2" t="s">
        <v>7</v>
      </c>
      <c r="H68" s="12">
        <f>-2*H37*E29*(E26*100)^2/16/E67/E32+5*E34/100*(E26*100)^4/384/E67/E32</f>
        <v>-2.3313404402313167</v>
      </c>
      <c r="I68" s="2" t="s">
        <v>55</v>
      </c>
      <c r="J68" s="20" t="str">
        <f>IF(ABS(H68)&lt;=E26*100/360,"OK","NOT OK")</f>
        <v>OK</v>
      </c>
    </row>
    <row r="69" spans="1:10" ht="21">
      <c r="A69" s="5" t="s">
        <v>68</v>
      </c>
      <c r="B69" s="2" t="s">
        <v>126</v>
      </c>
      <c r="C69" s="2" t="s">
        <v>7</v>
      </c>
      <c r="D69" s="2"/>
      <c r="E69" s="16">
        <f>15200*E9^0.5</f>
        <v>339882.33257996803</v>
      </c>
      <c r="F69" s="2" t="s">
        <v>1</v>
      </c>
      <c r="G69" s="2"/>
      <c r="H69" s="2"/>
      <c r="I69" s="2"/>
      <c r="J69" s="2"/>
    </row>
    <row r="70" spans="1:10" ht="23.25">
      <c r="A70" s="5"/>
      <c r="B70" s="31" t="s">
        <v>128</v>
      </c>
      <c r="C70" s="2" t="s">
        <v>7</v>
      </c>
      <c r="D70" s="31" t="s">
        <v>217</v>
      </c>
      <c r="E70" s="2"/>
      <c r="F70" s="2"/>
      <c r="G70" s="2" t="s">
        <v>7</v>
      </c>
      <c r="H70" s="12">
        <f>H68+5*E4/100*(E26*100)^4/384/E69/E32</f>
        <v>0.39599001119418054</v>
      </c>
      <c r="I70" s="2" t="s">
        <v>55</v>
      </c>
      <c r="J70" s="20" t="str">
        <f>IF(ABS(H70)&lt;=E26*100/360,"OK","NOT OK")</f>
        <v>OK</v>
      </c>
    </row>
    <row r="71" spans="1:10" ht="21">
      <c r="A71" s="5"/>
      <c r="B71" s="2"/>
      <c r="C71" s="2"/>
      <c r="D71" s="2"/>
      <c r="E71" s="2"/>
      <c r="F71" s="2"/>
      <c r="G71" s="2"/>
      <c r="H71" s="2"/>
      <c r="I71" s="2"/>
      <c r="J71" s="2"/>
    </row>
    <row r="72" spans="1:10" ht="21">
      <c r="A72" s="5"/>
      <c r="B72" s="2"/>
      <c r="C72" s="2"/>
      <c r="D72" s="2"/>
      <c r="E72" s="2"/>
      <c r="F72" s="2"/>
      <c r="G72" s="2"/>
      <c r="H72" s="2"/>
      <c r="I72" s="2"/>
      <c r="J72" s="2"/>
    </row>
    <row r="73" spans="1:10" ht="21">
      <c r="A73" s="5"/>
      <c r="B73" s="2"/>
      <c r="C73" s="2"/>
      <c r="D73" s="2"/>
      <c r="E73" s="2"/>
      <c r="F73" s="2"/>
      <c r="G73" s="2"/>
      <c r="H73" s="2"/>
      <c r="I73" s="2"/>
      <c r="J73" s="2"/>
    </row>
    <row r="74" spans="1:10" ht="21">
      <c r="A74" s="5"/>
      <c r="B74" s="2"/>
      <c r="C74" s="2"/>
      <c r="D74" s="2"/>
      <c r="E74" s="2"/>
      <c r="F74" s="2"/>
      <c r="G74" s="2"/>
      <c r="H74" s="2"/>
      <c r="I74" s="2"/>
      <c r="J74" s="2"/>
    </row>
    <row r="75" spans="1:10" ht="21">
      <c r="A75" s="5"/>
      <c r="B75" s="2"/>
      <c r="C75" s="2"/>
      <c r="D75" s="2"/>
      <c r="E75" s="2"/>
      <c r="F75" s="2"/>
      <c r="G75" s="2"/>
      <c r="H75" s="2"/>
      <c r="I75" s="2"/>
      <c r="J75" s="2"/>
    </row>
    <row r="76" spans="1:10" ht="21">
      <c r="A76" s="5"/>
      <c r="B76" s="2"/>
      <c r="C76" s="2"/>
      <c r="D76" s="2"/>
      <c r="E76" s="2"/>
      <c r="F76" s="2"/>
      <c r="G76" s="2"/>
      <c r="H76" s="2"/>
      <c r="I76" s="2"/>
      <c r="J76" s="2"/>
    </row>
    <row r="77" spans="1:10" ht="21">
      <c r="A77" s="5"/>
      <c r="B77" s="2"/>
      <c r="C77" s="2"/>
      <c r="D77" s="2"/>
      <c r="E77" s="2"/>
      <c r="F77" s="2"/>
      <c r="G77" s="2"/>
      <c r="H77" s="2"/>
      <c r="I77" s="2"/>
      <c r="J77" s="2"/>
    </row>
    <row r="78" spans="1:10" ht="21">
      <c r="A78" s="5"/>
      <c r="B78" s="2"/>
      <c r="C78" s="2"/>
      <c r="D78" s="2"/>
      <c r="E78" s="2"/>
      <c r="F78" s="2"/>
      <c r="G78" s="2"/>
      <c r="H78" s="2"/>
      <c r="I78" s="2"/>
      <c r="J78" s="2"/>
    </row>
    <row r="79" spans="1:10" ht="21">
      <c r="A79" s="5"/>
      <c r="B79" s="2"/>
      <c r="C79" s="2"/>
      <c r="D79" s="2"/>
      <c r="E79" s="2"/>
      <c r="F79" s="2"/>
      <c r="G79" s="2"/>
      <c r="H79" s="2"/>
      <c r="I79" s="2"/>
      <c r="J79" s="2"/>
    </row>
    <row r="80" spans="1:10" ht="21">
      <c r="A80" s="5"/>
      <c r="B80" s="2"/>
      <c r="C80" s="2"/>
      <c r="D80" s="2"/>
      <c r="E80" s="2"/>
      <c r="F80" s="2"/>
      <c r="G80" s="2"/>
      <c r="H80" s="2"/>
      <c r="I80" s="2"/>
      <c r="J80" s="2"/>
    </row>
    <row r="81" spans="1:10" ht="21">
      <c r="A81" s="5"/>
      <c r="B81" s="2"/>
      <c r="C81" s="2"/>
      <c r="D81" s="2"/>
      <c r="E81" s="2"/>
      <c r="F81" s="2"/>
      <c r="G81" s="2"/>
      <c r="H81" s="2"/>
      <c r="I81" s="2"/>
      <c r="J81" s="2"/>
    </row>
    <row r="82" spans="1:10" ht="21">
      <c r="A82" s="5"/>
      <c r="B82" s="2"/>
      <c r="C82" s="2"/>
      <c r="D82" s="2"/>
      <c r="E82" s="2"/>
      <c r="F82" s="2"/>
      <c r="G82" s="2"/>
      <c r="H82" s="2"/>
      <c r="I82" s="2"/>
      <c r="J82" s="2"/>
    </row>
    <row r="83" spans="1:10" ht="21">
      <c r="A83" s="5"/>
      <c r="B83" s="2"/>
      <c r="C83" s="2"/>
      <c r="D83" s="2"/>
      <c r="E83" s="2"/>
      <c r="F83" s="2"/>
      <c r="G83" s="2"/>
      <c r="H83" s="2"/>
      <c r="I83" s="2"/>
      <c r="J83" s="2"/>
    </row>
    <row r="84" spans="1:10" ht="21">
      <c r="A84" s="5"/>
      <c r="B84" s="2"/>
      <c r="C84" s="2"/>
      <c r="D84" s="2"/>
      <c r="E84" s="2"/>
      <c r="F84" s="2"/>
      <c r="G84" s="2"/>
      <c r="H84" s="2"/>
      <c r="I84" s="2"/>
      <c r="J84" s="2"/>
    </row>
    <row r="85" spans="1:10" ht="21">
      <c r="A85" s="5"/>
      <c r="B85" s="2"/>
      <c r="C85" s="2"/>
      <c r="D85" s="2"/>
      <c r="E85" s="2"/>
      <c r="F85" s="2"/>
      <c r="G85" s="2"/>
      <c r="H85" s="2"/>
      <c r="I85" s="2"/>
      <c r="J85" s="2"/>
    </row>
    <row r="86" spans="1:10" ht="21">
      <c r="A86" s="5"/>
      <c r="B86" s="2"/>
      <c r="C86" s="2"/>
      <c r="D86" s="2"/>
      <c r="E86" s="2"/>
      <c r="F86" s="2"/>
      <c r="G86" s="2"/>
      <c r="H86" s="2"/>
      <c r="I86" s="2"/>
      <c r="J86" s="2"/>
    </row>
    <row r="87" spans="1:10" ht="21">
      <c r="A87" s="5"/>
      <c r="B87" s="2"/>
      <c r="C87" s="2"/>
      <c r="D87" s="2"/>
      <c r="E87" s="2"/>
      <c r="F87" s="2"/>
      <c r="G87" s="2"/>
      <c r="H87" s="2"/>
      <c r="I87" s="2"/>
      <c r="J87" s="2"/>
    </row>
    <row r="88" spans="1:10" ht="21">
      <c r="A88" s="5"/>
      <c r="B88" s="2"/>
      <c r="C88" s="2"/>
      <c r="D88" s="2"/>
      <c r="E88" s="2"/>
      <c r="F88" s="2"/>
      <c r="G88" s="2"/>
      <c r="H88" s="2"/>
      <c r="I88" s="2"/>
      <c r="J88" s="2"/>
    </row>
    <row r="89" spans="1:10" ht="21">
      <c r="A89" s="5"/>
      <c r="B89" s="2"/>
      <c r="C89" s="2"/>
      <c r="D89" s="2"/>
      <c r="E89" s="2"/>
      <c r="F89" s="2"/>
      <c r="G89" s="2"/>
      <c r="H89" s="2"/>
      <c r="I89" s="2"/>
      <c r="J89" s="2"/>
    </row>
    <row r="90" spans="1:10" ht="21">
      <c r="A90" s="5"/>
      <c r="B90" s="2"/>
      <c r="C90" s="2"/>
      <c r="D90" s="2"/>
      <c r="E90" s="2"/>
      <c r="F90" s="2"/>
      <c r="G90" s="2"/>
      <c r="H90" s="2"/>
      <c r="I90" s="2"/>
      <c r="J90" s="2"/>
    </row>
    <row r="91" spans="1:10" ht="21">
      <c r="A91" s="5"/>
      <c r="B91" s="2"/>
      <c r="C91" s="2"/>
      <c r="D91" s="2"/>
      <c r="E91" s="2"/>
      <c r="F91" s="2"/>
      <c r="G91" s="2"/>
      <c r="H91" s="2"/>
      <c r="I91" s="2"/>
      <c r="J91" s="2"/>
    </row>
    <row r="92" spans="1:10" ht="21">
      <c r="A92" s="5"/>
      <c r="B92" s="2"/>
      <c r="C92" s="2"/>
      <c r="D92" s="2"/>
      <c r="E92" s="2"/>
      <c r="F92" s="2"/>
      <c r="G92" s="2"/>
      <c r="H92" s="2"/>
      <c r="I92" s="2"/>
      <c r="J92" s="2"/>
    </row>
    <row r="93" spans="1:10" ht="21">
      <c r="A93" s="5"/>
      <c r="B93" s="2"/>
      <c r="C93" s="2"/>
      <c r="D93" s="2"/>
      <c r="E93" s="2"/>
      <c r="F93" s="2"/>
      <c r="G93" s="2"/>
      <c r="H93" s="2"/>
      <c r="I93" s="2"/>
      <c r="J93" s="2"/>
    </row>
    <row r="94" spans="1:10" ht="21">
      <c r="A94" s="5"/>
      <c r="B94" s="2"/>
      <c r="C94" s="2"/>
      <c r="D94" s="2"/>
      <c r="E94" s="2"/>
      <c r="F94" s="2"/>
      <c r="G94" s="2"/>
      <c r="H94" s="2"/>
      <c r="I94" s="2"/>
      <c r="J94" s="2"/>
    </row>
    <row r="95" spans="1:10" ht="21">
      <c r="A95" s="5"/>
      <c r="B95" s="2"/>
      <c r="C95" s="2"/>
      <c r="D95" s="2"/>
      <c r="E95" s="2"/>
      <c r="F95" s="2"/>
      <c r="G95" s="2"/>
      <c r="H95" s="2"/>
      <c r="I95" s="2"/>
      <c r="J95" s="2"/>
    </row>
    <row r="96" spans="1:10" ht="21">
      <c r="A96" s="5"/>
      <c r="B96" s="2"/>
      <c r="C96" s="2"/>
      <c r="D96" s="2"/>
      <c r="E96" s="2"/>
      <c r="F96" s="2"/>
      <c r="G96" s="2"/>
      <c r="H96" s="2"/>
      <c r="I96" s="2"/>
      <c r="J96" s="2"/>
    </row>
    <row r="97" spans="1:10" ht="21">
      <c r="A97" s="5"/>
      <c r="B97" s="2"/>
      <c r="C97" s="2"/>
      <c r="D97" s="2"/>
      <c r="E97" s="2"/>
      <c r="F97" s="2"/>
      <c r="G97" s="2"/>
      <c r="H97" s="2"/>
      <c r="I97" s="2"/>
      <c r="J97" s="2"/>
    </row>
    <row r="98" spans="1:10" ht="21">
      <c r="A98" s="5"/>
      <c r="B98" s="2"/>
      <c r="C98" s="2"/>
      <c r="D98" s="2"/>
      <c r="E98" s="2"/>
      <c r="F98" s="2"/>
      <c r="G98" s="2"/>
      <c r="H98" s="2"/>
      <c r="I98" s="2"/>
      <c r="J98" s="2"/>
    </row>
    <row r="99" spans="1:10" ht="21">
      <c r="A99" s="5"/>
      <c r="B99" s="2"/>
      <c r="C99" s="2"/>
      <c r="D99" s="2"/>
      <c r="E99" s="2"/>
      <c r="F99" s="2"/>
      <c r="G99" s="2"/>
      <c r="H99" s="2"/>
      <c r="I99" s="2"/>
      <c r="J99" s="2"/>
    </row>
    <row r="100" spans="1:10" ht="21">
      <c r="A100" s="5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21">
      <c r="A101" s="5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2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2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2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2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2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2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2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2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2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2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2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2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2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2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2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2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2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2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2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2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2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2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2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2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2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2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2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2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2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2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2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2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2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2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2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2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2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2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2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2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2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2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2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2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2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2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2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2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2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2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2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2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2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2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2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2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2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2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2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2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2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2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2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2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2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2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2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2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2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2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2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2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2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2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2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2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2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2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2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2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2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2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2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2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2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2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2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2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2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2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2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2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2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2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2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2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2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2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2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2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2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2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2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2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2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2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2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2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2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2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2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2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2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2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2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2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2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2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2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2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2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2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2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2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2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2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2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2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2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2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2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2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2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2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2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2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2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2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2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2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2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2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2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2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2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2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2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2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2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2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2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2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2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2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2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2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2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2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2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2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2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2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2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2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2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2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2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2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2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2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2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2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2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2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2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2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2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2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2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2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2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2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2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2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2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2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2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2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2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2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2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2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2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2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2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2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2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2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2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2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2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2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2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2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2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2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2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2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2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2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2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2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2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2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2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2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2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2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2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2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2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2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2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2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2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2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2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2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2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2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2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2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2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2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2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2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2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2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2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2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2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2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2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2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2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2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2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2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2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2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2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2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2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2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2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2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2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2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2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2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2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2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2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2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2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2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2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2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2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21">
      <c r="A377" s="2"/>
      <c r="B377" s="2"/>
      <c r="C377" s="2"/>
      <c r="D377" s="2"/>
      <c r="E377" s="2"/>
      <c r="F377" s="2"/>
      <c r="G377" s="2"/>
      <c r="H377" s="2"/>
      <c r="I377" s="2"/>
      <c r="J377" s="2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T1</cp:lastModifiedBy>
  <cp:lastPrinted>2006-12-06T01:08:37Z</cp:lastPrinted>
  <dcterms:created xsi:type="dcterms:W3CDTF">2004-04-19T06:37:17Z</dcterms:created>
  <dcterms:modified xsi:type="dcterms:W3CDTF">2012-11-15T02:20:27Z</dcterms:modified>
  <cp:category/>
  <cp:version/>
  <cp:contentType/>
  <cp:contentStatus/>
</cp:coreProperties>
</file>