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Sheet1" sheetId="1" r:id="rId1"/>
    <sheet name="Sheet3" sheetId="2" r:id="rId2"/>
    <sheet name="Sheet2" sheetId="3" r:id="rId3"/>
  </sheets>
  <definedNames>
    <definedName name="case">'Sheet1'!$C$51:$C$54</definedName>
    <definedName name="_xlnm.Print_Area" localSheetId="0">'Sheet1'!$B$2:$V$172</definedName>
  </definedNames>
  <calcPr fullCalcOnLoad="1"/>
</workbook>
</file>

<file path=xl/sharedStrings.xml><?xml version="1.0" encoding="utf-8"?>
<sst xmlns="http://schemas.openxmlformats.org/spreadsheetml/2006/main" count="563" uniqueCount="151">
  <si>
    <t>B</t>
  </si>
  <si>
    <t>n</t>
  </si>
  <si>
    <t>k</t>
  </si>
  <si>
    <t>J</t>
  </si>
  <si>
    <t>R</t>
  </si>
  <si>
    <t xml:space="preserve"> Es/Ec</t>
  </si>
  <si>
    <t>=</t>
  </si>
  <si>
    <t xml:space="preserve"> 1/[1+fs/(n fc)]</t>
  </si>
  <si>
    <t xml:space="preserve"> 1 - k/3</t>
  </si>
  <si>
    <t>fc j k / 2</t>
  </si>
  <si>
    <t>Moment max+</t>
  </si>
  <si>
    <t>Moment max-</t>
  </si>
  <si>
    <t>V max</t>
  </si>
  <si>
    <t>t</t>
  </si>
  <si>
    <t>d'</t>
  </si>
  <si>
    <t>Asr</t>
  </si>
  <si>
    <t>Mt</t>
  </si>
  <si>
    <t>Vt</t>
  </si>
  <si>
    <t>Va</t>
  </si>
  <si>
    <t>L</t>
  </si>
  <si>
    <t>VT</t>
  </si>
  <si>
    <t>Vt+V</t>
  </si>
  <si>
    <t>Ast</t>
  </si>
  <si>
    <t>Asc</t>
  </si>
  <si>
    <t>No.1</t>
  </si>
  <si>
    <t>No.2</t>
  </si>
  <si>
    <t>As</t>
  </si>
  <si>
    <t>z</t>
  </si>
  <si>
    <t>Ac</t>
  </si>
  <si>
    <t>V'</t>
  </si>
  <si>
    <r>
      <t>v =1.32</t>
    </r>
    <r>
      <rPr>
        <sz val="8"/>
        <color indexed="8"/>
        <rFont val="Symbol"/>
        <family val="1"/>
      </rPr>
      <t>Ö</t>
    </r>
    <r>
      <rPr>
        <sz val="8"/>
        <color indexed="8"/>
        <rFont val="Times New Roman"/>
        <family val="1"/>
      </rPr>
      <t xml:space="preserve"> fc'</t>
    </r>
  </si>
  <si>
    <t>v = V/bd</t>
  </si>
  <si>
    <r>
      <t>v&lt;1.32</t>
    </r>
    <r>
      <rPr>
        <sz val="8"/>
        <color indexed="8"/>
        <rFont val="Symbol"/>
        <family val="1"/>
      </rPr>
      <t>Ö</t>
    </r>
    <r>
      <rPr>
        <sz val="8"/>
        <color indexed="8"/>
        <rFont val="Times New Roman"/>
        <family val="1"/>
      </rPr>
      <t xml:space="preserve"> fc'</t>
    </r>
  </si>
  <si>
    <t xml:space="preserve"> Av = 2As </t>
  </si>
  <si>
    <t xml:space="preserve"> Av  &gt; 0.0015bs</t>
  </si>
  <si>
    <t xml:space="preserve"> fv = 0.50fy</t>
  </si>
  <si>
    <t>A:</t>
  </si>
  <si>
    <t>B:</t>
  </si>
  <si>
    <t>C:</t>
  </si>
  <si>
    <t>D:</t>
  </si>
  <si>
    <t>E:</t>
  </si>
  <si>
    <t>F:</t>
  </si>
  <si>
    <t>G:</t>
  </si>
  <si>
    <t>H:</t>
  </si>
  <si>
    <t>I:</t>
  </si>
  <si>
    <t>J:</t>
  </si>
  <si>
    <t>K:</t>
  </si>
  <si>
    <t>L:</t>
  </si>
  <si>
    <t>d (t-d')</t>
  </si>
  <si>
    <t>No.3</t>
  </si>
  <si>
    <t>top upper</t>
  </si>
  <si>
    <t>x</t>
  </si>
  <si>
    <t>top lower</t>
  </si>
  <si>
    <t>bottom upper</t>
  </si>
  <si>
    <t>bottom lower</t>
  </si>
  <si>
    <t>y</t>
  </si>
  <si>
    <t>exterior span</t>
  </si>
  <si>
    <t>middle</t>
  </si>
  <si>
    <t>Middle span</t>
  </si>
  <si>
    <t>Interior span</t>
  </si>
  <si>
    <r>
      <t>Mc (Rbd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</t>
    </r>
  </si>
  <si>
    <t>Vc (0.29√fc'bd</t>
  </si>
  <si>
    <t>Vc (0.29√fc')</t>
  </si>
  <si>
    <t>L/16</t>
  </si>
  <si>
    <t>L/18.5</t>
  </si>
  <si>
    <t>L/21</t>
  </si>
  <si>
    <t>L/8</t>
  </si>
  <si>
    <t>f'c</t>
  </si>
  <si>
    <t>fc</t>
  </si>
  <si>
    <t>Ec</t>
  </si>
  <si>
    <t>fy</t>
  </si>
  <si>
    <t>fs</t>
  </si>
  <si>
    <t>Es</t>
  </si>
  <si>
    <t>โครงการ :</t>
  </si>
  <si>
    <t>เจ้าของ :</t>
  </si>
  <si>
    <t>ที่ตั้ง :</t>
  </si>
  <si>
    <t>รายการ :</t>
  </si>
  <si>
    <t>วิศวกรโครงสร้าง :</t>
  </si>
  <si>
    <t>วันที่:</t>
  </si>
  <si>
    <t>หน้า</t>
  </si>
  <si>
    <t>ของ</t>
  </si>
  <si>
    <t>คุณสมบัติของวัสดุ</t>
  </si>
  <si>
    <t>คอนกรีต</t>
  </si>
  <si>
    <t>ตัวคูณลดกำลัง</t>
  </si>
  <si>
    <t>โมดูลัสยืดหยุ่น , 15210√f'c</t>
  </si>
  <si>
    <t>เหล็กเสริม</t>
  </si>
  <si>
    <t>ชั้นคุณภาพ   ("SD-xx or" SR-xx)</t>
  </si>
  <si>
    <t>กำลังคราก</t>
  </si>
  <si>
    <t>โมดูลัสยืดหยุ่น</t>
  </si>
  <si>
    <t>พารามิเตอร์</t>
  </si>
  <si>
    <t>ไดอะแกรมของโมเมนต์ดัด และแรงเฉือน</t>
  </si>
  <si>
    <t>โมเมนต์ดัด และแรงเฉือน</t>
  </si>
  <si>
    <t>ช่วงนอก</t>
  </si>
  <si>
    <t>ช่วงใน</t>
  </si>
  <si>
    <t>รายการ</t>
  </si>
  <si>
    <t>โมเมนต์บวก,M+</t>
  </si>
  <si>
    <t>โมเมนต์ลบ,M-</t>
  </si>
  <si>
    <t>แรงเฉือน,Vmax</t>
  </si>
  <si>
    <t>โมเมนต์บิด,Mt</t>
  </si>
  <si>
    <t>หน่วยแรงเฉือนบิด, Vt</t>
  </si>
  <si>
    <t>หน่วยแรงเฉือน,V</t>
  </si>
  <si>
    <t>คุณสมบัติของหน้าตัด</t>
  </si>
  <si>
    <t>ตรวจสอบความลึกต่ำสุดในกรณีไม้ต้องตรวจสอบระยะโก่ง</t>
  </si>
  <si>
    <t>กรณี</t>
  </si>
  <si>
    <t>ความลึกต่ำสุด</t>
  </si>
  <si>
    <t>คานช่วงเดียว</t>
  </si>
  <si>
    <t>คานต่อเนื่องด้านเดียว</t>
  </si>
  <si>
    <t>คานต่อเนื่องสองด้าน</t>
  </si>
  <si>
    <t>คานยื่น</t>
  </si>
  <si>
    <t>เหล็กเสริมรับโมเมนต์</t>
  </si>
  <si>
    <t>เหล็กเสริมรับโมเมนต์บิด</t>
  </si>
  <si>
    <t>เหล็กเสริมกลาง</t>
  </si>
  <si>
    <t>บน</t>
  </si>
  <si>
    <t>ล่าง</t>
  </si>
  <si>
    <t>เหล็ก</t>
  </si>
  <si>
    <t>แรงดึง</t>
  </si>
  <si>
    <t>แรงอัด</t>
  </si>
  <si>
    <t>เหล็กเสริมรับแรงเฉือน</t>
  </si>
  <si>
    <t>ขนาดเหล็กปลอก</t>
  </si>
  <si>
    <t>ระยะเรียงมากที่สุดที่ยอมให้, s-max</t>
  </si>
  <si>
    <t>ระยะเรียงเหล็กปลอกรับแรงเฉือน</t>
  </si>
  <si>
    <t>ขนาดหน้าตัด และรายละเอียดการเสริมเหล็ก</t>
  </si>
  <si>
    <t>กลางคาน</t>
  </si>
  <si>
    <t>หน่วย</t>
  </si>
  <si>
    <t>ตรวจสอบ</t>
  </si>
  <si>
    <t>ขนาด</t>
  </si>
  <si>
    <t>As req.</t>
  </si>
  <si>
    <t>As pro.</t>
  </si>
  <si>
    <t>As. req</t>
  </si>
  <si>
    <t>ชนิดหน้าตัด =</t>
  </si>
  <si>
    <t>หน่วยแรงอัดที่ยอมให้</t>
  </si>
  <si>
    <t>หน่วยแรงดึงที่ยอมให้</t>
  </si>
  <si>
    <t>กำลังอัดประลัย</t>
  </si>
  <si>
    <t>กก./ตร.ซม.</t>
  </si>
  <si>
    <t>กก.-ม.</t>
  </si>
  <si>
    <t>กก./ตร.ม.</t>
  </si>
  <si>
    <t>กก.</t>
  </si>
  <si>
    <t>ตร.ซม.</t>
  </si>
  <si>
    <t>ซม.</t>
  </si>
  <si>
    <t>ม.</t>
  </si>
  <si>
    <t>มม.</t>
  </si>
  <si>
    <t>ออกแบบคานคอนกรีตเสริมเหล็ก - วิธีหน่วยแรงใช้งาน</t>
  </si>
  <si>
    <t>ระยะเรียงที่ใช้</t>
  </si>
  <si>
    <t>Asmin(2-12)</t>
  </si>
  <si>
    <t>นาย สุธีร์     แก้วคำ  สย.9698</t>
  </si>
  <si>
    <t>รายการคำนวณออกแบบ</t>
  </si>
  <si>
    <t>คอนกรีตเสริมเหล็ก</t>
  </si>
  <si>
    <t>อาคารคอนกรีตเสริมเหล็ก 3 ชั้น_TYPE A</t>
  </si>
  <si>
    <t>ปทุมธานี</t>
  </si>
  <si>
    <t>SD-30</t>
  </si>
  <si>
    <t>B8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</si>
</sst>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/d"/>
    <numFmt numFmtId="192" formatCode="[$-41E]d\ mmmm\ yyyy"/>
    <numFmt numFmtId="193" formatCode="[$-1010409]d\ mmmm\ yyyy;@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_ ;\-0.00\ "/>
    <numFmt numFmtId="206" formatCode="_-* #,##0.0_-;\-* #,##0.0_-;_-* &quot;-&quot;??_-;_-@_-"/>
    <numFmt numFmtId="207" formatCode="_-* #,##0_-;\-* #,##0_-;_-* &quot;-&quot;??_-;_-@_-"/>
    <numFmt numFmtId="208" formatCode="0.000_ ;\-0.000\ "/>
    <numFmt numFmtId="209" formatCode="0.0000_ ;\-0.0000\ "/>
    <numFmt numFmtId="210" formatCode="#,##0&quot; mm.&quot;"/>
    <numFmt numFmtId="211" formatCode="#,##0.00&quot; m.&quot;"/>
    <numFmt numFmtId="212" formatCode="[$-101041E]d\ mmm\ yy;@"/>
    <numFmt numFmtId="213" formatCode="[$-101041E]d\ mmmm\ yyyy;@"/>
    <numFmt numFmtId="214" formatCode="#,##0&quot; มม.&quot;"/>
    <numFmt numFmtId="215" formatCode="#,##0.00&quot; ม.&quot;"/>
    <numFmt numFmtId="216" formatCode="0.0_ ;\-0.0\ "/>
  </numFmts>
  <fonts count="65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vertAlign val="superscript"/>
      <sz val="8"/>
      <color indexed="8"/>
      <name val="Times New Roman"/>
      <family val="1"/>
    </font>
    <font>
      <b/>
      <sz val="11"/>
      <name val="Times New Roman"/>
      <family val="1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4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7"/>
      <color indexed="14"/>
      <name val="Times New Roman"/>
      <family val="1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0"/>
      <color indexed="8"/>
      <name val="Tahoma"/>
      <family val="0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sz val="10"/>
      <color theme="1"/>
      <name val="Times New Roman"/>
      <family val="1"/>
    </font>
    <font>
      <b/>
      <sz val="8"/>
      <color rgb="FFFF33CC"/>
      <name val="Times New Roman"/>
      <family val="1"/>
    </font>
    <font>
      <b/>
      <sz val="7.5"/>
      <color theme="1"/>
      <name val="Times New Roman"/>
      <family val="1"/>
    </font>
    <font>
      <b/>
      <sz val="8"/>
      <color rgb="FF2504EC"/>
      <name val="Times New Roman"/>
      <family val="1"/>
    </font>
    <font>
      <b/>
      <sz val="8"/>
      <color rgb="FF0000FF"/>
      <name val="Times New Roman"/>
      <family val="1"/>
    </font>
    <font>
      <b/>
      <sz val="7"/>
      <color rgb="FFFF33CC"/>
      <name val="Times New Roman"/>
      <family val="1"/>
    </font>
    <font>
      <b/>
      <sz val="6.5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2504EC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lightDown">
        <fgColor theme="3" tint="0.3999499976634979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</cellStyleXfs>
  <cellXfs count="23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61" applyFont="1" applyFill="1" applyBorder="1" applyProtection="1">
      <alignment/>
      <protection/>
    </xf>
    <xf numFmtId="191" fontId="5" fillId="0" borderId="10" xfId="61" applyNumberFormat="1" applyFont="1" applyFill="1" applyBorder="1" applyAlignment="1" applyProtection="1">
      <alignment horizontal="right"/>
      <protection/>
    </xf>
    <xf numFmtId="0" fontId="5" fillId="0" borderId="10" xfId="61" applyFont="1" applyFill="1" applyBorder="1" applyProtection="1">
      <alignment/>
      <protection/>
    </xf>
    <xf numFmtId="0" fontId="53" fillId="0" borderId="10" xfId="0" applyFont="1" applyFill="1" applyBorder="1" applyAlignment="1" applyProtection="1">
      <alignment horizontal="left"/>
      <protection/>
    </xf>
    <xf numFmtId="0" fontId="54" fillId="19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4" fillId="0" borderId="0" xfId="61" applyFont="1" applyFill="1" applyBorder="1" applyProtection="1">
      <alignment/>
      <protection/>
    </xf>
    <xf numFmtId="191" fontId="5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Border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14" fontId="5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12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54" fillId="0" borderId="13" xfId="0" applyFont="1" applyFill="1" applyBorder="1" applyAlignment="1" applyProtection="1">
      <alignment/>
      <protection/>
    </xf>
    <xf numFmtId="0" fontId="54" fillId="0" borderId="14" xfId="0" applyFont="1" applyFill="1" applyBorder="1" applyAlignment="1" applyProtection="1">
      <alignment/>
      <protection/>
    </xf>
    <xf numFmtId="0" fontId="54" fillId="0" borderId="15" xfId="0" applyFont="1" applyFill="1" applyBorder="1" applyAlignment="1" applyProtection="1">
      <alignment/>
      <protection/>
    </xf>
    <xf numFmtId="199" fontId="54" fillId="0" borderId="16" xfId="0" applyNumberFormat="1" applyFont="1" applyFill="1" applyBorder="1" applyAlignment="1" applyProtection="1">
      <alignment/>
      <protection/>
    </xf>
    <xf numFmtId="0" fontId="54" fillId="0" borderId="16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left"/>
      <protection/>
    </xf>
    <xf numFmtId="2" fontId="54" fillId="0" borderId="0" xfId="0" applyNumberFormat="1" applyFont="1" applyFill="1" applyBorder="1" applyAlignment="1" applyProtection="1">
      <alignment horizontal="center"/>
      <protection/>
    </xf>
    <xf numFmtId="1" fontId="54" fillId="0" borderId="0" xfId="0" applyNumberFormat="1" applyFont="1" applyFill="1" applyBorder="1" applyAlignment="1" applyProtection="1">
      <alignment horizontal="center"/>
      <protection/>
    </xf>
    <xf numFmtId="200" fontId="54" fillId="0" borderId="0" xfId="0" applyNumberFormat="1" applyFont="1" applyFill="1" applyBorder="1" applyAlignment="1" applyProtection="1">
      <alignment horizontal="center"/>
      <protection/>
    </xf>
    <xf numFmtId="2" fontId="54" fillId="0" borderId="0" xfId="0" applyNumberFormat="1" applyFont="1" applyFill="1" applyBorder="1" applyAlignment="1" applyProtection="1">
      <alignment/>
      <protection/>
    </xf>
    <xf numFmtId="0" fontId="54" fillId="0" borderId="16" xfId="0" applyFont="1" applyFill="1" applyBorder="1" applyAlignment="1" applyProtection="1">
      <alignment horizontal="center"/>
      <protection/>
    </xf>
    <xf numFmtId="0" fontId="54" fillId="0" borderId="17" xfId="0" applyFont="1" applyFill="1" applyBorder="1" applyAlignment="1" applyProtection="1">
      <alignment horizontal="center"/>
      <protection/>
    </xf>
    <xf numFmtId="0" fontId="54" fillId="0" borderId="18" xfId="0" applyFont="1" applyFill="1" applyBorder="1" applyAlignment="1" applyProtection="1">
      <alignment horizontal="center"/>
      <protection/>
    </xf>
    <xf numFmtId="0" fontId="54" fillId="0" borderId="12" xfId="0" applyFont="1" applyFill="1" applyBorder="1" applyAlignment="1" applyProtection="1">
      <alignment horizontal="center"/>
      <protection/>
    </xf>
    <xf numFmtId="0" fontId="54" fillId="0" borderId="17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55" fillId="0" borderId="18" xfId="0" applyFont="1" applyFill="1" applyBorder="1" applyAlignment="1" applyProtection="1">
      <alignment horizontal="center"/>
      <protection/>
    </xf>
    <xf numFmtId="0" fontId="55" fillId="0" borderId="12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2" fontId="54" fillId="0" borderId="17" xfId="0" applyNumberFormat="1" applyFont="1" applyFill="1" applyBorder="1" applyAlignment="1" applyProtection="1">
      <alignment horizontal="left"/>
      <protection/>
    </xf>
    <xf numFmtId="1" fontId="55" fillId="0" borderId="0" xfId="0" applyNumberFormat="1" applyFont="1" applyFill="1" applyBorder="1" applyAlignment="1" applyProtection="1">
      <alignment horizontal="center"/>
      <protection/>
    </xf>
    <xf numFmtId="1" fontId="55" fillId="0" borderId="18" xfId="0" applyNumberFormat="1" applyFont="1" applyFill="1" applyBorder="1" applyAlignment="1" applyProtection="1">
      <alignment horizontal="center"/>
      <protection/>
    </xf>
    <xf numFmtId="1" fontId="55" fillId="0" borderId="12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19" xfId="0" applyFont="1" applyFill="1" applyBorder="1" applyAlignment="1" applyProtection="1">
      <alignment/>
      <protection/>
    </xf>
    <xf numFmtId="0" fontId="54" fillId="0" borderId="17" xfId="0" applyFont="1" applyFill="1" applyBorder="1" applyAlignment="1" applyProtection="1">
      <alignment/>
      <protection/>
    </xf>
    <xf numFmtId="43" fontId="54" fillId="0" borderId="0" xfId="42" applyFont="1" applyFill="1" applyBorder="1" applyAlignment="1" applyProtection="1">
      <alignment horizontal="center"/>
      <protection/>
    </xf>
    <xf numFmtId="2" fontId="54" fillId="0" borderId="0" xfId="0" applyNumberFormat="1" applyFont="1" applyFill="1" applyBorder="1" applyAlignment="1" applyProtection="1">
      <alignment horizontal="left"/>
      <protection/>
    </xf>
    <xf numFmtId="0" fontId="54" fillId="0" borderId="16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shrinkToFit="1"/>
      <protection/>
    </xf>
    <xf numFmtId="43" fontId="54" fillId="0" borderId="16" xfId="42" applyFont="1" applyFill="1" applyBorder="1" applyAlignment="1" applyProtection="1">
      <alignment horizontal="center"/>
      <protection/>
    </xf>
    <xf numFmtId="2" fontId="54" fillId="0" borderId="16" xfId="0" applyNumberFormat="1" applyFont="1" applyFill="1" applyBorder="1" applyAlignment="1" applyProtection="1">
      <alignment horizontal="left"/>
      <protection/>
    </xf>
    <xf numFmtId="0" fontId="54" fillId="0" borderId="16" xfId="0" applyFont="1" applyFill="1" applyBorder="1" applyAlignment="1" applyProtection="1">
      <alignment vertical="center"/>
      <protection/>
    </xf>
    <xf numFmtId="0" fontId="54" fillId="0" borderId="11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19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 shrinkToFit="1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4" fillId="0" borderId="21" xfId="0" applyFont="1" applyFill="1" applyBorder="1" applyAlignment="1" applyProtection="1">
      <alignment vertical="center"/>
      <protection/>
    </xf>
    <xf numFmtId="0" fontId="54" fillId="0" borderId="21" xfId="0" applyFont="1" applyFill="1" applyBorder="1" applyAlignment="1" applyProtection="1">
      <alignment vertical="center" shrinkToFit="1"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0" fontId="54" fillId="0" borderId="22" xfId="0" applyFont="1" applyFill="1" applyBorder="1" applyAlignment="1" applyProtection="1">
      <alignment horizontal="center" vertical="center"/>
      <protection/>
    </xf>
    <xf numFmtId="207" fontId="54" fillId="0" borderId="0" xfId="42" applyNumberFormat="1" applyFont="1" applyFill="1" applyBorder="1" applyAlignment="1" applyProtection="1">
      <alignment/>
      <protection/>
    </xf>
    <xf numFmtId="208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20" xfId="0" applyFont="1" applyFill="1" applyBorder="1" applyAlignment="1" applyProtection="1">
      <alignment/>
      <protection/>
    </xf>
    <xf numFmtId="0" fontId="54" fillId="0" borderId="21" xfId="0" applyFont="1" applyFill="1" applyBorder="1" applyAlignment="1" applyProtection="1">
      <alignment/>
      <protection/>
    </xf>
    <xf numFmtId="0" fontId="54" fillId="0" borderId="22" xfId="0" applyFont="1" applyFill="1" applyBorder="1" applyAlignment="1" applyProtection="1">
      <alignment/>
      <protection/>
    </xf>
    <xf numFmtId="0" fontId="53" fillId="12" borderId="13" xfId="0" applyFont="1" applyFill="1" applyBorder="1" applyAlignment="1" applyProtection="1">
      <alignment/>
      <protection/>
    </xf>
    <xf numFmtId="0" fontId="53" fillId="12" borderId="14" xfId="0" applyFont="1" applyFill="1" applyBorder="1" applyAlignment="1" applyProtection="1">
      <alignment/>
      <protection/>
    </xf>
    <xf numFmtId="0" fontId="53" fillId="12" borderId="15" xfId="0" applyFont="1" applyFill="1" applyBorder="1" applyAlignment="1" applyProtection="1">
      <alignment/>
      <protection/>
    </xf>
    <xf numFmtId="0" fontId="53" fillId="12" borderId="16" xfId="0" applyFont="1" applyFill="1" applyBorder="1" applyAlignment="1" applyProtection="1">
      <alignment/>
      <protection/>
    </xf>
    <xf numFmtId="0" fontId="53" fillId="33" borderId="23" xfId="0" applyFont="1" applyFill="1" applyBorder="1" applyAlignment="1" applyProtection="1">
      <alignment horizontal="center"/>
      <protection/>
    </xf>
    <xf numFmtId="43" fontId="57" fillId="0" borderId="0" xfId="42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center"/>
      <protection/>
    </xf>
    <xf numFmtId="2" fontId="57" fillId="34" borderId="16" xfId="0" applyNumberFormat="1" applyFont="1" applyFill="1" applyBorder="1" applyAlignment="1" applyProtection="1">
      <alignment horizontal="center" shrinkToFit="1"/>
      <protection/>
    </xf>
    <xf numFmtId="43" fontId="57" fillId="34" borderId="0" xfId="42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57" fillId="34" borderId="0" xfId="0" applyFont="1" applyFill="1" applyBorder="1" applyAlignment="1" applyProtection="1">
      <alignment horizontal="center"/>
      <protection/>
    </xf>
    <xf numFmtId="0" fontId="55" fillId="19" borderId="16" xfId="0" applyFont="1" applyFill="1" applyBorder="1" applyAlignment="1" applyProtection="1">
      <alignment horizontal="center" vertical="center"/>
      <protection/>
    </xf>
    <xf numFmtId="0" fontId="55" fillId="19" borderId="16" xfId="0" applyFont="1" applyFill="1" applyBorder="1" applyAlignment="1" applyProtection="1">
      <alignment/>
      <protection/>
    </xf>
    <xf numFmtId="211" fontId="5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211" fontId="54" fillId="0" borderId="0" xfId="0" applyNumberFormat="1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/>
      <protection/>
    </xf>
    <xf numFmtId="0" fontId="54" fillId="0" borderId="24" xfId="0" applyFont="1" applyFill="1" applyBorder="1" applyAlignment="1" applyProtection="1">
      <alignment/>
      <protection/>
    </xf>
    <xf numFmtId="0" fontId="54" fillId="0" borderId="19" xfId="0" applyFont="1" applyFill="1" applyBorder="1" applyAlignment="1" applyProtection="1">
      <alignment/>
      <protection/>
    </xf>
    <xf numFmtId="0" fontId="54" fillId="0" borderId="25" xfId="0" applyFont="1" applyFill="1" applyBorder="1" applyAlignment="1" applyProtection="1">
      <alignment/>
      <protection/>
    </xf>
    <xf numFmtId="0" fontId="54" fillId="0" borderId="17" xfId="0" applyFont="1" applyFill="1" applyBorder="1" applyAlignment="1" applyProtection="1">
      <alignment/>
      <protection/>
    </xf>
    <xf numFmtId="0" fontId="54" fillId="0" borderId="18" xfId="0" applyFont="1" applyFill="1" applyBorder="1" applyAlignment="1" applyProtection="1">
      <alignment/>
      <protection/>
    </xf>
    <xf numFmtId="0" fontId="54" fillId="0" borderId="17" xfId="0" applyFont="1" applyFill="1" applyBorder="1" applyAlignment="1" applyProtection="1">
      <alignment vertical="center"/>
      <protection/>
    </xf>
    <xf numFmtId="0" fontId="54" fillId="0" borderId="18" xfId="0" applyFont="1" applyFill="1" applyBorder="1" applyAlignment="1" applyProtection="1">
      <alignment horizontal="center" vertical="center"/>
      <protection/>
    </xf>
    <xf numFmtId="0" fontId="54" fillId="0" borderId="26" xfId="0" applyFont="1" applyFill="1" applyBorder="1" applyAlignment="1" applyProtection="1">
      <alignment/>
      <protection/>
    </xf>
    <xf numFmtId="0" fontId="54" fillId="0" borderId="27" xfId="0" applyFont="1" applyFill="1" applyBorder="1" applyAlignment="1" applyProtection="1">
      <alignment/>
      <protection/>
    </xf>
    <xf numFmtId="0" fontId="54" fillId="0" borderId="28" xfId="0" applyFont="1" applyFill="1" applyBorder="1" applyAlignment="1" applyProtection="1">
      <alignment/>
      <protection/>
    </xf>
    <xf numFmtId="0" fontId="53" fillId="12" borderId="16" xfId="0" applyFont="1" applyFill="1" applyBorder="1" applyAlignment="1" applyProtection="1">
      <alignment horizontal="center" vertical="center"/>
      <protection/>
    </xf>
    <xf numFmtId="0" fontId="53" fillId="13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3" fillId="33" borderId="23" xfId="0" applyFont="1" applyFill="1" applyBorder="1" applyAlignment="1" applyProtection="1">
      <alignment horizontal="center" vertical="center"/>
      <protection/>
    </xf>
    <xf numFmtId="2" fontId="57" fillId="34" borderId="16" xfId="0" applyNumberFormat="1" applyFont="1" applyFill="1" applyBorder="1" applyAlignment="1" applyProtection="1">
      <alignment horizontal="center" vertical="center" shrinkToFit="1"/>
      <protection/>
    </xf>
    <xf numFmtId="0" fontId="54" fillId="0" borderId="0" xfId="0" applyFont="1" applyFill="1" applyBorder="1" applyAlignment="1" applyProtection="1">
      <alignment shrinkToFit="1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3" fillId="0" borderId="0" xfId="61" applyFont="1" applyFill="1" applyBorder="1" applyAlignment="1" applyProtection="1">
      <alignment/>
      <protection/>
    </xf>
    <xf numFmtId="0" fontId="54" fillId="0" borderId="29" xfId="0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9" fillId="0" borderId="10" xfId="61" applyFont="1" applyFill="1" applyBorder="1" applyAlignment="1" applyProtection="1">
      <alignment/>
      <protection/>
    </xf>
    <xf numFmtId="0" fontId="59" fillId="0" borderId="0" xfId="61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193" fontId="59" fillId="0" borderId="0" xfId="0" applyNumberFormat="1" applyFont="1" applyFill="1" applyBorder="1" applyAlignment="1" applyProtection="1">
      <alignment horizontal="left"/>
      <protection/>
    </xf>
    <xf numFmtId="0" fontId="59" fillId="0" borderId="31" xfId="0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54" fillId="0" borderId="31" xfId="0" applyFont="1" applyFill="1" applyBorder="1" applyAlignment="1" applyProtection="1">
      <alignment/>
      <protection/>
    </xf>
    <xf numFmtId="0" fontId="3" fillId="0" borderId="29" xfId="61" applyFont="1" applyFill="1" applyBorder="1" applyAlignment="1" applyProtection="1">
      <alignment vertical="center"/>
      <protection/>
    </xf>
    <xf numFmtId="0" fontId="54" fillId="0" borderId="30" xfId="0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/>
      <protection/>
    </xf>
    <xf numFmtId="0" fontId="59" fillId="35" borderId="20" xfId="61" applyFont="1" applyFill="1" applyBorder="1" applyAlignment="1" applyProtection="1">
      <alignment horizontal="left"/>
      <protection/>
    </xf>
    <xf numFmtId="0" fontId="59" fillId="35" borderId="21" xfId="61" applyFont="1" applyFill="1" applyBorder="1" applyAlignment="1" applyProtection="1">
      <alignment horizontal="left"/>
      <protection/>
    </xf>
    <xf numFmtId="0" fontId="4" fillId="0" borderId="21" xfId="61" applyFont="1" applyFill="1" applyBorder="1" applyProtection="1">
      <alignment/>
      <protection/>
    </xf>
    <xf numFmtId="14" fontId="5" fillId="0" borderId="21" xfId="61" applyNumberFormat="1" applyFont="1" applyFill="1" applyBorder="1" applyAlignment="1" applyProtection="1">
      <alignment/>
      <protection/>
    </xf>
    <xf numFmtId="0" fontId="5" fillId="0" borderId="21" xfId="61" applyNumberFormat="1" applyFont="1" applyFill="1" applyBorder="1" applyAlignment="1" applyProtection="1">
      <alignment/>
      <protection/>
    </xf>
    <xf numFmtId="0" fontId="54" fillId="0" borderId="33" xfId="0" applyFont="1" applyFill="1" applyBorder="1" applyAlignment="1" applyProtection="1">
      <alignment vertical="center"/>
      <protection/>
    </xf>
    <xf numFmtId="0" fontId="54" fillId="0" borderId="33" xfId="0" applyFont="1" applyFill="1" applyBorder="1" applyAlignment="1" applyProtection="1">
      <alignment vertical="center" shrinkToFit="1"/>
      <protection/>
    </xf>
    <xf numFmtId="0" fontId="54" fillId="0" borderId="33" xfId="0" applyFont="1" applyFill="1" applyBorder="1" applyAlignment="1" applyProtection="1">
      <alignment horizontal="center" vertical="center"/>
      <protection/>
    </xf>
    <xf numFmtId="0" fontId="53" fillId="12" borderId="16" xfId="0" applyFont="1" applyFill="1" applyBorder="1" applyAlignment="1" applyProtection="1">
      <alignment horizontal="center"/>
      <protection/>
    </xf>
    <xf numFmtId="0" fontId="53" fillId="13" borderId="16" xfId="0" applyFont="1" applyFill="1" applyBorder="1" applyAlignment="1" applyProtection="1">
      <alignment horizontal="center"/>
      <protection/>
    </xf>
    <xf numFmtId="0" fontId="53" fillId="33" borderId="16" xfId="0" applyFont="1" applyFill="1" applyBorder="1" applyAlignment="1" applyProtection="1">
      <alignment horizontal="center"/>
      <protection/>
    </xf>
    <xf numFmtId="0" fontId="54" fillId="0" borderId="16" xfId="0" applyFont="1" applyFill="1" applyBorder="1" applyAlignment="1" applyProtection="1">
      <alignment horizontal="center" shrinkToFit="1"/>
      <protection/>
    </xf>
    <xf numFmtId="0" fontId="54" fillId="0" borderId="34" xfId="0" applyFont="1" applyFill="1" applyBorder="1" applyAlignment="1" applyProtection="1">
      <alignment/>
      <protection/>
    </xf>
    <xf numFmtId="0" fontId="53" fillId="36" borderId="11" xfId="0" applyFont="1" applyFill="1" applyBorder="1" applyAlignment="1" applyProtection="1">
      <alignment horizontal="center"/>
      <protection/>
    </xf>
    <xf numFmtId="0" fontId="53" fillId="36" borderId="0" xfId="0" applyFont="1" applyFill="1" applyBorder="1" applyAlignment="1" applyProtection="1">
      <alignment/>
      <protection/>
    </xf>
    <xf numFmtId="0" fontId="54" fillId="36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 horizontal="left"/>
    </xf>
    <xf numFmtId="215" fontId="53" fillId="0" borderId="0" xfId="0" applyNumberFormat="1" applyFont="1" applyFill="1" applyBorder="1" applyAlignment="1" applyProtection="1">
      <alignment horizontal="center" vertical="center"/>
      <protection/>
    </xf>
    <xf numFmtId="0" fontId="59" fillId="37" borderId="32" xfId="0" applyNumberFormat="1" applyFont="1" applyFill="1" applyBorder="1" applyAlignment="1" applyProtection="1">
      <alignment horizontal="center"/>
      <protection locked="0"/>
    </xf>
    <xf numFmtId="0" fontId="59" fillId="37" borderId="35" xfId="0" applyFont="1" applyFill="1" applyBorder="1" applyAlignment="1" applyProtection="1">
      <alignment horizontal="center"/>
      <protection locked="0"/>
    </xf>
    <xf numFmtId="2" fontId="59" fillId="37" borderId="16" xfId="0" applyNumberFormat="1" applyFont="1" applyFill="1" applyBorder="1" applyAlignment="1" applyProtection="1">
      <alignment horizontal="center"/>
      <protection locked="0"/>
    </xf>
    <xf numFmtId="0" fontId="60" fillId="37" borderId="16" xfId="0" applyFont="1" applyFill="1" applyBorder="1" applyAlignment="1" applyProtection="1">
      <alignment horizontal="center"/>
      <protection locked="0"/>
    </xf>
    <xf numFmtId="214" fontId="60" fillId="37" borderId="16" xfId="0" applyNumberFormat="1" applyFont="1" applyFill="1" applyBorder="1" applyAlignment="1" applyProtection="1">
      <alignment horizontal="center"/>
      <protection locked="0"/>
    </xf>
    <xf numFmtId="0" fontId="60" fillId="37" borderId="23" xfId="0" applyFont="1" applyFill="1" applyBorder="1" applyAlignment="1" applyProtection="1">
      <alignment horizontal="center"/>
      <protection locked="0"/>
    </xf>
    <xf numFmtId="1" fontId="60" fillId="32" borderId="16" xfId="0" applyNumberFormat="1" applyFont="1" applyFill="1" applyBorder="1" applyAlignment="1" applyProtection="1">
      <alignment horizontal="center"/>
      <protection locked="0"/>
    </xf>
    <xf numFmtId="0" fontId="60" fillId="37" borderId="1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/>
    </xf>
    <xf numFmtId="199" fontId="60" fillId="37" borderId="16" xfId="0" applyNumberFormat="1" applyFont="1" applyFill="1" applyBorder="1" applyAlignment="1" applyProtection="1">
      <alignment horizontal="center"/>
      <protection locked="0"/>
    </xf>
    <xf numFmtId="216" fontId="54" fillId="0" borderId="0" xfId="0" applyNumberFormat="1" applyFont="1" applyFill="1" applyBorder="1" applyAlignment="1" applyProtection="1">
      <alignment horizontal="center"/>
      <protection/>
    </xf>
    <xf numFmtId="0" fontId="59" fillId="37" borderId="10" xfId="61" applyFont="1" applyFill="1" applyBorder="1" applyAlignment="1" applyProtection="1">
      <alignment vertical="center"/>
      <protection locked="0"/>
    </xf>
    <xf numFmtId="0" fontId="54" fillId="37" borderId="30" xfId="0" applyFont="1" applyFill="1" applyBorder="1" applyAlignment="1" applyProtection="1">
      <alignment/>
      <protection/>
    </xf>
    <xf numFmtId="0" fontId="54" fillId="37" borderId="12" xfId="0" applyFont="1" applyFill="1" applyBorder="1" applyAlignment="1" applyProtection="1">
      <alignment/>
      <protection/>
    </xf>
    <xf numFmtId="0" fontId="61" fillId="34" borderId="17" xfId="0" applyFont="1" applyFill="1" applyBorder="1" applyAlignment="1" applyProtection="1">
      <alignment horizontal="center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0" fontId="9" fillId="0" borderId="3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9" fillId="0" borderId="21" xfId="61" applyFont="1" applyFill="1" applyBorder="1" applyAlignment="1" applyProtection="1">
      <alignment horizontal="center" vertical="center"/>
      <protection/>
    </xf>
    <xf numFmtId="0" fontId="9" fillId="0" borderId="22" xfId="61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shrinkToFit="1"/>
      <protection/>
    </xf>
    <xf numFmtId="0" fontId="62" fillId="0" borderId="12" xfId="0" applyFont="1" applyFill="1" applyBorder="1" applyAlignment="1" applyProtection="1">
      <alignment horizontal="center" shrinkToFi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215" fontId="53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 horizontal="center"/>
      <protection/>
    </xf>
    <xf numFmtId="205" fontId="54" fillId="0" borderId="13" xfId="42" applyNumberFormat="1" applyFont="1" applyFill="1" applyBorder="1" applyAlignment="1" applyProtection="1">
      <alignment horizontal="center"/>
      <protection/>
    </xf>
    <xf numFmtId="205" fontId="54" fillId="0" borderId="15" xfId="42" applyNumberFormat="1" applyFont="1" applyFill="1" applyBorder="1" applyAlignment="1" applyProtection="1">
      <alignment horizontal="center"/>
      <protection/>
    </xf>
    <xf numFmtId="0" fontId="53" fillId="33" borderId="36" xfId="0" applyFont="1" applyFill="1" applyBorder="1" applyAlignment="1" applyProtection="1">
      <alignment horizontal="left" vertical="center" shrinkToFit="1"/>
      <protection/>
    </xf>
    <xf numFmtId="0" fontId="53" fillId="33" borderId="37" xfId="0" applyFont="1" applyFill="1" applyBorder="1" applyAlignment="1" applyProtection="1">
      <alignment horizontal="left" vertical="center" shrinkToFit="1"/>
      <protection/>
    </xf>
    <xf numFmtId="0" fontId="54" fillId="0" borderId="13" xfId="0" applyFont="1" applyFill="1" applyBorder="1" applyAlignment="1" applyProtection="1">
      <alignment horizontal="center"/>
      <protection/>
    </xf>
    <xf numFmtId="0" fontId="54" fillId="0" borderId="15" xfId="0" applyFont="1" applyFill="1" applyBorder="1" applyAlignment="1" applyProtection="1">
      <alignment horizontal="center"/>
      <protection/>
    </xf>
    <xf numFmtId="1" fontId="54" fillId="0" borderId="13" xfId="0" applyNumberFormat="1" applyFont="1" applyFill="1" applyBorder="1" applyAlignment="1" applyProtection="1">
      <alignment horizontal="center"/>
      <protection/>
    </xf>
    <xf numFmtId="0" fontId="54" fillId="0" borderId="14" xfId="0" applyFont="1" applyFill="1" applyBorder="1" applyAlignment="1" applyProtection="1">
      <alignment horizontal="center"/>
      <protection/>
    </xf>
    <xf numFmtId="0" fontId="54" fillId="0" borderId="27" xfId="0" applyFont="1" applyFill="1" applyBorder="1" applyAlignment="1" applyProtection="1">
      <alignment horizontal="center"/>
      <protection/>
    </xf>
    <xf numFmtId="0" fontId="53" fillId="36" borderId="13" xfId="0" applyFont="1" applyFill="1" applyBorder="1" applyAlignment="1" applyProtection="1">
      <alignment horizontal="center" vertical="center"/>
      <protection/>
    </xf>
    <xf numFmtId="0" fontId="53" fillId="36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9" fillId="37" borderId="13" xfId="0" applyFont="1" applyFill="1" applyBorder="1" applyAlignment="1" applyProtection="1">
      <alignment horizontal="center"/>
      <protection locked="0"/>
    </xf>
    <xf numFmtId="0" fontId="59" fillId="37" borderId="14" xfId="0" applyFont="1" applyFill="1" applyBorder="1" applyAlignment="1" applyProtection="1">
      <alignment horizontal="center"/>
      <protection locked="0"/>
    </xf>
    <xf numFmtId="0" fontId="59" fillId="37" borderId="15" xfId="0" applyFont="1" applyFill="1" applyBorder="1" applyAlignment="1" applyProtection="1">
      <alignment horizontal="center"/>
      <protection locked="0"/>
    </xf>
    <xf numFmtId="0" fontId="57" fillId="34" borderId="0" xfId="0" applyFont="1" applyFill="1" applyBorder="1" applyAlignment="1" applyProtection="1">
      <alignment horizontal="center"/>
      <protection/>
    </xf>
    <xf numFmtId="0" fontId="53" fillId="33" borderId="13" xfId="0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 horizontal="center"/>
      <protection/>
    </xf>
    <xf numFmtId="0" fontId="63" fillId="36" borderId="38" xfId="61" applyFont="1" applyFill="1" applyBorder="1" applyAlignment="1" applyProtection="1">
      <alignment horizontal="center" vertical="center"/>
      <protection/>
    </xf>
    <xf numFmtId="0" fontId="63" fillId="36" borderId="39" xfId="61" applyFont="1" applyFill="1" applyBorder="1" applyAlignment="1" applyProtection="1">
      <alignment horizontal="center" vertical="center"/>
      <protection/>
    </xf>
    <xf numFmtId="0" fontId="63" fillId="36" borderId="40" xfId="6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53" fillId="12" borderId="16" xfId="0" applyFont="1" applyFill="1" applyBorder="1" applyAlignment="1" applyProtection="1">
      <alignment horizontal="center"/>
      <protection/>
    </xf>
    <xf numFmtId="0" fontId="53" fillId="13" borderId="16" xfId="0" applyFont="1" applyFill="1" applyBorder="1" applyAlignment="1" applyProtection="1">
      <alignment horizontal="center"/>
      <protection/>
    </xf>
    <xf numFmtId="0" fontId="53" fillId="33" borderId="16" xfId="0" applyFont="1" applyFill="1" applyBorder="1" applyAlignment="1" applyProtection="1">
      <alignment horizontal="center"/>
      <protection/>
    </xf>
    <xf numFmtId="2" fontId="54" fillId="0" borderId="13" xfId="0" applyNumberFormat="1" applyFont="1" applyFill="1" applyBorder="1" applyAlignment="1" applyProtection="1">
      <alignment horizontal="center"/>
      <protection/>
    </xf>
    <xf numFmtId="2" fontId="54" fillId="0" borderId="15" xfId="0" applyNumberFormat="1" applyFont="1" applyFill="1" applyBorder="1" applyAlignment="1" applyProtection="1">
      <alignment horizontal="center"/>
      <protection/>
    </xf>
    <xf numFmtId="0" fontId="53" fillId="12" borderId="13" xfId="0" applyFont="1" applyFill="1" applyBorder="1" applyAlignment="1" applyProtection="1">
      <alignment horizontal="center"/>
      <protection/>
    </xf>
    <xf numFmtId="0" fontId="53" fillId="12" borderId="14" xfId="0" applyFont="1" applyFill="1" applyBorder="1" applyAlignment="1" applyProtection="1">
      <alignment horizontal="center"/>
      <protection/>
    </xf>
    <xf numFmtId="0" fontId="53" fillId="12" borderId="1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3" fillId="12" borderId="36" xfId="0" applyFont="1" applyFill="1" applyBorder="1" applyAlignment="1" applyProtection="1">
      <alignment horizontal="left" vertical="center" shrinkToFit="1"/>
      <protection/>
    </xf>
    <xf numFmtId="0" fontId="53" fillId="12" borderId="37" xfId="0" applyFont="1" applyFill="1" applyBorder="1" applyAlignment="1" applyProtection="1">
      <alignment horizontal="left" vertical="center" shrinkToFit="1"/>
      <protection/>
    </xf>
    <xf numFmtId="43" fontId="4" fillId="0" borderId="13" xfId="42" applyFont="1" applyFill="1" applyBorder="1" applyAlignment="1" applyProtection="1">
      <alignment/>
      <protection/>
    </xf>
    <xf numFmtId="43" fontId="4" fillId="0" borderId="14" xfId="42" applyFont="1" applyFill="1" applyBorder="1" applyAlignment="1" applyProtection="1">
      <alignment/>
      <protection/>
    </xf>
    <xf numFmtId="43" fontId="4" fillId="0" borderId="15" xfId="42" applyFont="1" applyFill="1" applyBorder="1" applyAlignment="1" applyProtection="1">
      <alignment/>
      <protection/>
    </xf>
    <xf numFmtId="0" fontId="64" fillId="38" borderId="13" xfId="0" applyFont="1" applyFill="1" applyBorder="1" applyAlignment="1" applyProtection="1">
      <alignment horizontal="center"/>
      <protection/>
    </xf>
    <xf numFmtId="0" fontId="64" fillId="38" borderId="14" xfId="0" applyFont="1" applyFill="1" applyBorder="1" applyAlignment="1" applyProtection="1">
      <alignment horizontal="center"/>
      <protection/>
    </xf>
    <xf numFmtId="0" fontId="64" fillId="38" borderId="15" xfId="0" applyFont="1" applyFill="1" applyBorder="1" applyAlignment="1" applyProtection="1">
      <alignment horizontal="center"/>
      <protection/>
    </xf>
    <xf numFmtId="0" fontId="59" fillId="37" borderId="0" xfId="61" applyFont="1" applyFill="1" applyBorder="1" applyAlignment="1" applyProtection="1">
      <alignment horizontal="left" vertical="center"/>
      <protection locked="0"/>
    </xf>
    <xf numFmtId="0" fontId="59" fillId="37" borderId="0" xfId="0" applyFont="1" applyFill="1" applyBorder="1" applyAlignment="1" applyProtection="1">
      <alignment horizontal="left"/>
      <protection locked="0"/>
    </xf>
    <xf numFmtId="0" fontId="59" fillId="37" borderId="10" xfId="0" applyFont="1" applyFill="1" applyBorder="1" applyAlignment="1" applyProtection="1">
      <alignment horizontal="left"/>
      <protection locked="0"/>
    </xf>
    <xf numFmtId="213" fontId="59" fillId="37" borderId="0" xfId="0" applyNumberFormat="1" applyFont="1" applyFill="1" applyBorder="1" applyAlignment="1" applyProtection="1">
      <alignment horizontal="left"/>
      <protection locked="0"/>
    </xf>
    <xf numFmtId="0" fontId="53" fillId="0" borderId="11" xfId="0" applyFont="1" applyFill="1" applyBorder="1" applyAlignment="1" applyProtection="1">
      <alignment shrinkToFit="1"/>
      <protection/>
    </xf>
    <xf numFmtId="0" fontId="53" fillId="0" borderId="0" xfId="0" applyFont="1" applyFill="1" applyBorder="1" applyAlignment="1" applyProtection="1">
      <alignment shrinkToFit="1"/>
      <protection/>
    </xf>
    <xf numFmtId="0" fontId="53" fillId="0" borderId="0" xfId="0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59" fillId="37" borderId="13" xfId="0" applyNumberFormat="1" applyFont="1" applyFill="1" applyBorder="1" applyAlignment="1" applyProtection="1">
      <alignment horizontal="center"/>
      <protection locked="0"/>
    </xf>
    <xf numFmtId="1" fontId="59" fillId="37" borderId="14" xfId="0" applyNumberFormat="1" applyFont="1" applyFill="1" applyBorder="1" applyAlignment="1" applyProtection="1">
      <alignment horizontal="center"/>
      <protection locked="0"/>
    </xf>
    <xf numFmtId="1" fontId="59" fillId="37" borderId="15" xfId="0" applyNumberFormat="1" applyFont="1" applyFill="1" applyBorder="1" applyAlignment="1" applyProtection="1">
      <alignment horizontal="center"/>
      <protection locked="0"/>
    </xf>
    <xf numFmtId="0" fontId="53" fillId="13" borderId="13" xfId="0" applyFont="1" applyFill="1" applyBorder="1" applyAlignment="1" applyProtection="1">
      <alignment horizontal="center"/>
      <protection/>
    </xf>
    <xf numFmtId="0" fontId="53" fillId="13" borderId="14" xfId="0" applyFont="1" applyFill="1" applyBorder="1" applyAlignment="1" applyProtection="1">
      <alignment horizontal="center"/>
      <protection/>
    </xf>
    <xf numFmtId="0" fontId="53" fillId="13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213" fontId="3" fillId="0" borderId="0" xfId="0" applyNumberFormat="1" applyFont="1" applyFill="1" applyBorder="1" applyAlignment="1" applyProtection="1">
      <alignment horizontal="left"/>
      <protection/>
    </xf>
    <xf numFmtId="0" fontId="53" fillId="13" borderId="36" xfId="0" applyFont="1" applyFill="1" applyBorder="1" applyAlignment="1" applyProtection="1">
      <alignment horizontal="left" vertical="center" shrinkToFit="1"/>
      <protection/>
    </xf>
    <xf numFmtId="0" fontId="53" fillId="13" borderId="37" xfId="0" applyFont="1" applyFill="1" applyBorder="1" applyAlignment="1" applyProtection="1">
      <alignment horizontal="left" vertical="center" shrinkToFit="1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1" fontId="54" fillId="0" borderId="14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Mbeam" xfId="61"/>
  </cellStyles>
  <dxfs count="18"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fgColor rgb="FFFF0000"/>
          <bgColor rgb="FFFF000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b/>
        <i val="0"/>
        <color auto="1"/>
      </font>
      <fill>
        <patternFill>
          <fgColor rgb="FFFF0000"/>
          <bgColor rgb="FFFF000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color rgb="FF9C0006"/>
      </font>
      <border/>
    </dxf>
    <dxf>
      <font>
        <b/>
        <i val="0"/>
        <color rgb="FF0000FF"/>
      </font>
      <border/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0.9542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top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Sheet1!$AD$83:$AD$89</c:f>
              <c:numCache/>
            </c:numRef>
          </c:xVal>
          <c:yVal>
            <c:numRef>
              <c:f>Sheet1!$AE$83:$AE$89</c:f>
              <c:numCache/>
            </c:numRef>
          </c:yVal>
          <c:smooth val="0"/>
        </c:ser>
        <c:ser>
          <c:idx val="1"/>
          <c:order val="1"/>
          <c:tx>
            <c:v>top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Sheet1!$AD$94:$AD$100</c:f>
              <c:numCache/>
            </c:numRef>
          </c:xVal>
          <c:yVal>
            <c:numRef>
              <c:f>Sheet1!$AE$94:$AE$100</c:f>
              <c:numCache/>
            </c:numRef>
          </c:yVal>
          <c:smooth val="0"/>
        </c:ser>
        <c:ser>
          <c:idx val="2"/>
          <c:order val="2"/>
          <c:tx>
            <c:v>bootom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Sheet1!$AD$105:$AD$111</c:f>
              <c:numCache/>
            </c:numRef>
          </c:xVal>
          <c:yVal>
            <c:numRef>
              <c:f>Sheet1!$AE$105:$AE$111</c:f>
              <c:numCache/>
            </c:numRef>
          </c:yVal>
          <c:smooth val="0"/>
        </c:ser>
        <c:ser>
          <c:idx val="3"/>
          <c:order val="3"/>
          <c:tx>
            <c:v>bottom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Sheet1!$AD$116:$AD$122</c:f>
              <c:numCache/>
            </c:numRef>
          </c:xVal>
          <c:yVal>
            <c:numRef>
              <c:f>Sheet1!$AE$116:$AE$122</c:f>
              <c:numCache/>
            </c:numRef>
          </c:yVal>
          <c:smooth val="0"/>
        </c:ser>
        <c:ser>
          <c:idx val="4"/>
          <c:order val="4"/>
          <c:tx>
            <c:v>middle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Sheet1!$AD$127:$AD$130</c:f>
              <c:numCache/>
            </c:numRef>
          </c:xVal>
          <c:yVal>
            <c:numRef>
              <c:f>Sheet1!$AE$127:$AE$130</c:f>
              <c:numCache/>
            </c:numRef>
          </c:yVal>
          <c:smooth val="0"/>
        </c:ser>
        <c:axId val="33862984"/>
        <c:axId val="36331401"/>
      </c:scatterChart>
      <c:valAx>
        <c:axId val="33862984"/>
        <c:scaling>
          <c:orientation val="minMax"/>
        </c:scaling>
        <c:axPos val="b"/>
        <c:delete val="1"/>
        <c:majorTickMark val="out"/>
        <c:minorTickMark val="none"/>
        <c:tickLblPos val="nextTo"/>
        <c:crossAx val="36331401"/>
        <c:crosses val="autoZero"/>
        <c:crossBetween val="midCat"/>
        <c:dispUnits/>
      </c:valAx>
      <c:valAx>
        <c:axId val="36331401"/>
        <c:scaling>
          <c:orientation val="minMax"/>
        </c:scaling>
        <c:axPos val="l"/>
        <c:delete val="1"/>
        <c:majorTickMark val="out"/>
        <c:minorTickMark val="none"/>
        <c:tickLblPos val="nextTo"/>
        <c:crossAx val="33862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0.955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top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Sheet1!$AO$83:$AO$89</c:f>
              <c:numCache/>
            </c:numRef>
          </c:xVal>
          <c:yVal>
            <c:numRef>
              <c:f>Sheet1!$AP$83:$AP$89</c:f>
              <c:numCache/>
            </c:numRef>
          </c:yVal>
          <c:smooth val="0"/>
        </c:ser>
        <c:ser>
          <c:idx val="1"/>
          <c:order val="1"/>
          <c:tx>
            <c:v>top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Sheet1!$AO$94:$AO$100</c:f>
              <c:numCache/>
            </c:numRef>
          </c:xVal>
          <c:yVal>
            <c:numRef>
              <c:f>Sheet1!$AP$94:$AP$100</c:f>
              <c:numCache/>
            </c:numRef>
          </c:yVal>
          <c:smooth val="0"/>
        </c:ser>
        <c:ser>
          <c:idx val="2"/>
          <c:order val="2"/>
          <c:tx>
            <c:v>bootom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Sheet1!$AO$105:$AO$111</c:f>
              <c:numCache/>
            </c:numRef>
          </c:xVal>
          <c:yVal>
            <c:numRef>
              <c:f>Sheet1!$AP$105:$AP$111</c:f>
              <c:numCache/>
            </c:numRef>
          </c:yVal>
          <c:smooth val="0"/>
        </c:ser>
        <c:ser>
          <c:idx val="3"/>
          <c:order val="3"/>
          <c:tx>
            <c:v>bottom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Sheet1!$AO$116:$AO$122</c:f>
              <c:numCache/>
            </c:numRef>
          </c:xVal>
          <c:yVal>
            <c:numRef>
              <c:f>Sheet1!$AP$116:$AP$122</c:f>
              <c:numCache/>
            </c:numRef>
          </c:yVal>
          <c:smooth val="0"/>
        </c:ser>
        <c:ser>
          <c:idx val="4"/>
          <c:order val="4"/>
          <c:tx>
            <c:v>middle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Sheet1!$AO$127:$AO$130</c:f>
              <c:numCache/>
            </c:numRef>
          </c:xVal>
          <c:yVal>
            <c:numRef>
              <c:f>Sheet1!$AP$127:$AP$130</c:f>
              <c:numCache/>
            </c:numRef>
          </c:yVal>
          <c:smooth val="0"/>
        </c:ser>
        <c:axId val="58547154"/>
        <c:axId val="57162339"/>
      </c:scatterChart>
      <c:valAx>
        <c:axId val="58547154"/>
        <c:scaling>
          <c:orientation val="minMax"/>
        </c:scaling>
        <c:axPos val="b"/>
        <c:delete val="1"/>
        <c:majorTickMark val="out"/>
        <c:minorTickMark val="none"/>
        <c:tickLblPos val="nextTo"/>
        <c:crossAx val="57162339"/>
        <c:crosses val="autoZero"/>
        <c:crossBetween val="midCat"/>
        <c:dispUnits/>
      </c:valAx>
      <c:valAx>
        <c:axId val="57162339"/>
        <c:scaling>
          <c:orientation val="minMax"/>
        </c:scaling>
        <c:axPos val="l"/>
        <c:delete val="1"/>
        <c:majorTickMark val="out"/>
        <c:minorTickMark val="none"/>
        <c:tickLblPos val="nextTo"/>
        <c:crossAx val="585471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0.9537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v>top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Sheet1!$AZ$83:$AZ$89</c:f>
              <c:numCache/>
            </c:numRef>
          </c:xVal>
          <c:yVal>
            <c:numRef>
              <c:f>Sheet1!$BA$83:$BA$89</c:f>
              <c:numCache/>
            </c:numRef>
          </c:yVal>
          <c:smooth val="0"/>
        </c:ser>
        <c:ser>
          <c:idx val="1"/>
          <c:order val="1"/>
          <c:tx>
            <c:v>top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Sheet1!$AZ$94:$AZ$100</c:f>
              <c:numCache/>
            </c:numRef>
          </c:xVal>
          <c:yVal>
            <c:numRef>
              <c:f>Sheet1!$BA$94:$BA$100</c:f>
              <c:numCache/>
            </c:numRef>
          </c:yVal>
          <c:smooth val="0"/>
        </c:ser>
        <c:ser>
          <c:idx val="2"/>
          <c:order val="2"/>
          <c:tx>
            <c:v>bootom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Sheet1!$AZ$105:$AZ$111</c:f>
              <c:numCache/>
            </c:numRef>
          </c:xVal>
          <c:yVal>
            <c:numRef>
              <c:f>Sheet1!$BA$105:$BA$111</c:f>
              <c:numCache/>
            </c:numRef>
          </c:yVal>
          <c:smooth val="0"/>
        </c:ser>
        <c:ser>
          <c:idx val="3"/>
          <c:order val="3"/>
          <c:tx>
            <c:v>bottom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Sheet1!$AZ$116:$AZ$122</c:f>
              <c:numCache/>
            </c:numRef>
          </c:xVal>
          <c:yVal>
            <c:numRef>
              <c:f>Sheet1!$BA$116:$BA$122</c:f>
              <c:numCache/>
            </c:numRef>
          </c:yVal>
          <c:smooth val="0"/>
        </c:ser>
        <c:ser>
          <c:idx val="4"/>
          <c:order val="4"/>
          <c:tx>
            <c:v>middle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Sheet1!$AZ$127:$AZ$130</c:f>
              <c:numCache/>
            </c:numRef>
          </c:xVal>
          <c:yVal>
            <c:numRef>
              <c:f>Sheet1!$BA$127:$BA$130</c:f>
              <c:numCache/>
            </c:numRef>
          </c:yVal>
          <c:smooth val="0"/>
        </c:ser>
        <c:axId val="44699004"/>
        <c:axId val="66746717"/>
      </c:scatterChart>
      <c:valAx>
        <c:axId val="44699004"/>
        <c:scaling>
          <c:orientation val="minMax"/>
        </c:scaling>
        <c:axPos val="b"/>
        <c:delete val="1"/>
        <c:majorTickMark val="out"/>
        <c:minorTickMark val="none"/>
        <c:tickLblPos val="nextTo"/>
        <c:crossAx val="66746717"/>
        <c:crosses val="autoZero"/>
        <c:crossBetween val="midCat"/>
        <c:dispUnits/>
      </c:valAx>
      <c:valAx>
        <c:axId val="66746717"/>
        <c:scaling>
          <c:orientation val="minMax"/>
        </c:scaling>
        <c:axPos val="l"/>
        <c:delete val="1"/>
        <c:majorTickMark val="out"/>
        <c:minorTickMark val="none"/>
        <c:tickLblPos val="nextTo"/>
        <c:crossAx val="44699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2.wmf" /><Relationship Id="rId5" Type="http://schemas.openxmlformats.org/officeDocument/2006/relationships/image" Target="../media/image20.png" /><Relationship Id="rId6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114</xdr:row>
      <xdr:rowOff>85725</xdr:rowOff>
    </xdr:from>
    <xdr:to>
      <xdr:col>4</xdr:col>
      <xdr:colOff>361950</xdr:colOff>
      <xdr:row>128</xdr:row>
      <xdr:rowOff>9525</xdr:rowOff>
    </xdr:to>
    <xdr:grpSp>
      <xdr:nvGrpSpPr>
        <xdr:cNvPr id="1" name="Group 48"/>
        <xdr:cNvGrpSpPr>
          <a:grpSpLocks/>
        </xdr:cNvGrpSpPr>
      </xdr:nvGrpSpPr>
      <xdr:grpSpPr>
        <a:xfrm>
          <a:off x="1276350" y="15859125"/>
          <a:ext cx="1019175" cy="1924050"/>
          <a:chOff x="1272886" y="16022494"/>
          <a:chExt cx="1021773" cy="1982929"/>
        </a:xfrm>
        <a:solidFill>
          <a:srgbClr val="FFFFFF"/>
        </a:solidFill>
      </xdr:grpSpPr>
      <xdr:graphicFrame>
        <xdr:nvGraphicFramePr>
          <xdr:cNvPr id="2" name="Chart 9"/>
          <xdr:cNvGraphicFramePr/>
        </xdr:nvGraphicFramePr>
        <xdr:xfrm>
          <a:off x="1558727" y="16218308"/>
          <a:ext cx="735932" cy="178364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Straight Arrow Connector 11"/>
          <xdr:cNvSpPr>
            <a:spLocks/>
          </xdr:cNvSpPr>
        </xdr:nvSpPr>
        <xdr:spPr>
          <a:xfrm>
            <a:off x="1549786" y="16022494"/>
            <a:ext cx="744873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4" name="Group 25"/>
          <xdr:cNvGrpSpPr>
            <a:grpSpLocks/>
          </xdr:cNvGrpSpPr>
        </xdr:nvGrpSpPr>
        <xdr:grpSpPr>
          <a:xfrm>
            <a:off x="1272886" y="16210377"/>
            <a:ext cx="277156" cy="1795046"/>
            <a:chOff x="1272886" y="16210614"/>
            <a:chExt cx="277091" cy="1794809"/>
          </a:xfrm>
          <a:solidFill>
            <a:srgbClr val="FFFFFF"/>
          </a:solidFill>
        </xdr:grpSpPr>
        <xdr:sp>
          <xdr:nvSpPr>
            <xdr:cNvPr id="5" name="Straight Connector 16"/>
            <xdr:cNvSpPr>
              <a:spLocks/>
            </xdr:cNvSpPr>
          </xdr:nvSpPr>
          <xdr:spPr>
            <a:xfrm rot="10800000">
              <a:off x="1272886" y="16228562"/>
              <a:ext cx="267393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" name="Straight Connector 17"/>
            <xdr:cNvSpPr>
              <a:spLocks/>
            </xdr:cNvSpPr>
          </xdr:nvSpPr>
          <xdr:spPr>
            <a:xfrm rot="10800000">
              <a:off x="1282446" y="18005423"/>
              <a:ext cx="267393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" name="Straight Arrow Connector 19"/>
            <xdr:cNvSpPr>
              <a:spLocks/>
            </xdr:cNvSpPr>
          </xdr:nvSpPr>
          <xdr:spPr>
            <a:xfrm rot="5400000">
              <a:off x="527512" y="17107121"/>
              <a:ext cx="1796450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38100</xdr:colOff>
      <xdr:row>114</xdr:row>
      <xdr:rowOff>85725</xdr:rowOff>
    </xdr:from>
    <xdr:to>
      <xdr:col>11</xdr:col>
      <xdr:colOff>361950</xdr:colOff>
      <xdr:row>128</xdr:row>
      <xdr:rowOff>0</xdr:rowOff>
    </xdr:to>
    <xdr:grpSp>
      <xdr:nvGrpSpPr>
        <xdr:cNvPr id="8" name="Group 49"/>
        <xdr:cNvGrpSpPr>
          <a:grpSpLocks/>
        </xdr:cNvGrpSpPr>
      </xdr:nvGrpSpPr>
      <xdr:grpSpPr>
        <a:xfrm>
          <a:off x="3829050" y="15859125"/>
          <a:ext cx="1066800" cy="1914525"/>
          <a:chOff x="3827318" y="16022494"/>
          <a:chExt cx="1073728" cy="1972686"/>
        </a:xfrm>
        <a:solidFill>
          <a:srgbClr val="FFFFFF"/>
        </a:solidFill>
      </xdr:grpSpPr>
      <xdr:graphicFrame>
        <xdr:nvGraphicFramePr>
          <xdr:cNvPr id="9" name="Chart 22"/>
          <xdr:cNvGraphicFramePr/>
        </xdr:nvGraphicFramePr>
        <xdr:xfrm>
          <a:off x="4165005" y="16209899"/>
          <a:ext cx="736041" cy="178380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0" name="Straight Arrow Connector 23"/>
          <xdr:cNvSpPr>
            <a:spLocks/>
          </xdr:cNvSpPr>
        </xdr:nvSpPr>
        <xdr:spPr>
          <a:xfrm>
            <a:off x="4162858" y="16022494"/>
            <a:ext cx="738188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1" name="Group 26"/>
          <xdr:cNvGrpSpPr>
            <a:grpSpLocks/>
          </xdr:cNvGrpSpPr>
        </xdr:nvGrpSpPr>
        <xdr:grpSpPr>
          <a:xfrm>
            <a:off x="3827318" y="16217790"/>
            <a:ext cx="277022" cy="1777390"/>
            <a:chOff x="1272886" y="16227136"/>
            <a:chExt cx="277091" cy="1777495"/>
          </a:xfrm>
          <a:solidFill>
            <a:srgbClr val="FFFFFF"/>
          </a:solidFill>
        </xdr:grpSpPr>
        <xdr:sp>
          <xdr:nvSpPr>
            <xdr:cNvPr id="12" name="Straight Connector 27"/>
            <xdr:cNvSpPr>
              <a:spLocks/>
            </xdr:cNvSpPr>
          </xdr:nvSpPr>
          <xdr:spPr>
            <a:xfrm rot="10800000">
              <a:off x="1272886" y="16228025"/>
              <a:ext cx="26843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3" name="Straight Connector 28"/>
            <xdr:cNvSpPr>
              <a:spLocks/>
            </xdr:cNvSpPr>
          </xdr:nvSpPr>
          <xdr:spPr>
            <a:xfrm rot="10800000">
              <a:off x="1282446" y="18004631"/>
              <a:ext cx="26843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4" name="Straight Arrow Connector 29"/>
            <xdr:cNvSpPr>
              <a:spLocks/>
            </xdr:cNvSpPr>
          </xdr:nvSpPr>
          <xdr:spPr>
            <a:xfrm rot="5400000">
              <a:off x="538180" y="17116328"/>
              <a:ext cx="1776430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47625</xdr:colOff>
      <xdr:row>114</xdr:row>
      <xdr:rowOff>85725</xdr:rowOff>
    </xdr:from>
    <xdr:to>
      <xdr:col>18</xdr:col>
      <xdr:colOff>371475</xdr:colOff>
      <xdr:row>128</xdr:row>
      <xdr:rowOff>28575</xdr:rowOff>
    </xdr:to>
    <xdr:grpSp>
      <xdr:nvGrpSpPr>
        <xdr:cNvPr id="15" name="Group 50"/>
        <xdr:cNvGrpSpPr>
          <a:grpSpLocks/>
        </xdr:cNvGrpSpPr>
      </xdr:nvGrpSpPr>
      <xdr:grpSpPr>
        <a:xfrm>
          <a:off x="6438900" y="15859125"/>
          <a:ext cx="1066800" cy="1943100"/>
          <a:chOff x="6442363" y="16022494"/>
          <a:chExt cx="1073727" cy="1997073"/>
        </a:xfrm>
        <a:solidFill>
          <a:srgbClr val="FFFFFF"/>
        </a:solidFill>
      </xdr:grpSpPr>
      <xdr:graphicFrame>
        <xdr:nvGraphicFramePr>
          <xdr:cNvPr id="16" name="Chart 30"/>
          <xdr:cNvGraphicFramePr/>
        </xdr:nvGraphicFramePr>
        <xdr:xfrm>
          <a:off x="6780050" y="16235682"/>
          <a:ext cx="736040" cy="178388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7" name="Straight Arrow Connector 31"/>
          <xdr:cNvSpPr>
            <a:spLocks/>
          </xdr:cNvSpPr>
        </xdr:nvSpPr>
        <xdr:spPr>
          <a:xfrm>
            <a:off x="6768239" y="16022494"/>
            <a:ext cx="738187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8" name="Group 40"/>
          <xdr:cNvGrpSpPr>
            <a:grpSpLocks/>
          </xdr:cNvGrpSpPr>
        </xdr:nvGrpSpPr>
        <xdr:grpSpPr>
          <a:xfrm>
            <a:off x="6442363" y="16235182"/>
            <a:ext cx="277022" cy="1777395"/>
            <a:chOff x="1272886" y="16227136"/>
            <a:chExt cx="277091" cy="1777495"/>
          </a:xfrm>
          <a:solidFill>
            <a:srgbClr val="FFFFFF"/>
          </a:solidFill>
        </xdr:grpSpPr>
        <xdr:sp>
          <xdr:nvSpPr>
            <xdr:cNvPr id="19" name="Straight Connector 41"/>
            <xdr:cNvSpPr>
              <a:spLocks/>
            </xdr:cNvSpPr>
          </xdr:nvSpPr>
          <xdr:spPr>
            <a:xfrm rot="10800000">
              <a:off x="1272886" y="16229802"/>
              <a:ext cx="26843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0" name="Straight Connector 42"/>
            <xdr:cNvSpPr>
              <a:spLocks/>
            </xdr:cNvSpPr>
          </xdr:nvSpPr>
          <xdr:spPr>
            <a:xfrm rot="10800000">
              <a:off x="1282446" y="18001965"/>
              <a:ext cx="26843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21" name="Straight Arrow Connector 43"/>
            <xdr:cNvSpPr>
              <a:spLocks/>
            </xdr:cNvSpPr>
          </xdr:nvSpPr>
          <xdr:spPr>
            <a:xfrm rot="5400000">
              <a:off x="540397" y="17115884"/>
              <a:ext cx="1771928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333375</xdr:colOff>
      <xdr:row>59</xdr:row>
      <xdr:rowOff>28575</xdr:rowOff>
    </xdr:from>
    <xdr:to>
      <xdr:col>15</xdr:col>
      <xdr:colOff>142875</xdr:colOff>
      <xdr:row>67</xdr:row>
      <xdr:rowOff>104775</xdr:rowOff>
    </xdr:to>
    <xdr:grpSp>
      <xdr:nvGrpSpPr>
        <xdr:cNvPr id="22" name="Group 76"/>
        <xdr:cNvGrpSpPr>
          <a:grpSpLocks/>
        </xdr:cNvGrpSpPr>
      </xdr:nvGrpSpPr>
      <xdr:grpSpPr>
        <a:xfrm>
          <a:off x="5238750" y="7915275"/>
          <a:ext cx="923925" cy="1219200"/>
          <a:chOff x="7670800" y="8089900"/>
          <a:chExt cx="931400" cy="1244600"/>
        </a:xfrm>
        <a:solidFill>
          <a:srgbClr val="FFFFFF"/>
        </a:solidFill>
      </xdr:grpSpPr>
      <xdr:sp>
        <xdr:nvSpPr>
          <xdr:cNvPr id="23" name="Rectangle 38"/>
          <xdr:cNvSpPr>
            <a:spLocks/>
          </xdr:cNvSpPr>
        </xdr:nvSpPr>
        <xdr:spPr>
          <a:xfrm>
            <a:off x="8112051" y="8352511"/>
            <a:ext cx="412377" cy="797477"/>
          </a:xfrm>
          <a:prstGeom prst="rect">
            <a:avLst/>
          </a:prstGeom>
          <a:solidFill>
            <a:srgbClr val="FCD5B5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" name="Oval 39"/>
          <xdr:cNvSpPr>
            <a:spLocks/>
          </xdr:cNvSpPr>
        </xdr:nvSpPr>
        <xdr:spPr>
          <a:xfrm>
            <a:off x="8284593" y="8401050"/>
            <a:ext cx="67061" cy="6814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5" name="Oval 40"/>
          <xdr:cNvSpPr>
            <a:spLocks/>
          </xdr:cNvSpPr>
        </xdr:nvSpPr>
        <xdr:spPr>
          <a:xfrm>
            <a:off x="8284593" y="9023350"/>
            <a:ext cx="67061" cy="6814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6" name="Straight Connector 45"/>
          <xdr:cNvSpPr>
            <a:spLocks/>
          </xdr:cNvSpPr>
        </xdr:nvSpPr>
        <xdr:spPr>
          <a:xfrm rot="5400000">
            <a:off x="7632614" y="8707222"/>
            <a:ext cx="70972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7" name="Straight Connector 47"/>
          <xdr:cNvSpPr>
            <a:spLocks/>
          </xdr:cNvSpPr>
        </xdr:nvSpPr>
        <xdr:spPr>
          <a:xfrm rot="10800000">
            <a:off x="7718767" y="8342554"/>
            <a:ext cx="3548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8" name="Straight Connector 49"/>
          <xdr:cNvSpPr>
            <a:spLocks/>
          </xdr:cNvSpPr>
        </xdr:nvSpPr>
        <xdr:spPr>
          <a:xfrm rot="10800000">
            <a:off x="7737861" y="9149677"/>
            <a:ext cx="3357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9" name="Straight Connector 50"/>
          <xdr:cNvSpPr>
            <a:spLocks/>
          </xdr:cNvSpPr>
        </xdr:nvSpPr>
        <xdr:spPr>
          <a:xfrm rot="10800000">
            <a:off x="7910636" y="9052598"/>
            <a:ext cx="1629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0" name="Straight Connector 52"/>
          <xdr:cNvSpPr>
            <a:spLocks/>
          </xdr:cNvSpPr>
        </xdr:nvSpPr>
        <xdr:spPr>
          <a:xfrm rot="5400000">
            <a:off x="7943467" y="9106116"/>
            <a:ext cx="1068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" name="Straight Connector 59"/>
          <xdr:cNvSpPr>
            <a:spLocks/>
          </xdr:cNvSpPr>
        </xdr:nvSpPr>
        <xdr:spPr>
          <a:xfrm rot="5400000">
            <a:off x="7401859" y="8746115"/>
            <a:ext cx="80705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" name="TextBox 61"/>
          <xdr:cNvSpPr txBox="1">
            <a:spLocks noChangeArrowheads="1"/>
          </xdr:cNvSpPr>
        </xdr:nvSpPr>
        <xdr:spPr>
          <a:xfrm>
            <a:off x="8169565" y="8410696"/>
            <a:ext cx="335770" cy="1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Asc</a:t>
            </a:r>
          </a:p>
        </xdr:txBody>
      </xdr:sp>
      <xdr:sp>
        <xdr:nvSpPr>
          <xdr:cNvPr id="33" name="TextBox 62"/>
          <xdr:cNvSpPr txBox="1">
            <a:spLocks noChangeArrowheads="1"/>
          </xdr:cNvSpPr>
        </xdr:nvSpPr>
        <xdr:spPr>
          <a:xfrm>
            <a:off x="8169565" y="8848173"/>
            <a:ext cx="335770" cy="1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</a:t>
            </a:r>
          </a:p>
        </xdr:txBody>
      </xdr:sp>
      <xdr:sp>
        <xdr:nvSpPr>
          <xdr:cNvPr id="34" name="TextBox 63"/>
          <xdr:cNvSpPr txBox="1">
            <a:spLocks noChangeArrowheads="1"/>
          </xdr:cNvSpPr>
        </xdr:nvSpPr>
        <xdr:spPr>
          <a:xfrm>
            <a:off x="7853122" y="8605164"/>
            <a:ext cx="162995" cy="184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35" name="TextBox 64"/>
          <xdr:cNvSpPr txBox="1">
            <a:spLocks noChangeArrowheads="1"/>
          </xdr:cNvSpPr>
        </xdr:nvSpPr>
        <xdr:spPr>
          <a:xfrm>
            <a:off x="7670800" y="8644058"/>
            <a:ext cx="162995" cy="184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36" name="TextBox 65"/>
          <xdr:cNvSpPr txBox="1">
            <a:spLocks noChangeArrowheads="1"/>
          </xdr:cNvSpPr>
        </xdr:nvSpPr>
        <xdr:spPr>
          <a:xfrm>
            <a:off x="7776281" y="9003748"/>
            <a:ext cx="297349" cy="194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37" name="Straight Connector 68"/>
          <xdr:cNvSpPr>
            <a:spLocks/>
          </xdr:cNvSpPr>
        </xdr:nvSpPr>
        <xdr:spPr>
          <a:xfrm rot="5400000" flipH="1" flipV="1">
            <a:off x="8043826" y="8245475"/>
            <a:ext cx="155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Straight Connector 70"/>
          <xdr:cNvSpPr>
            <a:spLocks/>
          </xdr:cNvSpPr>
        </xdr:nvSpPr>
        <xdr:spPr>
          <a:xfrm rot="5400000" flipH="1" flipV="1">
            <a:off x="8446656" y="8245475"/>
            <a:ext cx="155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9" name="Straight Connector 71"/>
          <xdr:cNvSpPr>
            <a:spLocks/>
          </xdr:cNvSpPr>
        </xdr:nvSpPr>
        <xdr:spPr>
          <a:xfrm rot="10800000">
            <a:off x="8121598" y="8245475"/>
            <a:ext cx="4028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0" name="TextBox 74"/>
          <xdr:cNvSpPr txBox="1">
            <a:spLocks noChangeArrowheads="1"/>
          </xdr:cNvSpPr>
        </xdr:nvSpPr>
        <xdr:spPr>
          <a:xfrm>
            <a:off x="8227079" y="8089900"/>
            <a:ext cx="162995" cy="194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41" name="TextBox 75"/>
          <xdr:cNvSpPr txBox="1">
            <a:spLocks noChangeArrowheads="1"/>
          </xdr:cNvSpPr>
        </xdr:nvSpPr>
        <xdr:spPr>
          <a:xfrm>
            <a:off x="8073631" y="9159323"/>
            <a:ext cx="517858" cy="175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บน 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Asc</a:t>
            </a:r>
          </a:p>
        </xdr:txBody>
      </xdr:sp>
    </xdr:grpSp>
    <xdr:clientData/>
  </xdr:twoCellAnchor>
  <xdr:twoCellAnchor>
    <xdr:from>
      <xdr:col>18</xdr:col>
      <xdr:colOff>333375</xdr:colOff>
      <xdr:row>59</xdr:row>
      <xdr:rowOff>28575</xdr:rowOff>
    </xdr:from>
    <xdr:to>
      <xdr:col>21</xdr:col>
      <xdr:colOff>142875</xdr:colOff>
      <xdr:row>67</xdr:row>
      <xdr:rowOff>104775</xdr:rowOff>
    </xdr:to>
    <xdr:grpSp>
      <xdr:nvGrpSpPr>
        <xdr:cNvPr id="42" name="Group 77"/>
        <xdr:cNvGrpSpPr>
          <a:grpSpLocks/>
        </xdr:cNvGrpSpPr>
      </xdr:nvGrpSpPr>
      <xdr:grpSpPr>
        <a:xfrm>
          <a:off x="7467600" y="7915275"/>
          <a:ext cx="923925" cy="1219200"/>
          <a:chOff x="7670800" y="8089900"/>
          <a:chExt cx="931400" cy="1244600"/>
        </a:xfrm>
        <a:solidFill>
          <a:srgbClr val="FFFFFF"/>
        </a:solidFill>
      </xdr:grpSpPr>
      <xdr:sp>
        <xdr:nvSpPr>
          <xdr:cNvPr id="43" name="Rectangle 78"/>
          <xdr:cNvSpPr>
            <a:spLocks/>
          </xdr:cNvSpPr>
        </xdr:nvSpPr>
        <xdr:spPr>
          <a:xfrm>
            <a:off x="8112051" y="8352511"/>
            <a:ext cx="412377" cy="797477"/>
          </a:xfrm>
          <a:prstGeom prst="rect">
            <a:avLst/>
          </a:prstGeom>
          <a:solidFill>
            <a:srgbClr val="FF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Oval 79"/>
          <xdr:cNvSpPr>
            <a:spLocks/>
          </xdr:cNvSpPr>
        </xdr:nvSpPr>
        <xdr:spPr>
          <a:xfrm>
            <a:off x="8284593" y="8401050"/>
            <a:ext cx="67061" cy="6814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Oval 80"/>
          <xdr:cNvSpPr>
            <a:spLocks/>
          </xdr:cNvSpPr>
        </xdr:nvSpPr>
        <xdr:spPr>
          <a:xfrm>
            <a:off x="8284593" y="9023350"/>
            <a:ext cx="67061" cy="6814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6" name="Straight Connector 81"/>
          <xdr:cNvSpPr>
            <a:spLocks/>
          </xdr:cNvSpPr>
        </xdr:nvSpPr>
        <xdr:spPr>
          <a:xfrm rot="5400000">
            <a:off x="7632614" y="8707222"/>
            <a:ext cx="70972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7" name="Straight Connector 82"/>
          <xdr:cNvSpPr>
            <a:spLocks/>
          </xdr:cNvSpPr>
        </xdr:nvSpPr>
        <xdr:spPr>
          <a:xfrm rot="10800000">
            <a:off x="7718767" y="8342554"/>
            <a:ext cx="3548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Straight Connector 83"/>
          <xdr:cNvSpPr>
            <a:spLocks/>
          </xdr:cNvSpPr>
        </xdr:nvSpPr>
        <xdr:spPr>
          <a:xfrm rot="10800000">
            <a:off x="7737861" y="9149677"/>
            <a:ext cx="3357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Straight Connector 84"/>
          <xdr:cNvSpPr>
            <a:spLocks/>
          </xdr:cNvSpPr>
        </xdr:nvSpPr>
        <xdr:spPr>
          <a:xfrm rot="10800000">
            <a:off x="7910636" y="9052598"/>
            <a:ext cx="1629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Straight Connector 85"/>
          <xdr:cNvSpPr>
            <a:spLocks/>
          </xdr:cNvSpPr>
        </xdr:nvSpPr>
        <xdr:spPr>
          <a:xfrm rot="5400000">
            <a:off x="7943467" y="9106116"/>
            <a:ext cx="1068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Straight Connector 86"/>
          <xdr:cNvSpPr>
            <a:spLocks/>
          </xdr:cNvSpPr>
        </xdr:nvSpPr>
        <xdr:spPr>
          <a:xfrm rot="5400000">
            <a:off x="7401859" y="8746115"/>
            <a:ext cx="80705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TextBox 87"/>
          <xdr:cNvSpPr txBox="1">
            <a:spLocks noChangeArrowheads="1"/>
          </xdr:cNvSpPr>
        </xdr:nvSpPr>
        <xdr:spPr>
          <a:xfrm>
            <a:off x="8169565" y="8410696"/>
            <a:ext cx="335770" cy="1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</a:t>
            </a:r>
          </a:p>
        </xdr:txBody>
      </xdr:sp>
      <xdr:sp>
        <xdr:nvSpPr>
          <xdr:cNvPr id="53" name="TextBox 88"/>
          <xdr:cNvSpPr txBox="1">
            <a:spLocks noChangeArrowheads="1"/>
          </xdr:cNvSpPr>
        </xdr:nvSpPr>
        <xdr:spPr>
          <a:xfrm>
            <a:off x="8169565" y="8848173"/>
            <a:ext cx="335770" cy="1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Asc</a:t>
            </a:r>
          </a:p>
        </xdr:txBody>
      </xdr:sp>
      <xdr:sp>
        <xdr:nvSpPr>
          <xdr:cNvPr id="54" name="TextBox 89"/>
          <xdr:cNvSpPr txBox="1">
            <a:spLocks noChangeArrowheads="1"/>
          </xdr:cNvSpPr>
        </xdr:nvSpPr>
        <xdr:spPr>
          <a:xfrm>
            <a:off x="7853122" y="8605164"/>
            <a:ext cx="162995" cy="184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55" name="TextBox 90"/>
          <xdr:cNvSpPr txBox="1">
            <a:spLocks noChangeArrowheads="1"/>
          </xdr:cNvSpPr>
        </xdr:nvSpPr>
        <xdr:spPr>
          <a:xfrm>
            <a:off x="7670800" y="8644058"/>
            <a:ext cx="162995" cy="184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56" name="TextBox 91"/>
          <xdr:cNvSpPr txBox="1">
            <a:spLocks noChangeArrowheads="1"/>
          </xdr:cNvSpPr>
        </xdr:nvSpPr>
        <xdr:spPr>
          <a:xfrm>
            <a:off x="7776281" y="9003748"/>
            <a:ext cx="297349" cy="194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57" name="Straight Connector 92"/>
          <xdr:cNvSpPr>
            <a:spLocks/>
          </xdr:cNvSpPr>
        </xdr:nvSpPr>
        <xdr:spPr>
          <a:xfrm rot="5400000" flipH="1" flipV="1">
            <a:off x="8043826" y="8245475"/>
            <a:ext cx="155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8" name="Straight Connector 93"/>
          <xdr:cNvSpPr>
            <a:spLocks/>
          </xdr:cNvSpPr>
        </xdr:nvSpPr>
        <xdr:spPr>
          <a:xfrm rot="5400000" flipH="1" flipV="1">
            <a:off x="8446656" y="8245475"/>
            <a:ext cx="155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9" name="Straight Connector 94"/>
          <xdr:cNvSpPr>
            <a:spLocks/>
          </xdr:cNvSpPr>
        </xdr:nvSpPr>
        <xdr:spPr>
          <a:xfrm rot="10800000">
            <a:off x="8121598" y="8245475"/>
            <a:ext cx="4028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0" name="TextBox 95"/>
          <xdr:cNvSpPr txBox="1">
            <a:spLocks noChangeArrowheads="1"/>
          </xdr:cNvSpPr>
        </xdr:nvSpPr>
        <xdr:spPr>
          <a:xfrm>
            <a:off x="8227079" y="8089900"/>
            <a:ext cx="162995" cy="194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61" name="TextBox 96"/>
          <xdr:cNvSpPr txBox="1">
            <a:spLocks noChangeArrowheads="1"/>
          </xdr:cNvSpPr>
        </xdr:nvSpPr>
        <xdr:spPr>
          <a:xfrm>
            <a:off x="8073631" y="9159323"/>
            <a:ext cx="517858" cy="175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บน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Ast</a:t>
            </a:r>
          </a:p>
        </xdr:txBody>
      </xdr:sp>
    </xdr:grpSp>
    <xdr:clientData/>
  </xdr:twoCellAnchor>
  <xdr:twoCellAnchor>
    <xdr:from>
      <xdr:col>6</xdr:col>
      <xdr:colOff>323850</xdr:colOff>
      <xdr:row>59</xdr:row>
      <xdr:rowOff>47625</xdr:rowOff>
    </xdr:from>
    <xdr:to>
      <xdr:col>9</xdr:col>
      <xdr:colOff>133350</xdr:colOff>
      <xdr:row>67</xdr:row>
      <xdr:rowOff>123825</xdr:rowOff>
    </xdr:to>
    <xdr:grpSp>
      <xdr:nvGrpSpPr>
        <xdr:cNvPr id="62" name="Group 97"/>
        <xdr:cNvGrpSpPr>
          <a:grpSpLocks/>
        </xdr:cNvGrpSpPr>
      </xdr:nvGrpSpPr>
      <xdr:grpSpPr>
        <a:xfrm>
          <a:off x="3000375" y="7934325"/>
          <a:ext cx="923925" cy="1219200"/>
          <a:chOff x="7670800" y="8089900"/>
          <a:chExt cx="931400" cy="1244600"/>
        </a:xfrm>
        <a:solidFill>
          <a:srgbClr val="FFFFFF"/>
        </a:solidFill>
      </xdr:grpSpPr>
      <xdr:sp>
        <xdr:nvSpPr>
          <xdr:cNvPr id="63" name="Rectangle 98"/>
          <xdr:cNvSpPr>
            <a:spLocks/>
          </xdr:cNvSpPr>
        </xdr:nvSpPr>
        <xdr:spPr>
          <a:xfrm>
            <a:off x="8112051" y="8352511"/>
            <a:ext cx="412377" cy="797477"/>
          </a:xfrm>
          <a:prstGeom prst="rect">
            <a:avLst/>
          </a:prstGeom>
          <a:solidFill>
            <a:srgbClr val="B7DEE8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4" name="Oval 99"/>
          <xdr:cNvSpPr>
            <a:spLocks/>
          </xdr:cNvSpPr>
        </xdr:nvSpPr>
        <xdr:spPr>
          <a:xfrm>
            <a:off x="8284593" y="8401050"/>
            <a:ext cx="67061" cy="6814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5" name="Oval 100"/>
          <xdr:cNvSpPr>
            <a:spLocks/>
          </xdr:cNvSpPr>
        </xdr:nvSpPr>
        <xdr:spPr>
          <a:xfrm>
            <a:off x="8284593" y="9023350"/>
            <a:ext cx="67061" cy="6814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6" name="Straight Connector 101"/>
          <xdr:cNvSpPr>
            <a:spLocks/>
          </xdr:cNvSpPr>
        </xdr:nvSpPr>
        <xdr:spPr>
          <a:xfrm rot="5400000">
            <a:off x="7632614" y="8707222"/>
            <a:ext cx="70972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7" name="Straight Connector 102"/>
          <xdr:cNvSpPr>
            <a:spLocks/>
          </xdr:cNvSpPr>
        </xdr:nvSpPr>
        <xdr:spPr>
          <a:xfrm rot="10800000">
            <a:off x="7718767" y="8342554"/>
            <a:ext cx="3548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8" name="Straight Connector 103"/>
          <xdr:cNvSpPr>
            <a:spLocks/>
          </xdr:cNvSpPr>
        </xdr:nvSpPr>
        <xdr:spPr>
          <a:xfrm rot="10800000">
            <a:off x="7737861" y="9149677"/>
            <a:ext cx="3357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9" name="Straight Connector 104"/>
          <xdr:cNvSpPr>
            <a:spLocks/>
          </xdr:cNvSpPr>
        </xdr:nvSpPr>
        <xdr:spPr>
          <a:xfrm rot="10800000">
            <a:off x="7910636" y="9052598"/>
            <a:ext cx="1629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0" name="Straight Connector 105"/>
          <xdr:cNvSpPr>
            <a:spLocks/>
          </xdr:cNvSpPr>
        </xdr:nvSpPr>
        <xdr:spPr>
          <a:xfrm rot="5400000">
            <a:off x="7943467" y="9106116"/>
            <a:ext cx="1068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1" name="Straight Connector 106"/>
          <xdr:cNvSpPr>
            <a:spLocks/>
          </xdr:cNvSpPr>
        </xdr:nvSpPr>
        <xdr:spPr>
          <a:xfrm rot="5400000">
            <a:off x="7401859" y="8746115"/>
            <a:ext cx="80705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2" name="TextBox 107"/>
          <xdr:cNvSpPr txBox="1">
            <a:spLocks noChangeArrowheads="1"/>
          </xdr:cNvSpPr>
        </xdr:nvSpPr>
        <xdr:spPr>
          <a:xfrm>
            <a:off x="8169565" y="8410696"/>
            <a:ext cx="335770" cy="1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</a:t>
            </a:r>
          </a:p>
        </xdr:txBody>
      </xdr:sp>
      <xdr:sp>
        <xdr:nvSpPr>
          <xdr:cNvPr id="73" name="TextBox 108"/>
          <xdr:cNvSpPr txBox="1">
            <a:spLocks noChangeArrowheads="1"/>
          </xdr:cNvSpPr>
        </xdr:nvSpPr>
        <xdr:spPr>
          <a:xfrm>
            <a:off x="8169565" y="8848173"/>
            <a:ext cx="335770" cy="1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Asc</a:t>
            </a:r>
          </a:p>
        </xdr:txBody>
      </xdr:sp>
      <xdr:sp>
        <xdr:nvSpPr>
          <xdr:cNvPr id="74" name="TextBox 109"/>
          <xdr:cNvSpPr txBox="1">
            <a:spLocks noChangeArrowheads="1"/>
          </xdr:cNvSpPr>
        </xdr:nvSpPr>
        <xdr:spPr>
          <a:xfrm>
            <a:off x="7853122" y="8605164"/>
            <a:ext cx="162995" cy="184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75" name="TextBox 110"/>
          <xdr:cNvSpPr txBox="1">
            <a:spLocks noChangeArrowheads="1"/>
          </xdr:cNvSpPr>
        </xdr:nvSpPr>
        <xdr:spPr>
          <a:xfrm>
            <a:off x="7670800" y="8644058"/>
            <a:ext cx="162995" cy="184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76" name="TextBox 111"/>
          <xdr:cNvSpPr txBox="1">
            <a:spLocks noChangeArrowheads="1"/>
          </xdr:cNvSpPr>
        </xdr:nvSpPr>
        <xdr:spPr>
          <a:xfrm>
            <a:off x="7776281" y="9003748"/>
            <a:ext cx="297349" cy="194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77" name="Straight Connector 112"/>
          <xdr:cNvSpPr>
            <a:spLocks/>
          </xdr:cNvSpPr>
        </xdr:nvSpPr>
        <xdr:spPr>
          <a:xfrm rot="5400000" flipH="1" flipV="1">
            <a:off x="8043826" y="8245475"/>
            <a:ext cx="155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8" name="Straight Connector 113"/>
          <xdr:cNvSpPr>
            <a:spLocks/>
          </xdr:cNvSpPr>
        </xdr:nvSpPr>
        <xdr:spPr>
          <a:xfrm rot="5400000" flipH="1" flipV="1">
            <a:off x="8446656" y="8245475"/>
            <a:ext cx="155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9" name="Straight Connector 114"/>
          <xdr:cNvSpPr>
            <a:spLocks/>
          </xdr:cNvSpPr>
        </xdr:nvSpPr>
        <xdr:spPr>
          <a:xfrm rot="10800000">
            <a:off x="8121598" y="8245475"/>
            <a:ext cx="4028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0" name="TextBox 115"/>
          <xdr:cNvSpPr txBox="1">
            <a:spLocks noChangeArrowheads="1"/>
          </xdr:cNvSpPr>
        </xdr:nvSpPr>
        <xdr:spPr>
          <a:xfrm>
            <a:off x="8227079" y="8089900"/>
            <a:ext cx="162995" cy="194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81" name="TextBox 116"/>
          <xdr:cNvSpPr txBox="1">
            <a:spLocks noChangeArrowheads="1"/>
          </xdr:cNvSpPr>
        </xdr:nvSpPr>
        <xdr:spPr>
          <a:xfrm>
            <a:off x="8073631" y="9159323"/>
            <a:ext cx="517858" cy="175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บน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Ast</a:t>
            </a:r>
          </a:p>
        </xdr:txBody>
      </xdr:sp>
    </xdr:grpSp>
    <xdr:clientData/>
  </xdr:twoCellAnchor>
  <xdr:twoCellAnchor>
    <xdr:from>
      <xdr:col>18</xdr:col>
      <xdr:colOff>323850</xdr:colOff>
      <xdr:row>68</xdr:row>
      <xdr:rowOff>0</xdr:rowOff>
    </xdr:from>
    <xdr:to>
      <xdr:col>22</xdr:col>
      <xdr:colOff>133350</xdr:colOff>
      <xdr:row>76</xdr:row>
      <xdr:rowOff>85725</xdr:rowOff>
    </xdr:to>
    <xdr:grpSp>
      <xdr:nvGrpSpPr>
        <xdr:cNvPr id="82" name="Group 160"/>
        <xdr:cNvGrpSpPr>
          <a:grpSpLocks/>
        </xdr:cNvGrpSpPr>
      </xdr:nvGrpSpPr>
      <xdr:grpSpPr>
        <a:xfrm>
          <a:off x="7458075" y="9172575"/>
          <a:ext cx="1295400" cy="1228725"/>
          <a:chOff x="9372600" y="9226550"/>
          <a:chExt cx="1308100" cy="1257300"/>
        </a:xfrm>
        <a:solidFill>
          <a:srgbClr val="FFFFFF"/>
        </a:solidFill>
      </xdr:grpSpPr>
      <xdr:sp>
        <xdr:nvSpPr>
          <xdr:cNvPr id="83" name="TextBox 135"/>
          <xdr:cNvSpPr txBox="1">
            <a:spLocks noChangeArrowheads="1"/>
          </xdr:cNvSpPr>
        </xdr:nvSpPr>
        <xdr:spPr>
          <a:xfrm>
            <a:off x="9882432" y="9226550"/>
            <a:ext cx="154029" cy="1948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84" name="Rectangle 118"/>
          <xdr:cNvSpPr>
            <a:spLocks/>
          </xdr:cNvSpPr>
        </xdr:nvSpPr>
        <xdr:spPr>
          <a:xfrm>
            <a:off x="9766992" y="9489640"/>
            <a:ext cx="413687" cy="799328"/>
          </a:xfrm>
          <a:prstGeom prst="rect">
            <a:avLst/>
          </a:prstGeom>
          <a:solidFill>
            <a:srgbClr val="BFBFB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5" name="Straight Connector 121"/>
          <xdr:cNvSpPr>
            <a:spLocks/>
          </xdr:cNvSpPr>
        </xdr:nvSpPr>
        <xdr:spPr>
          <a:xfrm rot="5400000">
            <a:off x="9286593" y="9845456"/>
            <a:ext cx="71160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6" name="Straight Connector 122"/>
          <xdr:cNvSpPr>
            <a:spLocks/>
          </xdr:cNvSpPr>
        </xdr:nvSpPr>
        <xdr:spPr>
          <a:xfrm rot="10800000">
            <a:off x="9439967" y="9479896"/>
            <a:ext cx="2789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7" name="Straight Connector 123"/>
          <xdr:cNvSpPr>
            <a:spLocks/>
          </xdr:cNvSpPr>
        </xdr:nvSpPr>
        <xdr:spPr>
          <a:xfrm rot="10800000">
            <a:off x="9430156" y="10288969"/>
            <a:ext cx="2982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8" name="Straight Connector 124"/>
          <xdr:cNvSpPr>
            <a:spLocks/>
          </xdr:cNvSpPr>
        </xdr:nvSpPr>
        <xdr:spPr>
          <a:xfrm rot="10800000">
            <a:off x="9564891" y="10191528"/>
            <a:ext cx="1635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9" name="Straight Connector 125"/>
          <xdr:cNvSpPr>
            <a:spLocks/>
          </xdr:cNvSpPr>
        </xdr:nvSpPr>
        <xdr:spPr>
          <a:xfrm rot="5400000">
            <a:off x="9588436" y="10235219"/>
            <a:ext cx="1072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0" name="Straight Connector 126"/>
          <xdr:cNvSpPr>
            <a:spLocks/>
          </xdr:cNvSpPr>
        </xdr:nvSpPr>
        <xdr:spPr>
          <a:xfrm rot="5400000">
            <a:off x="9093649" y="9884432"/>
            <a:ext cx="80906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1" name="TextBox 129"/>
          <xdr:cNvSpPr txBox="1">
            <a:spLocks noChangeArrowheads="1"/>
          </xdr:cNvSpPr>
        </xdr:nvSpPr>
        <xdr:spPr>
          <a:xfrm>
            <a:off x="9507334" y="9742986"/>
            <a:ext cx="154029" cy="185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92" name="TextBox 130"/>
          <xdr:cNvSpPr txBox="1">
            <a:spLocks noChangeArrowheads="1"/>
          </xdr:cNvSpPr>
        </xdr:nvSpPr>
        <xdr:spPr>
          <a:xfrm>
            <a:off x="9372600" y="9781962"/>
            <a:ext cx="163513" cy="185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93" name="TextBox 131"/>
          <xdr:cNvSpPr txBox="1">
            <a:spLocks noChangeArrowheads="1"/>
          </xdr:cNvSpPr>
        </xdr:nvSpPr>
        <xdr:spPr>
          <a:xfrm>
            <a:off x="9430156" y="10142807"/>
            <a:ext cx="288436" cy="185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94" name="Straight Connector 132"/>
          <xdr:cNvSpPr>
            <a:spLocks/>
          </xdr:cNvSpPr>
        </xdr:nvSpPr>
        <xdr:spPr>
          <a:xfrm rot="5400000" flipH="1" flipV="1">
            <a:off x="9703549" y="9377740"/>
            <a:ext cx="146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5" name="Straight Connector 133"/>
          <xdr:cNvSpPr>
            <a:spLocks/>
          </xdr:cNvSpPr>
        </xdr:nvSpPr>
        <xdr:spPr>
          <a:xfrm rot="5400000" flipH="1" flipV="1">
            <a:off x="10097941" y="9377740"/>
            <a:ext cx="146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6" name="Straight Connector 134"/>
          <xdr:cNvSpPr>
            <a:spLocks/>
          </xdr:cNvSpPr>
        </xdr:nvSpPr>
        <xdr:spPr>
          <a:xfrm rot="10800000">
            <a:off x="9776476" y="9382455"/>
            <a:ext cx="40387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7" name="TextBox 136"/>
          <xdr:cNvSpPr txBox="1">
            <a:spLocks noChangeArrowheads="1"/>
          </xdr:cNvSpPr>
        </xdr:nvSpPr>
        <xdr:spPr>
          <a:xfrm>
            <a:off x="9584185" y="10308457"/>
            <a:ext cx="769490" cy="175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รับแรงบิด</a:t>
            </a:r>
          </a:p>
        </xdr:txBody>
      </xdr:sp>
      <xdr:sp>
        <xdr:nvSpPr>
          <xdr:cNvPr id="98" name="Rounded Rectangle 137"/>
          <xdr:cNvSpPr>
            <a:spLocks/>
          </xdr:cNvSpPr>
        </xdr:nvSpPr>
        <xdr:spPr>
          <a:xfrm>
            <a:off x="9815065" y="9518872"/>
            <a:ext cx="317541" cy="73112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9" name="Oval 120"/>
          <xdr:cNvSpPr>
            <a:spLocks/>
          </xdr:cNvSpPr>
        </xdr:nvSpPr>
        <xdr:spPr>
          <a:xfrm>
            <a:off x="9834359" y="9538360"/>
            <a:ext cx="57556" cy="58464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0" name="Oval 138"/>
          <xdr:cNvSpPr>
            <a:spLocks/>
          </xdr:cNvSpPr>
        </xdr:nvSpPr>
        <xdr:spPr>
          <a:xfrm>
            <a:off x="10036134" y="9548104"/>
            <a:ext cx="67367" cy="58464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1" name="Oval 139"/>
          <xdr:cNvSpPr>
            <a:spLocks/>
          </xdr:cNvSpPr>
        </xdr:nvSpPr>
        <xdr:spPr>
          <a:xfrm>
            <a:off x="9824549" y="10162296"/>
            <a:ext cx="57556" cy="58464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2" name="Oval 140"/>
          <xdr:cNvSpPr>
            <a:spLocks/>
          </xdr:cNvSpPr>
        </xdr:nvSpPr>
        <xdr:spPr>
          <a:xfrm>
            <a:off x="10045944" y="10162296"/>
            <a:ext cx="67367" cy="58464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3" name="Straight Connector 142"/>
          <xdr:cNvSpPr>
            <a:spLocks/>
          </xdr:cNvSpPr>
        </xdr:nvSpPr>
        <xdr:spPr>
          <a:xfrm rot="16200000" flipH="1">
            <a:off x="9882432" y="9587081"/>
            <a:ext cx="192291" cy="57490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4" name="Straight Connector 144"/>
          <xdr:cNvSpPr>
            <a:spLocks/>
          </xdr:cNvSpPr>
        </xdr:nvSpPr>
        <xdr:spPr>
          <a:xfrm rot="5400000">
            <a:off x="9666923" y="9783534"/>
            <a:ext cx="565426" cy="19236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5" name="Straight Arrow Connector 155"/>
          <xdr:cNvSpPr>
            <a:spLocks/>
          </xdr:cNvSpPr>
        </xdr:nvSpPr>
        <xdr:spPr>
          <a:xfrm>
            <a:off x="9959283" y="9850171"/>
            <a:ext cx="538610" cy="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6" name="TextBox 156"/>
          <xdr:cNvSpPr txBox="1">
            <a:spLocks noChangeArrowheads="1"/>
          </xdr:cNvSpPr>
        </xdr:nvSpPr>
        <xdr:spPr>
          <a:xfrm>
            <a:off x="10055428" y="9645545"/>
            <a:ext cx="625272" cy="38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ที่มุมุ</a:t>
            </a:r>
          </a:p>
        </xdr:txBody>
      </xdr:sp>
    </xdr:grpSp>
    <xdr:clientData/>
  </xdr:twoCellAnchor>
  <xdr:twoCellAnchor>
    <xdr:from>
      <xdr:col>13</xdr:col>
      <xdr:colOff>28575</xdr:colOff>
      <xdr:row>68</xdr:row>
      <xdr:rowOff>0</xdr:rowOff>
    </xdr:from>
    <xdr:to>
      <xdr:col>16</xdr:col>
      <xdr:colOff>209550</xdr:colOff>
      <xdr:row>76</xdr:row>
      <xdr:rowOff>85725</xdr:rowOff>
    </xdr:to>
    <xdr:grpSp>
      <xdr:nvGrpSpPr>
        <xdr:cNvPr id="107" name="Group 161"/>
        <xdr:cNvGrpSpPr>
          <a:grpSpLocks/>
        </xdr:cNvGrpSpPr>
      </xdr:nvGrpSpPr>
      <xdr:grpSpPr>
        <a:xfrm>
          <a:off x="5305425" y="9172575"/>
          <a:ext cx="1295400" cy="1228725"/>
          <a:chOff x="9372600" y="9226550"/>
          <a:chExt cx="1308100" cy="1257300"/>
        </a:xfrm>
        <a:solidFill>
          <a:srgbClr val="FFFFFF"/>
        </a:solidFill>
      </xdr:grpSpPr>
      <xdr:sp>
        <xdr:nvSpPr>
          <xdr:cNvPr id="108" name="TextBox 162"/>
          <xdr:cNvSpPr txBox="1">
            <a:spLocks noChangeArrowheads="1"/>
          </xdr:cNvSpPr>
        </xdr:nvSpPr>
        <xdr:spPr>
          <a:xfrm>
            <a:off x="9882432" y="9226550"/>
            <a:ext cx="154029" cy="1948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109" name="Rectangle 163"/>
          <xdr:cNvSpPr>
            <a:spLocks/>
          </xdr:cNvSpPr>
        </xdr:nvSpPr>
        <xdr:spPr>
          <a:xfrm>
            <a:off x="9766992" y="9489640"/>
            <a:ext cx="413687" cy="799328"/>
          </a:xfrm>
          <a:prstGeom prst="rect">
            <a:avLst/>
          </a:prstGeom>
          <a:solidFill>
            <a:srgbClr val="BFBFB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0" name="Straight Connector 164"/>
          <xdr:cNvSpPr>
            <a:spLocks/>
          </xdr:cNvSpPr>
        </xdr:nvSpPr>
        <xdr:spPr>
          <a:xfrm rot="5400000">
            <a:off x="9286593" y="9845456"/>
            <a:ext cx="71160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1" name="Straight Connector 165"/>
          <xdr:cNvSpPr>
            <a:spLocks/>
          </xdr:cNvSpPr>
        </xdr:nvSpPr>
        <xdr:spPr>
          <a:xfrm rot="10800000">
            <a:off x="9439967" y="9479896"/>
            <a:ext cx="2789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2" name="Straight Connector 166"/>
          <xdr:cNvSpPr>
            <a:spLocks/>
          </xdr:cNvSpPr>
        </xdr:nvSpPr>
        <xdr:spPr>
          <a:xfrm rot="10800000">
            <a:off x="9430156" y="10288969"/>
            <a:ext cx="2982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3" name="Straight Connector 167"/>
          <xdr:cNvSpPr>
            <a:spLocks/>
          </xdr:cNvSpPr>
        </xdr:nvSpPr>
        <xdr:spPr>
          <a:xfrm rot="10800000">
            <a:off x="9564891" y="10191528"/>
            <a:ext cx="1635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4" name="Straight Connector 168"/>
          <xdr:cNvSpPr>
            <a:spLocks/>
          </xdr:cNvSpPr>
        </xdr:nvSpPr>
        <xdr:spPr>
          <a:xfrm rot="5400000">
            <a:off x="9588436" y="10235219"/>
            <a:ext cx="1072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5" name="Straight Connector 169"/>
          <xdr:cNvSpPr>
            <a:spLocks/>
          </xdr:cNvSpPr>
        </xdr:nvSpPr>
        <xdr:spPr>
          <a:xfrm rot="5400000">
            <a:off x="9093649" y="9884432"/>
            <a:ext cx="80906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6" name="TextBox 170"/>
          <xdr:cNvSpPr txBox="1">
            <a:spLocks noChangeArrowheads="1"/>
          </xdr:cNvSpPr>
        </xdr:nvSpPr>
        <xdr:spPr>
          <a:xfrm>
            <a:off x="9507334" y="9742986"/>
            <a:ext cx="154029" cy="185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17" name="TextBox 171"/>
          <xdr:cNvSpPr txBox="1">
            <a:spLocks noChangeArrowheads="1"/>
          </xdr:cNvSpPr>
        </xdr:nvSpPr>
        <xdr:spPr>
          <a:xfrm>
            <a:off x="9372600" y="9781962"/>
            <a:ext cx="163513" cy="185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118" name="TextBox 172"/>
          <xdr:cNvSpPr txBox="1">
            <a:spLocks noChangeArrowheads="1"/>
          </xdr:cNvSpPr>
        </xdr:nvSpPr>
        <xdr:spPr>
          <a:xfrm>
            <a:off x="9430156" y="10142807"/>
            <a:ext cx="288436" cy="185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119" name="Straight Connector 173"/>
          <xdr:cNvSpPr>
            <a:spLocks/>
          </xdr:cNvSpPr>
        </xdr:nvSpPr>
        <xdr:spPr>
          <a:xfrm rot="5400000" flipH="1" flipV="1">
            <a:off x="9703549" y="9377740"/>
            <a:ext cx="146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0" name="Straight Connector 174"/>
          <xdr:cNvSpPr>
            <a:spLocks/>
          </xdr:cNvSpPr>
        </xdr:nvSpPr>
        <xdr:spPr>
          <a:xfrm rot="5400000" flipH="1" flipV="1">
            <a:off x="10097941" y="9377740"/>
            <a:ext cx="146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1" name="Straight Connector 175"/>
          <xdr:cNvSpPr>
            <a:spLocks/>
          </xdr:cNvSpPr>
        </xdr:nvSpPr>
        <xdr:spPr>
          <a:xfrm rot="10800000">
            <a:off x="9776476" y="9382455"/>
            <a:ext cx="40387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2" name="TextBox 176"/>
          <xdr:cNvSpPr txBox="1">
            <a:spLocks noChangeArrowheads="1"/>
          </xdr:cNvSpPr>
        </xdr:nvSpPr>
        <xdr:spPr>
          <a:xfrm>
            <a:off x="9584185" y="10308457"/>
            <a:ext cx="769490" cy="175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รับแรงบิด</a:t>
            </a:r>
          </a:p>
        </xdr:txBody>
      </xdr:sp>
      <xdr:sp>
        <xdr:nvSpPr>
          <xdr:cNvPr id="123" name="Rounded Rectangle 177"/>
          <xdr:cNvSpPr>
            <a:spLocks/>
          </xdr:cNvSpPr>
        </xdr:nvSpPr>
        <xdr:spPr>
          <a:xfrm>
            <a:off x="9815065" y="9518872"/>
            <a:ext cx="317541" cy="73112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4" name="Oval 178"/>
          <xdr:cNvSpPr>
            <a:spLocks/>
          </xdr:cNvSpPr>
        </xdr:nvSpPr>
        <xdr:spPr>
          <a:xfrm>
            <a:off x="9834359" y="9538360"/>
            <a:ext cx="57556" cy="58464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5" name="Oval 179"/>
          <xdr:cNvSpPr>
            <a:spLocks/>
          </xdr:cNvSpPr>
        </xdr:nvSpPr>
        <xdr:spPr>
          <a:xfrm>
            <a:off x="10036134" y="9548104"/>
            <a:ext cx="67367" cy="58464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6" name="Oval 180"/>
          <xdr:cNvSpPr>
            <a:spLocks/>
          </xdr:cNvSpPr>
        </xdr:nvSpPr>
        <xdr:spPr>
          <a:xfrm>
            <a:off x="9824549" y="10162296"/>
            <a:ext cx="57556" cy="58464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7" name="Oval 181"/>
          <xdr:cNvSpPr>
            <a:spLocks/>
          </xdr:cNvSpPr>
        </xdr:nvSpPr>
        <xdr:spPr>
          <a:xfrm>
            <a:off x="10045944" y="10162296"/>
            <a:ext cx="67367" cy="58464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8" name="Straight Connector 182"/>
          <xdr:cNvSpPr>
            <a:spLocks/>
          </xdr:cNvSpPr>
        </xdr:nvSpPr>
        <xdr:spPr>
          <a:xfrm rot="16200000" flipH="1">
            <a:off x="9882432" y="9587081"/>
            <a:ext cx="192291" cy="57490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9" name="Straight Connector 183"/>
          <xdr:cNvSpPr>
            <a:spLocks/>
          </xdr:cNvSpPr>
        </xdr:nvSpPr>
        <xdr:spPr>
          <a:xfrm rot="5400000">
            <a:off x="9666923" y="9783534"/>
            <a:ext cx="565426" cy="19236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0" name="Straight Arrow Connector 184"/>
          <xdr:cNvSpPr>
            <a:spLocks/>
          </xdr:cNvSpPr>
        </xdr:nvSpPr>
        <xdr:spPr>
          <a:xfrm>
            <a:off x="9959283" y="9850171"/>
            <a:ext cx="538610" cy="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1" name="TextBox 185"/>
          <xdr:cNvSpPr txBox="1">
            <a:spLocks noChangeArrowheads="1"/>
          </xdr:cNvSpPr>
        </xdr:nvSpPr>
        <xdr:spPr>
          <a:xfrm>
            <a:off x="10055428" y="9645545"/>
            <a:ext cx="625272" cy="38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ที่มุม</a:t>
            </a:r>
          </a:p>
        </xdr:txBody>
      </xdr:sp>
    </xdr:grpSp>
    <xdr:clientData/>
  </xdr:twoCellAnchor>
  <xdr:twoCellAnchor>
    <xdr:from>
      <xdr:col>6</xdr:col>
      <xdr:colOff>371475</xdr:colOff>
      <xdr:row>67</xdr:row>
      <xdr:rowOff>142875</xdr:rowOff>
    </xdr:from>
    <xdr:to>
      <xdr:col>10</xdr:col>
      <xdr:colOff>180975</xdr:colOff>
      <xdr:row>76</xdr:row>
      <xdr:rowOff>76200</xdr:rowOff>
    </xdr:to>
    <xdr:grpSp>
      <xdr:nvGrpSpPr>
        <xdr:cNvPr id="132" name="Group 186"/>
        <xdr:cNvGrpSpPr>
          <a:grpSpLocks/>
        </xdr:cNvGrpSpPr>
      </xdr:nvGrpSpPr>
      <xdr:grpSpPr>
        <a:xfrm>
          <a:off x="3048000" y="9172575"/>
          <a:ext cx="1295400" cy="1219200"/>
          <a:chOff x="9372600" y="9226550"/>
          <a:chExt cx="1308100" cy="1250950"/>
        </a:xfrm>
        <a:solidFill>
          <a:srgbClr val="FFFFFF"/>
        </a:solidFill>
      </xdr:grpSpPr>
      <xdr:sp>
        <xdr:nvSpPr>
          <xdr:cNvPr id="133" name="TextBox 187"/>
          <xdr:cNvSpPr txBox="1">
            <a:spLocks noChangeArrowheads="1"/>
          </xdr:cNvSpPr>
        </xdr:nvSpPr>
        <xdr:spPr>
          <a:xfrm>
            <a:off x="9882432" y="9226550"/>
            <a:ext cx="154029" cy="1857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134" name="Rectangle 188"/>
          <xdr:cNvSpPr>
            <a:spLocks/>
          </xdr:cNvSpPr>
        </xdr:nvSpPr>
        <xdr:spPr>
          <a:xfrm>
            <a:off x="9766992" y="9490500"/>
            <a:ext cx="413687" cy="801546"/>
          </a:xfrm>
          <a:prstGeom prst="rect">
            <a:avLst/>
          </a:prstGeom>
          <a:solidFill>
            <a:srgbClr val="BFBFB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5" name="Straight Connector 189"/>
          <xdr:cNvSpPr>
            <a:spLocks/>
          </xdr:cNvSpPr>
        </xdr:nvSpPr>
        <xdr:spPr>
          <a:xfrm rot="5400000">
            <a:off x="9290518" y="9842330"/>
            <a:ext cx="70375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6" name="Straight Connector 190"/>
          <xdr:cNvSpPr>
            <a:spLocks/>
          </xdr:cNvSpPr>
        </xdr:nvSpPr>
        <xdr:spPr>
          <a:xfrm rot="10800000">
            <a:off x="9439967" y="9480493"/>
            <a:ext cx="2789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7" name="Straight Connector 191"/>
          <xdr:cNvSpPr>
            <a:spLocks/>
          </xdr:cNvSpPr>
        </xdr:nvSpPr>
        <xdr:spPr>
          <a:xfrm rot="10800000">
            <a:off x="9430156" y="10291734"/>
            <a:ext cx="2982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8" name="Straight Connector 192"/>
          <xdr:cNvSpPr>
            <a:spLocks/>
          </xdr:cNvSpPr>
        </xdr:nvSpPr>
        <xdr:spPr>
          <a:xfrm rot="10800000">
            <a:off x="9564891" y="10194160"/>
            <a:ext cx="1635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9" name="Straight Connector 193"/>
          <xdr:cNvSpPr>
            <a:spLocks/>
          </xdr:cNvSpPr>
        </xdr:nvSpPr>
        <xdr:spPr>
          <a:xfrm rot="5400000">
            <a:off x="9588109" y="10237943"/>
            <a:ext cx="1075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0" name="Straight Connector 194"/>
          <xdr:cNvSpPr>
            <a:spLocks/>
          </xdr:cNvSpPr>
        </xdr:nvSpPr>
        <xdr:spPr>
          <a:xfrm rot="5400000">
            <a:off x="9092341" y="9886113"/>
            <a:ext cx="81102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1" name="TextBox 195"/>
          <xdr:cNvSpPr txBox="1">
            <a:spLocks noChangeArrowheads="1"/>
          </xdr:cNvSpPr>
        </xdr:nvSpPr>
        <xdr:spPr>
          <a:xfrm>
            <a:off x="9507334" y="9744443"/>
            <a:ext cx="154029" cy="1857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42" name="TextBox 196"/>
          <xdr:cNvSpPr txBox="1">
            <a:spLocks noChangeArrowheads="1"/>
          </xdr:cNvSpPr>
        </xdr:nvSpPr>
        <xdr:spPr>
          <a:xfrm>
            <a:off x="9372600" y="9783535"/>
            <a:ext cx="163513" cy="1857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143" name="TextBox 197"/>
          <xdr:cNvSpPr txBox="1">
            <a:spLocks noChangeArrowheads="1"/>
          </xdr:cNvSpPr>
        </xdr:nvSpPr>
        <xdr:spPr>
          <a:xfrm>
            <a:off x="9430156" y="10145060"/>
            <a:ext cx="288436" cy="1857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144" name="Straight Connector 198"/>
          <xdr:cNvSpPr>
            <a:spLocks/>
          </xdr:cNvSpPr>
        </xdr:nvSpPr>
        <xdr:spPr>
          <a:xfrm rot="5400000" flipH="1" flipV="1">
            <a:off x="9703222" y="9377915"/>
            <a:ext cx="1465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5" name="Straight Connector 199"/>
          <xdr:cNvSpPr>
            <a:spLocks/>
          </xdr:cNvSpPr>
        </xdr:nvSpPr>
        <xdr:spPr>
          <a:xfrm rot="5400000" flipH="1" flipV="1">
            <a:off x="10097614" y="9377915"/>
            <a:ext cx="1465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6" name="Straight Connector 200"/>
          <xdr:cNvSpPr>
            <a:spLocks/>
          </xdr:cNvSpPr>
        </xdr:nvSpPr>
        <xdr:spPr>
          <a:xfrm rot="10800000">
            <a:off x="9776476" y="9382919"/>
            <a:ext cx="40387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7" name="TextBox 201"/>
          <xdr:cNvSpPr txBox="1">
            <a:spLocks noChangeArrowheads="1"/>
          </xdr:cNvSpPr>
        </xdr:nvSpPr>
        <xdr:spPr>
          <a:xfrm>
            <a:off x="9584185" y="10301429"/>
            <a:ext cx="769490" cy="1760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รับแรงบิด</a:t>
            </a:r>
          </a:p>
        </xdr:txBody>
      </xdr:sp>
      <xdr:sp>
        <xdr:nvSpPr>
          <xdr:cNvPr id="148" name="Rounded Rectangle 202"/>
          <xdr:cNvSpPr>
            <a:spLocks/>
          </xdr:cNvSpPr>
        </xdr:nvSpPr>
        <xdr:spPr>
          <a:xfrm>
            <a:off x="9815065" y="9519585"/>
            <a:ext cx="317541" cy="73305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9" name="Oval 203"/>
          <xdr:cNvSpPr>
            <a:spLocks/>
          </xdr:cNvSpPr>
        </xdr:nvSpPr>
        <xdr:spPr>
          <a:xfrm>
            <a:off x="9834359" y="9539288"/>
            <a:ext cx="57556" cy="5848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0" name="Oval 204"/>
          <xdr:cNvSpPr>
            <a:spLocks/>
          </xdr:cNvSpPr>
        </xdr:nvSpPr>
        <xdr:spPr>
          <a:xfrm>
            <a:off x="10036134" y="9539288"/>
            <a:ext cx="67367" cy="68490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1" name="Oval 205"/>
          <xdr:cNvSpPr>
            <a:spLocks/>
          </xdr:cNvSpPr>
        </xdr:nvSpPr>
        <xdr:spPr>
          <a:xfrm>
            <a:off x="9824549" y="10164763"/>
            <a:ext cx="57556" cy="5848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2" name="Oval 206"/>
          <xdr:cNvSpPr>
            <a:spLocks/>
          </xdr:cNvSpPr>
        </xdr:nvSpPr>
        <xdr:spPr>
          <a:xfrm>
            <a:off x="10045944" y="10164763"/>
            <a:ext cx="67367" cy="5848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3" name="Straight Connector 207"/>
          <xdr:cNvSpPr>
            <a:spLocks/>
          </xdr:cNvSpPr>
        </xdr:nvSpPr>
        <xdr:spPr>
          <a:xfrm rot="16200000" flipH="1">
            <a:off x="9882432" y="9588075"/>
            <a:ext cx="192291" cy="57668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4" name="Straight Connector 208"/>
          <xdr:cNvSpPr>
            <a:spLocks/>
          </xdr:cNvSpPr>
        </xdr:nvSpPr>
        <xdr:spPr>
          <a:xfrm rot="5400000">
            <a:off x="9666268" y="9785099"/>
            <a:ext cx="566734" cy="1923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5" name="Straight Arrow Connector 209"/>
          <xdr:cNvSpPr>
            <a:spLocks/>
          </xdr:cNvSpPr>
        </xdr:nvSpPr>
        <xdr:spPr>
          <a:xfrm>
            <a:off x="9959283" y="9852025"/>
            <a:ext cx="538610" cy="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6" name="TextBox 210"/>
          <xdr:cNvSpPr txBox="1">
            <a:spLocks noChangeArrowheads="1"/>
          </xdr:cNvSpPr>
        </xdr:nvSpPr>
        <xdr:spPr>
          <a:xfrm>
            <a:off x="10055428" y="9646869"/>
            <a:ext cx="625272" cy="381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ที่มุม</a:t>
            </a:r>
          </a:p>
        </xdr:txBody>
      </xdr:sp>
    </xdr:grpSp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157" name="Picture 76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809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89</xdr:row>
      <xdr:rowOff>28575</xdr:rowOff>
    </xdr:from>
    <xdr:to>
      <xdr:col>2</xdr:col>
      <xdr:colOff>238125</xdr:colOff>
      <xdr:row>92</xdr:row>
      <xdr:rowOff>114300</xdr:rowOff>
    </xdr:to>
    <xdr:pic>
      <xdr:nvPicPr>
        <xdr:cNvPr id="158" name="Picture 76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22015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85725</xdr:rowOff>
    </xdr:from>
    <xdr:to>
      <xdr:col>11</xdr:col>
      <xdr:colOff>57150</xdr:colOff>
      <xdr:row>30</xdr:row>
      <xdr:rowOff>0</xdr:rowOff>
    </xdr:to>
    <xdr:pic>
      <xdr:nvPicPr>
        <xdr:cNvPr id="159" name="Picture 935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0" y="3114675"/>
          <a:ext cx="354330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133350</xdr:colOff>
      <xdr:row>21</xdr:row>
      <xdr:rowOff>114300</xdr:rowOff>
    </xdr:from>
    <xdr:to>
      <xdr:col>20</xdr:col>
      <xdr:colOff>238125</xdr:colOff>
      <xdr:row>29</xdr:row>
      <xdr:rowOff>133350</xdr:rowOff>
    </xdr:to>
    <xdr:pic>
      <xdr:nvPicPr>
        <xdr:cNvPr id="160" name="Picture 935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3143250"/>
          <a:ext cx="34480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J473"/>
  <sheetViews>
    <sheetView showGridLines="0" tabSelected="1" zoomScale="110" zoomScaleNormal="110" zoomScaleSheetLayoutView="106" zoomScalePageLayoutView="0" workbookViewId="0" topLeftCell="A1">
      <pane xSplit="2" ySplit="6" topLeftCell="C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49" sqref="Y49"/>
    </sheetView>
  </sheetViews>
  <sheetFormatPr defaultColWidth="9.140625" defaultRowHeight="23.25"/>
  <cols>
    <col min="1" max="1" width="9.140625" style="6" customWidth="1"/>
    <col min="2" max="2" width="5.57421875" style="7" customWidth="1"/>
    <col min="3" max="3" width="8.7109375" style="7" customWidth="1"/>
    <col min="4" max="22" width="5.57421875" style="7" customWidth="1"/>
    <col min="23" max="96" width="4.7109375" style="6" customWidth="1"/>
    <col min="97" max="114" width="9.140625" style="6" customWidth="1"/>
    <col min="115" max="16384" width="9.140625" style="7" customWidth="1"/>
  </cols>
  <sheetData>
    <row r="1" s="6" customFormat="1" ht="12" thickBot="1"/>
    <row r="2" spans="2:22" ht="11.25" customHeight="1">
      <c r="B2" s="110"/>
      <c r="C2" s="158" t="s">
        <v>145</v>
      </c>
      <c r="D2" s="158"/>
      <c r="E2" s="158"/>
      <c r="F2" s="158"/>
      <c r="G2" s="159"/>
      <c r="H2" s="122" t="s">
        <v>73</v>
      </c>
      <c r="I2" s="114"/>
      <c r="J2" s="154" t="s">
        <v>147</v>
      </c>
      <c r="K2" s="154"/>
      <c r="L2" s="154"/>
      <c r="M2" s="154"/>
      <c r="N2" s="155"/>
      <c r="O2" s="5" t="s">
        <v>76</v>
      </c>
      <c r="P2" s="5"/>
      <c r="Q2" s="217" t="s">
        <v>150</v>
      </c>
      <c r="R2" s="217"/>
      <c r="S2" s="217"/>
      <c r="T2" s="217"/>
      <c r="U2" s="166" t="s">
        <v>79</v>
      </c>
      <c r="V2" s="144">
        <v>1</v>
      </c>
    </row>
    <row r="3" spans="2:22" ht="11.25" customHeight="1">
      <c r="B3" s="112"/>
      <c r="C3" s="160"/>
      <c r="D3" s="160"/>
      <c r="E3" s="160"/>
      <c r="F3" s="160"/>
      <c r="G3" s="161"/>
      <c r="H3" s="124" t="s">
        <v>74</v>
      </c>
      <c r="I3" s="115"/>
      <c r="J3" s="215"/>
      <c r="K3" s="215"/>
      <c r="L3" s="215"/>
      <c r="M3" s="215"/>
      <c r="N3" s="156"/>
      <c r="O3" s="219" t="s">
        <v>77</v>
      </c>
      <c r="P3" s="220"/>
      <c r="Q3" s="216" t="s">
        <v>144</v>
      </c>
      <c r="R3" s="216"/>
      <c r="S3" s="216"/>
      <c r="T3" s="216"/>
      <c r="U3" s="167"/>
      <c r="V3" s="120" t="s">
        <v>80</v>
      </c>
    </row>
    <row r="4" spans="2:22" ht="11.25" customHeight="1">
      <c r="B4" s="112"/>
      <c r="C4" s="160" t="s">
        <v>146</v>
      </c>
      <c r="D4" s="160"/>
      <c r="E4" s="160"/>
      <c r="F4" s="160"/>
      <c r="G4" s="161"/>
      <c r="H4" s="124" t="s">
        <v>75</v>
      </c>
      <c r="I4" s="115"/>
      <c r="J4" s="215" t="s">
        <v>148</v>
      </c>
      <c r="K4" s="215"/>
      <c r="L4" s="215"/>
      <c r="M4" s="215"/>
      <c r="N4" s="156"/>
      <c r="O4" s="221" t="s">
        <v>78</v>
      </c>
      <c r="P4" s="221"/>
      <c r="Q4" s="218">
        <v>41605</v>
      </c>
      <c r="R4" s="218"/>
      <c r="S4" s="218"/>
      <c r="T4" s="218"/>
      <c r="U4" s="167"/>
      <c r="V4" s="143">
        <f>V92</f>
        <v>2</v>
      </c>
    </row>
    <row r="5" spans="2:22" ht="11.25" customHeight="1" thickBot="1">
      <c r="B5" s="15"/>
      <c r="C5" s="162"/>
      <c r="D5" s="162"/>
      <c r="E5" s="162"/>
      <c r="F5" s="162"/>
      <c r="G5" s="163"/>
      <c r="H5" s="125"/>
      <c r="I5" s="126"/>
      <c r="J5" s="126"/>
      <c r="K5" s="127"/>
      <c r="L5" s="128"/>
      <c r="M5" s="129"/>
      <c r="N5" s="73"/>
      <c r="O5" s="108"/>
      <c r="P5" s="108"/>
      <c r="Q5" s="118"/>
      <c r="R5" s="118"/>
      <c r="S5" s="118"/>
      <c r="T5" s="118"/>
      <c r="U5" s="167"/>
      <c r="V5" s="119"/>
    </row>
    <row r="6" spans="2:22" ht="12.75" thickBot="1">
      <c r="B6" s="194" t="s">
        <v>141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6"/>
    </row>
    <row r="7" spans="2:22" ht="11.25">
      <c r="B7" s="1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6"/>
    </row>
    <row r="8" spans="2:22" ht="11.25">
      <c r="B8" s="138" t="s">
        <v>36</v>
      </c>
      <c r="C8" s="139" t="s">
        <v>81</v>
      </c>
      <c r="D8" s="140"/>
      <c r="E8" s="140"/>
      <c r="F8" s="140"/>
      <c r="G8" s="14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6"/>
    </row>
    <row r="9" spans="2:22" ht="11.25">
      <c r="B9" s="15"/>
      <c r="C9" s="17" t="s">
        <v>82</v>
      </c>
      <c r="D9" s="11"/>
      <c r="E9" s="11"/>
      <c r="F9" s="11"/>
      <c r="G9" s="11"/>
      <c r="H9" s="11"/>
      <c r="I9" s="11"/>
      <c r="J9" s="11"/>
      <c r="K9" s="11"/>
      <c r="L9" s="11"/>
      <c r="M9" s="17" t="s">
        <v>85</v>
      </c>
      <c r="N9" s="11"/>
      <c r="O9" s="11"/>
      <c r="P9" s="11"/>
      <c r="Q9" s="11"/>
      <c r="R9" s="11"/>
      <c r="S9" s="11"/>
      <c r="T9" s="11"/>
      <c r="U9" s="11"/>
      <c r="V9" s="16"/>
    </row>
    <row r="10" spans="2:22" ht="11.25">
      <c r="B10" s="15"/>
      <c r="C10" s="11" t="s">
        <v>132</v>
      </c>
      <c r="D10" s="11"/>
      <c r="E10" s="11"/>
      <c r="F10" s="11" t="s">
        <v>67</v>
      </c>
      <c r="G10" s="18" t="s">
        <v>6</v>
      </c>
      <c r="H10" s="187">
        <v>173</v>
      </c>
      <c r="I10" s="189"/>
      <c r="J10" s="141" t="s">
        <v>133</v>
      </c>
      <c r="K10" s="11"/>
      <c r="L10" s="11"/>
      <c r="M10" s="11" t="s">
        <v>86</v>
      </c>
      <c r="N10" s="11"/>
      <c r="O10" s="11"/>
      <c r="P10" s="11"/>
      <c r="Q10" s="11"/>
      <c r="R10" s="18" t="s">
        <v>6</v>
      </c>
      <c r="S10" s="187" t="s">
        <v>149</v>
      </c>
      <c r="T10" s="189"/>
      <c r="U10" s="11"/>
      <c r="V10" s="16"/>
    </row>
    <row r="11" spans="2:22" ht="11.25">
      <c r="B11" s="15"/>
      <c r="C11" s="11" t="s">
        <v>130</v>
      </c>
      <c r="D11" s="11"/>
      <c r="E11" s="11" t="str">
        <f>H12&amp;"f'c"</f>
        <v>0.375f'c</v>
      </c>
      <c r="F11" s="11" t="s">
        <v>68</v>
      </c>
      <c r="G11" s="18" t="s">
        <v>6</v>
      </c>
      <c r="H11" s="223">
        <f>H10*H12</f>
        <v>64.875</v>
      </c>
      <c r="I11" s="223"/>
      <c r="J11" s="141" t="s">
        <v>133</v>
      </c>
      <c r="K11" s="11"/>
      <c r="L11" s="11"/>
      <c r="M11" s="11" t="s">
        <v>87</v>
      </c>
      <c r="N11" s="11"/>
      <c r="O11" s="11"/>
      <c r="P11" s="11"/>
      <c r="Q11" s="11" t="s">
        <v>70</v>
      </c>
      <c r="R11" s="18" t="s">
        <v>6</v>
      </c>
      <c r="S11" s="206">
        <f>IF(S10="SR-24",2400,IF(S10="SD-30",3000,IF(S10="SD-40",4000)))</f>
        <v>3000</v>
      </c>
      <c r="T11" s="206"/>
      <c r="U11" s="141" t="s">
        <v>133</v>
      </c>
      <c r="V11" s="16"/>
    </row>
    <row r="12" spans="2:22" ht="11.25">
      <c r="B12" s="15"/>
      <c r="C12" s="11" t="s">
        <v>83</v>
      </c>
      <c r="D12" s="11"/>
      <c r="E12" s="11"/>
      <c r="F12" s="11"/>
      <c r="G12" s="18" t="s">
        <v>6</v>
      </c>
      <c r="H12" s="187">
        <v>0.375</v>
      </c>
      <c r="I12" s="189"/>
      <c r="J12" s="69"/>
      <c r="K12" s="11"/>
      <c r="L12" s="11"/>
      <c r="M12" s="11" t="s">
        <v>131</v>
      </c>
      <c r="N12" s="11"/>
      <c r="O12" s="11"/>
      <c r="P12" s="11"/>
      <c r="Q12" s="11" t="s">
        <v>71</v>
      </c>
      <c r="R12" s="18" t="s">
        <v>6</v>
      </c>
      <c r="S12" s="206">
        <f>MIN(S11*0.5,1700)</f>
        <v>1500</v>
      </c>
      <c r="T12" s="206"/>
      <c r="U12" s="141" t="s">
        <v>133</v>
      </c>
      <c r="V12" s="16"/>
    </row>
    <row r="13" spans="2:22" ht="11.25">
      <c r="B13" s="15"/>
      <c r="C13" s="11" t="s">
        <v>84</v>
      </c>
      <c r="D13" s="11"/>
      <c r="E13" s="11"/>
      <c r="F13" s="11" t="s">
        <v>69</v>
      </c>
      <c r="G13" s="18" t="s">
        <v>6</v>
      </c>
      <c r="H13" s="223">
        <f>INT(15210*SQRT(H10))</f>
        <v>200056</v>
      </c>
      <c r="I13" s="223"/>
      <c r="J13" s="141" t="s">
        <v>133</v>
      </c>
      <c r="K13" s="11"/>
      <c r="L13" s="11"/>
      <c r="M13" s="11" t="s">
        <v>88</v>
      </c>
      <c r="N13" s="11"/>
      <c r="O13" s="11"/>
      <c r="P13" s="11"/>
      <c r="Q13" s="11" t="s">
        <v>72</v>
      </c>
      <c r="R13" s="18" t="s">
        <v>6</v>
      </c>
      <c r="S13" s="206">
        <v>2040000</v>
      </c>
      <c r="T13" s="206"/>
      <c r="U13" s="141" t="s">
        <v>133</v>
      </c>
      <c r="V13" s="16"/>
    </row>
    <row r="14" spans="2:22" ht="11.25"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6"/>
    </row>
    <row r="15" spans="2:22" ht="11.25">
      <c r="B15" s="138" t="s">
        <v>37</v>
      </c>
      <c r="C15" s="139" t="s">
        <v>89</v>
      </c>
      <c r="D15" s="140"/>
      <c r="E15" s="140"/>
      <c r="F15" s="140"/>
      <c r="G15" s="14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6"/>
    </row>
    <row r="16" spans="2:22" ht="11.25">
      <c r="B16" s="15"/>
      <c r="C16" s="11" t="s">
        <v>1</v>
      </c>
      <c r="D16" s="11" t="s">
        <v>5</v>
      </c>
      <c r="F16" s="11"/>
      <c r="G16" s="18" t="s">
        <v>6</v>
      </c>
      <c r="H16" s="225">
        <f>TRUNC(S13/H13)</f>
        <v>10</v>
      </c>
      <c r="I16" s="225"/>
      <c r="J16" s="11"/>
      <c r="K16" s="11"/>
      <c r="L16" s="11"/>
      <c r="M16" s="11" t="s">
        <v>3</v>
      </c>
      <c r="N16" s="18"/>
      <c r="O16" s="11" t="s">
        <v>8</v>
      </c>
      <c r="P16" s="11"/>
      <c r="Q16" s="11"/>
      <c r="R16" s="18" t="s">
        <v>6</v>
      </c>
      <c r="S16" s="222">
        <f>1-(H17/3)</f>
        <v>0.8993600930773705</v>
      </c>
      <c r="T16" s="222"/>
      <c r="U16" s="11"/>
      <c r="V16" s="16"/>
    </row>
    <row r="17" spans="2:22" ht="11.25">
      <c r="B17" s="15"/>
      <c r="C17" s="11" t="s">
        <v>2</v>
      </c>
      <c r="D17" s="11" t="s">
        <v>7</v>
      </c>
      <c r="F17" s="11"/>
      <c r="G17" s="18" t="s">
        <v>6</v>
      </c>
      <c r="H17" s="222">
        <f>1/(1+S12/(H16*H11))</f>
        <v>0.3019197207678883</v>
      </c>
      <c r="I17" s="222"/>
      <c r="J17" s="11"/>
      <c r="K17" s="11"/>
      <c r="L17" s="11"/>
      <c r="M17" s="11" t="s">
        <v>4</v>
      </c>
      <c r="N17" s="18"/>
      <c r="O17" s="11" t="s">
        <v>9</v>
      </c>
      <c r="P17" s="11"/>
      <c r="Q17" s="11"/>
      <c r="R17" s="18" t="s">
        <v>6</v>
      </c>
      <c r="S17" s="224">
        <f>(H11*S16*H17)/2</f>
        <v>8.807901906319575</v>
      </c>
      <c r="T17" s="224"/>
      <c r="U17" s="141" t="s">
        <v>133</v>
      </c>
      <c r="V17" s="16"/>
    </row>
    <row r="18" spans="2:22" ht="11.25"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6"/>
    </row>
    <row r="19" spans="2:22" ht="11.25">
      <c r="B19" s="138" t="s">
        <v>38</v>
      </c>
      <c r="C19" s="139" t="s">
        <v>90</v>
      </c>
      <c r="D19" s="140"/>
      <c r="E19" s="140"/>
      <c r="F19" s="140"/>
      <c r="G19" s="14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6"/>
    </row>
    <row r="20" spans="2:22" ht="11.25"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6"/>
    </row>
    <row r="21" spans="2:22" ht="11.25">
      <c r="B21" s="15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4"/>
      <c r="V21" s="16"/>
    </row>
    <row r="22" spans="2:22" ht="11.25">
      <c r="B22" s="15"/>
      <c r="C22" s="9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96"/>
      <c r="V22" s="16"/>
    </row>
    <row r="23" spans="2:22" ht="11.25">
      <c r="B23" s="15"/>
      <c r="C23" s="9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96"/>
      <c r="V23" s="16"/>
    </row>
    <row r="24" spans="2:22" ht="11.25">
      <c r="B24" s="15"/>
      <c r="C24" s="9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96"/>
      <c r="V24" s="16"/>
    </row>
    <row r="25" spans="2:22" ht="11.25">
      <c r="B25" s="15"/>
      <c r="C25" s="9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96"/>
      <c r="V25" s="16"/>
    </row>
    <row r="26" spans="1:114" s="58" customFormat="1" ht="11.25" customHeight="1">
      <c r="A26" s="57"/>
      <c r="B26" s="55"/>
      <c r="C26" s="97"/>
      <c r="D26" s="56"/>
      <c r="E26" s="56"/>
      <c r="F26" s="56"/>
      <c r="G26" s="56"/>
      <c r="H26" s="59"/>
      <c r="I26" s="60"/>
      <c r="J26" s="60"/>
      <c r="K26" s="56"/>
      <c r="L26" s="56"/>
      <c r="M26" s="56"/>
      <c r="N26" s="59"/>
      <c r="O26" s="56"/>
      <c r="P26" s="60"/>
      <c r="Q26" s="56"/>
      <c r="R26" s="56"/>
      <c r="S26" s="56"/>
      <c r="T26" s="59"/>
      <c r="U26" s="98"/>
      <c r="V26" s="61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</row>
    <row r="27" spans="2:22" ht="11.25">
      <c r="B27" s="15"/>
      <c r="C27" s="9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96"/>
      <c r="V27" s="16"/>
    </row>
    <row r="28" spans="2:22" ht="11.25">
      <c r="B28" s="15"/>
      <c r="C28" s="9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96"/>
      <c r="V28" s="16"/>
    </row>
    <row r="29" spans="2:22" ht="11.25">
      <c r="B29" s="15"/>
      <c r="C29" s="9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96"/>
      <c r="V29" s="16"/>
    </row>
    <row r="30" spans="2:22" ht="11.25">
      <c r="B30" s="15"/>
      <c r="C30" s="9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96"/>
      <c r="V30" s="16"/>
    </row>
    <row r="31" spans="2:22" ht="11.25">
      <c r="B31" s="15"/>
      <c r="C31" s="9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96"/>
      <c r="V31" s="16"/>
    </row>
    <row r="32" spans="2:22" ht="11.25">
      <c r="B32" s="15"/>
      <c r="C32" s="9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96"/>
      <c r="V32" s="16"/>
    </row>
    <row r="33" spans="2:22" ht="11.25">
      <c r="B33" s="15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16"/>
    </row>
    <row r="34" spans="2:22" ht="11.25"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6"/>
    </row>
    <row r="35" spans="2:22" ht="11.25">
      <c r="B35" s="138" t="s">
        <v>39</v>
      </c>
      <c r="C35" s="139" t="s">
        <v>91</v>
      </c>
      <c r="D35" s="140"/>
      <c r="E35" s="140"/>
      <c r="F35" s="140"/>
      <c r="G35" s="14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6"/>
    </row>
    <row r="36" spans="2:22" ht="11.25">
      <c r="B36" s="15"/>
      <c r="C36" s="17" t="s">
        <v>94</v>
      </c>
      <c r="D36" s="11"/>
      <c r="E36" s="203" t="s">
        <v>92</v>
      </c>
      <c r="F36" s="204"/>
      <c r="G36" s="205"/>
      <c r="H36" s="18"/>
      <c r="I36" s="11"/>
      <c r="J36" s="11"/>
      <c r="K36" s="229" t="s">
        <v>122</v>
      </c>
      <c r="L36" s="230"/>
      <c r="M36" s="231"/>
      <c r="N36" s="18"/>
      <c r="O36" s="11"/>
      <c r="P36" s="11"/>
      <c r="Q36" s="191" t="s">
        <v>93</v>
      </c>
      <c r="R36" s="192"/>
      <c r="S36" s="193"/>
      <c r="T36" s="18"/>
      <c r="U36" s="11"/>
      <c r="V36" s="16"/>
    </row>
    <row r="37" spans="2:22" ht="11.25">
      <c r="B37" s="15"/>
      <c r="C37" s="11" t="s">
        <v>95</v>
      </c>
      <c r="D37" s="11"/>
      <c r="E37" s="212"/>
      <c r="F37" s="213"/>
      <c r="G37" s="214"/>
      <c r="H37" s="11"/>
      <c r="I37" s="11"/>
      <c r="J37" s="11"/>
      <c r="K37" s="187">
        <v>2838</v>
      </c>
      <c r="L37" s="188"/>
      <c r="M37" s="189"/>
      <c r="N37" s="141" t="s">
        <v>134</v>
      </c>
      <c r="O37" s="11"/>
      <c r="P37" s="11"/>
      <c r="Q37" s="212"/>
      <c r="R37" s="213"/>
      <c r="S37" s="214"/>
      <c r="T37" s="11"/>
      <c r="U37" s="11"/>
      <c r="V37" s="16"/>
    </row>
    <row r="38" spans="2:22" ht="11.25">
      <c r="B38" s="15"/>
      <c r="C38" s="11" t="s">
        <v>96</v>
      </c>
      <c r="D38" s="11"/>
      <c r="E38" s="187">
        <v>4479</v>
      </c>
      <c r="F38" s="188"/>
      <c r="G38" s="189"/>
      <c r="H38" s="141" t="s">
        <v>134</v>
      </c>
      <c r="I38" s="11"/>
      <c r="J38" s="11"/>
      <c r="K38" s="212"/>
      <c r="L38" s="213"/>
      <c r="M38" s="214"/>
      <c r="N38" s="11"/>
      <c r="O38" s="11"/>
      <c r="P38" s="11"/>
      <c r="Q38" s="187">
        <v>4479</v>
      </c>
      <c r="R38" s="188"/>
      <c r="S38" s="189"/>
      <c r="T38" s="141" t="s">
        <v>134</v>
      </c>
      <c r="U38" s="11"/>
      <c r="V38" s="16"/>
    </row>
    <row r="39" spans="2:22" ht="11.25">
      <c r="B39" s="15"/>
      <c r="C39" s="11" t="s">
        <v>97</v>
      </c>
      <c r="D39" s="11"/>
      <c r="E39" s="187">
        <v>5950</v>
      </c>
      <c r="F39" s="188"/>
      <c r="G39" s="189"/>
      <c r="H39" s="141" t="s">
        <v>136</v>
      </c>
      <c r="I39" s="11"/>
      <c r="J39" s="11"/>
      <c r="K39" s="187">
        <v>5950</v>
      </c>
      <c r="L39" s="188"/>
      <c r="M39" s="189"/>
      <c r="N39" s="141" t="s">
        <v>136</v>
      </c>
      <c r="O39" s="11"/>
      <c r="P39" s="11"/>
      <c r="Q39" s="187">
        <v>5950</v>
      </c>
      <c r="R39" s="188"/>
      <c r="S39" s="189"/>
      <c r="T39" s="141" t="s">
        <v>136</v>
      </c>
      <c r="U39" s="11"/>
      <c r="V39" s="16"/>
    </row>
    <row r="40" spans="2:22" ht="11.25">
      <c r="B40" s="15"/>
      <c r="C40" s="11" t="s">
        <v>98</v>
      </c>
      <c r="D40" s="11"/>
      <c r="E40" s="226">
        <v>0</v>
      </c>
      <c r="F40" s="227"/>
      <c r="G40" s="228"/>
      <c r="H40" s="141" t="s">
        <v>134</v>
      </c>
      <c r="I40" s="11"/>
      <c r="J40" s="11"/>
      <c r="K40" s="226">
        <v>0</v>
      </c>
      <c r="L40" s="227"/>
      <c r="M40" s="228"/>
      <c r="N40" s="141" t="s">
        <v>134</v>
      </c>
      <c r="O40" s="11"/>
      <c r="P40" s="11"/>
      <c r="Q40" s="226">
        <v>0</v>
      </c>
      <c r="R40" s="227"/>
      <c r="S40" s="228"/>
      <c r="T40" s="141" t="s">
        <v>134</v>
      </c>
      <c r="U40" s="11"/>
      <c r="V40" s="16"/>
    </row>
    <row r="41" spans="2:22" ht="11.25" hidden="1">
      <c r="B41" s="15"/>
      <c r="C41" s="21" t="s">
        <v>10</v>
      </c>
      <c r="D41" s="21"/>
      <c r="E41" s="209">
        <f>ABS(E37)</f>
        <v>0</v>
      </c>
      <c r="F41" s="210"/>
      <c r="G41" s="211"/>
      <c r="H41" s="21"/>
      <c r="I41" s="21"/>
      <c r="J41" s="21"/>
      <c r="K41" s="184">
        <f>ABS(K37)</f>
        <v>2838</v>
      </c>
      <c r="L41" s="185"/>
      <c r="M41" s="186"/>
      <c r="N41" s="21"/>
      <c r="O41" s="21"/>
      <c r="P41" s="21"/>
      <c r="Q41" s="209">
        <f>ABS(Q37)</f>
        <v>0</v>
      </c>
      <c r="R41" s="210"/>
      <c r="S41" s="211"/>
      <c r="T41" s="21"/>
      <c r="U41" s="21"/>
      <c r="V41" s="16"/>
    </row>
    <row r="42" spans="2:22" ht="11.25" hidden="1">
      <c r="B42" s="15"/>
      <c r="C42" s="21" t="s">
        <v>11</v>
      </c>
      <c r="D42" s="21"/>
      <c r="E42" s="184">
        <f>ABS(E38)</f>
        <v>4479</v>
      </c>
      <c r="F42" s="185"/>
      <c r="G42" s="186"/>
      <c r="H42" s="21"/>
      <c r="I42" s="21"/>
      <c r="J42" s="21"/>
      <c r="K42" s="209">
        <f>ABS(K38)</f>
        <v>0</v>
      </c>
      <c r="L42" s="210"/>
      <c r="M42" s="211"/>
      <c r="N42" s="21"/>
      <c r="O42" s="21"/>
      <c r="P42" s="21"/>
      <c r="Q42" s="184">
        <f>ABS(Q38)</f>
        <v>4479</v>
      </c>
      <c r="R42" s="185"/>
      <c r="S42" s="186"/>
      <c r="T42" s="21"/>
      <c r="U42" s="21"/>
      <c r="V42" s="16"/>
    </row>
    <row r="43" spans="2:22" ht="11.25" hidden="1">
      <c r="B43" s="15"/>
      <c r="C43" s="21" t="s">
        <v>12</v>
      </c>
      <c r="D43" s="21"/>
      <c r="E43" s="184">
        <f>ABS(E39)</f>
        <v>5950</v>
      </c>
      <c r="F43" s="185"/>
      <c r="G43" s="186"/>
      <c r="H43" s="21"/>
      <c r="I43" s="21"/>
      <c r="J43" s="21"/>
      <c r="K43" s="184">
        <f>ABS(K39)</f>
        <v>5950</v>
      </c>
      <c r="L43" s="185"/>
      <c r="M43" s="186"/>
      <c r="N43" s="21"/>
      <c r="O43" s="21"/>
      <c r="P43" s="21"/>
      <c r="Q43" s="184">
        <f>ABS(Q39)</f>
        <v>5950</v>
      </c>
      <c r="R43" s="185"/>
      <c r="S43" s="186"/>
      <c r="T43" s="21"/>
      <c r="U43" s="21"/>
      <c r="V43" s="16"/>
    </row>
    <row r="44" spans="2:22" ht="11.25" hidden="1">
      <c r="B44" s="15"/>
      <c r="C44" s="11" t="s">
        <v>16</v>
      </c>
      <c r="D44" s="21"/>
      <c r="E44" s="184">
        <f>ABS(E40)</f>
        <v>0</v>
      </c>
      <c r="F44" s="185"/>
      <c r="G44" s="186"/>
      <c r="H44" s="21"/>
      <c r="I44" s="21"/>
      <c r="J44" s="21"/>
      <c r="K44" s="184">
        <f>ABS(K40)</f>
        <v>0</v>
      </c>
      <c r="L44" s="185"/>
      <c r="M44" s="186"/>
      <c r="N44" s="21"/>
      <c r="O44" s="21"/>
      <c r="P44" s="21"/>
      <c r="Q44" s="184">
        <f>ABS(Q40)</f>
        <v>0</v>
      </c>
      <c r="R44" s="185"/>
      <c r="S44" s="186"/>
      <c r="T44" s="21"/>
      <c r="U44" s="21"/>
      <c r="V44" s="16"/>
    </row>
    <row r="45" spans="2:22" ht="11.25">
      <c r="B45" s="15"/>
      <c r="C45" s="11" t="s">
        <v>99</v>
      </c>
      <c r="D45" s="21"/>
      <c r="E45" s="170">
        <f>(3.5*E44)/(L51*100)^2/L52</f>
        <v>0</v>
      </c>
      <c r="F45" s="171"/>
      <c r="G45" s="172"/>
      <c r="H45" s="21"/>
      <c r="I45" s="21"/>
      <c r="J45" s="21"/>
      <c r="K45" s="170">
        <f>(3.5*K44)/(L51*100)^2/L52</f>
        <v>0</v>
      </c>
      <c r="L45" s="171"/>
      <c r="M45" s="172"/>
      <c r="N45" s="21"/>
      <c r="O45" s="21"/>
      <c r="P45" s="21"/>
      <c r="Q45" s="170">
        <f>(3.5*Q44)/(L51*100)^2/L52</f>
        <v>0</v>
      </c>
      <c r="R45" s="171"/>
      <c r="S45" s="172"/>
      <c r="T45" s="21"/>
      <c r="U45" s="21"/>
      <c r="V45" s="16"/>
    </row>
    <row r="46" spans="2:22" ht="11.25">
      <c r="B46" s="15"/>
      <c r="C46" s="11" t="s">
        <v>100</v>
      </c>
      <c r="D46" s="21"/>
      <c r="E46" s="170">
        <f>E43/((L51*100)*(S50*100))</f>
        <v>5.288888888888889</v>
      </c>
      <c r="F46" s="171"/>
      <c r="G46" s="172"/>
      <c r="H46" s="157" t="str">
        <f>IF(E46&lt;E59,"OK&lt;Vc","Add Stir")</f>
        <v>Add Stir</v>
      </c>
      <c r="I46" s="80"/>
      <c r="J46" s="21"/>
      <c r="K46" s="170">
        <f>K43/((L51*100)*(S50*100))</f>
        <v>5.288888888888889</v>
      </c>
      <c r="L46" s="171"/>
      <c r="M46" s="172"/>
      <c r="N46" s="157" t="str">
        <f>IF(K46&lt;E59,"OK&lt;Vc","Add Stir")</f>
        <v>Add Stir</v>
      </c>
      <c r="O46" s="80"/>
      <c r="P46" s="21"/>
      <c r="Q46" s="170">
        <f>Q43/((L51*100)*(S50*100))</f>
        <v>5.288888888888889</v>
      </c>
      <c r="R46" s="171"/>
      <c r="S46" s="172"/>
      <c r="T46" s="157" t="str">
        <f>IF(Q46&lt;E59,"OK&lt;Vc","Add Stir")</f>
        <v>Add Stir</v>
      </c>
      <c r="U46" s="80"/>
      <c r="V46" s="16"/>
    </row>
    <row r="47" spans="2:22" ht="11.25"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6"/>
    </row>
    <row r="48" spans="2:22" ht="11.25">
      <c r="B48" s="138" t="s">
        <v>40</v>
      </c>
      <c r="C48" s="139" t="s">
        <v>101</v>
      </c>
      <c r="D48" s="140"/>
      <c r="E48" s="140"/>
      <c r="F48" s="140"/>
      <c r="G48" s="14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6"/>
    </row>
    <row r="49" spans="2:22" ht="11.25">
      <c r="B49" s="15"/>
      <c r="C49" s="17" t="s">
        <v>102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6"/>
    </row>
    <row r="50" spans="2:22" ht="11.25">
      <c r="B50" s="15"/>
      <c r="C50" s="74" t="s">
        <v>103</v>
      </c>
      <c r="D50" s="75"/>
      <c r="E50" s="76" t="s">
        <v>104</v>
      </c>
      <c r="F50" s="77"/>
      <c r="G50" s="77"/>
      <c r="H50" s="11"/>
      <c r="I50" s="11"/>
      <c r="J50" s="11" t="s">
        <v>103</v>
      </c>
      <c r="K50" s="18" t="s">
        <v>6</v>
      </c>
      <c r="L50" s="11" t="s">
        <v>107</v>
      </c>
      <c r="M50" s="11"/>
      <c r="N50" s="11"/>
      <c r="O50" s="11"/>
      <c r="P50" s="11"/>
      <c r="Q50" s="11" t="s">
        <v>48</v>
      </c>
      <c r="R50" s="18" t="s">
        <v>6</v>
      </c>
      <c r="S50" s="19">
        <f>L52-L54</f>
        <v>0.45</v>
      </c>
      <c r="T50" s="69" t="s">
        <v>139</v>
      </c>
      <c r="U50" s="11"/>
      <c r="V50" s="16"/>
    </row>
    <row r="51" spans="2:22" ht="11.25">
      <c r="B51" s="15"/>
      <c r="C51" s="22" t="s">
        <v>105</v>
      </c>
      <c r="D51" s="23"/>
      <c r="E51" s="24" t="s">
        <v>63</v>
      </c>
      <c r="F51" s="25">
        <f>L53/16</f>
        <v>0.25</v>
      </c>
      <c r="G51" s="32" t="s">
        <v>139</v>
      </c>
      <c r="H51" s="17">
        <f>IF(C51=L50,"&lt;=== Use","")</f>
      </c>
      <c r="I51" s="11"/>
      <c r="J51" s="11" t="s">
        <v>0</v>
      </c>
      <c r="K51" s="18" t="s">
        <v>6</v>
      </c>
      <c r="L51" s="145">
        <v>0.25</v>
      </c>
      <c r="M51" s="69" t="s">
        <v>139</v>
      </c>
      <c r="N51" s="11"/>
      <c r="O51" s="11"/>
      <c r="P51" s="11"/>
      <c r="Q51" s="45" t="s">
        <v>129</v>
      </c>
      <c r="R51" s="45"/>
      <c r="S51" s="40" t="str">
        <f>IF(E56&gt;MAX(E41:G42,K41:M42,Q41:S42),"Single","Double")</f>
        <v>Double</v>
      </c>
      <c r="T51" s="12"/>
      <c r="U51" s="11"/>
      <c r="V51" s="16"/>
    </row>
    <row r="52" spans="2:22" ht="11.25">
      <c r="B52" s="15"/>
      <c r="C52" s="22" t="s">
        <v>106</v>
      </c>
      <c r="D52" s="23"/>
      <c r="E52" s="24" t="s">
        <v>64</v>
      </c>
      <c r="F52" s="25">
        <f>L53/18.5</f>
        <v>0.21621621621621623</v>
      </c>
      <c r="G52" s="32" t="s">
        <v>139</v>
      </c>
      <c r="H52" s="17">
        <f>IF(C52=L50,"&lt;=== Use","")</f>
      </c>
      <c r="I52" s="11"/>
      <c r="J52" s="11" t="s">
        <v>13</v>
      </c>
      <c r="K52" s="18" t="s">
        <v>6</v>
      </c>
      <c r="L52" s="145">
        <v>0.5</v>
      </c>
      <c r="M52" s="69" t="s">
        <v>139</v>
      </c>
      <c r="N52" s="81" t="str">
        <f>IF(VLOOKUP($L$50,$C$51:$G$54,4,FALSE)&lt;=L52,"OK","NG.")</f>
        <v>OK</v>
      </c>
      <c r="O52" s="11"/>
      <c r="P52" s="11"/>
      <c r="Q52" s="11" t="s">
        <v>15</v>
      </c>
      <c r="R52" s="18" t="s">
        <v>6</v>
      </c>
      <c r="S52" s="28">
        <f>E56/(S12*S16*S50)</f>
        <v>7.3451407068062835</v>
      </c>
      <c r="T52" s="11" t="s">
        <v>137</v>
      </c>
      <c r="U52" s="11"/>
      <c r="V52" s="16"/>
    </row>
    <row r="53" spans="2:22" ht="11.25">
      <c r="B53" s="15"/>
      <c r="C53" s="22" t="s">
        <v>107</v>
      </c>
      <c r="D53" s="23"/>
      <c r="E53" s="24" t="s">
        <v>65</v>
      </c>
      <c r="F53" s="25">
        <f>L53/21</f>
        <v>0.19047619047619047</v>
      </c>
      <c r="G53" s="32" t="s">
        <v>139</v>
      </c>
      <c r="H53" s="17" t="str">
        <f>IF(C53=L50,"&lt;=== Use","")</f>
        <v>&lt;=== Use</v>
      </c>
      <c r="I53" s="11"/>
      <c r="J53" s="11" t="s">
        <v>19</v>
      </c>
      <c r="K53" s="18" t="s">
        <v>6</v>
      </c>
      <c r="L53" s="145">
        <v>4</v>
      </c>
      <c r="M53" s="69" t="s">
        <v>139</v>
      </c>
      <c r="N53" s="11"/>
      <c r="O53" s="11"/>
      <c r="P53" s="11"/>
      <c r="Q53" s="11" t="s">
        <v>27</v>
      </c>
      <c r="R53" s="18" t="s">
        <v>6</v>
      </c>
      <c r="S53" s="19">
        <f>((2*((L51*100)-(2.5*2)))+(2*((L52*100)-(2.5*2))))/4</f>
        <v>32.5</v>
      </c>
      <c r="T53" s="11" t="s">
        <v>138</v>
      </c>
      <c r="U53" s="11"/>
      <c r="V53" s="16"/>
    </row>
    <row r="54" spans="2:22" ht="11.25">
      <c r="B54" s="15"/>
      <c r="C54" s="22" t="s">
        <v>108</v>
      </c>
      <c r="D54" s="23"/>
      <c r="E54" s="24" t="s">
        <v>66</v>
      </c>
      <c r="F54" s="25">
        <f>L53/8</f>
        <v>0.5</v>
      </c>
      <c r="G54" s="32" t="s">
        <v>139</v>
      </c>
      <c r="H54" s="17">
        <f>IF(C54=L50,"&lt;=== Use","")</f>
      </c>
      <c r="I54" s="11"/>
      <c r="J54" s="11" t="s">
        <v>14</v>
      </c>
      <c r="K54" s="18" t="s">
        <v>6</v>
      </c>
      <c r="L54" s="145">
        <v>0.05</v>
      </c>
      <c r="M54" s="69" t="s">
        <v>139</v>
      </c>
      <c r="N54" s="11"/>
      <c r="O54" s="11"/>
      <c r="P54" s="11"/>
      <c r="Q54" s="11" t="s">
        <v>28</v>
      </c>
      <c r="R54" s="18" t="s">
        <v>6</v>
      </c>
      <c r="S54" s="19">
        <f>((L51*100)-(2.5*2))*((L52*100)-(2.5*2))</f>
        <v>900</v>
      </c>
      <c r="T54" s="11" t="s">
        <v>137</v>
      </c>
      <c r="U54" s="11"/>
      <c r="V54" s="16"/>
    </row>
    <row r="55" spans="2:22" ht="11.25"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6"/>
    </row>
    <row r="56" spans="2:22" ht="11.25">
      <c r="B56" s="15"/>
      <c r="C56" s="11" t="s">
        <v>60</v>
      </c>
      <c r="D56" s="18" t="s">
        <v>6</v>
      </c>
      <c r="E56" s="29">
        <f>S17*L51*(S50*100)^2</f>
        <v>4459.000340074285</v>
      </c>
      <c r="F56" s="29"/>
      <c r="G56" s="141" t="s">
        <v>134</v>
      </c>
      <c r="H56" s="11"/>
      <c r="I56" s="11"/>
      <c r="J56" s="11" t="s">
        <v>17</v>
      </c>
      <c r="K56" s="18" t="s">
        <v>6</v>
      </c>
      <c r="L56" s="28">
        <f>1.32*SQRT(H10)</f>
        <v>17.361889298114995</v>
      </c>
      <c r="M56" s="28"/>
      <c r="N56" s="141" t="s">
        <v>136</v>
      </c>
      <c r="P56" s="190" t="str">
        <f>IF(L56&lt;L57,"OK &lt;=Vt&lt;Va=&gt;","NG.")</f>
        <v>OK &lt;=Vt&lt;Va=&gt;</v>
      </c>
      <c r="Q56" s="190"/>
      <c r="R56" s="190"/>
      <c r="S56" s="11"/>
      <c r="T56" s="11"/>
      <c r="U56" s="11"/>
      <c r="V56" s="16"/>
    </row>
    <row r="57" spans="2:22" ht="11.25">
      <c r="B57" s="15"/>
      <c r="C57" s="11" t="s">
        <v>16</v>
      </c>
      <c r="D57" s="18" t="s">
        <v>6</v>
      </c>
      <c r="E57" s="29">
        <f>((L56*(L51*100)^2*(S50+0.05))/3.5)</f>
        <v>1550.168687331696</v>
      </c>
      <c r="F57" s="30"/>
      <c r="G57" s="141" t="s">
        <v>134</v>
      </c>
      <c r="H57" s="11"/>
      <c r="I57" s="11"/>
      <c r="J57" s="11" t="s">
        <v>18</v>
      </c>
      <c r="K57" s="18" t="s">
        <v>6</v>
      </c>
      <c r="L57" s="31">
        <f>1.33*SQRT(H10)</f>
        <v>17.493418762494656</v>
      </c>
      <c r="M57" s="11"/>
      <c r="N57" s="141" t="s">
        <v>133</v>
      </c>
      <c r="O57" s="11"/>
      <c r="S57" s="11"/>
      <c r="T57" s="11"/>
      <c r="U57" s="11"/>
      <c r="V57" s="16"/>
    </row>
    <row r="58" spans="2:22" ht="11.25">
      <c r="B58" s="15"/>
      <c r="C58" s="107" t="s">
        <v>61</v>
      </c>
      <c r="D58" s="18" t="s">
        <v>6</v>
      </c>
      <c r="E58" s="29">
        <f>0.29*SQRT(H10)*(L51*100)*(S50*100)</f>
        <v>4291.148775386376</v>
      </c>
      <c r="F58" s="29"/>
      <c r="G58" s="141" t="s">
        <v>136</v>
      </c>
      <c r="H58" s="11"/>
      <c r="I58" s="11"/>
      <c r="J58" s="11" t="s">
        <v>20</v>
      </c>
      <c r="K58" s="18" t="s">
        <v>6</v>
      </c>
      <c r="L58" s="11">
        <f>1.66*SQRT(H10)</f>
        <v>21.833891087023403</v>
      </c>
      <c r="M58" s="11"/>
      <c r="N58" s="141" t="s">
        <v>133</v>
      </c>
      <c r="O58" s="11"/>
      <c r="S58" s="11"/>
      <c r="T58" s="11"/>
      <c r="U58" s="11"/>
      <c r="V58" s="16"/>
    </row>
    <row r="59" spans="2:22" ht="11.25">
      <c r="B59" s="15"/>
      <c r="C59" s="107" t="s">
        <v>62</v>
      </c>
      <c r="D59" s="18" t="s">
        <v>6</v>
      </c>
      <c r="E59" s="28">
        <f>0.29*SQRT(H10)</f>
        <v>3.814354467010112</v>
      </c>
      <c r="F59" s="28"/>
      <c r="G59" s="141" t="s">
        <v>133</v>
      </c>
      <c r="H59" s="11"/>
      <c r="I59" s="11"/>
      <c r="J59" s="11" t="s">
        <v>21</v>
      </c>
      <c r="K59" s="18" t="s">
        <v>6</v>
      </c>
      <c r="L59" s="31">
        <f>L56+MAX(E46,K46,Q46)</f>
        <v>22.650778187003883</v>
      </c>
      <c r="M59" s="11"/>
      <c r="N59" s="141" t="s">
        <v>133</v>
      </c>
      <c r="P59" s="190" t="str">
        <f>IF(L59&lt;L58,"OK&lt;=Vt+V&lt;VT=&gt;","Add Stirrup")</f>
        <v>Add Stirrup</v>
      </c>
      <c r="Q59" s="190"/>
      <c r="R59" s="190"/>
      <c r="S59" s="11"/>
      <c r="T59" s="11"/>
      <c r="U59" s="11"/>
      <c r="V59" s="16"/>
    </row>
    <row r="60" spans="2:22" ht="11.25"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6"/>
    </row>
    <row r="61" spans="2:22" ht="11.25">
      <c r="B61" s="138" t="s">
        <v>41</v>
      </c>
      <c r="C61" s="139" t="s">
        <v>109</v>
      </c>
      <c r="D61" s="140"/>
      <c r="E61" s="140"/>
      <c r="F61" s="140"/>
      <c r="G61" s="14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6"/>
    </row>
    <row r="62" spans="2:22" ht="11.25">
      <c r="B62" s="15"/>
      <c r="C62" s="17"/>
      <c r="D62" s="17"/>
      <c r="E62" s="198" t="s">
        <v>92</v>
      </c>
      <c r="F62" s="198"/>
      <c r="G62" s="198"/>
      <c r="H62" s="33"/>
      <c r="I62" s="18"/>
      <c r="J62" s="34"/>
      <c r="K62" s="199" t="s">
        <v>122</v>
      </c>
      <c r="L62" s="199"/>
      <c r="M62" s="199"/>
      <c r="N62" s="33"/>
      <c r="O62" s="18"/>
      <c r="P62" s="34"/>
      <c r="Q62" s="200" t="s">
        <v>93</v>
      </c>
      <c r="R62" s="200"/>
      <c r="S62" s="200"/>
      <c r="T62" s="33"/>
      <c r="U62" s="18"/>
      <c r="V62" s="35"/>
    </row>
    <row r="63" spans="2:22" ht="11.25">
      <c r="B63" s="15"/>
      <c r="C63" s="17"/>
      <c r="D63" s="17"/>
      <c r="E63" s="177" t="s">
        <v>128</v>
      </c>
      <c r="F63" s="178"/>
      <c r="G63" s="32" t="s">
        <v>123</v>
      </c>
      <c r="H63" s="36"/>
      <c r="I63" s="37"/>
      <c r="J63" s="38"/>
      <c r="K63" s="177" t="s">
        <v>128</v>
      </c>
      <c r="L63" s="178"/>
      <c r="M63" s="32" t="s">
        <v>123</v>
      </c>
      <c r="N63" s="36"/>
      <c r="O63" s="37"/>
      <c r="P63" s="38"/>
      <c r="Q63" s="177" t="s">
        <v>128</v>
      </c>
      <c r="R63" s="178"/>
      <c r="S63" s="32" t="s">
        <v>123</v>
      </c>
      <c r="T63" s="36"/>
      <c r="U63" s="37"/>
      <c r="V63" s="39"/>
    </row>
    <row r="64" spans="2:22" ht="11.25">
      <c r="B64" s="15"/>
      <c r="C64" s="17" t="s">
        <v>143</v>
      </c>
      <c r="D64" s="40" t="s">
        <v>6</v>
      </c>
      <c r="E64" s="201">
        <v>2.26</v>
      </c>
      <c r="F64" s="202"/>
      <c r="G64" s="32" t="s">
        <v>137</v>
      </c>
      <c r="H64" s="41"/>
      <c r="I64" s="42"/>
      <c r="J64" s="43"/>
      <c r="K64" s="201">
        <f>E64</f>
        <v>2.26</v>
      </c>
      <c r="L64" s="202"/>
      <c r="M64" s="32" t="s">
        <v>137</v>
      </c>
      <c r="N64" s="41"/>
      <c r="O64" s="42"/>
      <c r="P64" s="43"/>
      <c r="Q64" s="201">
        <f>K64</f>
        <v>2.26</v>
      </c>
      <c r="R64" s="202"/>
      <c r="S64" s="32" t="s">
        <v>137</v>
      </c>
      <c r="T64" s="41"/>
      <c r="U64" s="42"/>
      <c r="V64" s="44"/>
    </row>
    <row r="65" spans="2:22" ht="11.25">
      <c r="B65" s="15"/>
      <c r="C65" s="17" t="s">
        <v>22</v>
      </c>
      <c r="D65" s="40" t="s">
        <v>6</v>
      </c>
      <c r="E65" s="201">
        <f>MAX(IF(IF(S51="Single",(E42)/(S12*S16*S50),(E42-E56)/((S12)*(S50-L54))+S52)&lt;E64,IF(S51="Single",(E42)/(S12*S16*S50),(E42-E56)/((S12)*(S50-L54))+S52)*1.34,IF(S51="Single",(E42)/(S12*S16*S50),(E42-E56)/((S12)*(S50-L54))+S52)),E64)</f>
        <v>7.378473473349142</v>
      </c>
      <c r="F65" s="202"/>
      <c r="G65" s="32" t="s">
        <v>137</v>
      </c>
      <c r="H65" s="36"/>
      <c r="I65" s="42"/>
      <c r="J65" s="43"/>
      <c r="K65" s="201">
        <f>MAX(IF(IF(S51="Single",(K41)/(S12*S16*S50),(K41-E56)/((S12)*(S50-L54))+S52)&lt;K64,IF(S51="Single",(K41)/(S12*S16*S50),(K41-E56)/((S12)*(S50-L54))+S52)*1.34,IF(S51="Single",(K41)/(S12*S16*S50),(K41-E56)/((S12)*(S50-L54))+S52)),K64)</f>
        <v>4.643473473349141</v>
      </c>
      <c r="L65" s="202"/>
      <c r="M65" s="32" t="s">
        <v>137</v>
      </c>
      <c r="N65" s="36"/>
      <c r="O65" s="42"/>
      <c r="P65" s="43"/>
      <c r="Q65" s="201">
        <f>MAX(IF(IF(S51="Single",(Q42)/(S12*S16*S50),(Q42-E56)/((S12)*(S50-L54))+S52)&lt;Q64,IF(S51="Single",(Q42)/(S12*S16*S50),(Q42-E56)/((S12)*(S50-L54))+S52)*1.34,IF(S51="Single",(Q42)/(S12*S16*S50),(Q42-E56)/((S12)*(S50-L54))+S52)),Q64)</f>
        <v>7.378473473349142</v>
      </c>
      <c r="R65" s="202"/>
      <c r="S65" s="32" t="s">
        <v>137</v>
      </c>
      <c r="T65" s="36"/>
      <c r="U65" s="42"/>
      <c r="V65" s="44"/>
    </row>
    <row r="66" spans="2:22" ht="11.25">
      <c r="B66" s="15"/>
      <c r="C66" s="17" t="s">
        <v>23</v>
      </c>
      <c r="D66" s="40" t="s">
        <v>6</v>
      </c>
      <c r="E66" s="201">
        <f>IF(E42&lt;E56,E64,IF(0.5*((E42-E56)/(S12*(S50-L54)))*((1-H17)/((H17-(L54/S50))))&lt;E64,0.5*((E42-E56)/(S12*(S50-L54)))*((1-H17)/((H17-(L54/S50))))*1.34,0.5*((E42-E56)/(S12*(S50-L54)))*((1-H17)/((H17-(L54/S50))))))</f>
        <v>0.08170592774529785</v>
      </c>
      <c r="F66" s="202"/>
      <c r="G66" s="32" t="s">
        <v>137</v>
      </c>
      <c r="H66" s="41"/>
      <c r="I66" s="42"/>
      <c r="J66" s="43"/>
      <c r="K66" s="201">
        <f>IF(K41&lt;E56,K64,IF(0.5*((K41-E56)/(S12*(S50-L54)))*((1-H17)/((H17-(L54/S50))))&lt;K64,0.5*((K41-E56)/(S12*(S50-L54)))*((1-H17)/((H17-(L54/S50))))*1.34,0.5*((K41-E56)/(S12*(S50-L54)))*((1-H17)/((H17-(L54/S50))))))</f>
        <v>2.26</v>
      </c>
      <c r="L66" s="202"/>
      <c r="M66" s="32" t="s">
        <v>137</v>
      </c>
      <c r="N66" s="41"/>
      <c r="O66" s="42"/>
      <c r="P66" s="43"/>
      <c r="Q66" s="201">
        <f>IF(Q42&lt;E56,Q64,IF(0.5*((Q42-E56)/(S12*(S50-L54)))*((1-H17)/((H17-(L54/S50))))&lt;Q64,0.5*((Q42-E56)/(S12*(S50-L54)))*((1-H17)/((H17-(L54/S50))))*1.34,0.5*((Q42-E56)/(S12*(S50-L54)))*((1-H17)/((H17-(L54/S50))))))</f>
        <v>0.08170592774529785</v>
      </c>
      <c r="R66" s="202"/>
      <c r="S66" s="32" t="s">
        <v>137</v>
      </c>
      <c r="T66" s="41"/>
      <c r="U66" s="42"/>
      <c r="V66" s="44"/>
    </row>
    <row r="67" spans="2:22" ht="11.25">
      <c r="B67" s="15"/>
      <c r="C67" s="11"/>
      <c r="D67" s="11"/>
      <c r="E67" s="45"/>
      <c r="F67" s="45"/>
      <c r="G67" s="45"/>
      <c r="H67" s="45"/>
      <c r="I67" s="18"/>
      <c r="J67" s="18"/>
      <c r="K67" s="46"/>
      <c r="L67" s="46"/>
      <c r="M67" s="46"/>
      <c r="N67" s="45"/>
      <c r="O67" s="18"/>
      <c r="P67" s="18"/>
      <c r="Q67" s="46"/>
      <c r="R67" s="46"/>
      <c r="S67" s="46"/>
      <c r="T67" s="45"/>
      <c r="U67" s="18"/>
      <c r="V67" s="35"/>
    </row>
    <row r="68" spans="2:22" ht="11.25"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6"/>
    </row>
    <row r="69" spans="2:22" ht="11.25">
      <c r="B69" s="138" t="s">
        <v>42</v>
      </c>
      <c r="C69" s="139" t="s">
        <v>110</v>
      </c>
      <c r="D69" s="140"/>
      <c r="E69" s="140"/>
      <c r="F69" s="140"/>
      <c r="G69" s="14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6"/>
    </row>
    <row r="70" spans="2:22" ht="11.25">
      <c r="B70" s="15"/>
      <c r="C70" s="17"/>
      <c r="D70" s="17"/>
      <c r="E70" s="198" t="s">
        <v>92</v>
      </c>
      <c r="F70" s="198"/>
      <c r="G70" s="198"/>
      <c r="H70" s="47"/>
      <c r="I70" s="45"/>
      <c r="J70" s="18"/>
      <c r="K70" s="199" t="s">
        <v>122</v>
      </c>
      <c r="L70" s="199"/>
      <c r="M70" s="199"/>
      <c r="N70" s="47"/>
      <c r="O70" s="45"/>
      <c r="P70" s="18"/>
      <c r="Q70" s="200" t="s">
        <v>93</v>
      </c>
      <c r="R70" s="200"/>
      <c r="S70" s="200"/>
      <c r="T70" s="47"/>
      <c r="U70" s="45"/>
      <c r="V70" s="35"/>
    </row>
    <row r="71" spans="2:22" ht="11.25">
      <c r="B71" s="15"/>
      <c r="C71" s="17"/>
      <c r="D71" s="17"/>
      <c r="E71" s="177" t="s">
        <v>128</v>
      </c>
      <c r="F71" s="178"/>
      <c r="G71" s="32" t="s">
        <v>123</v>
      </c>
      <c r="H71" s="36"/>
      <c r="I71" s="1"/>
      <c r="J71" s="37"/>
      <c r="K71" s="177" t="s">
        <v>128</v>
      </c>
      <c r="L71" s="178"/>
      <c r="M71" s="32" t="s">
        <v>123</v>
      </c>
      <c r="N71" s="36"/>
      <c r="O71" s="1"/>
      <c r="P71" s="37"/>
      <c r="Q71" s="177" t="s">
        <v>128</v>
      </c>
      <c r="R71" s="178"/>
      <c r="S71" s="32" t="s">
        <v>123</v>
      </c>
      <c r="T71" s="36"/>
      <c r="U71" s="1"/>
      <c r="V71" s="39"/>
    </row>
    <row r="72" spans="2:22" ht="11.25">
      <c r="B72" s="15"/>
      <c r="C72" s="17" t="s">
        <v>26</v>
      </c>
      <c r="D72" s="40" t="s">
        <v>6</v>
      </c>
      <c r="E72" s="173">
        <f>IF(E44=0,0,((E44*100*S53)/(2*S54*S12)))</f>
        <v>0</v>
      </c>
      <c r="F72" s="174"/>
      <c r="G72" s="26" t="s">
        <v>137</v>
      </c>
      <c r="H72" s="41"/>
      <c r="I72" s="42"/>
      <c r="J72" s="42"/>
      <c r="K72" s="173">
        <f>IF(K44=0,0,((K44*100*S53)/(2*S54*S12)))</f>
        <v>0</v>
      </c>
      <c r="L72" s="174"/>
      <c r="M72" s="26" t="s">
        <v>137</v>
      </c>
      <c r="N72" s="41"/>
      <c r="O72" s="42"/>
      <c r="P72" s="42"/>
      <c r="Q72" s="173">
        <f>IF(Q44=0,0,((Q44*100*S53)/(2*S54*S12)))</f>
        <v>0</v>
      </c>
      <c r="R72" s="174"/>
      <c r="S72" s="26" t="s">
        <v>137</v>
      </c>
      <c r="T72" s="41"/>
      <c r="U72" s="42"/>
      <c r="V72" s="44"/>
    </row>
    <row r="73" spans="2:22" ht="11.25">
      <c r="B73" s="15"/>
      <c r="C73" s="17"/>
      <c r="D73" s="40"/>
      <c r="E73" s="48"/>
      <c r="F73" s="48"/>
      <c r="G73" s="18"/>
      <c r="H73" s="49"/>
      <c r="I73" s="42"/>
      <c r="J73" s="42"/>
      <c r="K73" s="48"/>
      <c r="L73" s="48"/>
      <c r="M73" s="18"/>
      <c r="N73" s="49"/>
      <c r="O73" s="42"/>
      <c r="P73" s="42"/>
      <c r="Q73" s="48"/>
      <c r="R73" s="48"/>
      <c r="S73" s="18"/>
      <c r="T73" s="49"/>
      <c r="U73" s="42"/>
      <c r="V73" s="44"/>
    </row>
    <row r="74" spans="2:22" ht="11.25">
      <c r="B74" s="15"/>
      <c r="C74" s="17"/>
      <c r="D74" s="40"/>
      <c r="E74" s="48"/>
      <c r="F74" s="48"/>
      <c r="G74" s="18"/>
      <c r="H74" s="49"/>
      <c r="I74" s="42"/>
      <c r="J74" s="42"/>
      <c r="K74" s="48"/>
      <c r="L74" s="48"/>
      <c r="M74" s="18"/>
      <c r="N74" s="49"/>
      <c r="O74" s="42"/>
      <c r="P74" s="42"/>
      <c r="Q74" s="48"/>
      <c r="R74" s="48"/>
      <c r="S74" s="18"/>
      <c r="T74" s="49"/>
      <c r="U74" s="42"/>
      <c r="V74" s="44"/>
    </row>
    <row r="75" spans="2:22" ht="11.25">
      <c r="B75" s="15"/>
      <c r="C75" s="17"/>
      <c r="D75" s="40"/>
      <c r="E75" s="48"/>
      <c r="F75" s="48"/>
      <c r="G75" s="18"/>
      <c r="H75" s="49"/>
      <c r="I75" s="42"/>
      <c r="J75" s="42"/>
      <c r="K75" s="48"/>
      <c r="L75" s="48"/>
      <c r="M75" s="18"/>
      <c r="N75" s="49"/>
      <c r="O75" s="42"/>
      <c r="P75" s="42"/>
      <c r="Q75" s="48"/>
      <c r="R75" s="48"/>
      <c r="S75" s="18"/>
      <c r="T75" s="49"/>
      <c r="U75" s="42"/>
      <c r="V75" s="44"/>
    </row>
    <row r="76" spans="2:22" ht="11.25"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6"/>
    </row>
    <row r="77" spans="2:22" ht="11.25"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6"/>
    </row>
    <row r="78" spans="2:22" ht="11.25">
      <c r="B78" s="138" t="s">
        <v>43</v>
      </c>
      <c r="C78" s="139" t="str">
        <f>IF(AND(E42&gt;0,E44&gt;0),"เหล็กเสริมรับแรงดึง แรงอัด และแรงบิด Ast+Asc+As(Mt)","เหล็กเสริมรับแรงดึง แรงอัด Ast+Asc")</f>
        <v>เหล็กเสริมรับแรงดึง แรงอัด Ast+Asc</v>
      </c>
      <c r="D78" s="140"/>
      <c r="E78" s="140"/>
      <c r="F78" s="140"/>
      <c r="G78" s="14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6"/>
    </row>
    <row r="79" spans="2:64" ht="11.25">
      <c r="B79" s="15"/>
      <c r="C79" s="17"/>
      <c r="D79" s="17"/>
      <c r="E79" s="198" t="s">
        <v>92</v>
      </c>
      <c r="F79" s="198"/>
      <c r="G79" s="198"/>
      <c r="H79" s="133" t="s">
        <v>114</v>
      </c>
      <c r="I79" s="133" t="s">
        <v>116</v>
      </c>
      <c r="J79" s="133" t="s">
        <v>115</v>
      </c>
      <c r="K79" s="199" t="s">
        <v>122</v>
      </c>
      <c r="L79" s="199"/>
      <c r="M79" s="199"/>
      <c r="N79" s="134" t="s">
        <v>114</v>
      </c>
      <c r="O79" s="134" t="s">
        <v>116</v>
      </c>
      <c r="P79" s="134" t="s">
        <v>115</v>
      </c>
      <c r="Q79" s="200" t="s">
        <v>93</v>
      </c>
      <c r="R79" s="200"/>
      <c r="S79" s="200"/>
      <c r="T79" s="135" t="s">
        <v>114</v>
      </c>
      <c r="U79" s="135" t="s">
        <v>116</v>
      </c>
      <c r="V79" s="78" t="s">
        <v>115</v>
      </c>
      <c r="AJ79" s="181" t="s">
        <v>56</v>
      </c>
      <c r="AK79" s="181"/>
      <c r="AL79" s="181"/>
      <c r="AM79" s="181"/>
      <c r="AN79" s="84"/>
      <c r="AU79" s="181" t="s">
        <v>58</v>
      </c>
      <c r="AV79" s="181"/>
      <c r="AW79" s="181"/>
      <c r="AX79" s="181"/>
      <c r="AY79" s="84"/>
      <c r="BF79" s="181" t="s">
        <v>59</v>
      </c>
      <c r="BG79" s="181"/>
      <c r="BH79" s="181"/>
      <c r="BI79" s="181"/>
      <c r="BJ79" s="84"/>
      <c r="BK79" s="84"/>
      <c r="BL79" s="84"/>
    </row>
    <row r="80" spans="2:91" ht="11.25">
      <c r="B80" s="15"/>
      <c r="C80" s="17"/>
      <c r="D80" s="17"/>
      <c r="E80" s="136" t="s">
        <v>126</v>
      </c>
      <c r="F80" s="136" t="s">
        <v>127</v>
      </c>
      <c r="G80" s="136" t="s">
        <v>124</v>
      </c>
      <c r="H80" s="50" t="s">
        <v>24</v>
      </c>
      <c r="I80" s="146"/>
      <c r="J80" s="146">
        <v>4</v>
      </c>
      <c r="K80" s="136" t="s">
        <v>126</v>
      </c>
      <c r="L80" s="136" t="s">
        <v>127</v>
      </c>
      <c r="M80" s="136" t="s">
        <v>124</v>
      </c>
      <c r="N80" s="50" t="s">
        <v>24</v>
      </c>
      <c r="O80" s="146">
        <v>2</v>
      </c>
      <c r="P80" s="146"/>
      <c r="Q80" s="136" t="s">
        <v>126</v>
      </c>
      <c r="R80" s="136" t="s">
        <v>127</v>
      </c>
      <c r="S80" s="136" t="s">
        <v>124</v>
      </c>
      <c r="T80" s="50" t="s">
        <v>24</v>
      </c>
      <c r="U80" s="146"/>
      <c r="V80" s="148">
        <v>4</v>
      </c>
      <c r="AJ80" s="177" t="s">
        <v>50</v>
      </c>
      <c r="AK80" s="178"/>
      <c r="AL80" s="177" t="s">
        <v>50</v>
      </c>
      <c r="AM80" s="178"/>
      <c r="AN80" s="84"/>
      <c r="AU80" s="177" t="s">
        <v>50</v>
      </c>
      <c r="AV80" s="178"/>
      <c r="AW80" s="177" t="s">
        <v>50</v>
      </c>
      <c r="AX80" s="178"/>
      <c r="AY80" s="84"/>
      <c r="BF80" s="177" t="s">
        <v>50</v>
      </c>
      <c r="BG80" s="178"/>
      <c r="BH80" s="177" t="s">
        <v>50</v>
      </c>
      <c r="BI80" s="178"/>
      <c r="BJ80" s="84"/>
      <c r="BK80" s="84"/>
      <c r="BL80" s="84"/>
      <c r="BN80" s="177" t="s">
        <v>50</v>
      </c>
      <c r="BO80" s="178"/>
      <c r="BP80" s="177" t="s">
        <v>50</v>
      </c>
      <c r="BQ80" s="178"/>
      <c r="BR80" s="177" t="s">
        <v>50</v>
      </c>
      <c r="BS80" s="178"/>
      <c r="BT80" s="177" t="s">
        <v>50</v>
      </c>
      <c r="BU80" s="178"/>
      <c r="BV80" s="177" t="s">
        <v>50</v>
      </c>
      <c r="BW80" s="178"/>
      <c r="BX80" s="177" t="s">
        <v>50</v>
      </c>
      <c r="BY80" s="178"/>
      <c r="BZ80" s="58"/>
      <c r="CA80" s="58"/>
      <c r="CB80" s="177" t="s">
        <v>50</v>
      </c>
      <c r="CC80" s="178"/>
      <c r="CD80" s="177" t="s">
        <v>50</v>
      </c>
      <c r="CE80" s="178"/>
      <c r="CF80" s="177" t="s">
        <v>50</v>
      </c>
      <c r="CG80" s="178"/>
      <c r="CH80" s="177" t="s">
        <v>50</v>
      </c>
      <c r="CI80" s="178"/>
      <c r="CJ80" s="177" t="s">
        <v>50</v>
      </c>
      <c r="CK80" s="178"/>
      <c r="CL80" s="177" t="s">
        <v>50</v>
      </c>
      <c r="CM80" s="178"/>
    </row>
    <row r="81" spans="2:91" ht="11.25" customHeight="1">
      <c r="B81" s="15"/>
      <c r="C81" s="51" t="str">
        <f>IF(SUM(E44:S44)&gt;0,"Ast+As(Mt)","Ast")</f>
        <v>Ast</v>
      </c>
      <c r="D81" s="40" t="s">
        <v>6</v>
      </c>
      <c r="E81" s="52">
        <f>E65+(E72*2)</f>
        <v>7.378473473349142</v>
      </c>
      <c r="F81" s="52">
        <f>((PI()/4*(J81/10)^2)*J80)+((PI()/4*(J83/10)^2)*J82)</f>
        <v>8.042477193189871</v>
      </c>
      <c r="G81" s="106" t="str">
        <f>IF(F81&gt;E81,"OK","NG.")</f>
        <v>OK</v>
      </c>
      <c r="H81" s="53" t="s">
        <v>125</v>
      </c>
      <c r="I81" s="147"/>
      <c r="J81" s="147">
        <v>16</v>
      </c>
      <c r="K81" s="52">
        <f>K65+(K72*2)</f>
        <v>4.643473473349141</v>
      </c>
      <c r="L81" s="52">
        <f>((PI()/4*(P81/10)^2)*P80)+((PI()/4*(P83/10)^2)*P82)</f>
        <v>8.042477193189871</v>
      </c>
      <c r="M81" s="106" t="str">
        <f>IF(L81&gt;K81,"OK","NG.")</f>
        <v>OK</v>
      </c>
      <c r="N81" s="53" t="s">
        <v>125</v>
      </c>
      <c r="O81" s="147">
        <v>16</v>
      </c>
      <c r="P81" s="147"/>
      <c r="Q81" s="52">
        <f>Q65+(Q72*2)</f>
        <v>7.378473473349142</v>
      </c>
      <c r="R81" s="52">
        <f>((PI()/4*(V81/10)^2)*V80)+((PI()/4*(V83/10)^2)*V82)</f>
        <v>8.042477193189871</v>
      </c>
      <c r="S81" s="106" t="str">
        <f>IF(R81&gt;Q81,"OK","NG.")</f>
        <v>OK</v>
      </c>
      <c r="T81" s="53" t="s">
        <v>125</v>
      </c>
      <c r="U81" s="147"/>
      <c r="V81" s="147">
        <v>16</v>
      </c>
      <c r="AJ81" s="177">
        <f>J80</f>
        <v>4</v>
      </c>
      <c r="AK81" s="180"/>
      <c r="AL81" s="180"/>
      <c r="AM81" s="178"/>
      <c r="AN81" s="84"/>
      <c r="AU81" s="177">
        <f>O80</f>
        <v>2</v>
      </c>
      <c r="AV81" s="180"/>
      <c r="AW81" s="180"/>
      <c r="AX81" s="178"/>
      <c r="AY81" s="84"/>
      <c r="BF81" s="177">
        <f>V80</f>
        <v>4</v>
      </c>
      <c r="BG81" s="180"/>
      <c r="BH81" s="180"/>
      <c r="BI81" s="178"/>
      <c r="BJ81" s="84"/>
      <c r="BK81" s="84"/>
      <c r="BL81" s="84"/>
      <c r="BN81" s="177">
        <v>2</v>
      </c>
      <c r="BO81" s="178"/>
      <c r="BP81" s="177">
        <v>3</v>
      </c>
      <c r="BQ81" s="178"/>
      <c r="BR81" s="177">
        <v>4</v>
      </c>
      <c r="BS81" s="178"/>
      <c r="BT81" s="177">
        <v>5</v>
      </c>
      <c r="BU81" s="178"/>
      <c r="BV81" s="177">
        <v>6</v>
      </c>
      <c r="BW81" s="178"/>
      <c r="BX81" s="177">
        <v>7</v>
      </c>
      <c r="BY81" s="178"/>
      <c r="BZ81" s="58"/>
      <c r="CA81" s="58"/>
      <c r="CB81" s="177">
        <v>2</v>
      </c>
      <c r="CC81" s="178"/>
      <c r="CD81" s="177">
        <v>3</v>
      </c>
      <c r="CE81" s="178"/>
      <c r="CF81" s="177">
        <v>4</v>
      </c>
      <c r="CG81" s="178"/>
      <c r="CH81" s="177">
        <v>5</v>
      </c>
      <c r="CI81" s="178"/>
      <c r="CJ81" s="177">
        <v>6</v>
      </c>
      <c r="CK81" s="178"/>
      <c r="CL81" s="177">
        <v>7</v>
      </c>
      <c r="CM81" s="178"/>
    </row>
    <row r="82" spans="2:91" ht="11.25">
      <c r="B82" s="15"/>
      <c r="C82" s="51" t="str">
        <f>IF(SUM(E44:S44)&gt;0,"Asc+As(Mt)","Asc")</f>
        <v>Asc</v>
      </c>
      <c r="D82" s="40" t="s">
        <v>6</v>
      </c>
      <c r="E82" s="52">
        <f>+E66+(E72*2)</f>
        <v>0.08170592774529785</v>
      </c>
      <c r="F82" s="52">
        <f>((PI()/4*(I81/10)^2)*I80)+((PI()/4*(I83/10)^2)*I82)</f>
        <v>4.0212385965949355</v>
      </c>
      <c r="G82" s="82" t="str">
        <f>IF(F82&gt;E82,"OK","NG.")</f>
        <v>OK</v>
      </c>
      <c r="H82" s="50" t="s">
        <v>25</v>
      </c>
      <c r="I82" s="150">
        <v>2</v>
      </c>
      <c r="J82" s="150"/>
      <c r="K82" s="52">
        <f>+K66+(K72*2)</f>
        <v>2.26</v>
      </c>
      <c r="L82" s="52">
        <f>((PI()/4*(O81/10)^2)*O80)+((PI()/4*(O83/10)^2)*O82)</f>
        <v>4.0212385965949355</v>
      </c>
      <c r="M82" s="106" t="str">
        <f>IF(L82&gt;K82,"OK","NG.")</f>
        <v>OK</v>
      </c>
      <c r="N82" s="50" t="s">
        <v>25</v>
      </c>
      <c r="O82" s="150"/>
      <c r="P82" s="150">
        <v>4</v>
      </c>
      <c r="Q82" s="52">
        <f>+Q66+(Q72*2)</f>
        <v>0.08170592774529785</v>
      </c>
      <c r="R82" s="52">
        <f>((PI()/4*(U81/10)^2)*U80)+((PI()/4*(U83/10)^2)*U82)</f>
        <v>4.0212385965949355</v>
      </c>
      <c r="S82" s="106" t="str">
        <f>IF(R82&gt;Q82,"OK","NG.")</f>
        <v>OK</v>
      </c>
      <c r="T82" s="50" t="s">
        <v>25</v>
      </c>
      <c r="U82" s="146">
        <v>2</v>
      </c>
      <c r="V82" s="150"/>
      <c r="AD82" s="86" t="s">
        <v>51</v>
      </c>
      <c r="AE82" s="86" t="s">
        <v>55</v>
      </c>
      <c r="AF82" s="177" t="s">
        <v>51</v>
      </c>
      <c r="AG82" s="178"/>
      <c r="AH82" s="177" t="s">
        <v>55</v>
      </c>
      <c r="AI82" s="178"/>
      <c r="AJ82" s="177" t="s">
        <v>51</v>
      </c>
      <c r="AK82" s="178"/>
      <c r="AL82" s="177" t="s">
        <v>55</v>
      </c>
      <c r="AM82" s="178"/>
      <c r="AN82" s="84"/>
      <c r="AO82" s="86" t="s">
        <v>51</v>
      </c>
      <c r="AP82" s="86" t="s">
        <v>55</v>
      </c>
      <c r="AQ82" s="177" t="s">
        <v>51</v>
      </c>
      <c r="AR82" s="178"/>
      <c r="AS82" s="177" t="s">
        <v>55</v>
      </c>
      <c r="AT82" s="178"/>
      <c r="AU82" s="177" t="s">
        <v>51</v>
      </c>
      <c r="AV82" s="178"/>
      <c r="AW82" s="177" t="s">
        <v>55</v>
      </c>
      <c r="AX82" s="178"/>
      <c r="AY82" s="84"/>
      <c r="AZ82" s="86" t="s">
        <v>51</v>
      </c>
      <c r="BA82" s="86" t="s">
        <v>55</v>
      </c>
      <c r="BB82" s="177" t="s">
        <v>51</v>
      </c>
      <c r="BC82" s="178"/>
      <c r="BD82" s="177" t="s">
        <v>55</v>
      </c>
      <c r="BE82" s="178"/>
      <c r="BF82" s="177" t="s">
        <v>51</v>
      </c>
      <c r="BG82" s="178"/>
      <c r="BH82" s="177" t="s">
        <v>55</v>
      </c>
      <c r="BI82" s="178"/>
      <c r="BJ82" s="84"/>
      <c r="BK82" s="84"/>
      <c r="BL82" s="84"/>
      <c r="BN82" s="177" t="s">
        <v>51</v>
      </c>
      <c r="BO82" s="178"/>
      <c r="BP82" s="177" t="s">
        <v>51</v>
      </c>
      <c r="BQ82" s="178"/>
      <c r="BR82" s="177" t="s">
        <v>51</v>
      </c>
      <c r="BS82" s="178"/>
      <c r="BT82" s="177" t="s">
        <v>51</v>
      </c>
      <c r="BU82" s="178"/>
      <c r="BV82" s="177" t="s">
        <v>51</v>
      </c>
      <c r="BW82" s="178"/>
      <c r="BX82" s="177" t="s">
        <v>51</v>
      </c>
      <c r="BY82" s="178"/>
      <c r="BZ82" s="58"/>
      <c r="CA82" s="58"/>
      <c r="CB82" s="177" t="s">
        <v>55</v>
      </c>
      <c r="CC82" s="178"/>
      <c r="CD82" s="177" t="s">
        <v>55</v>
      </c>
      <c r="CE82" s="178"/>
      <c r="CF82" s="177" t="s">
        <v>55</v>
      </c>
      <c r="CG82" s="178"/>
      <c r="CH82" s="177" t="s">
        <v>55</v>
      </c>
      <c r="CI82" s="178"/>
      <c r="CJ82" s="177" t="s">
        <v>55</v>
      </c>
      <c r="CK82" s="178"/>
      <c r="CL82" s="177" t="s">
        <v>55</v>
      </c>
      <c r="CM82" s="178"/>
    </row>
    <row r="83" spans="2:91" ht="11.25" customHeight="1">
      <c r="B83" s="15"/>
      <c r="C83" s="51"/>
      <c r="D83" s="40"/>
      <c r="E83" s="198" t="s">
        <v>111</v>
      </c>
      <c r="F83" s="198"/>
      <c r="G83" s="198"/>
      <c r="H83" s="54" t="s">
        <v>125</v>
      </c>
      <c r="I83" s="147">
        <v>16</v>
      </c>
      <c r="J83" s="147"/>
      <c r="K83" s="199" t="s">
        <v>111</v>
      </c>
      <c r="L83" s="199"/>
      <c r="M83" s="199"/>
      <c r="N83" s="54" t="s">
        <v>125</v>
      </c>
      <c r="O83" s="147"/>
      <c r="P83" s="147">
        <v>16</v>
      </c>
      <c r="Q83" s="200" t="s">
        <v>111</v>
      </c>
      <c r="R83" s="200"/>
      <c r="S83" s="200"/>
      <c r="T83" s="54" t="s">
        <v>125</v>
      </c>
      <c r="U83" s="147">
        <v>16</v>
      </c>
      <c r="V83" s="147"/>
      <c r="AD83" s="86">
        <f>AF83</f>
        <v>5</v>
      </c>
      <c r="AE83" s="86">
        <f>AH83</f>
        <v>74</v>
      </c>
      <c r="AF83" s="177">
        <f aca="true" t="shared" si="0" ref="AF83:AF89">IF(AJ83&gt;0,AJ83,MAX($AJ$83:$AK$89))</f>
        <v>5</v>
      </c>
      <c r="AG83" s="178"/>
      <c r="AH83" s="177">
        <f aca="true" t="shared" si="1" ref="AH83:AH89">IF(AL83&gt;0,AL83,MAX($AL$83:$AM$89))</f>
        <v>74</v>
      </c>
      <c r="AI83" s="178"/>
      <c r="AJ83" s="177">
        <f>HLOOKUP($AJ$81,$BN$81:$BY$89,3,FALSE)</f>
        <v>5</v>
      </c>
      <c r="AK83" s="178"/>
      <c r="AL83" s="177">
        <f>HLOOKUP($AJ$81,$CB$81:$CM$89,3,FALSE)</f>
        <v>74</v>
      </c>
      <c r="AM83" s="178"/>
      <c r="AN83" s="84"/>
      <c r="AO83" s="86">
        <f>AQ83</f>
        <v>5</v>
      </c>
      <c r="AP83" s="86">
        <f>AS83</f>
        <v>74</v>
      </c>
      <c r="AQ83" s="177">
        <f aca="true" t="shared" si="2" ref="AQ83:AQ89">IF(AU83&gt;0,AU83,MAX($AU$83:$AV$89))</f>
        <v>5</v>
      </c>
      <c r="AR83" s="178"/>
      <c r="AS83" s="177">
        <f aca="true" t="shared" si="3" ref="AS83:AS89">IF(AW83&gt;0,AW83,MAX($AW$83:$AX$89))</f>
        <v>74</v>
      </c>
      <c r="AT83" s="178"/>
      <c r="AU83" s="177">
        <f>HLOOKUP($AU$81,$BN$81:$BY$89,3,FALSE)</f>
        <v>5</v>
      </c>
      <c r="AV83" s="178"/>
      <c r="AW83" s="177">
        <f>HLOOKUP($AU$81,$CB$81:$CM$89,3,FALSE)</f>
        <v>74</v>
      </c>
      <c r="AX83" s="178"/>
      <c r="AY83" s="84"/>
      <c r="AZ83" s="86">
        <f>BB83</f>
        <v>5</v>
      </c>
      <c r="BA83" s="86">
        <f>BD83</f>
        <v>74</v>
      </c>
      <c r="BB83" s="177">
        <f aca="true" t="shared" si="4" ref="BB83:BB89">IF(BF83&gt;0,BF83,MAX($BF$83:$BG$89))</f>
        <v>5</v>
      </c>
      <c r="BC83" s="178"/>
      <c r="BD83" s="177">
        <f aca="true" t="shared" si="5" ref="BD83:BD89">IF(BH83&gt;0,BH83,MAX($BH$83:$BI$89))</f>
        <v>74</v>
      </c>
      <c r="BE83" s="178"/>
      <c r="BF83" s="177">
        <f>HLOOKUP($BF$81,$BN$81:$BY$89,3,FALSE)</f>
        <v>5</v>
      </c>
      <c r="BG83" s="178"/>
      <c r="BH83" s="177">
        <f>HLOOKUP($BF$81,$CB$81:$CM$89,3,FALSE)</f>
        <v>74</v>
      </c>
      <c r="BI83" s="178"/>
      <c r="BJ83" s="84"/>
      <c r="BK83" s="84"/>
      <c r="BL83" s="84"/>
      <c r="BN83" s="177">
        <v>5</v>
      </c>
      <c r="BO83" s="178"/>
      <c r="BP83" s="177">
        <v>5</v>
      </c>
      <c r="BQ83" s="178"/>
      <c r="BR83" s="177">
        <v>5</v>
      </c>
      <c r="BS83" s="178"/>
      <c r="BT83" s="177">
        <v>5</v>
      </c>
      <c r="BU83" s="178"/>
      <c r="BV83" s="177">
        <v>5</v>
      </c>
      <c r="BW83" s="178"/>
      <c r="BX83" s="177">
        <v>5</v>
      </c>
      <c r="BY83" s="178"/>
      <c r="BZ83" s="58"/>
      <c r="CA83" s="58"/>
      <c r="CB83" s="177">
        <v>74</v>
      </c>
      <c r="CC83" s="178"/>
      <c r="CD83" s="177">
        <v>74</v>
      </c>
      <c r="CE83" s="178"/>
      <c r="CF83" s="177">
        <v>74</v>
      </c>
      <c r="CG83" s="178"/>
      <c r="CH83" s="177">
        <v>74</v>
      </c>
      <c r="CI83" s="178"/>
      <c r="CJ83" s="177">
        <v>74</v>
      </c>
      <c r="CK83" s="178"/>
      <c r="CL83" s="177">
        <v>74</v>
      </c>
      <c r="CM83" s="178"/>
    </row>
    <row r="84" spans="1:114" s="58" customFormat="1" ht="11.25" customHeight="1">
      <c r="A84" s="57"/>
      <c r="B84" s="55"/>
      <c r="C84" s="56"/>
      <c r="D84" s="56"/>
      <c r="E84" s="50" t="s">
        <v>49</v>
      </c>
      <c r="F84" s="146"/>
      <c r="G84" s="147">
        <v>12</v>
      </c>
      <c r="H84" s="207" t="s">
        <v>26</v>
      </c>
      <c r="I84" s="102" t="s">
        <v>113</v>
      </c>
      <c r="J84" s="102" t="s">
        <v>112</v>
      </c>
      <c r="K84" s="50" t="s">
        <v>49</v>
      </c>
      <c r="L84" s="146"/>
      <c r="M84" s="147">
        <v>12</v>
      </c>
      <c r="N84" s="234" t="s">
        <v>26</v>
      </c>
      <c r="O84" s="103" t="s">
        <v>112</v>
      </c>
      <c r="P84" s="103" t="s">
        <v>113</v>
      </c>
      <c r="Q84" s="50" t="s">
        <v>49</v>
      </c>
      <c r="R84" s="146"/>
      <c r="S84" s="147">
        <v>12</v>
      </c>
      <c r="T84" s="175" t="s">
        <v>26</v>
      </c>
      <c r="U84" s="104" t="s">
        <v>113</v>
      </c>
      <c r="V84" s="105" t="s">
        <v>112</v>
      </c>
      <c r="W84" s="57"/>
      <c r="X84" s="57"/>
      <c r="Y84" s="57"/>
      <c r="Z84" s="57"/>
      <c r="AA84" s="57"/>
      <c r="AB84" s="57"/>
      <c r="AC84" s="57"/>
      <c r="AD84" s="86">
        <f aca="true" t="shared" si="6" ref="AD84:AD89">AF84</f>
        <v>18</v>
      </c>
      <c r="AE84" s="86">
        <f aca="true" t="shared" si="7" ref="AE84:AE89">AH84</f>
        <v>74</v>
      </c>
      <c r="AF84" s="177">
        <f t="shared" si="0"/>
        <v>18</v>
      </c>
      <c r="AG84" s="178"/>
      <c r="AH84" s="177">
        <f t="shared" si="1"/>
        <v>74</v>
      </c>
      <c r="AI84" s="178"/>
      <c r="AJ84" s="177">
        <f>HLOOKUP($AJ$81,$BN$81:$BY$89,4,FALSE)</f>
        <v>18</v>
      </c>
      <c r="AK84" s="178"/>
      <c r="AL84" s="177">
        <f>HLOOKUP($AJ$81,$CB$81:$CM$89,4,FALSE)</f>
        <v>74</v>
      </c>
      <c r="AM84" s="178"/>
      <c r="AN84" s="84"/>
      <c r="AO84" s="86">
        <f aca="true" t="shared" si="8" ref="AO84:AO89">AQ84</f>
        <v>45</v>
      </c>
      <c r="AP84" s="86">
        <f aca="true" t="shared" si="9" ref="AP84:AP89">AS84</f>
        <v>74</v>
      </c>
      <c r="AQ84" s="177">
        <f t="shared" si="2"/>
        <v>45</v>
      </c>
      <c r="AR84" s="178"/>
      <c r="AS84" s="177">
        <f t="shared" si="3"/>
        <v>74</v>
      </c>
      <c r="AT84" s="178"/>
      <c r="AU84" s="177">
        <f>HLOOKUP($AU$81,$BN$81:$BY$89,4,FALSE)</f>
        <v>45</v>
      </c>
      <c r="AV84" s="178"/>
      <c r="AW84" s="177">
        <f>HLOOKUP($AU$81,$CB$81:$CM$89,4,FALSE)</f>
        <v>74</v>
      </c>
      <c r="AX84" s="178"/>
      <c r="AY84" s="84"/>
      <c r="AZ84" s="86">
        <f aca="true" t="shared" si="10" ref="AZ84:AZ89">BB84</f>
        <v>18</v>
      </c>
      <c r="BA84" s="86">
        <f aca="true" t="shared" si="11" ref="BA84:BA89">BD84</f>
        <v>74</v>
      </c>
      <c r="BB84" s="177">
        <f t="shared" si="4"/>
        <v>18</v>
      </c>
      <c r="BC84" s="178"/>
      <c r="BD84" s="177">
        <f t="shared" si="5"/>
        <v>74</v>
      </c>
      <c r="BE84" s="178"/>
      <c r="BF84" s="177">
        <f>HLOOKUP($BF$81,$BN$81:$BY$89,4,FALSE)</f>
        <v>18</v>
      </c>
      <c r="BG84" s="178"/>
      <c r="BH84" s="177">
        <f>HLOOKUP($BF$81,$CB$81:$CM$89,4,FALSE)</f>
        <v>74</v>
      </c>
      <c r="BI84" s="178"/>
      <c r="BJ84" s="84"/>
      <c r="BK84" s="84"/>
      <c r="BL84" s="84"/>
      <c r="BM84" s="57"/>
      <c r="BN84" s="177">
        <v>45</v>
      </c>
      <c r="BO84" s="178"/>
      <c r="BP84" s="177">
        <v>25</v>
      </c>
      <c r="BQ84" s="178"/>
      <c r="BR84" s="177">
        <v>18</v>
      </c>
      <c r="BS84" s="178"/>
      <c r="BT84" s="177">
        <v>15</v>
      </c>
      <c r="BU84" s="178"/>
      <c r="BV84" s="177">
        <v>13</v>
      </c>
      <c r="BW84" s="178"/>
      <c r="BX84" s="177">
        <v>12</v>
      </c>
      <c r="BY84" s="178"/>
      <c r="CB84" s="177">
        <v>74</v>
      </c>
      <c r="CC84" s="178"/>
      <c r="CD84" s="177">
        <v>74</v>
      </c>
      <c r="CE84" s="178"/>
      <c r="CF84" s="177">
        <v>74</v>
      </c>
      <c r="CG84" s="178"/>
      <c r="CH84" s="177">
        <v>74</v>
      </c>
      <c r="CI84" s="178"/>
      <c r="CJ84" s="177">
        <v>74</v>
      </c>
      <c r="CK84" s="178"/>
      <c r="CL84" s="177">
        <v>74</v>
      </c>
      <c r="CM84" s="178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</row>
    <row r="85" spans="1:114" s="58" customFormat="1" ht="11.25" customHeight="1">
      <c r="A85" s="57"/>
      <c r="B85" s="55"/>
      <c r="C85" s="56"/>
      <c r="D85" s="56"/>
      <c r="E85" s="56"/>
      <c r="F85" s="56"/>
      <c r="G85" s="56"/>
      <c r="H85" s="208"/>
      <c r="I85" s="102" t="s">
        <v>23</v>
      </c>
      <c r="J85" s="102" t="s">
        <v>22</v>
      </c>
      <c r="K85" s="56"/>
      <c r="L85" s="56"/>
      <c r="M85" s="56"/>
      <c r="N85" s="235"/>
      <c r="O85" s="103" t="s">
        <v>23</v>
      </c>
      <c r="P85" s="103" t="s">
        <v>22</v>
      </c>
      <c r="Q85" s="56"/>
      <c r="R85" s="56"/>
      <c r="S85" s="56"/>
      <c r="T85" s="176"/>
      <c r="U85" s="104" t="s">
        <v>23</v>
      </c>
      <c r="V85" s="105" t="s">
        <v>22</v>
      </c>
      <c r="W85" s="57"/>
      <c r="X85" s="57"/>
      <c r="Y85" s="57"/>
      <c r="Z85" s="57"/>
      <c r="AA85" s="57"/>
      <c r="AB85" s="57"/>
      <c r="AC85" s="57"/>
      <c r="AD85" s="86">
        <f t="shared" si="6"/>
        <v>32</v>
      </c>
      <c r="AE85" s="86">
        <f t="shared" si="7"/>
        <v>74</v>
      </c>
      <c r="AF85" s="177">
        <f t="shared" si="0"/>
        <v>32</v>
      </c>
      <c r="AG85" s="178"/>
      <c r="AH85" s="177">
        <f t="shared" si="1"/>
        <v>74</v>
      </c>
      <c r="AI85" s="178"/>
      <c r="AJ85" s="177">
        <f>HLOOKUP($AJ$81,$BN$81:$BY$89,5,FALSE)</f>
        <v>32</v>
      </c>
      <c r="AK85" s="178"/>
      <c r="AL85" s="177">
        <f>HLOOKUP($AJ$81,$CB$81:$CM$89,5,FALSE)</f>
        <v>74</v>
      </c>
      <c r="AM85" s="178"/>
      <c r="AN85" s="84"/>
      <c r="AO85" s="86">
        <f t="shared" si="8"/>
        <v>45</v>
      </c>
      <c r="AP85" s="86">
        <f t="shared" si="9"/>
        <v>74</v>
      </c>
      <c r="AQ85" s="177">
        <f t="shared" si="2"/>
        <v>45</v>
      </c>
      <c r="AR85" s="178"/>
      <c r="AS85" s="177">
        <f t="shared" si="3"/>
        <v>74</v>
      </c>
      <c r="AT85" s="178"/>
      <c r="AU85" s="177">
        <f>HLOOKUP($AU$81,$BN$81:$BY$89,5,FALSE)</f>
        <v>0</v>
      </c>
      <c r="AV85" s="178"/>
      <c r="AW85" s="177">
        <f>HLOOKUP($AU$81,$CB$81:$CM$89,5,FALSE)</f>
        <v>0</v>
      </c>
      <c r="AX85" s="178"/>
      <c r="AY85" s="84"/>
      <c r="AZ85" s="86">
        <f t="shared" si="10"/>
        <v>32</v>
      </c>
      <c r="BA85" s="86">
        <f t="shared" si="11"/>
        <v>74</v>
      </c>
      <c r="BB85" s="177">
        <f t="shared" si="4"/>
        <v>32</v>
      </c>
      <c r="BC85" s="178"/>
      <c r="BD85" s="177">
        <f t="shared" si="5"/>
        <v>74</v>
      </c>
      <c r="BE85" s="178"/>
      <c r="BF85" s="177">
        <f>HLOOKUP($BF$81,$BN$81:$BY$89,5,FALSE)</f>
        <v>32</v>
      </c>
      <c r="BG85" s="178"/>
      <c r="BH85" s="177">
        <f>HLOOKUP($BF$81,$CB$81:$CM$89,5,FALSE)</f>
        <v>74</v>
      </c>
      <c r="BI85" s="178"/>
      <c r="BJ85" s="84"/>
      <c r="BK85" s="84"/>
      <c r="BL85" s="84"/>
      <c r="BM85" s="57"/>
      <c r="BN85" s="177"/>
      <c r="BO85" s="178"/>
      <c r="BP85" s="177">
        <v>45</v>
      </c>
      <c r="BQ85" s="178"/>
      <c r="BR85" s="177">
        <v>32</v>
      </c>
      <c r="BS85" s="178"/>
      <c r="BT85" s="177">
        <v>25</v>
      </c>
      <c r="BU85" s="178"/>
      <c r="BV85" s="177">
        <v>21</v>
      </c>
      <c r="BW85" s="178"/>
      <c r="BX85" s="177">
        <v>18</v>
      </c>
      <c r="BY85" s="178"/>
      <c r="CB85" s="177"/>
      <c r="CC85" s="178"/>
      <c r="CD85" s="177">
        <v>74</v>
      </c>
      <c r="CE85" s="178"/>
      <c r="CF85" s="177">
        <v>74</v>
      </c>
      <c r="CG85" s="178"/>
      <c r="CH85" s="177">
        <v>74</v>
      </c>
      <c r="CI85" s="178"/>
      <c r="CJ85" s="177">
        <v>74</v>
      </c>
      <c r="CK85" s="178"/>
      <c r="CL85" s="177">
        <v>74</v>
      </c>
      <c r="CM85" s="178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</row>
    <row r="86" spans="1:114" s="58" customFormat="1" ht="11.25" customHeight="1">
      <c r="A86" s="57"/>
      <c r="B86" s="55"/>
      <c r="C86" s="56"/>
      <c r="D86" s="56"/>
      <c r="E86" s="56"/>
      <c r="F86" s="56"/>
      <c r="G86" s="56"/>
      <c r="H86" s="59"/>
      <c r="I86" s="60"/>
      <c r="J86" s="60"/>
      <c r="K86" s="56"/>
      <c r="L86" s="56"/>
      <c r="M86" s="56"/>
      <c r="N86" s="59"/>
      <c r="P86" s="60"/>
      <c r="Q86" s="56"/>
      <c r="R86" s="56"/>
      <c r="S86" s="56"/>
      <c r="T86" s="56"/>
      <c r="U86" s="60"/>
      <c r="V86" s="61"/>
      <c r="W86" s="57"/>
      <c r="X86" s="57"/>
      <c r="Y86" s="57"/>
      <c r="Z86" s="57"/>
      <c r="AA86" s="57"/>
      <c r="AB86" s="57"/>
      <c r="AC86" s="57"/>
      <c r="AD86" s="86">
        <f t="shared" si="6"/>
        <v>45</v>
      </c>
      <c r="AE86" s="86">
        <f t="shared" si="7"/>
        <v>74</v>
      </c>
      <c r="AF86" s="177">
        <f t="shared" si="0"/>
        <v>45</v>
      </c>
      <c r="AG86" s="178"/>
      <c r="AH86" s="177">
        <f t="shared" si="1"/>
        <v>74</v>
      </c>
      <c r="AI86" s="178"/>
      <c r="AJ86" s="177">
        <f>HLOOKUP($AJ$81,$BN$81:$BY$89,6,FALSE)</f>
        <v>45</v>
      </c>
      <c r="AK86" s="178"/>
      <c r="AL86" s="177">
        <f>HLOOKUP($AJ$81,$CB$81:$CM$89,6,FALSE)</f>
        <v>74</v>
      </c>
      <c r="AM86" s="178"/>
      <c r="AN86" s="84"/>
      <c r="AO86" s="86">
        <f t="shared" si="8"/>
        <v>45</v>
      </c>
      <c r="AP86" s="86">
        <f t="shared" si="9"/>
        <v>74</v>
      </c>
      <c r="AQ86" s="177">
        <f t="shared" si="2"/>
        <v>45</v>
      </c>
      <c r="AR86" s="178"/>
      <c r="AS86" s="177">
        <f t="shared" si="3"/>
        <v>74</v>
      </c>
      <c r="AT86" s="178"/>
      <c r="AU86" s="177">
        <f>HLOOKUP($AU$81,$BN$81:$BY$89,6,FALSE)</f>
        <v>0</v>
      </c>
      <c r="AV86" s="178"/>
      <c r="AW86" s="177">
        <f>HLOOKUP($AU$81,$CB$81:$CM$89,6,FALSE)</f>
        <v>0</v>
      </c>
      <c r="AX86" s="178"/>
      <c r="AY86" s="84"/>
      <c r="AZ86" s="86">
        <f t="shared" si="10"/>
        <v>45</v>
      </c>
      <c r="BA86" s="86">
        <f t="shared" si="11"/>
        <v>74</v>
      </c>
      <c r="BB86" s="177">
        <f t="shared" si="4"/>
        <v>45</v>
      </c>
      <c r="BC86" s="178"/>
      <c r="BD86" s="177">
        <f t="shared" si="5"/>
        <v>74</v>
      </c>
      <c r="BE86" s="178"/>
      <c r="BF86" s="177">
        <f>HLOOKUP($BF$81,$BN$81:$BY$89,6,FALSE)</f>
        <v>45</v>
      </c>
      <c r="BG86" s="178"/>
      <c r="BH86" s="177">
        <f>HLOOKUP($BF$81,$CB$81:$CM$89,6,FALSE)</f>
        <v>74</v>
      </c>
      <c r="BI86" s="178"/>
      <c r="BJ86" s="84"/>
      <c r="BK86" s="84"/>
      <c r="BL86" s="84"/>
      <c r="BM86" s="57"/>
      <c r="BN86" s="177"/>
      <c r="BO86" s="178"/>
      <c r="BP86" s="177"/>
      <c r="BQ86" s="178"/>
      <c r="BR86" s="177">
        <v>45</v>
      </c>
      <c r="BS86" s="178"/>
      <c r="BT86" s="177">
        <v>35</v>
      </c>
      <c r="BU86" s="178"/>
      <c r="BV86" s="177">
        <v>29</v>
      </c>
      <c r="BW86" s="178"/>
      <c r="BX86" s="177">
        <v>25</v>
      </c>
      <c r="BY86" s="178"/>
      <c r="CB86" s="177"/>
      <c r="CC86" s="178"/>
      <c r="CD86" s="177"/>
      <c r="CE86" s="178"/>
      <c r="CF86" s="177">
        <v>74</v>
      </c>
      <c r="CG86" s="178"/>
      <c r="CH86" s="177">
        <v>74</v>
      </c>
      <c r="CI86" s="178"/>
      <c r="CJ86" s="177">
        <v>74</v>
      </c>
      <c r="CK86" s="178"/>
      <c r="CL86" s="177">
        <v>74</v>
      </c>
      <c r="CM86" s="178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</row>
    <row r="87" spans="1:114" s="58" customFormat="1" ht="11.25" customHeight="1">
      <c r="A87" s="57"/>
      <c r="B87" s="55"/>
      <c r="C87" s="56"/>
      <c r="D87" s="56"/>
      <c r="E87" s="56"/>
      <c r="F87" s="56"/>
      <c r="G87" s="56"/>
      <c r="H87" s="59"/>
      <c r="I87" s="60"/>
      <c r="J87" s="60"/>
      <c r="K87" s="56"/>
      <c r="L87" s="56"/>
      <c r="M87" s="56"/>
      <c r="N87" s="59"/>
      <c r="O87" s="130"/>
      <c r="P87" s="130"/>
      <c r="Q87" s="130"/>
      <c r="R87" s="131"/>
      <c r="S87" s="132"/>
      <c r="T87" s="131"/>
      <c r="V87" s="61"/>
      <c r="W87" s="57"/>
      <c r="X87" s="57"/>
      <c r="Y87" s="57"/>
      <c r="Z87" s="57"/>
      <c r="AA87" s="57"/>
      <c r="AB87" s="57"/>
      <c r="AC87" s="57"/>
      <c r="AD87" s="86">
        <f t="shared" si="6"/>
        <v>45</v>
      </c>
      <c r="AE87" s="86">
        <f t="shared" si="7"/>
        <v>74</v>
      </c>
      <c r="AF87" s="177">
        <f t="shared" si="0"/>
        <v>45</v>
      </c>
      <c r="AG87" s="178"/>
      <c r="AH87" s="177">
        <f t="shared" si="1"/>
        <v>74</v>
      </c>
      <c r="AI87" s="178"/>
      <c r="AJ87" s="177">
        <f>HLOOKUP($AJ$81,$BN$81:$BY$89,7,FALSE)</f>
        <v>0</v>
      </c>
      <c r="AK87" s="178"/>
      <c r="AL87" s="177">
        <f>HLOOKUP($AJ$81,$CB$81:$CM$89,7,FALSE)</f>
        <v>0</v>
      </c>
      <c r="AM87" s="178"/>
      <c r="AN87" s="84"/>
      <c r="AO87" s="86">
        <f t="shared" si="8"/>
        <v>45</v>
      </c>
      <c r="AP87" s="86">
        <f t="shared" si="9"/>
        <v>74</v>
      </c>
      <c r="AQ87" s="177">
        <f t="shared" si="2"/>
        <v>45</v>
      </c>
      <c r="AR87" s="178"/>
      <c r="AS87" s="177">
        <f t="shared" si="3"/>
        <v>74</v>
      </c>
      <c r="AT87" s="178"/>
      <c r="AU87" s="177">
        <f>HLOOKUP($AU$81,$BN$81:$BY$89,7,FALSE)</f>
        <v>0</v>
      </c>
      <c r="AV87" s="178"/>
      <c r="AW87" s="177">
        <f>HLOOKUP($AU$81,$CB$81:$CM$89,7,FALSE)</f>
        <v>0</v>
      </c>
      <c r="AX87" s="178"/>
      <c r="AY87" s="84"/>
      <c r="AZ87" s="86">
        <f t="shared" si="10"/>
        <v>45</v>
      </c>
      <c r="BA87" s="86">
        <f t="shared" si="11"/>
        <v>74</v>
      </c>
      <c r="BB87" s="177">
        <f t="shared" si="4"/>
        <v>45</v>
      </c>
      <c r="BC87" s="178"/>
      <c r="BD87" s="177">
        <f t="shared" si="5"/>
        <v>74</v>
      </c>
      <c r="BE87" s="178"/>
      <c r="BF87" s="177">
        <f>HLOOKUP($BF$81,$BN$81:$BY$89,7,FALSE)</f>
        <v>0</v>
      </c>
      <c r="BG87" s="178"/>
      <c r="BH87" s="177">
        <f>HLOOKUP($BF$81,$CB$81:$CM$89,7,FALSE)</f>
        <v>0</v>
      </c>
      <c r="BI87" s="178"/>
      <c r="BJ87" s="84"/>
      <c r="BK87" s="84"/>
      <c r="BL87" s="84"/>
      <c r="BM87" s="57"/>
      <c r="BN87" s="177"/>
      <c r="BO87" s="178"/>
      <c r="BP87" s="177"/>
      <c r="BQ87" s="178"/>
      <c r="BR87" s="177"/>
      <c r="BS87" s="178"/>
      <c r="BT87" s="177">
        <v>45</v>
      </c>
      <c r="BU87" s="178"/>
      <c r="BV87" s="177">
        <v>37</v>
      </c>
      <c r="BW87" s="178"/>
      <c r="BX87" s="177">
        <v>32</v>
      </c>
      <c r="BY87" s="178"/>
      <c r="CB87" s="177"/>
      <c r="CC87" s="178"/>
      <c r="CD87" s="177"/>
      <c r="CE87" s="178"/>
      <c r="CF87" s="177"/>
      <c r="CG87" s="178"/>
      <c r="CH87" s="177">
        <v>74</v>
      </c>
      <c r="CI87" s="178"/>
      <c r="CJ87" s="177">
        <v>74</v>
      </c>
      <c r="CK87" s="178"/>
      <c r="CL87" s="177">
        <v>74</v>
      </c>
      <c r="CM87" s="178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</row>
    <row r="88" spans="1:114" s="58" customFormat="1" ht="11.25" customHeight="1">
      <c r="A88" s="57"/>
      <c r="B88" s="55"/>
      <c r="C88" s="56"/>
      <c r="D88" s="56"/>
      <c r="E88" s="56"/>
      <c r="F88" s="56"/>
      <c r="G88" s="56"/>
      <c r="H88" s="59"/>
      <c r="I88" s="60"/>
      <c r="J88" s="60"/>
      <c r="K88" s="56"/>
      <c r="L88" s="56"/>
      <c r="M88" s="56"/>
      <c r="N88" s="59"/>
      <c r="O88" s="17" t="str">
        <f>O3&amp;"  "&amp;Q3</f>
        <v>วิศวกรโครงสร้าง :  นาย สุธีร์     แก้วคำ  สย.9698</v>
      </c>
      <c r="P88" s="56"/>
      <c r="Q88" s="56"/>
      <c r="R88" s="59"/>
      <c r="S88" s="60"/>
      <c r="V88" s="61"/>
      <c r="W88" s="57"/>
      <c r="X88" s="57"/>
      <c r="Y88" s="57"/>
      <c r="Z88" s="57"/>
      <c r="AA88" s="57"/>
      <c r="AB88" s="57"/>
      <c r="AC88" s="57"/>
      <c r="AD88" s="86">
        <f t="shared" si="6"/>
        <v>45</v>
      </c>
      <c r="AE88" s="86">
        <f t="shared" si="7"/>
        <v>74</v>
      </c>
      <c r="AF88" s="177">
        <f t="shared" si="0"/>
        <v>45</v>
      </c>
      <c r="AG88" s="178"/>
      <c r="AH88" s="177">
        <f t="shared" si="1"/>
        <v>74</v>
      </c>
      <c r="AI88" s="178"/>
      <c r="AJ88" s="177">
        <f>HLOOKUP($AJ$81,$BN$81:$BY$89,8,FALSE)</f>
        <v>0</v>
      </c>
      <c r="AK88" s="178"/>
      <c r="AL88" s="177">
        <f>HLOOKUP($AJ$81,$CB$81:$CM$89,8,FALSE)</f>
        <v>0</v>
      </c>
      <c r="AM88" s="178"/>
      <c r="AN88" s="84"/>
      <c r="AO88" s="86">
        <f t="shared" si="8"/>
        <v>45</v>
      </c>
      <c r="AP88" s="86">
        <f t="shared" si="9"/>
        <v>74</v>
      </c>
      <c r="AQ88" s="177">
        <f t="shared" si="2"/>
        <v>45</v>
      </c>
      <c r="AR88" s="178"/>
      <c r="AS88" s="177">
        <f t="shared" si="3"/>
        <v>74</v>
      </c>
      <c r="AT88" s="178"/>
      <c r="AU88" s="177">
        <f>HLOOKUP($AU$81,$BN$81:$BY$89,8,FALSE)</f>
        <v>0</v>
      </c>
      <c r="AV88" s="178"/>
      <c r="AW88" s="177">
        <f>HLOOKUP($AU$81,$CB$81:$CM$89,8,FALSE)</f>
        <v>0</v>
      </c>
      <c r="AX88" s="178"/>
      <c r="AY88" s="84"/>
      <c r="AZ88" s="86">
        <f t="shared" si="10"/>
        <v>45</v>
      </c>
      <c r="BA88" s="86">
        <f t="shared" si="11"/>
        <v>74</v>
      </c>
      <c r="BB88" s="177">
        <f t="shared" si="4"/>
        <v>45</v>
      </c>
      <c r="BC88" s="178"/>
      <c r="BD88" s="177">
        <f t="shared" si="5"/>
        <v>74</v>
      </c>
      <c r="BE88" s="178"/>
      <c r="BF88" s="177">
        <f>HLOOKUP($BF$81,$BN$81:$BY$89,8,FALSE)</f>
        <v>0</v>
      </c>
      <c r="BG88" s="178"/>
      <c r="BH88" s="177">
        <f>HLOOKUP($BF$81,$CB$81:$CM$89,8,FALSE)</f>
        <v>0</v>
      </c>
      <c r="BI88" s="178"/>
      <c r="BJ88" s="84"/>
      <c r="BK88" s="84"/>
      <c r="BL88" s="84"/>
      <c r="BM88" s="57"/>
      <c r="BN88" s="177"/>
      <c r="BO88" s="178"/>
      <c r="BP88" s="177"/>
      <c r="BQ88" s="178"/>
      <c r="BR88" s="177"/>
      <c r="BS88" s="178"/>
      <c r="BT88" s="177"/>
      <c r="BU88" s="178"/>
      <c r="BV88" s="177">
        <v>45</v>
      </c>
      <c r="BW88" s="178"/>
      <c r="BX88" s="177">
        <v>38</v>
      </c>
      <c r="BY88" s="178"/>
      <c r="CB88" s="177"/>
      <c r="CC88" s="178"/>
      <c r="CD88" s="177"/>
      <c r="CE88" s="178"/>
      <c r="CF88" s="177"/>
      <c r="CG88" s="178"/>
      <c r="CH88" s="177"/>
      <c r="CI88" s="178"/>
      <c r="CJ88" s="177">
        <v>74</v>
      </c>
      <c r="CK88" s="178"/>
      <c r="CL88" s="177">
        <v>74</v>
      </c>
      <c r="CM88" s="178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</row>
    <row r="89" spans="1:114" s="58" customFormat="1" ht="11.25" customHeight="1" thickBot="1">
      <c r="A89" s="57"/>
      <c r="B89" s="62"/>
      <c r="C89" s="63"/>
      <c r="D89" s="63"/>
      <c r="E89" s="63"/>
      <c r="F89" s="63"/>
      <c r="G89" s="63"/>
      <c r="H89" s="64"/>
      <c r="I89" s="65"/>
      <c r="J89" s="65"/>
      <c r="K89" s="63"/>
      <c r="L89" s="63"/>
      <c r="M89" s="63"/>
      <c r="N89" s="64"/>
      <c r="O89" s="65"/>
      <c r="P89" s="65"/>
      <c r="Q89" s="63"/>
      <c r="R89" s="63"/>
      <c r="S89" s="63"/>
      <c r="T89" s="64"/>
      <c r="U89" s="65"/>
      <c r="V89" s="66"/>
      <c r="W89" s="57"/>
      <c r="X89" s="57"/>
      <c r="Y89" s="57"/>
      <c r="Z89" s="57"/>
      <c r="AA89" s="57"/>
      <c r="AB89" s="57"/>
      <c r="AC89" s="57"/>
      <c r="AD89" s="86">
        <f t="shared" si="6"/>
        <v>45</v>
      </c>
      <c r="AE89" s="86">
        <f t="shared" si="7"/>
        <v>74</v>
      </c>
      <c r="AF89" s="177">
        <f t="shared" si="0"/>
        <v>45</v>
      </c>
      <c r="AG89" s="178"/>
      <c r="AH89" s="177">
        <f t="shared" si="1"/>
        <v>74</v>
      </c>
      <c r="AI89" s="178"/>
      <c r="AJ89" s="177">
        <f>HLOOKUP($AJ$81,$BN$81:$BY$89,9,FALSE)</f>
        <v>0</v>
      </c>
      <c r="AK89" s="178"/>
      <c r="AL89" s="177">
        <f>HLOOKUP($AJ$81,$CB$81:$CM$89,9,FALSE)</f>
        <v>0</v>
      </c>
      <c r="AM89" s="178"/>
      <c r="AN89" s="84"/>
      <c r="AO89" s="86">
        <f t="shared" si="8"/>
        <v>45</v>
      </c>
      <c r="AP89" s="86">
        <f t="shared" si="9"/>
        <v>74</v>
      </c>
      <c r="AQ89" s="177">
        <f t="shared" si="2"/>
        <v>45</v>
      </c>
      <c r="AR89" s="178"/>
      <c r="AS89" s="177">
        <f t="shared" si="3"/>
        <v>74</v>
      </c>
      <c r="AT89" s="178"/>
      <c r="AU89" s="177">
        <f>HLOOKUP($AU$81,$BN$81:$BY$89,9,FALSE)</f>
        <v>0</v>
      </c>
      <c r="AV89" s="178"/>
      <c r="AW89" s="177">
        <f>HLOOKUP($AU$81,$CB$81:$CM$89,9,FALSE)</f>
        <v>0</v>
      </c>
      <c r="AX89" s="178"/>
      <c r="AY89" s="84"/>
      <c r="AZ89" s="86">
        <f t="shared" si="10"/>
        <v>45</v>
      </c>
      <c r="BA89" s="86">
        <f t="shared" si="11"/>
        <v>74</v>
      </c>
      <c r="BB89" s="177">
        <f t="shared" si="4"/>
        <v>45</v>
      </c>
      <c r="BC89" s="178"/>
      <c r="BD89" s="177">
        <f t="shared" si="5"/>
        <v>74</v>
      </c>
      <c r="BE89" s="178"/>
      <c r="BF89" s="177">
        <f>HLOOKUP($BF$81,$BN$81:$BY$89,9,FALSE)</f>
        <v>0</v>
      </c>
      <c r="BG89" s="178"/>
      <c r="BH89" s="177">
        <f>HLOOKUP($BF$81,$CB$81:$CM$89,9,FALSE)</f>
        <v>0</v>
      </c>
      <c r="BI89" s="178"/>
      <c r="BJ89" s="84"/>
      <c r="BK89" s="84"/>
      <c r="BL89" s="84"/>
      <c r="BM89" s="57"/>
      <c r="BN89" s="177"/>
      <c r="BO89" s="178"/>
      <c r="BP89" s="177"/>
      <c r="BQ89" s="178"/>
      <c r="BR89" s="177"/>
      <c r="BS89" s="178"/>
      <c r="BT89" s="177"/>
      <c r="BU89" s="178"/>
      <c r="BV89" s="177"/>
      <c r="BW89" s="178"/>
      <c r="BX89" s="177">
        <v>45</v>
      </c>
      <c r="BY89" s="178"/>
      <c r="CB89" s="177"/>
      <c r="CC89" s="178"/>
      <c r="CD89" s="177"/>
      <c r="CE89" s="178"/>
      <c r="CF89" s="177"/>
      <c r="CG89" s="178"/>
      <c r="CH89" s="177"/>
      <c r="CI89" s="178"/>
      <c r="CJ89" s="177"/>
      <c r="CK89" s="178"/>
      <c r="CL89" s="177">
        <v>74</v>
      </c>
      <c r="CM89" s="178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</row>
    <row r="90" spans="2:82" ht="11.25" customHeight="1">
      <c r="B90" s="110"/>
      <c r="C90" s="158" t="s">
        <v>145</v>
      </c>
      <c r="D90" s="158"/>
      <c r="E90" s="158"/>
      <c r="F90" s="158"/>
      <c r="G90" s="159"/>
      <c r="H90" s="122" t="s">
        <v>73</v>
      </c>
      <c r="I90" s="111"/>
      <c r="J90" s="111" t="str">
        <f>J2</f>
        <v>อาคารคอนกรีตเสริมเหล็ก 3 ชั้น_TYPE A</v>
      </c>
      <c r="K90" s="2"/>
      <c r="L90" s="3"/>
      <c r="M90" s="4"/>
      <c r="N90" s="123"/>
      <c r="O90" s="5" t="s">
        <v>76</v>
      </c>
      <c r="P90" s="5"/>
      <c r="Q90" s="197" t="str">
        <f>Q2</f>
        <v>B8</v>
      </c>
      <c r="R90" s="197"/>
      <c r="S90" s="197"/>
      <c r="T90" s="197"/>
      <c r="U90" s="166" t="s">
        <v>79</v>
      </c>
      <c r="V90" s="116">
        <f>V2+1</f>
        <v>2</v>
      </c>
      <c r="AU90" s="181" t="s">
        <v>58</v>
      </c>
      <c r="AV90" s="181"/>
      <c r="AW90" s="181"/>
      <c r="AX90" s="181"/>
      <c r="BF90" s="181" t="s">
        <v>59</v>
      </c>
      <c r="BG90" s="181"/>
      <c r="BH90" s="181"/>
      <c r="BI90" s="181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</row>
    <row r="91" spans="2:91" ht="11.25" customHeight="1">
      <c r="B91" s="112"/>
      <c r="C91" s="160"/>
      <c r="D91" s="160"/>
      <c r="E91" s="160"/>
      <c r="F91" s="160"/>
      <c r="G91" s="161"/>
      <c r="H91" s="124" t="s">
        <v>74</v>
      </c>
      <c r="I91" s="109"/>
      <c r="J91" s="109">
        <f>J3</f>
        <v>0</v>
      </c>
      <c r="K91" s="8"/>
      <c r="L91" s="9"/>
      <c r="M91" s="10"/>
      <c r="N91" s="16"/>
      <c r="O91" s="219" t="s">
        <v>77</v>
      </c>
      <c r="P91" s="220"/>
      <c r="Q91" s="232" t="str">
        <f>Q3</f>
        <v>นาย สุธีร์     แก้วคำ  สย.9698</v>
      </c>
      <c r="R91" s="232"/>
      <c r="S91" s="232"/>
      <c r="T91" s="232"/>
      <c r="U91" s="167"/>
      <c r="V91" s="113" t="s">
        <v>80</v>
      </c>
      <c r="AJ91" s="177" t="s">
        <v>52</v>
      </c>
      <c r="AK91" s="178"/>
      <c r="AL91" s="177" t="s">
        <v>52</v>
      </c>
      <c r="AM91" s="178"/>
      <c r="AN91" s="84"/>
      <c r="AU91" s="177" t="s">
        <v>52</v>
      </c>
      <c r="AV91" s="178"/>
      <c r="AW91" s="177" t="s">
        <v>52</v>
      </c>
      <c r="AX91" s="178"/>
      <c r="AY91" s="84"/>
      <c r="BF91" s="177" t="s">
        <v>52</v>
      </c>
      <c r="BG91" s="178"/>
      <c r="BH91" s="177" t="s">
        <v>52</v>
      </c>
      <c r="BI91" s="178"/>
      <c r="BJ91" s="84"/>
      <c r="BK91" s="84"/>
      <c r="BL91" s="84"/>
      <c r="BN91" s="177" t="s">
        <v>52</v>
      </c>
      <c r="BO91" s="178"/>
      <c r="BP91" s="177" t="s">
        <v>52</v>
      </c>
      <c r="BQ91" s="178"/>
      <c r="BR91" s="177" t="s">
        <v>52</v>
      </c>
      <c r="BS91" s="178"/>
      <c r="BT91" s="177" t="s">
        <v>52</v>
      </c>
      <c r="BU91" s="178"/>
      <c r="BV91" s="177" t="s">
        <v>52</v>
      </c>
      <c r="BW91" s="178"/>
      <c r="BX91" s="177" t="s">
        <v>52</v>
      </c>
      <c r="BY91" s="178"/>
      <c r="BZ91" s="7"/>
      <c r="CA91" s="7"/>
      <c r="CB91" s="177" t="s">
        <v>52</v>
      </c>
      <c r="CC91" s="178"/>
      <c r="CD91" s="177" t="s">
        <v>52</v>
      </c>
      <c r="CE91" s="178"/>
      <c r="CF91" s="177" t="s">
        <v>52</v>
      </c>
      <c r="CG91" s="178"/>
      <c r="CH91" s="177" t="s">
        <v>52</v>
      </c>
      <c r="CI91" s="178"/>
      <c r="CJ91" s="177" t="s">
        <v>52</v>
      </c>
      <c r="CK91" s="178"/>
      <c r="CL91" s="177" t="s">
        <v>52</v>
      </c>
      <c r="CM91" s="178"/>
    </row>
    <row r="92" spans="2:91" ht="11.25" customHeight="1">
      <c r="B92" s="112"/>
      <c r="C92" s="160" t="s">
        <v>146</v>
      </c>
      <c r="D92" s="160"/>
      <c r="E92" s="160"/>
      <c r="F92" s="160"/>
      <c r="G92" s="161"/>
      <c r="H92" s="124" t="s">
        <v>75</v>
      </c>
      <c r="I92" s="109"/>
      <c r="J92" s="109" t="str">
        <f>J4</f>
        <v>ปทุมธานี</v>
      </c>
      <c r="K92" s="8"/>
      <c r="L92" s="13"/>
      <c r="M92" s="14"/>
      <c r="N92" s="16"/>
      <c r="O92" s="221" t="s">
        <v>78</v>
      </c>
      <c r="P92" s="221"/>
      <c r="Q92" s="233">
        <f>Q4</f>
        <v>41605</v>
      </c>
      <c r="R92" s="233"/>
      <c r="S92" s="233"/>
      <c r="T92" s="233"/>
      <c r="U92" s="167"/>
      <c r="V92" s="117">
        <f>V90</f>
        <v>2</v>
      </c>
      <c r="AJ92" s="179">
        <f>J82</f>
        <v>0</v>
      </c>
      <c r="AK92" s="180"/>
      <c r="AL92" s="180"/>
      <c r="AM92" s="178"/>
      <c r="AN92" s="84"/>
      <c r="AU92" s="179">
        <f>O82</f>
        <v>0</v>
      </c>
      <c r="AV92" s="180"/>
      <c r="AW92" s="180"/>
      <c r="AX92" s="178"/>
      <c r="AY92" s="84"/>
      <c r="BF92" s="179">
        <f>V82</f>
        <v>0</v>
      </c>
      <c r="BG92" s="180"/>
      <c r="BH92" s="180"/>
      <c r="BI92" s="178"/>
      <c r="BJ92" s="84"/>
      <c r="BK92" s="84"/>
      <c r="BL92" s="84"/>
      <c r="BN92" s="177">
        <v>2</v>
      </c>
      <c r="BO92" s="178"/>
      <c r="BP92" s="177">
        <v>3</v>
      </c>
      <c r="BQ92" s="178"/>
      <c r="BR92" s="177">
        <v>4</v>
      </c>
      <c r="BS92" s="178"/>
      <c r="BT92" s="177">
        <v>5</v>
      </c>
      <c r="BU92" s="178"/>
      <c r="BV92" s="177">
        <v>6</v>
      </c>
      <c r="BW92" s="178"/>
      <c r="BX92" s="177">
        <v>7</v>
      </c>
      <c r="BY92" s="178"/>
      <c r="BZ92" s="7"/>
      <c r="CA92" s="7"/>
      <c r="CB92" s="177">
        <v>2</v>
      </c>
      <c r="CC92" s="178"/>
      <c r="CD92" s="177">
        <v>3</v>
      </c>
      <c r="CE92" s="178"/>
      <c r="CF92" s="177">
        <v>4</v>
      </c>
      <c r="CG92" s="178"/>
      <c r="CH92" s="177">
        <v>5</v>
      </c>
      <c r="CI92" s="178"/>
      <c r="CJ92" s="177">
        <v>6</v>
      </c>
      <c r="CK92" s="178"/>
      <c r="CL92" s="177">
        <v>7</v>
      </c>
      <c r="CM92" s="178"/>
    </row>
    <row r="93" spans="2:91" ht="12" thickBot="1">
      <c r="B93" s="15"/>
      <c r="C93" s="162"/>
      <c r="D93" s="162"/>
      <c r="E93" s="162"/>
      <c r="F93" s="162"/>
      <c r="G93" s="163"/>
      <c r="H93" s="71"/>
      <c r="I93" s="72"/>
      <c r="J93" s="72"/>
      <c r="K93" s="72"/>
      <c r="L93" s="72"/>
      <c r="M93" s="72"/>
      <c r="N93" s="73"/>
      <c r="U93" s="168"/>
      <c r="V93" s="121"/>
      <c r="AD93" s="86" t="s">
        <v>51</v>
      </c>
      <c r="AE93" s="86" t="s">
        <v>55</v>
      </c>
      <c r="AF93" s="177" t="s">
        <v>51</v>
      </c>
      <c r="AG93" s="178"/>
      <c r="AH93" s="177" t="s">
        <v>55</v>
      </c>
      <c r="AI93" s="178"/>
      <c r="AJ93" s="177" t="s">
        <v>51</v>
      </c>
      <c r="AK93" s="178"/>
      <c r="AL93" s="177" t="s">
        <v>55</v>
      </c>
      <c r="AM93" s="178"/>
      <c r="AN93" s="84"/>
      <c r="AO93" s="86" t="s">
        <v>51</v>
      </c>
      <c r="AP93" s="86" t="s">
        <v>55</v>
      </c>
      <c r="AQ93" s="177" t="s">
        <v>51</v>
      </c>
      <c r="AR93" s="178"/>
      <c r="AS93" s="177" t="s">
        <v>55</v>
      </c>
      <c r="AT93" s="178"/>
      <c r="AU93" s="177" t="s">
        <v>51</v>
      </c>
      <c r="AV93" s="178"/>
      <c r="AW93" s="177" t="s">
        <v>55</v>
      </c>
      <c r="AX93" s="178"/>
      <c r="AY93" s="84"/>
      <c r="AZ93" s="86" t="s">
        <v>51</v>
      </c>
      <c r="BA93" s="86" t="s">
        <v>55</v>
      </c>
      <c r="BB93" s="177" t="s">
        <v>51</v>
      </c>
      <c r="BC93" s="178"/>
      <c r="BD93" s="177" t="s">
        <v>55</v>
      </c>
      <c r="BE93" s="178"/>
      <c r="BF93" s="177" t="s">
        <v>51</v>
      </c>
      <c r="BG93" s="178"/>
      <c r="BH93" s="177" t="s">
        <v>55</v>
      </c>
      <c r="BI93" s="178"/>
      <c r="BJ93" s="84"/>
      <c r="BK93" s="84"/>
      <c r="BL93" s="84"/>
      <c r="BN93" s="177" t="s">
        <v>51</v>
      </c>
      <c r="BO93" s="178"/>
      <c r="BP93" s="177" t="s">
        <v>51</v>
      </c>
      <c r="BQ93" s="178"/>
      <c r="BR93" s="177" t="s">
        <v>51</v>
      </c>
      <c r="BS93" s="178"/>
      <c r="BT93" s="177" t="s">
        <v>51</v>
      </c>
      <c r="BU93" s="178"/>
      <c r="BV93" s="177" t="s">
        <v>51</v>
      </c>
      <c r="BW93" s="178"/>
      <c r="BX93" s="177" t="s">
        <v>51</v>
      </c>
      <c r="BY93" s="178"/>
      <c r="BZ93" s="7"/>
      <c r="CA93" s="7"/>
      <c r="CB93" s="177" t="s">
        <v>55</v>
      </c>
      <c r="CC93" s="178"/>
      <c r="CD93" s="177" t="s">
        <v>55</v>
      </c>
      <c r="CE93" s="178"/>
      <c r="CF93" s="177" t="s">
        <v>55</v>
      </c>
      <c r="CG93" s="178"/>
      <c r="CH93" s="177" t="s">
        <v>55</v>
      </c>
      <c r="CI93" s="178"/>
      <c r="CJ93" s="177" t="s">
        <v>55</v>
      </c>
      <c r="CK93" s="178"/>
      <c r="CL93" s="177" t="s">
        <v>55</v>
      </c>
      <c r="CM93" s="178"/>
    </row>
    <row r="94" spans="2:91" ht="12.75" thickBot="1">
      <c r="B94" s="194" t="str">
        <f>B6</f>
        <v>ออกแบบคานคอนกรีตเสริมเหล็ก - วิธีหน่วยแรงใช้งาน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6"/>
      <c r="AD94" s="86" t="e">
        <f>AF94</f>
        <v>#N/A</v>
      </c>
      <c r="AE94" s="86" t="e">
        <f>AH94</f>
        <v>#N/A</v>
      </c>
      <c r="AF94" s="177" t="e">
        <f>IF(AJ94&gt;0,AJ94,MAX($AJ$94:$AK$100))</f>
        <v>#N/A</v>
      </c>
      <c r="AG94" s="178"/>
      <c r="AH94" s="177" t="e">
        <f>IF(AL94&gt;0,AL94,MAX($AL$94:$AM$100))</f>
        <v>#N/A</v>
      </c>
      <c r="AI94" s="178"/>
      <c r="AJ94" s="177" t="e">
        <f>HLOOKUP($AJ$92,$BN$92:$BY$100,3,FALSE)</f>
        <v>#N/A</v>
      </c>
      <c r="AK94" s="178"/>
      <c r="AL94" s="177" t="e">
        <f>HLOOKUP($AJ$92,$CB$92:$CM$100,3,FALSE)</f>
        <v>#N/A</v>
      </c>
      <c r="AM94" s="178"/>
      <c r="AN94" s="84"/>
      <c r="AO94" s="86" t="e">
        <f>AQ94</f>
        <v>#N/A</v>
      </c>
      <c r="AP94" s="86" t="e">
        <f>AS94</f>
        <v>#N/A</v>
      </c>
      <c r="AQ94" s="177" t="e">
        <f>IF(AU94&gt;0,AU94,MAX($AU$94:$AV$100))</f>
        <v>#N/A</v>
      </c>
      <c r="AR94" s="178"/>
      <c r="AS94" s="177" t="e">
        <f>IF(AW94&gt;0,AW94,MAX($AW$94:$AX$100))</f>
        <v>#N/A</v>
      </c>
      <c r="AT94" s="178"/>
      <c r="AU94" s="177" t="e">
        <f>HLOOKUP($AU$92,$BN$92:$BY$100,3,FALSE)</f>
        <v>#N/A</v>
      </c>
      <c r="AV94" s="178"/>
      <c r="AW94" s="177" t="e">
        <f>HLOOKUP($AU$92,$CB$92:$CM$100,3,FALSE)</f>
        <v>#N/A</v>
      </c>
      <c r="AX94" s="178"/>
      <c r="AY94" s="84"/>
      <c r="AZ94" s="86" t="e">
        <f>BB94</f>
        <v>#N/A</v>
      </c>
      <c r="BA94" s="86" t="e">
        <f>BD94</f>
        <v>#N/A</v>
      </c>
      <c r="BB94" s="177" t="e">
        <f>IF(BF94&gt;0,BF94,MAX($BF$94:$BG$100))</f>
        <v>#N/A</v>
      </c>
      <c r="BC94" s="178"/>
      <c r="BD94" s="177" t="e">
        <f>IF(BH94&gt;0,BH94,MAX($BH$94:$BI$100))</f>
        <v>#N/A</v>
      </c>
      <c r="BE94" s="178"/>
      <c r="BF94" s="177" t="e">
        <f>HLOOKUP($BF$92,$BN$92:$BY$100,3,FALSE)</f>
        <v>#N/A</v>
      </c>
      <c r="BG94" s="178"/>
      <c r="BH94" s="177" t="e">
        <f>HLOOKUP($BF$92,$CB$92:$CM$100,3,FALSE)</f>
        <v>#N/A</v>
      </c>
      <c r="BI94" s="178"/>
      <c r="BJ94" s="84"/>
      <c r="BK94" s="84"/>
      <c r="BL94" s="84"/>
      <c r="BN94" s="177">
        <v>5</v>
      </c>
      <c r="BO94" s="178"/>
      <c r="BP94" s="177">
        <v>5</v>
      </c>
      <c r="BQ94" s="178"/>
      <c r="BR94" s="177">
        <v>5</v>
      </c>
      <c r="BS94" s="178"/>
      <c r="BT94" s="177">
        <v>5</v>
      </c>
      <c r="BU94" s="178"/>
      <c r="BV94" s="177">
        <v>5</v>
      </c>
      <c r="BW94" s="178"/>
      <c r="BX94" s="177">
        <v>5</v>
      </c>
      <c r="BY94" s="178"/>
      <c r="BZ94" s="7"/>
      <c r="CA94" s="7"/>
      <c r="CB94" s="177">
        <v>70</v>
      </c>
      <c r="CC94" s="178"/>
      <c r="CD94" s="177">
        <v>70</v>
      </c>
      <c r="CE94" s="178"/>
      <c r="CF94" s="177">
        <v>70</v>
      </c>
      <c r="CG94" s="178"/>
      <c r="CH94" s="177">
        <v>70</v>
      </c>
      <c r="CI94" s="178"/>
      <c r="CJ94" s="177">
        <v>70</v>
      </c>
      <c r="CK94" s="178"/>
      <c r="CL94" s="177">
        <v>70</v>
      </c>
      <c r="CM94" s="178"/>
    </row>
    <row r="95" spans="2:91" ht="11.25"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6"/>
      <c r="AD95" s="86" t="e">
        <f aca="true" t="shared" si="12" ref="AD95:AD100">AF95</f>
        <v>#N/A</v>
      </c>
      <c r="AE95" s="86" t="e">
        <f aca="true" t="shared" si="13" ref="AE95:AE100">AH95</f>
        <v>#N/A</v>
      </c>
      <c r="AF95" s="177" t="e">
        <f aca="true" t="shared" si="14" ref="AF95:AF100">IF(AJ95&gt;0,AJ95,MAX($AJ$94:$AK$100))</f>
        <v>#N/A</v>
      </c>
      <c r="AG95" s="178"/>
      <c r="AH95" s="177" t="e">
        <f aca="true" t="shared" si="15" ref="AH95:AH100">IF(AL95&gt;0,AL95,MAX($AL$94:$AM$100))</f>
        <v>#N/A</v>
      </c>
      <c r="AI95" s="178"/>
      <c r="AJ95" s="177" t="e">
        <f>HLOOKUP($AJ$92,$BN$92:$BY$100,4,FALSE)</f>
        <v>#N/A</v>
      </c>
      <c r="AK95" s="178"/>
      <c r="AL95" s="177" t="e">
        <f>HLOOKUP($AJ$92,$CB$92:$CM$100,4,FALSE)</f>
        <v>#N/A</v>
      </c>
      <c r="AM95" s="178"/>
      <c r="AN95" s="84"/>
      <c r="AO95" s="86" t="e">
        <f aca="true" t="shared" si="16" ref="AO95:AO100">AQ95</f>
        <v>#N/A</v>
      </c>
      <c r="AP95" s="86" t="e">
        <f aca="true" t="shared" si="17" ref="AP95:AP100">AS95</f>
        <v>#N/A</v>
      </c>
      <c r="AQ95" s="177" t="e">
        <f aca="true" t="shared" si="18" ref="AQ95:AQ100">IF(AU95&gt;0,AU95,MAX($AU$94:$AV$100))</f>
        <v>#N/A</v>
      </c>
      <c r="AR95" s="178"/>
      <c r="AS95" s="177" t="e">
        <f aca="true" t="shared" si="19" ref="AS95:AS100">IF(AW95&gt;0,AW95,MAX($AW$94:$AX$100))</f>
        <v>#N/A</v>
      </c>
      <c r="AT95" s="178"/>
      <c r="AU95" s="177" t="e">
        <f>HLOOKUP($AU$92,$BN$92:$BY$100,4,FALSE)</f>
        <v>#N/A</v>
      </c>
      <c r="AV95" s="178"/>
      <c r="AW95" s="177" t="e">
        <f>HLOOKUP($AU$92,$CB$92:$CM$100,4,FALSE)</f>
        <v>#N/A</v>
      </c>
      <c r="AX95" s="178"/>
      <c r="AY95" s="84"/>
      <c r="AZ95" s="86" t="e">
        <f aca="true" t="shared" si="20" ref="AZ95:AZ100">BB95</f>
        <v>#N/A</v>
      </c>
      <c r="BA95" s="86" t="e">
        <f aca="true" t="shared" si="21" ref="BA95:BA100">BD95</f>
        <v>#N/A</v>
      </c>
      <c r="BB95" s="177" t="e">
        <f aca="true" t="shared" si="22" ref="BB95:BB100">IF(BF95&gt;0,BF95,MAX($BF$94:$BG$100))</f>
        <v>#N/A</v>
      </c>
      <c r="BC95" s="178"/>
      <c r="BD95" s="177" t="e">
        <f aca="true" t="shared" si="23" ref="BD95:BD100">IF(BH95&gt;0,BH95,MAX($BH$94:$BI$100))</f>
        <v>#N/A</v>
      </c>
      <c r="BE95" s="178"/>
      <c r="BF95" s="177" t="e">
        <f>HLOOKUP($BF$92,$BN$92:$BY$100,4,FALSE)</f>
        <v>#N/A</v>
      </c>
      <c r="BG95" s="178"/>
      <c r="BH95" s="177" t="e">
        <f>HLOOKUP($BF$92,$CB$92:$CM$100,4,FALSE)</f>
        <v>#N/A</v>
      </c>
      <c r="BI95" s="178"/>
      <c r="BJ95" s="84"/>
      <c r="BK95" s="84"/>
      <c r="BL95" s="84"/>
      <c r="BN95" s="177">
        <v>45</v>
      </c>
      <c r="BO95" s="178"/>
      <c r="BP95" s="177">
        <v>25</v>
      </c>
      <c r="BQ95" s="178"/>
      <c r="BR95" s="177">
        <v>18</v>
      </c>
      <c r="BS95" s="178"/>
      <c r="BT95" s="177">
        <v>15</v>
      </c>
      <c r="BU95" s="178"/>
      <c r="BV95" s="177">
        <v>13</v>
      </c>
      <c r="BW95" s="178"/>
      <c r="BX95" s="177">
        <v>12</v>
      </c>
      <c r="BY95" s="178"/>
      <c r="BZ95" s="7"/>
      <c r="CA95" s="7"/>
      <c r="CB95" s="177">
        <v>70</v>
      </c>
      <c r="CC95" s="178"/>
      <c r="CD95" s="177">
        <v>70</v>
      </c>
      <c r="CE95" s="178"/>
      <c r="CF95" s="177">
        <v>70</v>
      </c>
      <c r="CG95" s="178"/>
      <c r="CH95" s="177">
        <v>70</v>
      </c>
      <c r="CI95" s="178"/>
      <c r="CJ95" s="177">
        <v>70</v>
      </c>
      <c r="CK95" s="178"/>
      <c r="CL95" s="177">
        <v>70</v>
      </c>
      <c r="CM95" s="178"/>
    </row>
    <row r="96" spans="2:91" ht="11.25">
      <c r="B96" s="138" t="s">
        <v>44</v>
      </c>
      <c r="C96" s="139" t="s">
        <v>117</v>
      </c>
      <c r="D96" s="140"/>
      <c r="E96" s="140"/>
      <c r="F96" s="140"/>
      <c r="G96" s="14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6"/>
      <c r="AD96" s="86" t="e">
        <f t="shared" si="12"/>
        <v>#N/A</v>
      </c>
      <c r="AE96" s="86" t="e">
        <f t="shared" si="13"/>
        <v>#N/A</v>
      </c>
      <c r="AF96" s="177" t="e">
        <f t="shared" si="14"/>
        <v>#N/A</v>
      </c>
      <c r="AG96" s="178"/>
      <c r="AH96" s="177" t="e">
        <f t="shared" si="15"/>
        <v>#N/A</v>
      </c>
      <c r="AI96" s="178"/>
      <c r="AJ96" s="177" t="e">
        <f>HLOOKUP($AJ$92,$BN$92:$BY$100,5,FALSE)</f>
        <v>#N/A</v>
      </c>
      <c r="AK96" s="178"/>
      <c r="AL96" s="177" t="e">
        <f>HLOOKUP($AJ$92,$CB$92:$CM$100,5,FALSE)</f>
        <v>#N/A</v>
      </c>
      <c r="AM96" s="178"/>
      <c r="AN96" s="84"/>
      <c r="AO96" s="86" t="e">
        <f t="shared" si="16"/>
        <v>#N/A</v>
      </c>
      <c r="AP96" s="86" t="e">
        <f t="shared" si="17"/>
        <v>#N/A</v>
      </c>
      <c r="AQ96" s="177" t="e">
        <f t="shared" si="18"/>
        <v>#N/A</v>
      </c>
      <c r="AR96" s="178"/>
      <c r="AS96" s="177" t="e">
        <f t="shared" si="19"/>
        <v>#N/A</v>
      </c>
      <c r="AT96" s="178"/>
      <c r="AU96" s="177" t="e">
        <f>HLOOKUP($AU$92,$BN$92:$BY$100,5,FALSE)</f>
        <v>#N/A</v>
      </c>
      <c r="AV96" s="178"/>
      <c r="AW96" s="177" t="e">
        <f>HLOOKUP($AU$92,$CB$92:$CM$100,5,FALSE)</f>
        <v>#N/A</v>
      </c>
      <c r="AX96" s="178"/>
      <c r="AY96" s="84"/>
      <c r="AZ96" s="86" t="e">
        <f t="shared" si="20"/>
        <v>#N/A</v>
      </c>
      <c r="BA96" s="86" t="e">
        <f t="shared" si="21"/>
        <v>#N/A</v>
      </c>
      <c r="BB96" s="177" t="e">
        <f t="shared" si="22"/>
        <v>#N/A</v>
      </c>
      <c r="BC96" s="178"/>
      <c r="BD96" s="177" t="e">
        <f t="shared" si="23"/>
        <v>#N/A</v>
      </c>
      <c r="BE96" s="178"/>
      <c r="BF96" s="177" t="e">
        <f>HLOOKUP($BF$92,$BN$92:$BY$100,5,FALSE)</f>
        <v>#N/A</v>
      </c>
      <c r="BG96" s="178"/>
      <c r="BH96" s="177" t="e">
        <f>HLOOKUP($BF$92,$CB$92:$CM$100,5,FALSE)</f>
        <v>#N/A</v>
      </c>
      <c r="BI96" s="178"/>
      <c r="BJ96" s="84"/>
      <c r="BK96" s="84"/>
      <c r="BL96" s="84"/>
      <c r="BN96" s="177"/>
      <c r="BO96" s="178"/>
      <c r="BP96" s="177">
        <v>45</v>
      </c>
      <c r="BQ96" s="178"/>
      <c r="BR96" s="177">
        <v>32</v>
      </c>
      <c r="BS96" s="178"/>
      <c r="BT96" s="177">
        <v>25</v>
      </c>
      <c r="BU96" s="178"/>
      <c r="BV96" s="177">
        <v>21</v>
      </c>
      <c r="BW96" s="178"/>
      <c r="BX96" s="177">
        <v>18</v>
      </c>
      <c r="BY96" s="178"/>
      <c r="BZ96" s="7"/>
      <c r="CA96" s="7"/>
      <c r="CB96" s="177"/>
      <c r="CC96" s="178"/>
      <c r="CD96" s="177">
        <v>70</v>
      </c>
      <c r="CE96" s="178"/>
      <c r="CF96" s="177">
        <v>70</v>
      </c>
      <c r="CG96" s="178"/>
      <c r="CH96" s="177">
        <v>70</v>
      </c>
      <c r="CI96" s="178"/>
      <c r="CJ96" s="177">
        <v>70</v>
      </c>
      <c r="CK96" s="178"/>
      <c r="CL96" s="177">
        <v>70</v>
      </c>
      <c r="CM96" s="178"/>
    </row>
    <row r="97" spans="2:91" ht="11.25">
      <c r="B97" s="15"/>
      <c r="C97" s="11" t="s">
        <v>29</v>
      </c>
      <c r="D97" s="11"/>
      <c r="E97" s="18" t="s">
        <v>6</v>
      </c>
      <c r="F97" s="67">
        <f>IF(MAX(E43,K43,Q43)-E58&lt;0,0,MAX(E43,K43,Q43)-E58)</f>
        <v>1658.8512246136243</v>
      </c>
      <c r="G97" s="141" t="s">
        <v>136</v>
      </c>
      <c r="H97" s="11"/>
      <c r="I97" s="11" t="s">
        <v>118</v>
      </c>
      <c r="J97" s="11"/>
      <c r="K97" s="18" t="s">
        <v>6</v>
      </c>
      <c r="L97" s="149">
        <v>9</v>
      </c>
      <c r="M97" s="69" t="s">
        <v>140</v>
      </c>
      <c r="N97" s="11" t="s">
        <v>119</v>
      </c>
      <c r="O97" s="11"/>
      <c r="P97" s="11"/>
      <c r="Q97" s="11"/>
      <c r="R97" s="18" t="s">
        <v>6</v>
      </c>
      <c r="S97" s="68">
        <f>ROUND(IF(F99&gt;0.795*SQRT(H10),S50/4,IF(F97=0,MIN((S50/2),0.3),MIN(L98*L100*S50/F97,S50/2,0.3))),2)</f>
        <v>0.23</v>
      </c>
      <c r="T97" s="69" t="s">
        <v>139</v>
      </c>
      <c r="U97" s="11"/>
      <c r="V97" s="16"/>
      <c r="AD97" s="86" t="e">
        <f t="shared" si="12"/>
        <v>#N/A</v>
      </c>
      <c r="AE97" s="86" t="e">
        <f t="shared" si="13"/>
        <v>#N/A</v>
      </c>
      <c r="AF97" s="177" t="e">
        <f t="shared" si="14"/>
        <v>#N/A</v>
      </c>
      <c r="AG97" s="178"/>
      <c r="AH97" s="177" t="e">
        <f t="shared" si="15"/>
        <v>#N/A</v>
      </c>
      <c r="AI97" s="178"/>
      <c r="AJ97" s="177" t="e">
        <f>HLOOKUP($AJ$92,$BN$92:$BY$100,6,FALSE)</f>
        <v>#N/A</v>
      </c>
      <c r="AK97" s="178"/>
      <c r="AL97" s="177" t="e">
        <f>HLOOKUP($AJ$92,$CB$92:$CM$100,6,FALSE)</f>
        <v>#N/A</v>
      </c>
      <c r="AM97" s="178"/>
      <c r="AN97" s="84"/>
      <c r="AO97" s="86" t="e">
        <f t="shared" si="16"/>
        <v>#N/A</v>
      </c>
      <c r="AP97" s="86" t="e">
        <f t="shared" si="17"/>
        <v>#N/A</v>
      </c>
      <c r="AQ97" s="177" t="e">
        <f t="shared" si="18"/>
        <v>#N/A</v>
      </c>
      <c r="AR97" s="178"/>
      <c r="AS97" s="177" t="e">
        <f t="shared" si="19"/>
        <v>#N/A</v>
      </c>
      <c r="AT97" s="178"/>
      <c r="AU97" s="177" t="e">
        <f>HLOOKUP($AU$92,$BN$92:$BY$100,6,FALSE)</f>
        <v>#N/A</v>
      </c>
      <c r="AV97" s="178"/>
      <c r="AW97" s="177" t="e">
        <f>HLOOKUP($AU$92,$CB$92:$CM$100,6,FALSE)</f>
        <v>#N/A</v>
      </c>
      <c r="AX97" s="178"/>
      <c r="AY97" s="84"/>
      <c r="AZ97" s="86" t="e">
        <f t="shared" si="20"/>
        <v>#N/A</v>
      </c>
      <c r="BA97" s="86" t="e">
        <f t="shared" si="21"/>
        <v>#N/A</v>
      </c>
      <c r="BB97" s="177" t="e">
        <f t="shared" si="22"/>
        <v>#N/A</v>
      </c>
      <c r="BC97" s="178"/>
      <c r="BD97" s="177" t="e">
        <f t="shared" si="23"/>
        <v>#N/A</v>
      </c>
      <c r="BE97" s="178"/>
      <c r="BF97" s="177" t="e">
        <f>HLOOKUP($BF$92,$BN$92:$BY$100,6,FALSE)</f>
        <v>#N/A</v>
      </c>
      <c r="BG97" s="178"/>
      <c r="BH97" s="177" t="e">
        <f>HLOOKUP($BF$92,$CB$92:$CM$100,6,FALSE)</f>
        <v>#N/A</v>
      </c>
      <c r="BI97" s="178"/>
      <c r="BJ97" s="84"/>
      <c r="BK97" s="84"/>
      <c r="BL97" s="84"/>
      <c r="BN97" s="177"/>
      <c r="BO97" s="178"/>
      <c r="BP97" s="177"/>
      <c r="BQ97" s="178"/>
      <c r="BR97" s="177">
        <v>45</v>
      </c>
      <c r="BS97" s="178"/>
      <c r="BT97" s="177">
        <v>35</v>
      </c>
      <c r="BU97" s="178"/>
      <c r="BV97" s="177">
        <v>29</v>
      </c>
      <c r="BW97" s="178"/>
      <c r="BX97" s="177">
        <v>25</v>
      </c>
      <c r="BY97" s="178"/>
      <c r="BZ97" s="7"/>
      <c r="CA97" s="7"/>
      <c r="CB97" s="177"/>
      <c r="CC97" s="178"/>
      <c r="CD97" s="177"/>
      <c r="CE97" s="178"/>
      <c r="CF97" s="177">
        <v>70</v>
      </c>
      <c r="CG97" s="178"/>
      <c r="CH97" s="177">
        <v>70</v>
      </c>
      <c r="CI97" s="178"/>
      <c r="CJ97" s="177">
        <v>70</v>
      </c>
      <c r="CK97" s="178"/>
      <c r="CL97" s="177">
        <v>70</v>
      </c>
      <c r="CM97" s="178"/>
    </row>
    <row r="98" spans="2:91" ht="11.25">
      <c r="B98" s="15"/>
      <c r="C98" s="11" t="s">
        <v>30</v>
      </c>
      <c r="D98" s="11"/>
      <c r="E98" s="18" t="s">
        <v>6</v>
      </c>
      <c r="F98" s="11">
        <f>1.32*SQRT(H10)</f>
        <v>17.361889298114995</v>
      </c>
      <c r="G98" s="141" t="s">
        <v>133</v>
      </c>
      <c r="H98" s="11"/>
      <c r="I98" s="11" t="s">
        <v>33</v>
      </c>
      <c r="J98" s="11"/>
      <c r="K98" s="18" t="s">
        <v>6</v>
      </c>
      <c r="L98" s="18">
        <f>2*(PI()/4*(L97/10)^2)</f>
        <v>1.2723450247038663</v>
      </c>
      <c r="M98" s="11" t="s">
        <v>137</v>
      </c>
      <c r="N98" s="11" t="s">
        <v>142</v>
      </c>
      <c r="O98" s="11"/>
      <c r="P98" s="11"/>
      <c r="Q98" s="11"/>
      <c r="R98" s="151" t="s">
        <v>6</v>
      </c>
      <c r="S98" s="152">
        <v>0.2</v>
      </c>
      <c r="T98" s="69" t="s">
        <v>139</v>
      </c>
      <c r="U98" s="83" t="str">
        <f>IF(S98&lt;=S97,"OK","NG.")</f>
        <v>OK</v>
      </c>
      <c r="V98" s="16"/>
      <c r="AD98" s="86" t="e">
        <f t="shared" si="12"/>
        <v>#N/A</v>
      </c>
      <c r="AE98" s="86" t="e">
        <f t="shared" si="13"/>
        <v>#N/A</v>
      </c>
      <c r="AF98" s="177" t="e">
        <f t="shared" si="14"/>
        <v>#N/A</v>
      </c>
      <c r="AG98" s="178"/>
      <c r="AH98" s="177" t="e">
        <f t="shared" si="15"/>
        <v>#N/A</v>
      </c>
      <c r="AI98" s="178"/>
      <c r="AJ98" s="177" t="e">
        <f>HLOOKUP($AJ$92,$BN$92:$BY$100,7,FALSE)</f>
        <v>#N/A</v>
      </c>
      <c r="AK98" s="178"/>
      <c r="AL98" s="177" t="e">
        <f>HLOOKUP($AJ$92,$CB$92:$CM$100,7,FALSE)</f>
        <v>#N/A</v>
      </c>
      <c r="AM98" s="178"/>
      <c r="AN98" s="84"/>
      <c r="AO98" s="86" t="e">
        <f t="shared" si="16"/>
        <v>#N/A</v>
      </c>
      <c r="AP98" s="86" t="e">
        <f t="shared" si="17"/>
        <v>#N/A</v>
      </c>
      <c r="AQ98" s="177" t="e">
        <f t="shared" si="18"/>
        <v>#N/A</v>
      </c>
      <c r="AR98" s="178"/>
      <c r="AS98" s="177" t="e">
        <f t="shared" si="19"/>
        <v>#N/A</v>
      </c>
      <c r="AT98" s="178"/>
      <c r="AU98" s="177" t="e">
        <f>HLOOKUP($AU$92,$BN$92:$BY$100,7,FALSE)</f>
        <v>#N/A</v>
      </c>
      <c r="AV98" s="178"/>
      <c r="AW98" s="177" t="e">
        <f>HLOOKUP($AU$92,$CB$92:$CM$100,7,FALSE)</f>
        <v>#N/A</v>
      </c>
      <c r="AX98" s="178"/>
      <c r="AY98" s="84"/>
      <c r="AZ98" s="86" t="e">
        <f t="shared" si="20"/>
        <v>#N/A</v>
      </c>
      <c r="BA98" s="86" t="e">
        <f t="shared" si="21"/>
        <v>#N/A</v>
      </c>
      <c r="BB98" s="177" t="e">
        <f t="shared" si="22"/>
        <v>#N/A</v>
      </c>
      <c r="BC98" s="178"/>
      <c r="BD98" s="177" t="e">
        <f t="shared" si="23"/>
        <v>#N/A</v>
      </c>
      <c r="BE98" s="178"/>
      <c r="BF98" s="177" t="e">
        <f>HLOOKUP($BF$92,$BN$92:$BY$100,7,FALSE)</f>
        <v>#N/A</v>
      </c>
      <c r="BG98" s="178"/>
      <c r="BH98" s="177" t="e">
        <f>HLOOKUP($BF$92,$CB$92:$CM$100,7,FALSE)</f>
        <v>#N/A</v>
      </c>
      <c r="BI98" s="178"/>
      <c r="BJ98" s="84"/>
      <c r="BK98" s="84"/>
      <c r="BL98" s="84"/>
      <c r="BN98" s="177"/>
      <c r="BO98" s="178"/>
      <c r="BP98" s="177"/>
      <c r="BQ98" s="178"/>
      <c r="BR98" s="177"/>
      <c r="BS98" s="178"/>
      <c r="BT98" s="177">
        <v>45</v>
      </c>
      <c r="BU98" s="178"/>
      <c r="BV98" s="177">
        <v>37</v>
      </c>
      <c r="BW98" s="178"/>
      <c r="BX98" s="177">
        <v>32</v>
      </c>
      <c r="BY98" s="178"/>
      <c r="BZ98" s="7"/>
      <c r="CA98" s="7"/>
      <c r="CB98" s="177"/>
      <c r="CC98" s="178"/>
      <c r="CD98" s="177"/>
      <c r="CE98" s="178"/>
      <c r="CF98" s="177"/>
      <c r="CG98" s="178"/>
      <c r="CH98" s="177">
        <v>70</v>
      </c>
      <c r="CI98" s="178"/>
      <c r="CJ98" s="177">
        <v>70</v>
      </c>
      <c r="CK98" s="178"/>
      <c r="CL98" s="177">
        <v>70</v>
      </c>
      <c r="CM98" s="178"/>
    </row>
    <row r="99" spans="2:91" ht="11.25">
      <c r="B99" s="15"/>
      <c r="C99" s="11" t="s">
        <v>31</v>
      </c>
      <c r="D99" s="11"/>
      <c r="E99" s="18" t="s">
        <v>6</v>
      </c>
      <c r="F99" s="28">
        <f>MAX(E43,K43,Q43)/(L51*S50*10000)</f>
        <v>5.288888888888889</v>
      </c>
      <c r="G99" s="141" t="s">
        <v>133</v>
      </c>
      <c r="H99" s="11"/>
      <c r="I99" s="11" t="s">
        <v>34</v>
      </c>
      <c r="J99" s="11"/>
      <c r="K99" s="18" t="s">
        <v>6</v>
      </c>
      <c r="L99" s="83" t="str">
        <f>IF(L98&gt;0.0015*L51*S98*100,"OK","NG.")</f>
        <v>OK</v>
      </c>
      <c r="M99" s="69"/>
      <c r="N99" s="11"/>
      <c r="O99" s="11"/>
      <c r="P99" s="11"/>
      <c r="Q99" s="11"/>
      <c r="R99" s="11"/>
      <c r="S99" s="11"/>
      <c r="T99" s="11"/>
      <c r="U99" s="11"/>
      <c r="V99" s="16"/>
      <c r="AD99" s="86" t="e">
        <f t="shared" si="12"/>
        <v>#N/A</v>
      </c>
      <c r="AE99" s="86" t="e">
        <f t="shared" si="13"/>
        <v>#N/A</v>
      </c>
      <c r="AF99" s="177" t="e">
        <f t="shared" si="14"/>
        <v>#N/A</v>
      </c>
      <c r="AG99" s="178"/>
      <c r="AH99" s="177" t="e">
        <f t="shared" si="15"/>
        <v>#N/A</v>
      </c>
      <c r="AI99" s="178"/>
      <c r="AJ99" s="177" t="e">
        <f>HLOOKUP($AJ$92,$BN$92:$BY$100,8,FALSE)</f>
        <v>#N/A</v>
      </c>
      <c r="AK99" s="178"/>
      <c r="AL99" s="177" t="e">
        <f>HLOOKUP($AJ$92,$CB$92:$CM$100,8,FALSE)</f>
        <v>#N/A</v>
      </c>
      <c r="AM99" s="178"/>
      <c r="AN99" s="84"/>
      <c r="AO99" s="86" t="e">
        <f t="shared" si="16"/>
        <v>#N/A</v>
      </c>
      <c r="AP99" s="86" t="e">
        <f t="shared" si="17"/>
        <v>#N/A</v>
      </c>
      <c r="AQ99" s="177" t="e">
        <f t="shared" si="18"/>
        <v>#N/A</v>
      </c>
      <c r="AR99" s="178"/>
      <c r="AS99" s="177" t="e">
        <f t="shared" si="19"/>
        <v>#N/A</v>
      </c>
      <c r="AT99" s="178"/>
      <c r="AU99" s="177" t="e">
        <f>HLOOKUP($AU$92,$BN$92:$BY$100,8,FALSE)</f>
        <v>#N/A</v>
      </c>
      <c r="AV99" s="178"/>
      <c r="AW99" s="177" t="e">
        <f>HLOOKUP($AU$92,$CB$92:$CM$100,8,FALSE)</f>
        <v>#N/A</v>
      </c>
      <c r="AX99" s="178"/>
      <c r="AY99" s="84"/>
      <c r="AZ99" s="86" t="e">
        <f t="shared" si="20"/>
        <v>#N/A</v>
      </c>
      <c r="BA99" s="86" t="e">
        <f t="shared" si="21"/>
        <v>#N/A</v>
      </c>
      <c r="BB99" s="177" t="e">
        <f t="shared" si="22"/>
        <v>#N/A</v>
      </c>
      <c r="BC99" s="178"/>
      <c r="BD99" s="177" t="e">
        <f t="shared" si="23"/>
        <v>#N/A</v>
      </c>
      <c r="BE99" s="178"/>
      <c r="BF99" s="177" t="e">
        <f>HLOOKUP($BF$92,$BN$92:$BY$100,8,FALSE)</f>
        <v>#N/A</v>
      </c>
      <c r="BG99" s="178"/>
      <c r="BH99" s="177" t="e">
        <f>HLOOKUP($BF$92,$CB$92:$CM$100,8,FALSE)</f>
        <v>#N/A</v>
      </c>
      <c r="BI99" s="178"/>
      <c r="BJ99" s="84"/>
      <c r="BK99" s="84"/>
      <c r="BL99" s="84"/>
      <c r="BN99" s="177"/>
      <c r="BO99" s="178"/>
      <c r="BP99" s="177"/>
      <c r="BQ99" s="178"/>
      <c r="BR99" s="177"/>
      <c r="BS99" s="178"/>
      <c r="BT99" s="177"/>
      <c r="BU99" s="178"/>
      <c r="BV99" s="177">
        <v>45</v>
      </c>
      <c r="BW99" s="178"/>
      <c r="BX99" s="177">
        <v>38</v>
      </c>
      <c r="BY99" s="178"/>
      <c r="BZ99" s="7"/>
      <c r="CA99" s="7"/>
      <c r="CB99" s="177"/>
      <c r="CC99" s="178"/>
      <c r="CD99" s="177"/>
      <c r="CE99" s="178"/>
      <c r="CF99" s="177"/>
      <c r="CG99" s="178"/>
      <c r="CH99" s="177"/>
      <c r="CI99" s="178"/>
      <c r="CJ99" s="177">
        <v>70</v>
      </c>
      <c r="CK99" s="178"/>
      <c r="CL99" s="177">
        <v>70</v>
      </c>
      <c r="CM99" s="178"/>
    </row>
    <row r="100" spans="2:91" ht="11.25">
      <c r="B100" s="15"/>
      <c r="C100" s="11" t="s">
        <v>32</v>
      </c>
      <c r="D100" s="11"/>
      <c r="E100" s="18" t="s">
        <v>6</v>
      </c>
      <c r="F100" s="85" t="str">
        <f>IF(F99&lt;F98,"OK","Tryagain")</f>
        <v>OK</v>
      </c>
      <c r="G100" s="11"/>
      <c r="H100" s="11"/>
      <c r="I100" s="11" t="s">
        <v>35</v>
      </c>
      <c r="J100" s="11"/>
      <c r="K100" s="18" t="s">
        <v>6</v>
      </c>
      <c r="L100" s="18">
        <f>IF(L97&gt;=10,S12,1200)</f>
        <v>1200</v>
      </c>
      <c r="M100" s="141" t="s">
        <v>133</v>
      </c>
      <c r="N100" s="11"/>
      <c r="O100" s="11"/>
      <c r="P100" s="11"/>
      <c r="Q100" s="11"/>
      <c r="R100" s="11"/>
      <c r="S100" s="11"/>
      <c r="T100" s="11"/>
      <c r="U100" s="11"/>
      <c r="V100" s="16"/>
      <c r="AD100" s="86" t="e">
        <f t="shared" si="12"/>
        <v>#N/A</v>
      </c>
      <c r="AE100" s="86" t="e">
        <f t="shared" si="13"/>
        <v>#N/A</v>
      </c>
      <c r="AF100" s="177" t="e">
        <f t="shared" si="14"/>
        <v>#N/A</v>
      </c>
      <c r="AG100" s="178"/>
      <c r="AH100" s="177" t="e">
        <f t="shared" si="15"/>
        <v>#N/A</v>
      </c>
      <c r="AI100" s="178"/>
      <c r="AJ100" s="177" t="e">
        <f>HLOOKUP($AJ$92,$BN$92:$BY$100,9,FALSE)</f>
        <v>#N/A</v>
      </c>
      <c r="AK100" s="178"/>
      <c r="AL100" s="177" t="e">
        <f>HLOOKUP($AJ$92,$CB$92:$CM$100,9,FALSE)</f>
        <v>#N/A</v>
      </c>
      <c r="AM100" s="178"/>
      <c r="AN100" s="84"/>
      <c r="AO100" s="86" t="e">
        <f t="shared" si="16"/>
        <v>#N/A</v>
      </c>
      <c r="AP100" s="86" t="e">
        <f t="shared" si="17"/>
        <v>#N/A</v>
      </c>
      <c r="AQ100" s="177" t="e">
        <f t="shared" si="18"/>
        <v>#N/A</v>
      </c>
      <c r="AR100" s="178"/>
      <c r="AS100" s="177" t="e">
        <f t="shared" si="19"/>
        <v>#N/A</v>
      </c>
      <c r="AT100" s="178"/>
      <c r="AU100" s="177" t="e">
        <f>HLOOKUP($AU$92,$BN$92:$BY$100,9,FALSE)</f>
        <v>#N/A</v>
      </c>
      <c r="AV100" s="178"/>
      <c r="AW100" s="177" t="e">
        <f>HLOOKUP($AU$92,$CB$92:$CM$100,9,FALSE)</f>
        <v>#N/A</v>
      </c>
      <c r="AX100" s="178"/>
      <c r="AY100" s="84"/>
      <c r="AZ100" s="86" t="e">
        <f t="shared" si="20"/>
        <v>#N/A</v>
      </c>
      <c r="BA100" s="86" t="e">
        <f t="shared" si="21"/>
        <v>#N/A</v>
      </c>
      <c r="BB100" s="177" t="e">
        <f t="shared" si="22"/>
        <v>#N/A</v>
      </c>
      <c r="BC100" s="178"/>
      <c r="BD100" s="177" t="e">
        <f t="shared" si="23"/>
        <v>#N/A</v>
      </c>
      <c r="BE100" s="178"/>
      <c r="BF100" s="177" t="e">
        <f>HLOOKUP($BF$92,$BN$92:$BY$100,9,FALSE)</f>
        <v>#N/A</v>
      </c>
      <c r="BG100" s="178"/>
      <c r="BH100" s="177" t="e">
        <f>HLOOKUP($BF$92,$CB$92:$CM$100,9,FALSE)</f>
        <v>#N/A</v>
      </c>
      <c r="BI100" s="178"/>
      <c r="BJ100" s="84"/>
      <c r="BK100" s="84"/>
      <c r="BL100" s="84"/>
      <c r="BN100" s="177"/>
      <c r="BO100" s="178"/>
      <c r="BP100" s="177"/>
      <c r="BQ100" s="178"/>
      <c r="BR100" s="177"/>
      <c r="BS100" s="178"/>
      <c r="BT100" s="177"/>
      <c r="BU100" s="178"/>
      <c r="BV100" s="177"/>
      <c r="BW100" s="178"/>
      <c r="BX100" s="177">
        <v>45</v>
      </c>
      <c r="BY100" s="178"/>
      <c r="BZ100" s="7"/>
      <c r="CA100" s="7"/>
      <c r="CB100" s="177"/>
      <c r="CC100" s="178"/>
      <c r="CD100" s="177"/>
      <c r="CE100" s="178"/>
      <c r="CF100" s="177"/>
      <c r="CG100" s="178"/>
      <c r="CH100" s="177"/>
      <c r="CI100" s="178"/>
      <c r="CJ100" s="177"/>
      <c r="CK100" s="178"/>
      <c r="CL100" s="177">
        <v>70</v>
      </c>
      <c r="CM100" s="178"/>
    </row>
    <row r="101" spans="2:82" ht="11.25">
      <c r="B101" s="1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6"/>
      <c r="AU101" s="181" t="s">
        <v>58</v>
      </c>
      <c r="AV101" s="181"/>
      <c r="AW101" s="181"/>
      <c r="AX101" s="181"/>
      <c r="BF101" s="181" t="s">
        <v>59</v>
      </c>
      <c r="BG101" s="181"/>
      <c r="BH101" s="181"/>
      <c r="BI101" s="181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</row>
    <row r="102" spans="2:91" ht="11.25">
      <c r="B102" s="138" t="s">
        <v>45</v>
      </c>
      <c r="C102" s="139" t="str">
        <f>IF(SUM(E44,K44,Q44)&gt;0,"เหล็กปลอกรับแรงเฉือน และแรงเฉือนบิด","เหล็กปลอกรับแรงเฉือน")</f>
        <v>เหล็กปลอกรับแรงเฉือน</v>
      </c>
      <c r="D102" s="140"/>
      <c r="E102" s="140"/>
      <c r="F102" s="140"/>
      <c r="G102" s="140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6"/>
      <c r="AJ102" s="177" t="s">
        <v>53</v>
      </c>
      <c r="AK102" s="178"/>
      <c r="AL102" s="177" t="s">
        <v>53</v>
      </c>
      <c r="AM102" s="178"/>
      <c r="AN102" s="84"/>
      <c r="AU102" s="177" t="s">
        <v>53</v>
      </c>
      <c r="AV102" s="178"/>
      <c r="AW102" s="177" t="s">
        <v>53</v>
      </c>
      <c r="AX102" s="178"/>
      <c r="AY102" s="84"/>
      <c r="BF102" s="177" t="s">
        <v>53</v>
      </c>
      <c r="BG102" s="178"/>
      <c r="BH102" s="177" t="s">
        <v>53</v>
      </c>
      <c r="BI102" s="178"/>
      <c r="BJ102" s="84"/>
      <c r="BK102" s="84"/>
      <c r="BL102" s="84"/>
      <c r="BN102" s="236" t="s">
        <v>53</v>
      </c>
      <c r="BO102" s="237"/>
      <c r="BP102" s="236" t="s">
        <v>53</v>
      </c>
      <c r="BQ102" s="237"/>
      <c r="BR102" s="236" t="s">
        <v>53</v>
      </c>
      <c r="BS102" s="237"/>
      <c r="BT102" s="236" t="s">
        <v>53</v>
      </c>
      <c r="BU102" s="237"/>
      <c r="BV102" s="236" t="s">
        <v>53</v>
      </c>
      <c r="BW102" s="237"/>
      <c r="BX102" s="236" t="s">
        <v>53</v>
      </c>
      <c r="BY102" s="237"/>
      <c r="BZ102" s="7"/>
      <c r="CA102" s="7"/>
      <c r="CB102" s="177" t="s">
        <v>53</v>
      </c>
      <c r="CC102" s="178"/>
      <c r="CD102" s="177" t="s">
        <v>53</v>
      </c>
      <c r="CE102" s="178"/>
      <c r="CF102" s="177" t="s">
        <v>53</v>
      </c>
      <c r="CG102" s="178"/>
      <c r="CH102" s="177" t="s">
        <v>53</v>
      </c>
      <c r="CI102" s="178"/>
      <c r="CJ102" s="177" t="s">
        <v>53</v>
      </c>
      <c r="CK102" s="178"/>
      <c r="CL102" s="177" t="s">
        <v>53</v>
      </c>
      <c r="CM102" s="178"/>
    </row>
    <row r="103" spans="2:91" ht="11.25">
      <c r="B103" s="15"/>
      <c r="C103" s="11" t="s">
        <v>29</v>
      </c>
      <c r="D103" s="11"/>
      <c r="E103" s="18" t="s">
        <v>6</v>
      </c>
      <c r="F103" s="67">
        <f>IF(MAX(E43,K43,Q43)-E58&lt;0,0,MAX(E43,K43,Q43)-E58)</f>
        <v>1658.8512246136243</v>
      </c>
      <c r="G103" s="141" t="s">
        <v>136</v>
      </c>
      <c r="H103" s="11"/>
      <c r="I103" s="11" t="s">
        <v>118</v>
      </c>
      <c r="J103" s="11"/>
      <c r="K103" s="18" t="s">
        <v>6</v>
      </c>
      <c r="L103" s="20">
        <f>IF(SUM(E40,K40,Q40)&gt;0,L97,"")</f>
      </c>
      <c r="M103" s="69" t="s">
        <v>140</v>
      </c>
      <c r="N103" s="11" t="s">
        <v>119</v>
      </c>
      <c r="O103" s="11"/>
      <c r="P103" s="11"/>
      <c r="Q103" s="11"/>
      <c r="R103" s="18" t="s">
        <v>6</v>
      </c>
      <c r="S103" s="153">
        <f>ROUND(IF(SUM(E40,K40,Q40)&gt;0,(L104*S54*L106)/100^2/MAX(E44,K44,Q44),0),2)</f>
        <v>0</v>
      </c>
      <c r="T103" s="69" t="s">
        <v>139</v>
      </c>
      <c r="U103" s="11"/>
      <c r="V103" s="16"/>
      <c r="AJ103" s="179">
        <f>I80</f>
        <v>0</v>
      </c>
      <c r="AK103" s="180"/>
      <c r="AL103" s="180"/>
      <c r="AM103" s="178"/>
      <c r="AN103" s="84"/>
      <c r="AU103" s="179">
        <f>P80</f>
        <v>0</v>
      </c>
      <c r="AV103" s="180"/>
      <c r="AW103" s="180"/>
      <c r="AX103" s="178"/>
      <c r="AY103" s="84"/>
      <c r="BF103" s="179">
        <f>U80</f>
        <v>0</v>
      </c>
      <c r="BG103" s="180"/>
      <c r="BH103" s="180"/>
      <c r="BI103" s="178"/>
      <c r="BJ103" s="84"/>
      <c r="BK103" s="84"/>
      <c r="BL103" s="84"/>
      <c r="BN103" s="177">
        <v>2</v>
      </c>
      <c r="BO103" s="178"/>
      <c r="BP103" s="177">
        <v>3</v>
      </c>
      <c r="BQ103" s="178"/>
      <c r="BR103" s="177">
        <v>4</v>
      </c>
      <c r="BS103" s="178"/>
      <c r="BT103" s="177">
        <v>5</v>
      </c>
      <c r="BU103" s="178"/>
      <c r="BV103" s="177">
        <v>6</v>
      </c>
      <c r="BW103" s="178"/>
      <c r="BX103" s="177">
        <v>7</v>
      </c>
      <c r="BY103" s="178"/>
      <c r="BZ103" s="7"/>
      <c r="CA103" s="7"/>
      <c r="CB103" s="177">
        <v>2</v>
      </c>
      <c r="CC103" s="178"/>
      <c r="CD103" s="177">
        <v>3</v>
      </c>
      <c r="CE103" s="178"/>
      <c r="CF103" s="177">
        <v>4</v>
      </c>
      <c r="CG103" s="178"/>
      <c r="CH103" s="177">
        <v>5</v>
      </c>
      <c r="CI103" s="178"/>
      <c r="CJ103" s="177">
        <v>6</v>
      </c>
      <c r="CK103" s="178"/>
      <c r="CL103" s="177">
        <v>7</v>
      </c>
      <c r="CM103" s="178"/>
    </row>
    <row r="104" spans="2:91" ht="11.25">
      <c r="B104" s="15"/>
      <c r="C104" s="11" t="s">
        <v>30</v>
      </c>
      <c r="D104" s="11"/>
      <c r="E104" s="18" t="s">
        <v>6</v>
      </c>
      <c r="F104" s="11">
        <f>1.32*SQRT(H10)</f>
        <v>17.361889298114995</v>
      </c>
      <c r="G104" s="141" t="s">
        <v>133</v>
      </c>
      <c r="H104" s="11"/>
      <c r="I104" s="11" t="s">
        <v>33</v>
      </c>
      <c r="J104" s="11"/>
      <c r="K104" s="18" t="s">
        <v>6</v>
      </c>
      <c r="L104" s="48">
        <f>IF(L103="",0,2*(PI()/4*(L103/10)^2))</f>
        <v>0</v>
      </c>
      <c r="M104" s="11" t="s">
        <v>137</v>
      </c>
      <c r="N104" s="11" t="s">
        <v>142</v>
      </c>
      <c r="O104" s="11"/>
      <c r="P104" s="11"/>
      <c r="Q104" s="11"/>
      <c r="R104" s="151" t="s">
        <v>6</v>
      </c>
      <c r="S104" s="152">
        <v>0.25</v>
      </c>
      <c r="T104" s="69" t="s">
        <v>139</v>
      </c>
      <c r="U104" s="83">
        <f>IF(SUM(M92,E40,K40,Q40)&lt;=0,"",IF(S104&lt;=S103,"OK","NG."))</f>
      </c>
      <c r="V104" s="16"/>
      <c r="AD104" s="86" t="s">
        <v>51</v>
      </c>
      <c r="AE104" s="86" t="s">
        <v>55</v>
      </c>
      <c r="AF104" s="177" t="s">
        <v>51</v>
      </c>
      <c r="AG104" s="178"/>
      <c r="AH104" s="177" t="s">
        <v>55</v>
      </c>
      <c r="AI104" s="178"/>
      <c r="AJ104" s="177" t="s">
        <v>51</v>
      </c>
      <c r="AK104" s="178"/>
      <c r="AL104" s="177" t="s">
        <v>55</v>
      </c>
      <c r="AM104" s="178"/>
      <c r="AN104" s="84"/>
      <c r="AO104" s="86" t="s">
        <v>51</v>
      </c>
      <c r="AP104" s="86" t="s">
        <v>55</v>
      </c>
      <c r="AQ104" s="177" t="s">
        <v>51</v>
      </c>
      <c r="AR104" s="178"/>
      <c r="AS104" s="177" t="s">
        <v>55</v>
      </c>
      <c r="AT104" s="178"/>
      <c r="AU104" s="177" t="s">
        <v>51</v>
      </c>
      <c r="AV104" s="178"/>
      <c r="AW104" s="177" t="s">
        <v>55</v>
      </c>
      <c r="AX104" s="178"/>
      <c r="AY104" s="84"/>
      <c r="AZ104" s="86" t="s">
        <v>51</v>
      </c>
      <c r="BA104" s="86" t="s">
        <v>55</v>
      </c>
      <c r="BB104" s="177" t="s">
        <v>51</v>
      </c>
      <c r="BC104" s="178"/>
      <c r="BD104" s="177" t="s">
        <v>55</v>
      </c>
      <c r="BE104" s="178"/>
      <c r="BF104" s="177" t="s">
        <v>51</v>
      </c>
      <c r="BG104" s="178"/>
      <c r="BH104" s="177" t="s">
        <v>55</v>
      </c>
      <c r="BI104" s="178"/>
      <c r="BJ104" s="84"/>
      <c r="BK104" s="84"/>
      <c r="BL104" s="84"/>
      <c r="BN104" s="177" t="s">
        <v>51</v>
      </c>
      <c r="BO104" s="178"/>
      <c r="BP104" s="177" t="s">
        <v>51</v>
      </c>
      <c r="BQ104" s="178"/>
      <c r="BR104" s="177" t="s">
        <v>51</v>
      </c>
      <c r="BS104" s="178"/>
      <c r="BT104" s="177" t="s">
        <v>51</v>
      </c>
      <c r="BU104" s="178"/>
      <c r="BV104" s="177" t="s">
        <v>51</v>
      </c>
      <c r="BW104" s="178"/>
      <c r="BX104" s="177" t="s">
        <v>51</v>
      </c>
      <c r="BY104" s="178"/>
      <c r="BZ104" s="7"/>
      <c r="CA104" s="7"/>
      <c r="CB104" s="177" t="s">
        <v>55</v>
      </c>
      <c r="CC104" s="178"/>
      <c r="CD104" s="177" t="s">
        <v>55</v>
      </c>
      <c r="CE104" s="178"/>
      <c r="CF104" s="177" t="s">
        <v>55</v>
      </c>
      <c r="CG104" s="178"/>
      <c r="CH104" s="177" t="s">
        <v>55</v>
      </c>
      <c r="CI104" s="178"/>
      <c r="CJ104" s="177" t="s">
        <v>55</v>
      </c>
      <c r="CK104" s="178"/>
      <c r="CL104" s="177" t="s">
        <v>55</v>
      </c>
      <c r="CM104" s="178"/>
    </row>
    <row r="105" spans="2:91" ht="11.25">
      <c r="B105" s="15"/>
      <c r="C105" s="11" t="s">
        <v>31</v>
      </c>
      <c r="D105" s="11"/>
      <c r="E105" s="18" t="s">
        <v>6</v>
      </c>
      <c r="F105" s="28">
        <f>MAX(E43,K43,Q43)/(L51*S50*10000)</f>
        <v>5.288888888888889</v>
      </c>
      <c r="G105" s="141" t="s">
        <v>133</v>
      </c>
      <c r="H105" s="11"/>
      <c r="I105" s="11" t="s">
        <v>34</v>
      </c>
      <c r="J105" s="11"/>
      <c r="K105" s="18" t="s">
        <v>6</v>
      </c>
      <c r="L105" s="83">
        <f>IF(L103="",0,IF(L104&gt;0.0015*L57*S104*100,"OK","NG."))</f>
        <v>0</v>
      </c>
      <c r="M105" s="79"/>
      <c r="O105" s="11"/>
      <c r="P105" s="11"/>
      <c r="Q105" s="11"/>
      <c r="R105" s="11"/>
      <c r="S105" s="11"/>
      <c r="T105" s="11"/>
      <c r="U105" s="11"/>
      <c r="V105" s="16"/>
      <c r="AD105" s="86" t="e">
        <f>AF105</f>
        <v>#N/A</v>
      </c>
      <c r="AE105" s="86" t="e">
        <f>AH105</f>
        <v>#N/A</v>
      </c>
      <c r="AF105" s="177" t="e">
        <f>IF(AJ105&gt;0,AJ105,MAX($AJ$105:$AK$111))</f>
        <v>#N/A</v>
      </c>
      <c r="AG105" s="178"/>
      <c r="AH105" s="177" t="e">
        <f>IF(AL105&gt;0,AL105,MAX($AL$105:$AM$111))</f>
        <v>#N/A</v>
      </c>
      <c r="AI105" s="178"/>
      <c r="AJ105" s="177" t="e">
        <f>HLOOKUP($AJ$103,$BN$103:$BY$111,3,FALSE)</f>
        <v>#N/A</v>
      </c>
      <c r="AK105" s="178"/>
      <c r="AL105" s="177" t="e">
        <f>HLOOKUP($AJ$103,$CB$103:$CM$111,3,FALSE)</f>
        <v>#N/A</v>
      </c>
      <c r="AM105" s="178"/>
      <c r="AN105" s="84"/>
      <c r="AO105" s="86" t="e">
        <f>AQ105</f>
        <v>#N/A</v>
      </c>
      <c r="AP105" s="86" t="e">
        <f>AS105</f>
        <v>#N/A</v>
      </c>
      <c r="AQ105" s="177" t="e">
        <f>IF(AU105&gt;0,AU105,MAX($AU$105:$AV$111))</f>
        <v>#N/A</v>
      </c>
      <c r="AR105" s="178"/>
      <c r="AS105" s="177" t="e">
        <f>IF(AW105&gt;0,AW105,MAX($AW$105:$AX$111))</f>
        <v>#N/A</v>
      </c>
      <c r="AT105" s="178"/>
      <c r="AU105" s="177" t="e">
        <f>HLOOKUP($AU$103,$BN$103:$BY$111,3,FALSE)</f>
        <v>#N/A</v>
      </c>
      <c r="AV105" s="178"/>
      <c r="AW105" s="177" t="e">
        <f>HLOOKUP($AU$103,$CB$103:$CM$111,3,FALSE)</f>
        <v>#N/A</v>
      </c>
      <c r="AX105" s="178"/>
      <c r="AY105" s="84"/>
      <c r="AZ105" s="86" t="e">
        <f>BB105</f>
        <v>#N/A</v>
      </c>
      <c r="BA105" s="86" t="e">
        <f>BD105</f>
        <v>#N/A</v>
      </c>
      <c r="BB105" s="177" t="e">
        <f>IF(BF105&gt;0,BF105,MAX($BF$105:$BG$111))</f>
        <v>#N/A</v>
      </c>
      <c r="BC105" s="178"/>
      <c r="BD105" s="177" t="e">
        <f>IF(BH105&gt;0,BH105,MAX($BH$105:$BI$111))</f>
        <v>#N/A</v>
      </c>
      <c r="BE105" s="178"/>
      <c r="BF105" s="177" t="e">
        <f>HLOOKUP($BF$103,$BN$103:$BY$111,3,FALSE)</f>
        <v>#N/A</v>
      </c>
      <c r="BG105" s="178"/>
      <c r="BH105" s="177" t="e">
        <f>HLOOKUP($BF$103,$CB$103:$CM$111,3,FALSE)</f>
        <v>#N/A</v>
      </c>
      <c r="BI105" s="178"/>
      <c r="BJ105" s="84"/>
      <c r="BK105" s="84"/>
      <c r="BL105" s="84"/>
      <c r="BN105" s="177">
        <v>5</v>
      </c>
      <c r="BO105" s="178"/>
      <c r="BP105" s="177">
        <v>5</v>
      </c>
      <c r="BQ105" s="178"/>
      <c r="BR105" s="177">
        <v>5</v>
      </c>
      <c r="BS105" s="178"/>
      <c r="BT105" s="177">
        <v>5</v>
      </c>
      <c r="BU105" s="178"/>
      <c r="BV105" s="177">
        <v>5</v>
      </c>
      <c r="BW105" s="178"/>
      <c r="BX105" s="177">
        <v>5</v>
      </c>
      <c r="BY105" s="178"/>
      <c r="CB105" s="177">
        <v>9</v>
      </c>
      <c r="CC105" s="178"/>
      <c r="CD105" s="177">
        <v>9</v>
      </c>
      <c r="CE105" s="178"/>
      <c r="CF105" s="177">
        <v>9</v>
      </c>
      <c r="CG105" s="178"/>
      <c r="CH105" s="177">
        <v>9</v>
      </c>
      <c r="CI105" s="178"/>
      <c r="CJ105" s="177">
        <v>9</v>
      </c>
      <c r="CK105" s="178"/>
      <c r="CL105" s="177">
        <v>9</v>
      </c>
      <c r="CM105" s="178"/>
    </row>
    <row r="106" spans="2:91" ht="11.25">
      <c r="B106" s="15"/>
      <c r="C106" s="11" t="s">
        <v>32</v>
      </c>
      <c r="D106" s="11"/>
      <c r="E106" s="18" t="s">
        <v>6</v>
      </c>
      <c r="F106" s="81" t="str">
        <f>IF(F99&lt;F98,"OK","NG.")</f>
        <v>OK</v>
      </c>
      <c r="G106" s="11"/>
      <c r="H106" s="11"/>
      <c r="I106" s="11" t="s">
        <v>35</v>
      </c>
      <c r="J106" s="11"/>
      <c r="K106" s="18" t="s">
        <v>6</v>
      </c>
      <c r="L106" s="18">
        <f>IF(L103&gt;=10,S12,1200)</f>
        <v>1500</v>
      </c>
      <c r="M106" s="141" t="s">
        <v>135</v>
      </c>
      <c r="N106" s="11"/>
      <c r="O106" s="11"/>
      <c r="P106" s="11"/>
      <c r="Q106" s="11"/>
      <c r="R106" s="11"/>
      <c r="S106" s="11"/>
      <c r="T106" s="11"/>
      <c r="U106" s="11"/>
      <c r="V106" s="16"/>
      <c r="AD106" s="86" t="e">
        <f aca="true" t="shared" si="24" ref="AD106:AD111">AF106</f>
        <v>#N/A</v>
      </c>
      <c r="AE106" s="86" t="e">
        <f aca="true" t="shared" si="25" ref="AE106:AE111">AH106</f>
        <v>#N/A</v>
      </c>
      <c r="AF106" s="177" t="e">
        <f aca="true" t="shared" si="26" ref="AF106:AF111">IF(AJ106&gt;0,AJ106,MAX($AJ$105:$AK$111))</f>
        <v>#N/A</v>
      </c>
      <c r="AG106" s="178"/>
      <c r="AH106" s="177" t="e">
        <f aca="true" t="shared" si="27" ref="AH106:AH111">IF(AL106&gt;0,AL106,MAX($AL$105:$AM$111))</f>
        <v>#N/A</v>
      </c>
      <c r="AI106" s="178"/>
      <c r="AJ106" s="177" t="e">
        <f>HLOOKUP($AJ$103,$BN$103:$BY$111,4,FALSE)</f>
        <v>#N/A</v>
      </c>
      <c r="AK106" s="178"/>
      <c r="AL106" s="177" t="e">
        <f>HLOOKUP($AJ$103,$CB$103:$CM$111,4,FALSE)</f>
        <v>#N/A</v>
      </c>
      <c r="AM106" s="178"/>
      <c r="AN106" s="84"/>
      <c r="AO106" s="86" t="e">
        <f aca="true" t="shared" si="28" ref="AO106:AO111">AQ106</f>
        <v>#N/A</v>
      </c>
      <c r="AP106" s="86" t="e">
        <f aca="true" t="shared" si="29" ref="AP106:AP111">AS106</f>
        <v>#N/A</v>
      </c>
      <c r="AQ106" s="177" t="e">
        <f aca="true" t="shared" si="30" ref="AQ106:AQ111">IF(AU106&gt;0,AU106,MAX($AU$105:$AV$111))</f>
        <v>#N/A</v>
      </c>
      <c r="AR106" s="178"/>
      <c r="AS106" s="177" t="e">
        <f aca="true" t="shared" si="31" ref="AS106:AS111">IF(AW106&gt;0,AW106,MAX($AW$105:$AX$111))</f>
        <v>#N/A</v>
      </c>
      <c r="AT106" s="178"/>
      <c r="AU106" s="177" t="e">
        <f>HLOOKUP($AU$103,$BN$103:$BY$111,4,FALSE)</f>
        <v>#N/A</v>
      </c>
      <c r="AV106" s="178"/>
      <c r="AW106" s="177" t="e">
        <f>HLOOKUP($AU$103,$CB$103:$CM$111,4,FALSE)</f>
        <v>#N/A</v>
      </c>
      <c r="AX106" s="178"/>
      <c r="AY106" s="84"/>
      <c r="AZ106" s="86" t="e">
        <f aca="true" t="shared" si="32" ref="AZ106:AZ111">BB106</f>
        <v>#N/A</v>
      </c>
      <c r="BA106" s="86" t="e">
        <f aca="true" t="shared" si="33" ref="BA106:BA111">BD106</f>
        <v>#N/A</v>
      </c>
      <c r="BB106" s="177" t="e">
        <f aca="true" t="shared" si="34" ref="BB106:BB111">IF(BF106&gt;0,BF106,MAX($BF$105:$BG$111))</f>
        <v>#N/A</v>
      </c>
      <c r="BC106" s="178"/>
      <c r="BD106" s="177" t="e">
        <f aca="true" t="shared" si="35" ref="BD106:BD111">IF(BH106&gt;0,BH106,MAX($BH$105:$BI$111))</f>
        <v>#N/A</v>
      </c>
      <c r="BE106" s="178"/>
      <c r="BF106" s="177" t="e">
        <f>HLOOKUP($BF$103,$BN$103:$BY$111,4,FALSE)</f>
        <v>#N/A</v>
      </c>
      <c r="BG106" s="178"/>
      <c r="BH106" s="177" t="e">
        <f>HLOOKUP($BF$103,$CB$103:$CM$111,4,FALSE)</f>
        <v>#N/A</v>
      </c>
      <c r="BI106" s="178"/>
      <c r="BJ106" s="84"/>
      <c r="BK106" s="84"/>
      <c r="BL106" s="84"/>
      <c r="BN106" s="177">
        <v>45</v>
      </c>
      <c r="BO106" s="178"/>
      <c r="BP106" s="177">
        <v>25</v>
      </c>
      <c r="BQ106" s="178"/>
      <c r="BR106" s="177">
        <v>18</v>
      </c>
      <c r="BS106" s="178"/>
      <c r="BT106" s="177">
        <v>15</v>
      </c>
      <c r="BU106" s="178"/>
      <c r="BV106" s="177">
        <v>13</v>
      </c>
      <c r="BW106" s="178"/>
      <c r="BX106" s="177">
        <v>12</v>
      </c>
      <c r="BY106" s="178"/>
      <c r="CB106" s="177">
        <v>9</v>
      </c>
      <c r="CC106" s="178"/>
      <c r="CD106" s="177">
        <v>9</v>
      </c>
      <c r="CE106" s="178"/>
      <c r="CF106" s="177">
        <v>9</v>
      </c>
      <c r="CG106" s="178"/>
      <c r="CH106" s="177">
        <v>9</v>
      </c>
      <c r="CI106" s="178"/>
      <c r="CJ106" s="177">
        <v>9</v>
      </c>
      <c r="CK106" s="178"/>
      <c r="CL106" s="177">
        <v>9</v>
      </c>
      <c r="CM106" s="178"/>
    </row>
    <row r="107" spans="2:91" ht="11.25">
      <c r="B107" s="1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6"/>
      <c r="AD107" s="86" t="e">
        <f t="shared" si="24"/>
        <v>#N/A</v>
      </c>
      <c r="AE107" s="86" t="e">
        <f t="shared" si="25"/>
        <v>#N/A</v>
      </c>
      <c r="AF107" s="177" t="e">
        <f t="shared" si="26"/>
        <v>#N/A</v>
      </c>
      <c r="AG107" s="178"/>
      <c r="AH107" s="177" t="e">
        <f t="shared" si="27"/>
        <v>#N/A</v>
      </c>
      <c r="AI107" s="178"/>
      <c r="AJ107" s="177" t="e">
        <f>HLOOKUP($AJ$103,$BN$103:$BY$111,5,FALSE)</f>
        <v>#N/A</v>
      </c>
      <c r="AK107" s="178"/>
      <c r="AL107" s="177" t="e">
        <f>HLOOKUP($AJ$103,$CB$103:$CM$111,5,FALSE)</f>
        <v>#N/A</v>
      </c>
      <c r="AM107" s="178"/>
      <c r="AN107" s="84"/>
      <c r="AO107" s="86" t="e">
        <f t="shared" si="28"/>
        <v>#N/A</v>
      </c>
      <c r="AP107" s="86" t="e">
        <f t="shared" si="29"/>
        <v>#N/A</v>
      </c>
      <c r="AQ107" s="177" t="e">
        <f t="shared" si="30"/>
        <v>#N/A</v>
      </c>
      <c r="AR107" s="178"/>
      <c r="AS107" s="177" t="e">
        <f t="shared" si="31"/>
        <v>#N/A</v>
      </c>
      <c r="AT107" s="178"/>
      <c r="AU107" s="177" t="e">
        <f>HLOOKUP($AU$103,$BN$103:$BY$111,5,FALSE)</f>
        <v>#N/A</v>
      </c>
      <c r="AV107" s="178"/>
      <c r="AW107" s="177" t="e">
        <f>HLOOKUP($AU$103,$CB$103:$CM$111,5,FALSE)</f>
        <v>#N/A</v>
      </c>
      <c r="AX107" s="178"/>
      <c r="AY107" s="84"/>
      <c r="AZ107" s="86" t="e">
        <f t="shared" si="32"/>
        <v>#N/A</v>
      </c>
      <c r="BA107" s="86" t="e">
        <f t="shared" si="33"/>
        <v>#N/A</v>
      </c>
      <c r="BB107" s="177" t="e">
        <f t="shared" si="34"/>
        <v>#N/A</v>
      </c>
      <c r="BC107" s="178"/>
      <c r="BD107" s="177" t="e">
        <f t="shared" si="35"/>
        <v>#N/A</v>
      </c>
      <c r="BE107" s="178"/>
      <c r="BF107" s="177" t="e">
        <f>HLOOKUP($BF$103,$BN$103:$BY$111,5,FALSE)</f>
        <v>#N/A</v>
      </c>
      <c r="BG107" s="178"/>
      <c r="BH107" s="177" t="e">
        <f>HLOOKUP($BF$103,$CB$103:$CM$111,5,FALSE)</f>
        <v>#N/A</v>
      </c>
      <c r="BI107" s="178"/>
      <c r="BJ107" s="84"/>
      <c r="BK107" s="84"/>
      <c r="BL107" s="84"/>
      <c r="BN107" s="177"/>
      <c r="BO107" s="178"/>
      <c r="BP107" s="177">
        <v>45</v>
      </c>
      <c r="BQ107" s="178"/>
      <c r="BR107" s="177">
        <v>32</v>
      </c>
      <c r="BS107" s="178"/>
      <c r="BT107" s="177">
        <v>25</v>
      </c>
      <c r="BU107" s="178"/>
      <c r="BV107" s="177">
        <v>21</v>
      </c>
      <c r="BW107" s="178"/>
      <c r="BX107" s="177">
        <v>18</v>
      </c>
      <c r="BY107" s="178"/>
      <c r="CB107" s="177"/>
      <c r="CC107" s="178"/>
      <c r="CD107" s="177">
        <v>9</v>
      </c>
      <c r="CE107" s="178"/>
      <c r="CF107" s="177">
        <v>9</v>
      </c>
      <c r="CG107" s="178"/>
      <c r="CH107" s="177">
        <v>9</v>
      </c>
      <c r="CI107" s="178"/>
      <c r="CJ107" s="177">
        <v>9</v>
      </c>
      <c r="CK107" s="178"/>
      <c r="CL107" s="177">
        <v>9</v>
      </c>
      <c r="CM107" s="178"/>
    </row>
    <row r="108" spans="2:91" ht="11.25">
      <c r="B108" s="138" t="s">
        <v>46</v>
      </c>
      <c r="C108" s="139" t="s">
        <v>120</v>
      </c>
      <c r="D108" s="140"/>
      <c r="E108" s="140"/>
      <c r="F108" s="140"/>
      <c r="G108" s="14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6"/>
      <c r="AD108" s="86" t="e">
        <f t="shared" si="24"/>
        <v>#N/A</v>
      </c>
      <c r="AE108" s="86" t="e">
        <f t="shared" si="25"/>
        <v>#N/A</v>
      </c>
      <c r="AF108" s="177" t="e">
        <f t="shared" si="26"/>
        <v>#N/A</v>
      </c>
      <c r="AG108" s="178"/>
      <c r="AH108" s="177" t="e">
        <f t="shared" si="27"/>
        <v>#N/A</v>
      </c>
      <c r="AI108" s="178"/>
      <c r="AJ108" s="177" t="e">
        <f>HLOOKUP($AJ$103,$BN$103:$BY$111,6,FALSE)</f>
        <v>#N/A</v>
      </c>
      <c r="AK108" s="178"/>
      <c r="AL108" s="177" t="e">
        <f>HLOOKUP($AJ$103,$CB$103:$CM$111,6,FALSE)</f>
        <v>#N/A</v>
      </c>
      <c r="AM108" s="178"/>
      <c r="AN108" s="84"/>
      <c r="AO108" s="86" t="e">
        <f t="shared" si="28"/>
        <v>#N/A</v>
      </c>
      <c r="AP108" s="86" t="e">
        <f t="shared" si="29"/>
        <v>#N/A</v>
      </c>
      <c r="AQ108" s="177" t="e">
        <f t="shared" si="30"/>
        <v>#N/A</v>
      </c>
      <c r="AR108" s="178"/>
      <c r="AS108" s="177" t="e">
        <f t="shared" si="31"/>
        <v>#N/A</v>
      </c>
      <c r="AT108" s="178"/>
      <c r="AU108" s="177" t="e">
        <f>HLOOKUP($AU$103,$BN$103:$BY$111,6,FALSE)</f>
        <v>#N/A</v>
      </c>
      <c r="AV108" s="178"/>
      <c r="AW108" s="177" t="e">
        <f>HLOOKUP($AU$103,$CB$103:$CM$111,6,FALSE)</f>
        <v>#N/A</v>
      </c>
      <c r="AX108" s="178"/>
      <c r="AY108" s="84"/>
      <c r="AZ108" s="86" t="e">
        <f t="shared" si="32"/>
        <v>#N/A</v>
      </c>
      <c r="BA108" s="86" t="e">
        <f t="shared" si="33"/>
        <v>#N/A</v>
      </c>
      <c r="BB108" s="177" t="e">
        <f t="shared" si="34"/>
        <v>#N/A</v>
      </c>
      <c r="BC108" s="178"/>
      <c r="BD108" s="177" t="e">
        <f t="shared" si="35"/>
        <v>#N/A</v>
      </c>
      <c r="BE108" s="178"/>
      <c r="BF108" s="177" t="e">
        <f>HLOOKUP($BF$103,$BN$103:$BY$111,6,FALSE)</f>
        <v>#N/A</v>
      </c>
      <c r="BG108" s="178"/>
      <c r="BH108" s="177" t="e">
        <f>HLOOKUP($BF$103,$CB$103:$CM$111,6,FALSE)</f>
        <v>#N/A</v>
      </c>
      <c r="BI108" s="178"/>
      <c r="BJ108" s="84"/>
      <c r="BK108" s="84"/>
      <c r="BL108" s="84"/>
      <c r="BN108" s="177"/>
      <c r="BO108" s="178"/>
      <c r="BP108" s="177"/>
      <c r="BQ108" s="178"/>
      <c r="BR108" s="177">
        <v>45</v>
      </c>
      <c r="BS108" s="178"/>
      <c r="BT108" s="177">
        <v>35</v>
      </c>
      <c r="BU108" s="178"/>
      <c r="BV108" s="177">
        <v>29</v>
      </c>
      <c r="BW108" s="178"/>
      <c r="BX108" s="177">
        <v>25</v>
      </c>
      <c r="BY108" s="178"/>
      <c r="CB108" s="177"/>
      <c r="CC108" s="178"/>
      <c r="CD108" s="177"/>
      <c r="CE108" s="178"/>
      <c r="CF108" s="177">
        <v>9</v>
      </c>
      <c r="CG108" s="178"/>
      <c r="CH108" s="177">
        <v>9</v>
      </c>
      <c r="CI108" s="178"/>
      <c r="CJ108" s="177">
        <v>9</v>
      </c>
      <c r="CK108" s="178"/>
      <c r="CL108" s="177">
        <v>9</v>
      </c>
      <c r="CM108" s="178"/>
    </row>
    <row r="109" spans="2:91" ht="11.25">
      <c r="B109" s="15"/>
      <c r="C109" s="11" t="s">
        <v>119</v>
      </c>
      <c r="D109" s="11"/>
      <c r="E109" s="11"/>
      <c r="F109" s="11"/>
      <c r="G109" s="18" t="s">
        <v>6</v>
      </c>
      <c r="H109" s="146">
        <v>1</v>
      </c>
      <c r="I109" s="45" t="str">
        <f>IF(SUM(E40,K40,Q40)&gt;0,"2 ปลอก"&amp;"-"&amp;L97&amp;" มม."&amp;" @ "&amp;FIXED(MIN(S98,S103),2)&amp;" ม.",L97&amp;" มม."&amp;" @ "&amp;S98&amp;" ม.")</f>
        <v>9 มม. @ 0.2 ม.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6"/>
      <c r="AD109" s="86" t="e">
        <f t="shared" si="24"/>
        <v>#N/A</v>
      </c>
      <c r="AE109" s="86" t="e">
        <f t="shared" si="25"/>
        <v>#N/A</v>
      </c>
      <c r="AF109" s="177" t="e">
        <f t="shared" si="26"/>
        <v>#N/A</v>
      </c>
      <c r="AG109" s="178"/>
      <c r="AH109" s="177" t="e">
        <f t="shared" si="27"/>
        <v>#N/A</v>
      </c>
      <c r="AI109" s="178"/>
      <c r="AJ109" s="177" t="e">
        <f>HLOOKUP($AJ$103,$BN$103:$BY$111,7,FALSE)</f>
        <v>#N/A</v>
      </c>
      <c r="AK109" s="178"/>
      <c r="AL109" s="177" t="e">
        <f>HLOOKUP($AJ$103,$CB$103:$CM$111,7,FALSE)</f>
        <v>#N/A</v>
      </c>
      <c r="AM109" s="178"/>
      <c r="AN109" s="84"/>
      <c r="AO109" s="86" t="e">
        <f t="shared" si="28"/>
        <v>#N/A</v>
      </c>
      <c r="AP109" s="86" t="e">
        <f t="shared" si="29"/>
        <v>#N/A</v>
      </c>
      <c r="AQ109" s="177" t="e">
        <f t="shared" si="30"/>
        <v>#N/A</v>
      </c>
      <c r="AR109" s="178"/>
      <c r="AS109" s="177" t="e">
        <f t="shared" si="31"/>
        <v>#N/A</v>
      </c>
      <c r="AT109" s="178"/>
      <c r="AU109" s="177" t="e">
        <f>HLOOKUP($AU$103,$BN$103:$BY$111,7,FALSE)</f>
        <v>#N/A</v>
      </c>
      <c r="AV109" s="178"/>
      <c r="AW109" s="177" t="e">
        <f>HLOOKUP($AU$103,$CB$103:$CM$111,7,FALSE)</f>
        <v>#N/A</v>
      </c>
      <c r="AX109" s="178"/>
      <c r="AY109" s="84"/>
      <c r="AZ109" s="86" t="e">
        <f t="shared" si="32"/>
        <v>#N/A</v>
      </c>
      <c r="BA109" s="86" t="e">
        <f t="shared" si="33"/>
        <v>#N/A</v>
      </c>
      <c r="BB109" s="177" t="e">
        <f t="shared" si="34"/>
        <v>#N/A</v>
      </c>
      <c r="BC109" s="178"/>
      <c r="BD109" s="177" t="e">
        <f t="shared" si="35"/>
        <v>#N/A</v>
      </c>
      <c r="BE109" s="178"/>
      <c r="BF109" s="177" t="e">
        <f>HLOOKUP($BF$103,$BN$103:$BY$111,7,FALSE)</f>
        <v>#N/A</v>
      </c>
      <c r="BG109" s="178"/>
      <c r="BH109" s="177" t="e">
        <f>HLOOKUP($BF$103,$CB$103:$CM$111,7,FALSE)</f>
        <v>#N/A</v>
      </c>
      <c r="BI109" s="178"/>
      <c r="BJ109" s="84"/>
      <c r="BK109" s="84"/>
      <c r="BL109" s="84"/>
      <c r="BN109" s="177"/>
      <c r="BO109" s="178"/>
      <c r="BP109" s="177"/>
      <c r="BQ109" s="178"/>
      <c r="BR109" s="177"/>
      <c r="BS109" s="178"/>
      <c r="BT109" s="177">
        <v>45</v>
      </c>
      <c r="BU109" s="178"/>
      <c r="BV109" s="177">
        <v>37</v>
      </c>
      <c r="BW109" s="178"/>
      <c r="BX109" s="177">
        <v>32</v>
      </c>
      <c r="BY109" s="178"/>
      <c r="CB109" s="177"/>
      <c r="CC109" s="178"/>
      <c r="CD109" s="177"/>
      <c r="CE109" s="178"/>
      <c r="CF109" s="177"/>
      <c r="CG109" s="178"/>
      <c r="CH109" s="177">
        <v>9</v>
      </c>
      <c r="CI109" s="178"/>
      <c r="CJ109" s="177">
        <v>9</v>
      </c>
      <c r="CK109" s="178"/>
      <c r="CL109" s="177">
        <v>9</v>
      </c>
      <c r="CM109" s="178"/>
    </row>
    <row r="110" spans="2:91" ht="11.25">
      <c r="B110" s="15"/>
      <c r="C110" s="69"/>
      <c r="D110" s="11"/>
      <c r="E110" s="11"/>
      <c r="F110" s="11"/>
      <c r="G110" s="18"/>
      <c r="H110" s="11"/>
      <c r="I110" s="18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6"/>
      <c r="AD110" s="86" t="e">
        <f t="shared" si="24"/>
        <v>#N/A</v>
      </c>
      <c r="AE110" s="86" t="e">
        <f t="shared" si="25"/>
        <v>#N/A</v>
      </c>
      <c r="AF110" s="177" t="e">
        <f t="shared" si="26"/>
        <v>#N/A</v>
      </c>
      <c r="AG110" s="178"/>
      <c r="AH110" s="177" t="e">
        <f t="shared" si="27"/>
        <v>#N/A</v>
      </c>
      <c r="AI110" s="178"/>
      <c r="AJ110" s="177" t="e">
        <f>HLOOKUP($AJ$103,$BN$103:$BY$111,8,FALSE)</f>
        <v>#N/A</v>
      </c>
      <c r="AK110" s="178"/>
      <c r="AL110" s="177" t="e">
        <f>HLOOKUP($AJ$103,$CB$103:$CM$111,8,FALSE)</f>
        <v>#N/A</v>
      </c>
      <c r="AM110" s="178"/>
      <c r="AN110" s="84"/>
      <c r="AO110" s="86" t="e">
        <f t="shared" si="28"/>
        <v>#N/A</v>
      </c>
      <c r="AP110" s="86" t="e">
        <f t="shared" si="29"/>
        <v>#N/A</v>
      </c>
      <c r="AQ110" s="177" t="e">
        <f t="shared" si="30"/>
        <v>#N/A</v>
      </c>
      <c r="AR110" s="178"/>
      <c r="AS110" s="177" t="e">
        <f t="shared" si="31"/>
        <v>#N/A</v>
      </c>
      <c r="AT110" s="178"/>
      <c r="AU110" s="177" t="e">
        <f>HLOOKUP($AU$103,$BN$103:$BY$111,8,FALSE)</f>
        <v>#N/A</v>
      </c>
      <c r="AV110" s="178"/>
      <c r="AW110" s="177" t="e">
        <f>HLOOKUP($AU$103,$CB$103:$CM$111,8,FALSE)</f>
        <v>#N/A</v>
      </c>
      <c r="AX110" s="178"/>
      <c r="AY110" s="84"/>
      <c r="AZ110" s="86" t="e">
        <f t="shared" si="32"/>
        <v>#N/A</v>
      </c>
      <c r="BA110" s="86" t="e">
        <f t="shared" si="33"/>
        <v>#N/A</v>
      </c>
      <c r="BB110" s="177" t="e">
        <f t="shared" si="34"/>
        <v>#N/A</v>
      </c>
      <c r="BC110" s="178"/>
      <c r="BD110" s="177" t="e">
        <f t="shared" si="35"/>
        <v>#N/A</v>
      </c>
      <c r="BE110" s="178"/>
      <c r="BF110" s="177" t="e">
        <f>HLOOKUP($BF$103,$BN$103:$BY$111,8,FALSE)</f>
        <v>#N/A</v>
      </c>
      <c r="BG110" s="178"/>
      <c r="BH110" s="177" t="e">
        <f>HLOOKUP($BF$103,$CB$103:$CM$111,8,FALSE)</f>
        <v>#N/A</v>
      </c>
      <c r="BI110" s="178"/>
      <c r="BJ110" s="84"/>
      <c r="BK110" s="84"/>
      <c r="BL110" s="84"/>
      <c r="BN110" s="177"/>
      <c r="BO110" s="178"/>
      <c r="BP110" s="177"/>
      <c r="BQ110" s="178"/>
      <c r="BR110" s="177"/>
      <c r="BS110" s="178"/>
      <c r="BT110" s="177"/>
      <c r="BU110" s="178"/>
      <c r="BV110" s="177">
        <v>45</v>
      </c>
      <c r="BW110" s="178"/>
      <c r="BX110" s="177">
        <v>38</v>
      </c>
      <c r="BY110" s="178"/>
      <c r="CB110" s="177"/>
      <c r="CC110" s="178"/>
      <c r="CD110" s="177"/>
      <c r="CE110" s="178"/>
      <c r="CF110" s="177"/>
      <c r="CG110" s="178"/>
      <c r="CH110" s="177"/>
      <c r="CI110" s="178"/>
      <c r="CJ110" s="177">
        <v>9</v>
      </c>
      <c r="CK110" s="178"/>
      <c r="CL110" s="177">
        <v>9</v>
      </c>
      <c r="CM110" s="178"/>
    </row>
    <row r="111" spans="2:91" ht="11.25">
      <c r="B111" s="138" t="s">
        <v>47</v>
      </c>
      <c r="C111" s="139" t="s">
        <v>121</v>
      </c>
      <c r="D111" s="140"/>
      <c r="E111" s="140"/>
      <c r="F111" s="140"/>
      <c r="G111" s="14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6"/>
      <c r="AD111" s="86" t="e">
        <f t="shared" si="24"/>
        <v>#N/A</v>
      </c>
      <c r="AE111" s="86" t="e">
        <f t="shared" si="25"/>
        <v>#N/A</v>
      </c>
      <c r="AF111" s="177" t="e">
        <f t="shared" si="26"/>
        <v>#N/A</v>
      </c>
      <c r="AG111" s="178"/>
      <c r="AH111" s="177" t="e">
        <f t="shared" si="27"/>
        <v>#N/A</v>
      </c>
      <c r="AI111" s="178"/>
      <c r="AJ111" s="177" t="e">
        <f>HLOOKUP($AJ$103,$BN$103:$BY$111,9,FALSE)</f>
        <v>#N/A</v>
      </c>
      <c r="AK111" s="178"/>
      <c r="AL111" s="177" t="e">
        <f>HLOOKUP($AJ$103,$CB$103:$CM$111,9,FALSE)</f>
        <v>#N/A</v>
      </c>
      <c r="AM111" s="178"/>
      <c r="AN111" s="84"/>
      <c r="AO111" s="86" t="e">
        <f t="shared" si="28"/>
        <v>#N/A</v>
      </c>
      <c r="AP111" s="86" t="e">
        <f t="shared" si="29"/>
        <v>#N/A</v>
      </c>
      <c r="AQ111" s="177" t="e">
        <f t="shared" si="30"/>
        <v>#N/A</v>
      </c>
      <c r="AR111" s="178"/>
      <c r="AS111" s="177" t="e">
        <f t="shared" si="31"/>
        <v>#N/A</v>
      </c>
      <c r="AT111" s="178"/>
      <c r="AU111" s="177" t="e">
        <f>HLOOKUP($AU$103,$BN$103:$BY$111,9,FALSE)</f>
        <v>#N/A</v>
      </c>
      <c r="AV111" s="178"/>
      <c r="AW111" s="177" t="e">
        <f>HLOOKUP($AU$103,$CB$103:$CM$111,9,FALSE)</f>
        <v>#N/A</v>
      </c>
      <c r="AX111" s="178"/>
      <c r="AY111" s="84"/>
      <c r="AZ111" s="86" t="e">
        <f t="shared" si="32"/>
        <v>#N/A</v>
      </c>
      <c r="BA111" s="86" t="e">
        <f t="shared" si="33"/>
        <v>#N/A</v>
      </c>
      <c r="BB111" s="177" t="e">
        <f t="shared" si="34"/>
        <v>#N/A</v>
      </c>
      <c r="BC111" s="178"/>
      <c r="BD111" s="177" t="e">
        <f t="shared" si="35"/>
        <v>#N/A</v>
      </c>
      <c r="BE111" s="178"/>
      <c r="BF111" s="177" t="e">
        <f>HLOOKUP($BF$103,$BN$103:$BY$111,9,FALSE)</f>
        <v>#N/A</v>
      </c>
      <c r="BG111" s="178"/>
      <c r="BH111" s="177" t="e">
        <f>HLOOKUP($BF$103,$CB$103:$CM$111,9,FALSE)</f>
        <v>#N/A</v>
      </c>
      <c r="BI111" s="178"/>
      <c r="BJ111" s="84"/>
      <c r="BK111" s="84"/>
      <c r="BL111" s="84"/>
      <c r="BN111" s="177"/>
      <c r="BO111" s="178"/>
      <c r="BP111" s="177"/>
      <c r="BQ111" s="178"/>
      <c r="BR111" s="177"/>
      <c r="BS111" s="178"/>
      <c r="BT111" s="177"/>
      <c r="BU111" s="178"/>
      <c r="BV111" s="177"/>
      <c r="BW111" s="178"/>
      <c r="BX111" s="177">
        <v>45</v>
      </c>
      <c r="BY111" s="178"/>
      <c r="CB111" s="177"/>
      <c r="CC111" s="178"/>
      <c r="CD111" s="177"/>
      <c r="CE111" s="178"/>
      <c r="CF111" s="177"/>
      <c r="CG111" s="178"/>
      <c r="CH111" s="177"/>
      <c r="CI111" s="178"/>
      <c r="CJ111" s="177"/>
      <c r="CK111" s="178"/>
      <c r="CL111" s="177">
        <v>9</v>
      </c>
      <c r="CM111" s="178"/>
    </row>
    <row r="112" spans="2:61" ht="11.25">
      <c r="B112" s="1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6"/>
      <c r="AU112" s="181" t="s">
        <v>58</v>
      </c>
      <c r="AV112" s="181"/>
      <c r="AW112" s="181"/>
      <c r="AX112" s="181"/>
      <c r="BF112" s="181" t="s">
        <v>59</v>
      </c>
      <c r="BG112" s="181"/>
      <c r="BH112" s="181"/>
      <c r="BI112" s="181"/>
    </row>
    <row r="113" spans="2:91" ht="11.25">
      <c r="B113" s="1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6"/>
      <c r="AJ113" s="177" t="s">
        <v>54</v>
      </c>
      <c r="AK113" s="178"/>
      <c r="AL113" s="177" t="s">
        <v>54</v>
      </c>
      <c r="AM113" s="178"/>
      <c r="AN113" s="84"/>
      <c r="AU113" s="177" t="s">
        <v>54</v>
      </c>
      <c r="AV113" s="178"/>
      <c r="AW113" s="177" t="s">
        <v>54</v>
      </c>
      <c r="AX113" s="178"/>
      <c r="AY113" s="84"/>
      <c r="BF113" s="177" t="s">
        <v>54</v>
      </c>
      <c r="BG113" s="178"/>
      <c r="BH113" s="177" t="s">
        <v>54</v>
      </c>
      <c r="BI113" s="178"/>
      <c r="BJ113" s="84"/>
      <c r="BK113" s="84"/>
      <c r="BL113" s="84"/>
      <c r="BN113" s="236" t="s">
        <v>54</v>
      </c>
      <c r="BO113" s="237"/>
      <c r="BP113" s="236" t="s">
        <v>54</v>
      </c>
      <c r="BQ113" s="237"/>
      <c r="BR113" s="236" t="s">
        <v>54</v>
      </c>
      <c r="BS113" s="237"/>
      <c r="BT113" s="236" t="s">
        <v>54</v>
      </c>
      <c r="BU113" s="237"/>
      <c r="BV113" s="236" t="s">
        <v>54</v>
      </c>
      <c r="BW113" s="237"/>
      <c r="BX113" s="236" t="s">
        <v>54</v>
      </c>
      <c r="BY113" s="237"/>
      <c r="CB113" s="177" t="s">
        <v>54</v>
      </c>
      <c r="CC113" s="178"/>
      <c r="CD113" s="177" t="s">
        <v>54</v>
      </c>
      <c r="CE113" s="178"/>
      <c r="CF113" s="177" t="s">
        <v>54</v>
      </c>
      <c r="CG113" s="178"/>
      <c r="CH113" s="177" t="s">
        <v>54</v>
      </c>
      <c r="CI113" s="178"/>
      <c r="CJ113" s="177" t="s">
        <v>54</v>
      </c>
      <c r="CK113" s="178"/>
      <c r="CL113" s="177" t="s">
        <v>54</v>
      </c>
      <c r="CM113" s="178"/>
    </row>
    <row r="114" spans="2:91" ht="11.25">
      <c r="B114" s="15"/>
      <c r="C114" s="11"/>
      <c r="D114" s="169">
        <f>$L$51</f>
        <v>0.25</v>
      </c>
      <c r="E114" s="169"/>
      <c r="F114" s="11"/>
      <c r="G114" s="11"/>
      <c r="H114" s="11"/>
      <c r="I114" s="11"/>
      <c r="J114" s="11"/>
      <c r="K114" s="169">
        <f>$L$51</f>
        <v>0.25</v>
      </c>
      <c r="L114" s="169"/>
      <c r="M114" s="11"/>
      <c r="N114" s="11"/>
      <c r="O114" s="11"/>
      <c r="P114" s="11"/>
      <c r="Q114" s="11"/>
      <c r="R114" s="169">
        <f>$L$51</f>
        <v>0.25</v>
      </c>
      <c r="S114" s="169"/>
      <c r="T114" s="11"/>
      <c r="U114" s="11"/>
      <c r="V114" s="16"/>
      <c r="AJ114" s="179">
        <f>I82</f>
        <v>2</v>
      </c>
      <c r="AK114" s="180"/>
      <c r="AL114" s="180"/>
      <c r="AM114" s="178"/>
      <c r="AN114" s="84"/>
      <c r="AU114" s="179">
        <f>P82</f>
        <v>4</v>
      </c>
      <c r="AV114" s="180"/>
      <c r="AW114" s="180"/>
      <c r="AX114" s="178"/>
      <c r="AY114" s="84"/>
      <c r="BF114" s="179">
        <f>U82</f>
        <v>2</v>
      </c>
      <c r="BG114" s="180"/>
      <c r="BH114" s="180"/>
      <c r="BI114" s="178"/>
      <c r="BJ114" s="84"/>
      <c r="BK114" s="84"/>
      <c r="BL114" s="84"/>
      <c r="BN114" s="177">
        <v>2</v>
      </c>
      <c r="BO114" s="178"/>
      <c r="BP114" s="177">
        <v>3</v>
      </c>
      <c r="BQ114" s="178"/>
      <c r="BR114" s="177">
        <v>4</v>
      </c>
      <c r="BS114" s="178"/>
      <c r="BT114" s="177">
        <v>5</v>
      </c>
      <c r="BU114" s="178"/>
      <c r="BV114" s="177">
        <v>6</v>
      </c>
      <c r="BW114" s="178"/>
      <c r="BX114" s="177">
        <v>7</v>
      </c>
      <c r="BY114" s="178"/>
      <c r="CB114" s="177">
        <v>2</v>
      </c>
      <c r="CC114" s="178"/>
      <c r="CD114" s="177">
        <v>3</v>
      </c>
      <c r="CE114" s="178"/>
      <c r="CF114" s="177">
        <v>4</v>
      </c>
      <c r="CG114" s="178"/>
      <c r="CH114" s="177">
        <v>5</v>
      </c>
      <c r="CI114" s="178"/>
      <c r="CJ114" s="177">
        <v>6</v>
      </c>
      <c r="CK114" s="178"/>
      <c r="CL114" s="177">
        <v>7</v>
      </c>
      <c r="CM114" s="178"/>
    </row>
    <row r="115" spans="2:91" ht="11.25">
      <c r="B115" s="15"/>
      <c r="C115" s="11"/>
      <c r="D115" s="15"/>
      <c r="E115" s="16"/>
      <c r="F115" s="11"/>
      <c r="G115" s="11"/>
      <c r="H115" s="11"/>
      <c r="I115" s="11"/>
      <c r="J115" s="11"/>
      <c r="K115" s="15"/>
      <c r="L115" s="16"/>
      <c r="M115" s="11"/>
      <c r="N115" s="11"/>
      <c r="O115" s="11"/>
      <c r="P115" s="11"/>
      <c r="Q115" s="11"/>
      <c r="R115" s="15"/>
      <c r="S115" s="16"/>
      <c r="T115" s="11"/>
      <c r="U115" s="11"/>
      <c r="V115" s="16"/>
      <c r="AD115" s="86" t="s">
        <v>51</v>
      </c>
      <c r="AE115" s="86" t="s">
        <v>55</v>
      </c>
      <c r="AF115" s="177" t="s">
        <v>51</v>
      </c>
      <c r="AG115" s="178"/>
      <c r="AH115" s="177" t="s">
        <v>55</v>
      </c>
      <c r="AI115" s="178"/>
      <c r="AJ115" s="177" t="s">
        <v>51</v>
      </c>
      <c r="AK115" s="178"/>
      <c r="AL115" s="177" t="s">
        <v>55</v>
      </c>
      <c r="AM115" s="178"/>
      <c r="AN115" s="84"/>
      <c r="AO115" s="86" t="s">
        <v>51</v>
      </c>
      <c r="AP115" s="86" t="s">
        <v>55</v>
      </c>
      <c r="AQ115" s="177" t="s">
        <v>51</v>
      </c>
      <c r="AR115" s="178"/>
      <c r="AS115" s="177" t="s">
        <v>55</v>
      </c>
      <c r="AT115" s="178"/>
      <c r="AU115" s="177" t="s">
        <v>51</v>
      </c>
      <c r="AV115" s="178"/>
      <c r="AW115" s="177" t="s">
        <v>55</v>
      </c>
      <c r="AX115" s="178"/>
      <c r="AY115" s="84"/>
      <c r="AZ115" s="86" t="s">
        <v>51</v>
      </c>
      <c r="BA115" s="86" t="s">
        <v>55</v>
      </c>
      <c r="BB115" s="177" t="s">
        <v>51</v>
      </c>
      <c r="BC115" s="178"/>
      <c r="BD115" s="177" t="s">
        <v>55</v>
      </c>
      <c r="BE115" s="178"/>
      <c r="BF115" s="177" t="s">
        <v>51</v>
      </c>
      <c r="BG115" s="178"/>
      <c r="BH115" s="177" t="s">
        <v>55</v>
      </c>
      <c r="BI115" s="178"/>
      <c r="BJ115" s="84"/>
      <c r="BK115" s="84"/>
      <c r="BL115" s="84"/>
      <c r="BN115" s="177" t="s">
        <v>51</v>
      </c>
      <c r="BO115" s="178"/>
      <c r="BP115" s="177" t="s">
        <v>51</v>
      </c>
      <c r="BQ115" s="178"/>
      <c r="BR115" s="177" t="s">
        <v>51</v>
      </c>
      <c r="BS115" s="178"/>
      <c r="BT115" s="177" t="s">
        <v>51</v>
      </c>
      <c r="BU115" s="178"/>
      <c r="BV115" s="177" t="s">
        <v>51</v>
      </c>
      <c r="BW115" s="178"/>
      <c r="BX115" s="177" t="s">
        <v>51</v>
      </c>
      <c r="BY115" s="178"/>
      <c r="CB115" s="177" t="s">
        <v>55</v>
      </c>
      <c r="CC115" s="178"/>
      <c r="CD115" s="177" t="s">
        <v>55</v>
      </c>
      <c r="CE115" s="178"/>
      <c r="CF115" s="177" t="s">
        <v>55</v>
      </c>
      <c r="CG115" s="178"/>
      <c r="CH115" s="177" t="s">
        <v>55</v>
      </c>
      <c r="CI115" s="178"/>
      <c r="CJ115" s="177" t="s">
        <v>55</v>
      </c>
      <c r="CK115" s="178"/>
      <c r="CL115" s="177" t="s">
        <v>55</v>
      </c>
      <c r="CM115" s="178"/>
    </row>
    <row r="116" spans="2:91" ht="11.25">
      <c r="B116" s="15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6"/>
      <c r="AD116" s="86">
        <f>AF116</f>
        <v>5</v>
      </c>
      <c r="AE116" s="86">
        <f>AH116</f>
        <v>5</v>
      </c>
      <c r="AF116" s="177">
        <f>IF(AJ116&gt;0,AJ116,MAX($AJ$116:$AK$122))</f>
        <v>5</v>
      </c>
      <c r="AG116" s="178"/>
      <c r="AH116" s="177">
        <f>IF(AL116&gt;0,AL116,MAX($AL$116:$AM$122))</f>
        <v>5</v>
      </c>
      <c r="AI116" s="178"/>
      <c r="AJ116" s="177">
        <f>HLOOKUP($AJ$114,$BN$114:$BY$122,3,FALSE)</f>
        <v>5</v>
      </c>
      <c r="AK116" s="178"/>
      <c r="AL116" s="177">
        <f>HLOOKUP($AJ$114,$CB$114:$CM$122,3,FALSE)</f>
        <v>5</v>
      </c>
      <c r="AM116" s="178"/>
      <c r="AN116" s="84"/>
      <c r="AO116" s="86">
        <f>AQ116</f>
        <v>5</v>
      </c>
      <c r="AP116" s="86">
        <f>AS116</f>
        <v>5</v>
      </c>
      <c r="AQ116" s="177">
        <f>IF(AU116&gt;0,AU116,MAX($AU$116:$AV$122))</f>
        <v>5</v>
      </c>
      <c r="AR116" s="178"/>
      <c r="AS116" s="177">
        <f>IF(AW116&gt;0,AW116,MAX($AW$116:$AX$122))</f>
        <v>5</v>
      </c>
      <c r="AT116" s="178"/>
      <c r="AU116" s="177">
        <f>HLOOKUP($AU$114,$BN$114:$BY$122,3,FALSE)</f>
        <v>5</v>
      </c>
      <c r="AV116" s="178"/>
      <c r="AW116" s="177">
        <f>HLOOKUP($AU$114,$CB$114:$CM$122,3,FALSE)</f>
        <v>5</v>
      </c>
      <c r="AX116" s="178"/>
      <c r="AY116" s="84"/>
      <c r="AZ116" s="86">
        <f>BB116</f>
        <v>5</v>
      </c>
      <c r="BA116" s="86">
        <f>BD116</f>
        <v>5</v>
      </c>
      <c r="BB116" s="177">
        <f>IF(BF116&gt;0,BF116,MAX($BF$116:$BG$122))</f>
        <v>5</v>
      </c>
      <c r="BC116" s="178"/>
      <c r="BD116" s="177">
        <f>IF(BH116&gt;0,BH116,MAX($BH$116:$BI$122))</f>
        <v>5</v>
      </c>
      <c r="BE116" s="178"/>
      <c r="BF116" s="177">
        <f>HLOOKUP($BF$114,$BN$114:$BY$122,3,FALSE)</f>
        <v>5</v>
      </c>
      <c r="BG116" s="178"/>
      <c r="BH116" s="177">
        <f>HLOOKUP($BF$114,$CB$114:$CM$122,3,FALSE)</f>
        <v>5</v>
      </c>
      <c r="BI116" s="178"/>
      <c r="BJ116" s="84"/>
      <c r="BK116" s="84"/>
      <c r="BL116" s="84"/>
      <c r="BN116" s="177">
        <v>5</v>
      </c>
      <c r="BO116" s="178"/>
      <c r="BP116" s="177">
        <v>5</v>
      </c>
      <c r="BQ116" s="178"/>
      <c r="BR116" s="177">
        <v>5</v>
      </c>
      <c r="BS116" s="178"/>
      <c r="BT116" s="177">
        <v>5</v>
      </c>
      <c r="BU116" s="178"/>
      <c r="BV116" s="177">
        <v>5</v>
      </c>
      <c r="BW116" s="178"/>
      <c r="BX116" s="177">
        <v>5</v>
      </c>
      <c r="BY116" s="178"/>
      <c r="CB116" s="177">
        <v>5</v>
      </c>
      <c r="CC116" s="178"/>
      <c r="CD116" s="177">
        <v>5</v>
      </c>
      <c r="CE116" s="178"/>
      <c r="CF116" s="177">
        <v>5</v>
      </c>
      <c r="CG116" s="178"/>
      <c r="CH116" s="177">
        <v>5</v>
      </c>
      <c r="CI116" s="178"/>
      <c r="CJ116" s="177">
        <v>5</v>
      </c>
      <c r="CK116" s="178"/>
      <c r="CL116" s="177">
        <v>5</v>
      </c>
      <c r="CM116" s="178"/>
    </row>
    <row r="117" spans="2:91" ht="11.25">
      <c r="B117" s="15"/>
      <c r="C117" s="11"/>
      <c r="D117" s="11"/>
      <c r="E117" s="11"/>
      <c r="F117" s="89" t="str">
        <f>IF(S10="SR-24",CONCATENATE(J80,"-","RB",J81," มม."),CONCATENATE(J80,"-","DB",J81," มม."))</f>
        <v>4-DB16 มม.</v>
      </c>
      <c r="G117" s="11"/>
      <c r="H117" s="11"/>
      <c r="I117" s="11"/>
      <c r="J117" s="11"/>
      <c r="K117" s="11"/>
      <c r="L117" s="11"/>
      <c r="M117" s="17" t="str">
        <f>IF(S10="SR-24",CONCATENATE(O80,"-","RB",O81," มม."),CONCATENATE(O80,"-","DB",O81," มม."))</f>
        <v>2-DB16 มม.</v>
      </c>
      <c r="N117" s="11"/>
      <c r="O117" s="11"/>
      <c r="P117" s="88"/>
      <c r="Q117" s="11"/>
      <c r="R117" s="11"/>
      <c r="S117" s="11"/>
      <c r="T117" s="17" t="str">
        <f>IF(S10="SR-24",CONCATENATE(V80,"-","RB",V81," มม."),CONCATENATE(V80,"-","DB",V81," มม."))</f>
        <v>4-DB16 มม.</v>
      </c>
      <c r="U117" s="11"/>
      <c r="V117" s="16"/>
      <c r="AD117" s="86">
        <f aca="true" t="shared" si="36" ref="AD117:AD122">AF117</f>
        <v>45</v>
      </c>
      <c r="AE117" s="86">
        <f aca="true" t="shared" si="37" ref="AE117:AE122">AH117</f>
        <v>5</v>
      </c>
      <c r="AF117" s="177">
        <f aca="true" t="shared" si="38" ref="AF117:AF122">IF(AJ117&gt;0,AJ117,MAX($AJ$116:$AK$122))</f>
        <v>45</v>
      </c>
      <c r="AG117" s="178"/>
      <c r="AH117" s="177">
        <f aca="true" t="shared" si="39" ref="AH117:AH122">IF(AL117&gt;0,AL117,MAX($AL$116:$AM$122))</f>
        <v>5</v>
      </c>
      <c r="AI117" s="178"/>
      <c r="AJ117" s="177">
        <f>HLOOKUP($AJ$114,$BN$114:$BY$122,4,FALSE)</f>
        <v>45</v>
      </c>
      <c r="AK117" s="178"/>
      <c r="AL117" s="177">
        <f>HLOOKUP($AJ$114,$CB$114:$CM$122,4,FALSE)</f>
        <v>5</v>
      </c>
      <c r="AM117" s="178"/>
      <c r="AN117" s="84"/>
      <c r="AO117" s="86">
        <f aca="true" t="shared" si="40" ref="AO117:AO122">AQ117</f>
        <v>18</v>
      </c>
      <c r="AP117" s="86">
        <f aca="true" t="shared" si="41" ref="AP117:AP122">AS117</f>
        <v>5</v>
      </c>
      <c r="AQ117" s="177">
        <f aca="true" t="shared" si="42" ref="AQ117:AQ122">IF(AU117&gt;0,AU117,MAX($AU$116:$AV$122))</f>
        <v>18</v>
      </c>
      <c r="AR117" s="178"/>
      <c r="AS117" s="177">
        <f aca="true" t="shared" si="43" ref="AS117:AS122">IF(AW117&gt;0,AW117,MAX($AW$116:$AX$122))</f>
        <v>5</v>
      </c>
      <c r="AT117" s="178"/>
      <c r="AU117" s="177">
        <f>HLOOKUP($AU$114,$BN$114:$BY$122,4,FALSE)</f>
        <v>18</v>
      </c>
      <c r="AV117" s="178"/>
      <c r="AW117" s="177">
        <f>HLOOKUP($AU$114,$CB$114:$CM$122,4,FALSE)</f>
        <v>5</v>
      </c>
      <c r="AX117" s="178"/>
      <c r="AY117" s="84"/>
      <c r="AZ117" s="86">
        <f aca="true" t="shared" si="44" ref="AZ117:AZ122">BB117</f>
        <v>45</v>
      </c>
      <c r="BA117" s="86">
        <f aca="true" t="shared" si="45" ref="BA117:BA122">BD117</f>
        <v>5</v>
      </c>
      <c r="BB117" s="177">
        <f aca="true" t="shared" si="46" ref="BB117:BB122">IF(BF117&gt;0,BF117,MAX($BF$116:$BG$122))</f>
        <v>45</v>
      </c>
      <c r="BC117" s="178"/>
      <c r="BD117" s="177">
        <f aca="true" t="shared" si="47" ref="BD117:BD122">IF(BH117&gt;0,BH117,MAX($BH$116:$BI$122))</f>
        <v>5</v>
      </c>
      <c r="BE117" s="178"/>
      <c r="BF117" s="177">
        <f>HLOOKUP($BF$114,$BN$114:$BY$122,4,FALSE)</f>
        <v>45</v>
      </c>
      <c r="BG117" s="178"/>
      <c r="BH117" s="177">
        <f>HLOOKUP($BF$114,$CB$114:$CM$122,4,FALSE)</f>
        <v>5</v>
      </c>
      <c r="BI117" s="178"/>
      <c r="BJ117" s="84"/>
      <c r="BK117" s="84"/>
      <c r="BL117" s="84"/>
      <c r="BN117" s="177">
        <v>45</v>
      </c>
      <c r="BO117" s="178"/>
      <c r="BP117" s="177">
        <v>25</v>
      </c>
      <c r="BQ117" s="178"/>
      <c r="BR117" s="177">
        <v>18</v>
      </c>
      <c r="BS117" s="178"/>
      <c r="BT117" s="177">
        <v>15</v>
      </c>
      <c r="BU117" s="178"/>
      <c r="BV117" s="177">
        <v>13</v>
      </c>
      <c r="BW117" s="178"/>
      <c r="BX117" s="177">
        <v>12</v>
      </c>
      <c r="BY117" s="178"/>
      <c r="CB117" s="177">
        <v>5</v>
      </c>
      <c r="CC117" s="178"/>
      <c r="CD117" s="177">
        <v>5</v>
      </c>
      <c r="CE117" s="178"/>
      <c r="CF117" s="177">
        <v>5</v>
      </c>
      <c r="CG117" s="178"/>
      <c r="CH117" s="177">
        <v>5</v>
      </c>
      <c r="CI117" s="178"/>
      <c r="CJ117" s="177">
        <v>5</v>
      </c>
      <c r="CK117" s="178"/>
      <c r="CL117" s="177">
        <v>5</v>
      </c>
      <c r="CM117" s="178"/>
    </row>
    <row r="118" spans="2:91" ht="11.25">
      <c r="B118" s="15"/>
      <c r="C118" s="11"/>
      <c r="D118" s="11"/>
      <c r="E118" s="11"/>
      <c r="F118" s="17">
        <f>IF(J82="","",IF(S10="SR-24",CONCATENATE(J82,"-","RB",J83," มม."),CONCATENATE(J82,"-","DB",J83," มม.")))</f>
      </c>
      <c r="G118" s="11"/>
      <c r="H118" s="11"/>
      <c r="I118" s="11"/>
      <c r="J118" s="11"/>
      <c r="K118" s="11"/>
      <c r="L118" s="11"/>
      <c r="M118" s="17">
        <f>IF(O82="","",IF(S10="SR-24",CONCATENATE(O82,"-","RB",O83," มม."),CONCATENATE(O82,"-","DB",O83," มม.")))</f>
      </c>
      <c r="N118" s="11"/>
      <c r="O118" s="11"/>
      <c r="P118" s="11"/>
      <c r="Q118" s="11"/>
      <c r="R118" s="11"/>
      <c r="S118" s="11"/>
      <c r="T118" s="17">
        <f>IF(V82="","",IF(S10="SR-24",CONCATENATE(V82,"-","RB",V83," มม."),CONCATENATE(V82,"-","DB",V83," มม.")))</f>
      </c>
      <c r="U118" s="11"/>
      <c r="V118" s="16"/>
      <c r="AD118" s="86">
        <f t="shared" si="36"/>
        <v>45</v>
      </c>
      <c r="AE118" s="86">
        <f t="shared" si="37"/>
        <v>5</v>
      </c>
      <c r="AF118" s="177">
        <f t="shared" si="38"/>
        <v>45</v>
      </c>
      <c r="AG118" s="178"/>
      <c r="AH118" s="177">
        <f t="shared" si="39"/>
        <v>5</v>
      </c>
      <c r="AI118" s="178"/>
      <c r="AJ118" s="177">
        <f>HLOOKUP($AJ$114,$BN$114:$BY$122,5,FALSE)</f>
        <v>0</v>
      </c>
      <c r="AK118" s="178"/>
      <c r="AL118" s="177">
        <f>HLOOKUP($AJ$114,$CB$114:$CM$122,5,FALSE)</f>
        <v>0</v>
      </c>
      <c r="AM118" s="178"/>
      <c r="AN118" s="84"/>
      <c r="AO118" s="86">
        <f t="shared" si="40"/>
        <v>32</v>
      </c>
      <c r="AP118" s="86">
        <f t="shared" si="41"/>
        <v>5</v>
      </c>
      <c r="AQ118" s="177">
        <f t="shared" si="42"/>
        <v>32</v>
      </c>
      <c r="AR118" s="178"/>
      <c r="AS118" s="177">
        <f t="shared" si="43"/>
        <v>5</v>
      </c>
      <c r="AT118" s="178"/>
      <c r="AU118" s="177">
        <f>HLOOKUP($AU$114,$BN$114:$BY$122,5,FALSE)</f>
        <v>32</v>
      </c>
      <c r="AV118" s="178"/>
      <c r="AW118" s="177">
        <f>HLOOKUP($AU$114,$CB$114:$CM$122,5,FALSE)</f>
        <v>5</v>
      </c>
      <c r="AX118" s="178"/>
      <c r="AY118" s="84"/>
      <c r="AZ118" s="86">
        <f t="shared" si="44"/>
        <v>45</v>
      </c>
      <c r="BA118" s="86">
        <f t="shared" si="45"/>
        <v>5</v>
      </c>
      <c r="BB118" s="177">
        <f t="shared" si="46"/>
        <v>45</v>
      </c>
      <c r="BC118" s="178"/>
      <c r="BD118" s="177">
        <f t="shared" si="47"/>
        <v>5</v>
      </c>
      <c r="BE118" s="178"/>
      <c r="BF118" s="177">
        <f>HLOOKUP($BF$114,$BN$114:$BY$122,5,FALSE)</f>
        <v>0</v>
      </c>
      <c r="BG118" s="178"/>
      <c r="BH118" s="177">
        <f>HLOOKUP($BF$114,$CB$114:$CM$122,5,FALSE)</f>
        <v>0</v>
      </c>
      <c r="BI118" s="178"/>
      <c r="BJ118" s="84"/>
      <c r="BK118" s="84"/>
      <c r="BL118" s="84"/>
      <c r="BN118" s="177"/>
      <c r="BO118" s="178"/>
      <c r="BP118" s="177">
        <v>45</v>
      </c>
      <c r="BQ118" s="178"/>
      <c r="BR118" s="177">
        <v>32</v>
      </c>
      <c r="BS118" s="178"/>
      <c r="BT118" s="177">
        <v>25</v>
      </c>
      <c r="BU118" s="178"/>
      <c r="BV118" s="177">
        <v>21</v>
      </c>
      <c r="BW118" s="178"/>
      <c r="BX118" s="177">
        <v>18</v>
      </c>
      <c r="BY118" s="178"/>
      <c r="CB118" s="177"/>
      <c r="CC118" s="178"/>
      <c r="CD118" s="177">
        <v>5</v>
      </c>
      <c r="CE118" s="178"/>
      <c r="CF118" s="177">
        <v>5</v>
      </c>
      <c r="CG118" s="178"/>
      <c r="CH118" s="177">
        <v>5</v>
      </c>
      <c r="CI118" s="178"/>
      <c r="CJ118" s="177">
        <v>5</v>
      </c>
      <c r="CK118" s="178"/>
      <c r="CL118" s="177">
        <v>5</v>
      </c>
      <c r="CM118" s="178"/>
    </row>
    <row r="119" spans="2:91" ht="11.25">
      <c r="B119" s="15"/>
      <c r="C119" s="11"/>
      <c r="D119" s="11"/>
      <c r="E119" s="11"/>
      <c r="F119" s="17"/>
      <c r="G119" s="11"/>
      <c r="H119" s="11"/>
      <c r="I119" s="11"/>
      <c r="J119" s="11"/>
      <c r="K119" s="11"/>
      <c r="L119" s="11"/>
      <c r="M119" s="17"/>
      <c r="N119" s="11"/>
      <c r="O119" s="11"/>
      <c r="P119" s="11"/>
      <c r="Q119" s="11"/>
      <c r="R119" s="11"/>
      <c r="S119" s="11"/>
      <c r="T119" s="17"/>
      <c r="U119" s="11"/>
      <c r="V119" s="16"/>
      <c r="AD119" s="86">
        <f t="shared" si="36"/>
        <v>45</v>
      </c>
      <c r="AE119" s="86">
        <f t="shared" si="37"/>
        <v>5</v>
      </c>
      <c r="AF119" s="177">
        <f t="shared" si="38"/>
        <v>45</v>
      </c>
      <c r="AG119" s="178"/>
      <c r="AH119" s="177">
        <f t="shared" si="39"/>
        <v>5</v>
      </c>
      <c r="AI119" s="178"/>
      <c r="AJ119" s="177">
        <f>HLOOKUP($AJ$114,$BN$114:$BY$122,6,FALSE)</f>
        <v>0</v>
      </c>
      <c r="AK119" s="178"/>
      <c r="AL119" s="177">
        <f>HLOOKUP($AJ$114,$CB$114:$CM$122,6,FALSE)</f>
        <v>0</v>
      </c>
      <c r="AM119" s="178"/>
      <c r="AN119" s="84"/>
      <c r="AO119" s="86">
        <f t="shared" si="40"/>
        <v>45</v>
      </c>
      <c r="AP119" s="86">
        <f t="shared" si="41"/>
        <v>5</v>
      </c>
      <c r="AQ119" s="177">
        <f t="shared" si="42"/>
        <v>45</v>
      </c>
      <c r="AR119" s="178"/>
      <c r="AS119" s="177">
        <f t="shared" si="43"/>
        <v>5</v>
      </c>
      <c r="AT119" s="178"/>
      <c r="AU119" s="177">
        <f>HLOOKUP($AU$114,$BN$114:$BY$122,6,FALSE)</f>
        <v>45</v>
      </c>
      <c r="AV119" s="178"/>
      <c r="AW119" s="177">
        <f>HLOOKUP($AU$114,$CB$114:$CM$122,6,FALSE)</f>
        <v>5</v>
      </c>
      <c r="AX119" s="178"/>
      <c r="AY119" s="84"/>
      <c r="AZ119" s="86">
        <f t="shared" si="44"/>
        <v>45</v>
      </c>
      <c r="BA119" s="86">
        <f t="shared" si="45"/>
        <v>5</v>
      </c>
      <c r="BB119" s="177">
        <f t="shared" si="46"/>
        <v>45</v>
      </c>
      <c r="BC119" s="178"/>
      <c r="BD119" s="177">
        <f t="shared" si="47"/>
        <v>5</v>
      </c>
      <c r="BE119" s="178"/>
      <c r="BF119" s="177">
        <f>HLOOKUP($BF$114,$BN$114:$BY$122,6,FALSE)</f>
        <v>0</v>
      </c>
      <c r="BG119" s="178"/>
      <c r="BH119" s="177">
        <f>HLOOKUP($BF$114,$CB$114:$CM$122,6,FALSE)</f>
        <v>0</v>
      </c>
      <c r="BI119" s="178"/>
      <c r="BJ119" s="84"/>
      <c r="BK119" s="84"/>
      <c r="BL119" s="84"/>
      <c r="BN119" s="177"/>
      <c r="BO119" s="178"/>
      <c r="BP119" s="177"/>
      <c r="BQ119" s="178"/>
      <c r="BR119" s="177">
        <v>45</v>
      </c>
      <c r="BS119" s="178"/>
      <c r="BT119" s="177">
        <v>35</v>
      </c>
      <c r="BU119" s="178"/>
      <c r="BV119" s="177">
        <v>29</v>
      </c>
      <c r="BW119" s="178"/>
      <c r="BX119" s="177">
        <v>25</v>
      </c>
      <c r="BY119" s="178"/>
      <c r="CB119" s="177"/>
      <c r="CC119" s="178"/>
      <c r="CD119" s="177"/>
      <c r="CE119" s="178"/>
      <c r="CF119" s="177">
        <v>5</v>
      </c>
      <c r="CG119" s="178"/>
      <c r="CH119" s="177">
        <v>5</v>
      </c>
      <c r="CI119" s="178"/>
      <c r="CJ119" s="177">
        <v>5</v>
      </c>
      <c r="CK119" s="178"/>
      <c r="CL119" s="177">
        <v>5</v>
      </c>
      <c r="CM119" s="178"/>
    </row>
    <row r="120" spans="2:91" ht="11.25">
      <c r="B120" s="15"/>
      <c r="C120" s="11"/>
      <c r="D120" s="11"/>
      <c r="E120" s="11"/>
      <c r="F120" s="17"/>
      <c r="G120" s="11"/>
      <c r="H120" s="11"/>
      <c r="I120" s="11"/>
      <c r="J120" s="11"/>
      <c r="K120" s="11"/>
      <c r="L120" s="11"/>
      <c r="M120" s="17"/>
      <c r="N120" s="11"/>
      <c r="O120" s="11"/>
      <c r="P120" s="11"/>
      <c r="Q120" s="11"/>
      <c r="R120" s="11"/>
      <c r="S120" s="11"/>
      <c r="T120" s="17"/>
      <c r="U120" s="11"/>
      <c r="V120" s="16"/>
      <c r="AD120" s="86">
        <f t="shared" si="36"/>
        <v>45</v>
      </c>
      <c r="AE120" s="86">
        <f t="shared" si="37"/>
        <v>5</v>
      </c>
      <c r="AF120" s="177">
        <f t="shared" si="38"/>
        <v>45</v>
      </c>
      <c r="AG120" s="178"/>
      <c r="AH120" s="177">
        <f t="shared" si="39"/>
        <v>5</v>
      </c>
      <c r="AI120" s="178"/>
      <c r="AJ120" s="177">
        <f>HLOOKUP($AJ$114,$BN$114:$BY$122,7,FALSE)</f>
        <v>0</v>
      </c>
      <c r="AK120" s="178"/>
      <c r="AL120" s="177">
        <f>HLOOKUP($AJ$114,$CB$114:$CM$122,7,FALSE)</f>
        <v>0</v>
      </c>
      <c r="AM120" s="178"/>
      <c r="AN120" s="84"/>
      <c r="AO120" s="86">
        <f t="shared" si="40"/>
        <v>45</v>
      </c>
      <c r="AP120" s="86">
        <f t="shared" si="41"/>
        <v>5</v>
      </c>
      <c r="AQ120" s="177">
        <f t="shared" si="42"/>
        <v>45</v>
      </c>
      <c r="AR120" s="178"/>
      <c r="AS120" s="177">
        <f t="shared" si="43"/>
        <v>5</v>
      </c>
      <c r="AT120" s="178"/>
      <c r="AU120" s="177">
        <f>HLOOKUP($AU$114,$BN$114:$BY$122,7,FALSE)</f>
        <v>0</v>
      </c>
      <c r="AV120" s="178"/>
      <c r="AW120" s="177">
        <f>HLOOKUP($AU$114,$CB$114:$CM$122,7,FALSE)</f>
        <v>0</v>
      </c>
      <c r="AX120" s="178"/>
      <c r="AY120" s="84"/>
      <c r="AZ120" s="86">
        <f t="shared" si="44"/>
        <v>45</v>
      </c>
      <c r="BA120" s="86">
        <f t="shared" si="45"/>
        <v>5</v>
      </c>
      <c r="BB120" s="177">
        <f t="shared" si="46"/>
        <v>45</v>
      </c>
      <c r="BC120" s="178"/>
      <c r="BD120" s="177">
        <f t="shared" si="47"/>
        <v>5</v>
      </c>
      <c r="BE120" s="178"/>
      <c r="BF120" s="177">
        <f>HLOOKUP($BF$114,$BN$114:$BY$122,7,FALSE)</f>
        <v>0</v>
      </c>
      <c r="BG120" s="178"/>
      <c r="BH120" s="177">
        <f>HLOOKUP($BF$114,$CB$114:$CM$122,7,FALSE)</f>
        <v>0</v>
      </c>
      <c r="BI120" s="178"/>
      <c r="BJ120" s="84"/>
      <c r="BK120" s="84"/>
      <c r="BL120" s="84"/>
      <c r="BN120" s="177"/>
      <c r="BO120" s="178"/>
      <c r="BP120" s="177"/>
      <c r="BQ120" s="178"/>
      <c r="BR120" s="177"/>
      <c r="BS120" s="178"/>
      <c r="BT120" s="177">
        <v>45</v>
      </c>
      <c r="BU120" s="178"/>
      <c r="BV120" s="177">
        <v>37</v>
      </c>
      <c r="BW120" s="178"/>
      <c r="BX120" s="177">
        <v>32</v>
      </c>
      <c r="BY120" s="178"/>
      <c r="CB120" s="177"/>
      <c r="CC120" s="178"/>
      <c r="CD120" s="177"/>
      <c r="CE120" s="178"/>
      <c r="CF120" s="177"/>
      <c r="CG120" s="178"/>
      <c r="CH120" s="177">
        <v>5</v>
      </c>
      <c r="CI120" s="178"/>
      <c r="CJ120" s="177">
        <v>5</v>
      </c>
      <c r="CK120" s="178"/>
      <c r="CL120" s="177">
        <v>5</v>
      </c>
      <c r="CM120" s="178"/>
    </row>
    <row r="121" spans="2:91" ht="11.25">
      <c r="B121" s="15"/>
      <c r="C121" s="11"/>
      <c r="D121" s="11"/>
      <c r="E121" s="11"/>
      <c r="F121" s="17"/>
      <c r="G121" s="11"/>
      <c r="H121" s="11"/>
      <c r="I121" s="11"/>
      <c r="J121" s="11"/>
      <c r="K121" s="11"/>
      <c r="L121" s="11"/>
      <c r="M121" s="17"/>
      <c r="N121" s="11"/>
      <c r="O121" s="11"/>
      <c r="P121" s="11"/>
      <c r="Q121" s="11"/>
      <c r="R121" s="11"/>
      <c r="S121" s="11"/>
      <c r="T121" s="17"/>
      <c r="U121" s="11"/>
      <c r="V121" s="16"/>
      <c r="AD121" s="86">
        <f t="shared" si="36"/>
        <v>45</v>
      </c>
      <c r="AE121" s="86">
        <f t="shared" si="37"/>
        <v>5</v>
      </c>
      <c r="AF121" s="177">
        <f t="shared" si="38"/>
        <v>45</v>
      </c>
      <c r="AG121" s="178"/>
      <c r="AH121" s="177">
        <f t="shared" si="39"/>
        <v>5</v>
      </c>
      <c r="AI121" s="178"/>
      <c r="AJ121" s="177">
        <f>HLOOKUP($AJ$114,$BN$114:$BY$122,8,FALSE)</f>
        <v>0</v>
      </c>
      <c r="AK121" s="178"/>
      <c r="AL121" s="177">
        <f>HLOOKUP($AJ$114,$CB$114:$CM$122,8,FALSE)</f>
        <v>0</v>
      </c>
      <c r="AM121" s="178"/>
      <c r="AN121" s="84"/>
      <c r="AO121" s="86">
        <f t="shared" si="40"/>
        <v>45</v>
      </c>
      <c r="AP121" s="86">
        <f t="shared" si="41"/>
        <v>5</v>
      </c>
      <c r="AQ121" s="177">
        <f t="shared" si="42"/>
        <v>45</v>
      </c>
      <c r="AR121" s="178"/>
      <c r="AS121" s="177">
        <f t="shared" si="43"/>
        <v>5</v>
      </c>
      <c r="AT121" s="178"/>
      <c r="AU121" s="177">
        <f>HLOOKUP($AU$114,$BN$114:$BY$122,8,FALSE)</f>
        <v>0</v>
      </c>
      <c r="AV121" s="178"/>
      <c r="AW121" s="177">
        <f>HLOOKUP($AU$114,$CB$114:$CM$122,8,FALSE)</f>
        <v>0</v>
      </c>
      <c r="AX121" s="178"/>
      <c r="AY121" s="84"/>
      <c r="AZ121" s="86">
        <f t="shared" si="44"/>
        <v>45</v>
      </c>
      <c r="BA121" s="86">
        <f t="shared" si="45"/>
        <v>5</v>
      </c>
      <c r="BB121" s="177">
        <f t="shared" si="46"/>
        <v>45</v>
      </c>
      <c r="BC121" s="178"/>
      <c r="BD121" s="177">
        <f t="shared" si="47"/>
        <v>5</v>
      </c>
      <c r="BE121" s="178"/>
      <c r="BF121" s="177">
        <f>HLOOKUP($BF$114,$BN$114:$BY$122,8,FALSE)</f>
        <v>0</v>
      </c>
      <c r="BG121" s="178"/>
      <c r="BH121" s="177">
        <f>HLOOKUP($BF$114,$CB$114:$CM$122,8,FALSE)</f>
        <v>0</v>
      </c>
      <c r="BI121" s="178"/>
      <c r="BJ121" s="84"/>
      <c r="BK121" s="84"/>
      <c r="BL121" s="84"/>
      <c r="BN121" s="177"/>
      <c r="BO121" s="178"/>
      <c r="BP121" s="177"/>
      <c r="BQ121" s="178"/>
      <c r="BR121" s="177"/>
      <c r="BS121" s="178"/>
      <c r="BT121" s="177"/>
      <c r="BU121" s="178"/>
      <c r="BV121" s="177">
        <v>45</v>
      </c>
      <c r="BW121" s="178"/>
      <c r="BX121" s="177">
        <v>38</v>
      </c>
      <c r="BY121" s="178"/>
      <c r="CB121" s="177"/>
      <c r="CC121" s="178"/>
      <c r="CD121" s="177"/>
      <c r="CE121" s="178"/>
      <c r="CF121" s="177"/>
      <c r="CG121" s="178"/>
      <c r="CH121" s="177"/>
      <c r="CI121" s="178"/>
      <c r="CJ121" s="177">
        <v>5</v>
      </c>
      <c r="CK121" s="178"/>
      <c r="CL121" s="177">
        <v>5</v>
      </c>
      <c r="CM121" s="178"/>
    </row>
    <row r="122" spans="2:91" ht="11.25">
      <c r="B122" s="15"/>
      <c r="C122" s="142">
        <f>$L$52</f>
        <v>0.5</v>
      </c>
      <c r="D122" s="90"/>
      <c r="E122" s="11"/>
      <c r="F122" s="17"/>
      <c r="G122" s="11"/>
      <c r="H122" s="11"/>
      <c r="I122" s="142">
        <f>$L$52</f>
        <v>0.5</v>
      </c>
      <c r="J122" s="142"/>
      <c r="K122" s="11"/>
      <c r="L122" s="11"/>
      <c r="M122" s="17"/>
      <c r="N122" s="11"/>
      <c r="O122" s="11"/>
      <c r="P122" s="142">
        <f>$L$52</f>
        <v>0.5</v>
      </c>
      <c r="Q122" s="11"/>
      <c r="R122" s="11"/>
      <c r="S122" s="11"/>
      <c r="T122" s="17"/>
      <c r="U122" s="11"/>
      <c r="V122" s="16"/>
      <c r="AD122" s="86">
        <f t="shared" si="36"/>
        <v>45</v>
      </c>
      <c r="AE122" s="86">
        <f t="shared" si="37"/>
        <v>5</v>
      </c>
      <c r="AF122" s="177">
        <f t="shared" si="38"/>
        <v>45</v>
      </c>
      <c r="AG122" s="178"/>
      <c r="AH122" s="177">
        <f t="shared" si="39"/>
        <v>5</v>
      </c>
      <c r="AI122" s="178"/>
      <c r="AJ122" s="177">
        <f>HLOOKUP($AJ$114,$BN$114:$BY$122,9,FALSE)</f>
        <v>0</v>
      </c>
      <c r="AK122" s="178"/>
      <c r="AL122" s="177">
        <f>HLOOKUP($AJ$114,$CB$114:$CM$122,9,FALSE)</f>
        <v>0</v>
      </c>
      <c r="AM122" s="178"/>
      <c r="AN122" s="84"/>
      <c r="AO122" s="86">
        <f t="shared" si="40"/>
        <v>45</v>
      </c>
      <c r="AP122" s="86">
        <f t="shared" si="41"/>
        <v>5</v>
      </c>
      <c r="AQ122" s="177">
        <f t="shared" si="42"/>
        <v>45</v>
      </c>
      <c r="AR122" s="178"/>
      <c r="AS122" s="177">
        <f t="shared" si="43"/>
        <v>5</v>
      </c>
      <c r="AT122" s="178"/>
      <c r="AU122" s="177">
        <f>HLOOKUP($AU$114,$BN$114:$BY$122,9,FALSE)</f>
        <v>0</v>
      </c>
      <c r="AV122" s="178"/>
      <c r="AW122" s="177">
        <f>HLOOKUP($AU$114,$CB$114:$CM$122,9,FALSE)</f>
        <v>0</v>
      </c>
      <c r="AX122" s="178"/>
      <c r="AY122" s="84"/>
      <c r="AZ122" s="86">
        <f t="shared" si="44"/>
        <v>45</v>
      </c>
      <c r="BA122" s="86">
        <f t="shared" si="45"/>
        <v>5</v>
      </c>
      <c r="BB122" s="177">
        <f t="shared" si="46"/>
        <v>45</v>
      </c>
      <c r="BC122" s="178"/>
      <c r="BD122" s="177">
        <f t="shared" si="47"/>
        <v>5</v>
      </c>
      <c r="BE122" s="178"/>
      <c r="BF122" s="177">
        <f>HLOOKUP($BF$114,$BN$114:$BY$122,9,FALSE)</f>
        <v>0</v>
      </c>
      <c r="BG122" s="178"/>
      <c r="BH122" s="177">
        <f>HLOOKUP($BF$114,$CB$114:$CM$122,9,FALSE)</f>
        <v>0</v>
      </c>
      <c r="BI122" s="178"/>
      <c r="BJ122" s="84"/>
      <c r="BK122" s="84"/>
      <c r="BL122" s="84"/>
      <c r="BN122" s="177"/>
      <c r="BO122" s="178"/>
      <c r="BP122" s="177"/>
      <c r="BQ122" s="178"/>
      <c r="BR122" s="177"/>
      <c r="BS122" s="178"/>
      <c r="BT122" s="177"/>
      <c r="BU122" s="178"/>
      <c r="BV122" s="177"/>
      <c r="BW122" s="178"/>
      <c r="BX122" s="177">
        <v>45</v>
      </c>
      <c r="BY122" s="178"/>
      <c r="CB122" s="177"/>
      <c r="CC122" s="178"/>
      <c r="CD122" s="177"/>
      <c r="CE122" s="178"/>
      <c r="CF122" s="177"/>
      <c r="CG122" s="178"/>
      <c r="CH122" s="177"/>
      <c r="CI122" s="178"/>
      <c r="CJ122" s="177"/>
      <c r="CK122" s="178"/>
      <c r="CL122" s="177">
        <v>5</v>
      </c>
      <c r="CM122" s="178"/>
    </row>
    <row r="123" spans="2:22" ht="11.25">
      <c r="B123" s="15"/>
      <c r="C123" s="11"/>
      <c r="D123" s="11"/>
      <c r="E123" s="11"/>
      <c r="F123" s="17">
        <f>IF(F84="","",IF(S10="SR-24",CONCATENATE(F84,"-","RB",G84," มม."),CONCATENATE(F84,"-","DB",G84," มม.")))</f>
      </c>
      <c r="G123" s="11"/>
      <c r="H123" s="11"/>
      <c r="I123" s="11"/>
      <c r="J123" s="11"/>
      <c r="K123" s="11"/>
      <c r="L123" s="11"/>
      <c r="M123" s="17">
        <f>IF(L84="","",IF(S10="SR-24",CONCATENATE(L84,"-","RB",M84," มม."),CONCATENATE(L84,"-","DB",M84," มม.")))</f>
      </c>
      <c r="N123" s="11"/>
      <c r="O123" s="11"/>
      <c r="P123" s="11"/>
      <c r="Q123" s="11"/>
      <c r="R123" s="11"/>
      <c r="S123" s="11"/>
      <c r="T123" s="17">
        <f>IF(R84="","",IF(S10="SR-24",CONCATENATE(R84,"-","RB",S84," มม."),CONCATENATE(R84,"-","DB",S84," มม.")))</f>
      </c>
      <c r="U123" s="11"/>
      <c r="V123" s="16"/>
    </row>
    <row r="124" spans="2:64" ht="11.25">
      <c r="B124" s="15"/>
      <c r="C124" s="11"/>
      <c r="D124" s="11"/>
      <c r="E124" s="11"/>
      <c r="F124" s="91" t="str">
        <f>IF(OR(E40&gt;0,K40&gt;0,Q40&gt;0),I109,H109&amp;"-"&amp;"ปลอก "&amp;I109)</f>
        <v>1-ปลอก 9 มม. @ 0.2 ม.</v>
      </c>
      <c r="G124" s="11"/>
      <c r="H124" s="11"/>
      <c r="I124" s="11"/>
      <c r="J124" s="11"/>
      <c r="K124" s="11"/>
      <c r="L124" s="11"/>
      <c r="M124" s="91" t="str">
        <f>F124</f>
        <v>1-ปลอก 9 มม. @ 0.2 ม.</v>
      </c>
      <c r="N124" s="11"/>
      <c r="O124" s="11"/>
      <c r="P124" s="11"/>
      <c r="Q124" s="11"/>
      <c r="R124" s="11"/>
      <c r="S124" s="11"/>
      <c r="T124" s="164" t="str">
        <f>F124</f>
        <v>1-ปลอก 9 มม. @ 0.2 ม.</v>
      </c>
      <c r="U124" s="164"/>
      <c r="V124" s="165"/>
      <c r="AJ124" s="177" t="s">
        <v>57</v>
      </c>
      <c r="AK124" s="178"/>
      <c r="AL124" s="177" t="s">
        <v>57</v>
      </c>
      <c r="AM124" s="178"/>
      <c r="AN124" s="84"/>
      <c r="AU124" s="177" t="s">
        <v>57</v>
      </c>
      <c r="AV124" s="178"/>
      <c r="AW124" s="177" t="s">
        <v>57</v>
      </c>
      <c r="AX124" s="178"/>
      <c r="AY124" s="84"/>
      <c r="BF124" s="177" t="s">
        <v>57</v>
      </c>
      <c r="BG124" s="178"/>
      <c r="BH124" s="177" t="s">
        <v>57</v>
      </c>
      <c r="BI124" s="178"/>
      <c r="BJ124" s="84"/>
      <c r="BK124" s="84"/>
      <c r="BL124" s="84"/>
    </row>
    <row r="125" spans="2:64" ht="11.25">
      <c r="B125" s="15"/>
      <c r="C125" s="11"/>
      <c r="D125" s="11"/>
      <c r="E125" s="11"/>
      <c r="F125" s="17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7"/>
      <c r="U125" s="11"/>
      <c r="V125" s="16"/>
      <c r="AJ125" s="179">
        <f>F84</f>
        <v>0</v>
      </c>
      <c r="AK125" s="180"/>
      <c r="AL125" s="180"/>
      <c r="AM125" s="178"/>
      <c r="AN125" s="84"/>
      <c r="AU125" s="179">
        <f>L84</f>
        <v>0</v>
      </c>
      <c r="AV125" s="180"/>
      <c r="AW125" s="180"/>
      <c r="AX125" s="178"/>
      <c r="AY125" s="84"/>
      <c r="BF125" s="179">
        <f>R84</f>
        <v>0</v>
      </c>
      <c r="BG125" s="180"/>
      <c r="BH125" s="180"/>
      <c r="BI125" s="178"/>
      <c r="BJ125" s="84"/>
      <c r="BK125" s="84"/>
      <c r="BL125" s="84"/>
    </row>
    <row r="126" spans="2:64" ht="11.25">
      <c r="B126" s="15"/>
      <c r="C126" s="11"/>
      <c r="D126" s="11"/>
      <c r="E126" s="11"/>
      <c r="F126" s="17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7"/>
      <c r="U126" s="11"/>
      <c r="V126" s="16"/>
      <c r="AD126" s="87"/>
      <c r="AE126" s="87"/>
      <c r="AF126" s="177" t="s">
        <v>51</v>
      </c>
      <c r="AG126" s="178"/>
      <c r="AH126" s="177" t="s">
        <v>55</v>
      </c>
      <c r="AI126" s="178"/>
      <c r="AJ126" s="177" t="s">
        <v>51</v>
      </c>
      <c r="AK126" s="178"/>
      <c r="AL126" s="177" t="s">
        <v>55</v>
      </c>
      <c r="AM126" s="178"/>
      <c r="AN126" s="84"/>
      <c r="AO126" s="87"/>
      <c r="AP126" s="87"/>
      <c r="AQ126" s="177" t="s">
        <v>51</v>
      </c>
      <c r="AR126" s="178"/>
      <c r="AS126" s="177" t="s">
        <v>55</v>
      </c>
      <c r="AT126" s="178"/>
      <c r="AU126" s="177" t="s">
        <v>51</v>
      </c>
      <c r="AV126" s="178"/>
      <c r="AW126" s="177" t="s">
        <v>55</v>
      </c>
      <c r="AX126" s="178"/>
      <c r="AY126" s="84"/>
      <c r="AZ126" s="87"/>
      <c r="BA126" s="87"/>
      <c r="BB126" s="177" t="s">
        <v>51</v>
      </c>
      <c r="BC126" s="178"/>
      <c r="BD126" s="177" t="s">
        <v>55</v>
      </c>
      <c r="BE126" s="178"/>
      <c r="BF126" s="177" t="s">
        <v>51</v>
      </c>
      <c r="BG126" s="178"/>
      <c r="BH126" s="177" t="s">
        <v>55</v>
      </c>
      <c r="BI126" s="178"/>
      <c r="BJ126" s="84"/>
      <c r="BK126" s="84"/>
      <c r="BL126" s="84"/>
    </row>
    <row r="127" spans="2:64" ht="11.25">
      <c r="B127" s="15"/>
      <c r="C127" s="11"/>
      <c r="D127" s="11"/>
      <c r="E127" s="11"/>
      <c r="F127" s="17">
        <f>IF(I80="","",IF(S10="SR-24",CONCATENATE(I80,"-","RB",I81," มม."),CONCATENATE(I80,"-","DB",I81," มม.")))</f>
      </c>
      <c r="G127" s="11"/>
      <c r="H127" s="11"/>
      <c r="I127" s="11"/>
      <c r="J127" s="11"/>
      <c r="K127" s="11"/>
      <c r="L127" s="11"/>
      <c r="M127" s="17">
        <f>IF(P80="","",IF(S10="SR-24",CONCATENATE(P80,"-","RB",P81," มม."),CONCATENATE(P80,"-","DB",P81," มม.")))</f>
      </c>
      <c r="N127" s="11"/>
      <c r="O127" s="11"/>
      <c r="P127" s="11"/>
      <c r="Q127" s="11"/>
      <c r="R127" s="11"/>
      <c r="S127" s="11"/>
      <c r="T127" s="17">
        <f>IF(U80="","",IF(S10="SR-24",CONCATENATE(U80,"-","RB",U81," มม."),CONCATENATE(U80,"-","DB",U81," มม.")))</f>
      </c>
      <c r="U127" s="11"/>
      <c r="V127" s="16"/>
      <c r="AD127" s="86" t="e">
        <f>AF127</f>
        <v>#N/A</v>
      </c>
      <c r="AE127" s="86" t="e">
        <f>AH127</f>
        <v>#N/A</v>
      </c>
      <c r="AF127" s="177" t="e">
        <f>IF(AJ127&gt;0,AJ127,MAX($AJ$127:$AK$130))</f>
        <v>#N/A</v>
      </c>
      <c r="AG127" s="178"/>
      <c r="AH127" s="177" t="e">
        <f>IF(AL127&gt;0,AL127,MAX($AL$127:$AM$130))</f>
        <v>#N/A</v>
      </c>
      <c r="AI127" s="178"/>
      <c r="AJ127" s="177" t="e">
        <f>HLOOKUP($AJ$125,$AF$134:$AI$140,3,FALSE)</f>
        <v>#N/A</v>
      </c>
      <c r="AK127" s="178"/>
      <c r="AL127" s="177" t="e">
        <f>HLOOKUP($AJ$125,$AJ$134:$AM$140,3,FALSE)</f>
        <v>#N/A</v>
      </c>
      <c r="AM127" s="178"/>
      <c r="AN127" s="84"/>
      <c r="AO127" s="86" t="e">
        <f>AQ127</f>
        <v>#N/A</v>
      </c>
      <c r="AP127" s="86" t="e">
        <f>AS127</f>
        <v>#N/A</v>
      </c>
      <c r="AQ127" s="177" t="e">
        <f>IF(AU127&gt;0,AU127,MAX($AU$127:$AV$130))</f>
        <v>#N/A</v>
      </c>
      <c r="AR127" s="178"/>
      <c r="AS127" s="177" t="e">
        <f>IF(AW127&gt;0,AW127,MAX($AW$127:$AX$130))</f>
        <v>#N/A</v>
      </c>
      <c r="AT127" s="178"/>
      <c r="AU127" s="177" t="e">
        <f>HLOOKUP($AU$125,$AF$134:$AI$140,3,FALSE)</f>
        <v>#N/A</v>
      </c>
      <c r="AV127" s="178"/>
      <c r="AW127" s="177" t="e">
        <f>HLOOKUP($AU$125,$AJ$134:$AM$140,3,FALSE)</f>
        <v>#N/A</v>
      </c>
      <c r="AX127" s="178"/>
      <c r="AY127" s="84"/>
      <c r="AZ127" s="86" t="e">
        <f>BB127</f>
        <v>#N/A</v>
      </c>
      <c r="BA127" s="86" t="e">
        <f>BD127</f>
        <v>#N/A</v>
      </c>
      <c r="BB127" s="177" t="e">
        <f>IF(BF127&gt;0,BF127,MAX($BF$127:$BG$130))</f>
        <v>#N/A</v>
      </c>
      <c r="BC127" s="178"/>
      <c r="BD127" s="177" t="e">
        <f>IF(BH127&gt;0,BH127,MAX($BH$127:$BI$130))</f>
        <v>#N/A</v>
      </c>
      <c r="BE127" s="178"/>
      <c r="BF127" s="177" t="e">
        <f>HLOOKUP($BF$125,$AF$134:$AI$140,3,FALSE)</f>
        <v>#N/A</v>
      </c>
      <c r="BG127" s="178"/>
      <c r="BH127" s="177" t="e">
        <f>HLOOKUP($BF$125,$AJ$134:$AM$140,3,FALSE)</f>
        <v>#N/A</v>
      </c>
      <c r="BI127" s="178"/>
      <c r="BJ127" s="84"/>
      <c r="BK127" s="84"/>
      <c r="BL127" s="84"/>
    </row>
    <row r="128" spans="2:64" ht="11.25">
      <c r="B128" s="15"/>
      <c r="C128" s="11"/>
      <c r="D128" s="11"/>
      <c r="E128" s="11"/>
      <c r="F128" s="17" t="str">
        <f>IF(I82="","",IF(S10="SR-24",CONCATENATE(I82,"-","RB",I83," มม."),CONCATENATE(I82,"-","DB",I83," มม.")))</f>
        <v>2-DB16 มม.</v>
      </c>
      <c r="G128" s="11"/>
      <c r="H128" s="11"/>
      <c r="I128" s="11"/>
      <c r="J128" s="11"/>
      <c r="K128" s="11"/>
      <c r="L128" s="11"/>
      <c r="M128" s="17" t="str">
        <f>IF(P82="","",IF(S10="SR-24",CONCATENATE(P82,"-","RB",P83," มม."),CONCATENATE(P82,"-","DB",P83," มม.")))</f>
        <v>4-DB16 มม.</v>
      </c>
      <c r="N128" s="11"/>
      <c r="O128" s="11"/>
      <c r="P128" s="11"/>
      <c r="Q128" s="11"/>
      <c r="R128" s="11"/>
      <c r="S128" s="11"/>
      <c r="T128" s="17" t="str">
        <f>IF(U82="","",IF(S10="SR-24",CONCATENATE(U82,"-","RB",U83," มม."),CONCATENATE(U82,"-","DB",U83," มม.")))</f>
        <v>2-DB16 มม.</v>
      </c>
      <c r="U128" s="11"/>
      <c r="V128" s="16"/>
      <c r="AD128" s="86" t="e">
        <f>AF128</f>
        <v>#N/A</v>
      </c>
      <c r="AE128" s="86" t="e">
        <f>AH128</f>
        <v>#N/A</v>
      </c>
      <c r="AF128" s="177" t="e">
        <f>IF(AJ128&gt;0,AJ128,MAX($AJ$127:$AK$130))</f>
        <v>#N/A</v>
      </c>
      <c r="AG128" s="178"/>
      <c r="AH128" s="177" t="e">
        <f>IF(AL128&gt;0,AL128,MAX($AL$127:$AM$130))</f>
        <v>#N/A</v>
      </c>
      <c r="AI128" s="178"/>
      <c r="AJ128" s="177" t="e">
        <f>HLOOKUP($AJ$125,$AF$134:$AI$140,4,FALSE)</f>
        <v>#N/A</v>
      </c>
      <c r="AK128" s="178"/>
      <c r="AL128" s="177" t="e">
        <f>HLOOKUP($AJ$125,$AJ$134:$AM$140,4,FALSE)</f>
        <v>#N/A</v>
      </c>
      <c r="AM128" s="178"/>
      <c r="AN128" s="84"/>
      <c r="AO128" s="86" t="e">
        <f>AQ128</f>
        <v>#N/A</v>
      </c>
      <c r="AP128" s="86" t="e">
        <f>AS128</f>
        <v>#N/A</v>
      </c>
      <c r="AQ128" s="177" t="e">
        <f>IF(AU128&gt;0,AU128,MAX($AU$127:$AV$130))</f>
        <v>#N/A</v>
      </c>
      <c r="AR128" s="178"/>
      <c r="AS128" s="177" t="e">
        <f>IF(AW128&gt;0,AW128,MAX($AW$127:$AX$130))</f>
        <v>#N/A</v>
      </c>
      <c r="AT128" s="178"/>
      <c r="AU128" s="177" t="e">
        <f>HLOOKUP($AU$125,$AF$134:$AI$140,4,FALSE)</f>
        <v>#N/A</v>
      </c>
      <c r="AV128" s="178"/>
      <c r="AW128" s="177" t="e">
        <f>HLOOKUP($AU$125,$AJ$134:$AM$140,4,FALSE)</f>
        <v>#N/A</v>
      </c>
      <c r="AX128" s="178"/>
      <c r="AY128" s="84"/>
      <c r="AZ128" s="86" t="e">
        <f>BB128</f>
        <v>#N/A</v>
      </c>
      <c r="BA128" s="86" t="e">
        <f>BD128</f>
        <v>#N/A</v>
      </c>
      <c r="BB128" s="177" t="e">
        <f>IF(BF128&gt;0,BF128,MAX($BF$127:$BG$130))</f>
        <v>#N/A</v>
      </c>
      <c r="BC128" s="178"/>
      <c r="BD128" s="177" t="e">
        <f>IF(BH128&gt;0,BH128,MAX($BH$127:$BI$130))</f>
        <v>#N/A</v>
      </c>
      <c r="BE128" s="178"/>
      <c r="BF128" s="177" t="e">
        <f>HLOOKUP($BF$125,$AF$134:$AI$140,4,FALSE)</f>
        <v>#N/A</v>
      </c>
      <c r="BG128" s="178"/>
      <c r="BH128" s="177" t="e">
        <f>HLOOKUP($BF$125,$AJ$134:$AM$140,4,FALSE)</f>
        <v>#N/A</v>
      </c>
      <c r="BI128" s="178"/>
      <c r="BJ128" s="84"/>
      <c r="BK128" s="84"/>
      <c r="BL128" s="84"/>
    </row>
    <row r="129" spans="2:64" ht="11.25">
      <c r="B129" s="15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6"/>
      <c r="AD129" s="86" t="e">
        <f>AF129</f>
        <v>#N/A</v>
      </c>
      <c r="AE129" s="86" t="e">
        <f>AH129</f>
        <v>#N/A</v>
      </c>
      <c r="AF129" s="177" t="e">
        <f>IF(AJ129&gt;0,AJ129,MAX($AJ$127:$AK$130))</f>
        <v>#N/A</v>
      </c>
      <c r="AG129" s="178"/>
      <c r="AH129" s="177" t="e">
        <f>IF(AL129&gt;0,AL129,MAX($AL$127:$AM$130))</f>
        <v>#N/A</v>
      </c>
      <c r="AI129" s="178"/>
      <c r="AJ129" s="177" t="e">
        <f>HLOOKUP($AJ$125,$AF$134:$AI$140,5,FALSE)</f>
        <v>#N/A</v>
      </c>
      <c r="AK129" s="178"/>
      <c r="AL129" s="177" t="e">
        <f>HLOOKUP($AJ$125,$AJ$134:$AM$140,5,FALSE)</f>
        <v>#N/A</v>
      </c>
      <c r="AM129" s="178"/>
      <c r="AN129" s="84"/>
      <c r="AO129" s="86" t="e">
        <f>AQ129</f>
        <v>#N/A</v>
      </c>
      <c r="AP129" s="86" t="e">
        <f>AS129</f>
        <v>#N/A</v>
      </c>
      <c r="AQ129" s="177" t="e">
        <f>IF(AU129&gt;0,AU129,MAX($AU$127:$AV$130))</f>
        <v>#N/A</v>
      </c>
      <c r="AR129" s="178"/>
      <c r="AS129" s="177" t="e">
        <f>IF(AW129&gt;0,AW129,MAX($AW$127:$AX$130))</f>
        <v>#N/A</v>
      </c>
      <c r="AT129" s="178"/>
      <c r="AU129" s="177" t="e">
        <f>HLOOKUP($AU$125,$AF$134:$AI$140,5,FALSE)</f>
        <v>#N/A</v>
      </c>
      <c r="AV129" s="178"/>
      <c r="AW129" s="177" t="e">
        <f>HLOOKUP($AU$125,$AJ$134:$AM$140,5,FALSE)</f>
        <v>#N/A</v>
      </c>
      <c r="AX129" s="178"/>
      <c r="AY129" s="84"/>
      <c r="AZ129" s="86" t="e">
        <f>BB129</f>
        <v>#N/A</v>
      </c>
      <c r="BA129" s="86" t="e">
        <f>BD129</f>
        <v>#N/A</v>
      </c>
      <c r="BB129" s="177" t="e">
        <f>IF(BF129&gt;0,BF129,MAX($BF$127:$BG$130))</f>
        <v>#N/A</v>
      </c>
      <c r="BC129" s="178"/>
      <c r="BD129" s="177" t="e">
        <f>IF(BH129&gt;0,BH129,MAX($BH$127:$BI$130))</f>
        <v>#N/A</v>
      </c>
      <c r="BE129" s="178"/>
      <c r="BF129" s="177" t="e">
        <f>HLOOKUP($BF$125,$AF$134:$AI$140,5,FALSE)</f>
        <v>#N/A</v>
      </c>
      <c r="BG129" s="178"/>
      <c r="BH129" s="177" t="e">
        <f>HLOOKUP($BF$125,$AJ$134:$AM$140,5,FALSE)</f>
        <v>#N/A</v>
      </c>
      <c r="BI129" s="178"/>
      <c r="BJ129" s="84"/>
      <c r="BK129" s="84"/>
      <c r="BL129" s="84"/>
    </row>
    <row r="130" spans="2:64" ht="11.25">
      <c r="B130" s="1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6"/>
      <c r="AD130" s="86" t="e">
        <f>AF130</f>
        <v>#N/A</v>
      </c>
      <c r="AE130" s="86" t="e">
        <f>AH130</f>
        <v>#N/A</v>
      </c>
      <c r="AF130" s="177" t="e">
        <f>IF(AJ130&gt;0,AJ130,MAX($AJ$127:$AK$130))</f>
        <v>#N/A</v>
      </c>
      <c r="AG130" s="178"/>
      <c r="AH130" s="177" t="e">
        <f>IF(AL130&gt;0,AL130,MAX($AL$127:$AM$130))</f>
        <v>#N/A</v>
      </c>
      <c r="AI130" s="178"/>
      <c r="AJ130" s="177" t="e">
        <f>HLOOKUP($AJ$125,$AF$134:$AI$140,6,FALSE)</f>
        <v>#N/A</v>
      </c>
      <c r="AK130" s="178"/>
      <c r="AL130" s="177" t="e">
        <f>HLOOKUP($AJ$125,$AJ$134:$AM$140,6,FALSE)</f>
        <v>#N/A</v>
      </c>
      <c r="AM130" s="178"/>
      <c r="AN130" s="84"/>
      <c r="AO130" s="86" t="e">
        <f>AQ130</f>
        <v>#N/A</v>
      </c>
      <c r="AP130" s="86" t="e">
        <f>AS130</f>
        <v>#N/A</v>
      </c>
      <c r="AQ130" s="177" t="e">
        <f>IF(AU130&gt;0,AU130,MAX($AU$127:$AV$130))</f>
        <v>#N/A</v>
      </c>
      <c r="AR130" s="178"/>
      <c r="AS130" s="177" t="e">
        <f>IF(AW130&gt;0,AW130,MAX($AW$127:$AX$130))</f>
        <v>#N/A</v>
      </c>
      <c r="AT130" s="178"/>
      <c r="AU130" s="177" t="e">
        <f>HLOOKUP($AU$125,$AF$134:$AI$140,6,FALSE)</f>
        <v>#N/A</v>
      </c>
      <c r="AV130" s="178"/>
      <c r="AW130" s="177" t="e">
        <f>HLOOKUP($AU$125,$AJ$134:$AM$140,6,FALSE)</f>
        <v>#N/A</v>
      </c>
      <c r="AX130" s="178"/>
      <c r="AY130" s="84"/>
      <c r="AZ130" s="86" t="e">
        <f>BB130</f>
        <v>#N/A</v>
      </c>
      <c r="BA130" s="86" t="e">
        <f>BD130</f>
        <v>#N/A</v>
      </c>
      <c r="BB130" s="177" t="e">
        <f>IF(BF130&gt;0,BF130,MAX($BF$127:$BG$130))</f>
        <v>#N/A</v>
      </c>
      <c r="BC130" s="178"/>
      <c r="BD130" s="177" t="e">
        <f>IF(BH130&gt;0,BH130,MAX($BH$127:$BI$130))</f>
        <v>#N/A</v>
      </c>
      <c r="BE130" s="178"/>
      <c r="BF130" s="177" t="e">
        <f>HLOOKUP($BF$125,$AF$134:$AI$140,6,FALSE)</f>
        <v>#N/A</v>
      </c>
      <c r="BG130" s="178"/>
      <c r="BH130" s="177" t="e">
        <f>HLOOKUP($BF$125,$AJ$134:$AM$140,6,FALSE)</f>
        <v>#N/A</v>
      </c>
      <c r="BI130" s="178"/>
      <c r="BJ130" s="84"/>
      <c r="BK130" s="84"/>
      <c r="BL130" s="84"/>
    </row>
    <row r="131" spans="2:64" ht="12.75">
      <c r="B131" s="15"/>
      <c r="C131" s="11"/>
      <c r="D131" s="182" t="s">
        <v>92</v>
      </c>
      <c r="E131" s="183"/>
      <c r="F131" s="11"/>
      <c r="G131" s="11"/>
      <c r="H131" s="11"/>
      <c r="I131" s="11"/>
      <c r="J131" s="11"/>
      <c r="K131" s="182" t="s">
        <v>122</v>
      </c>
      <c r="L131" s="183"/>
      <c r="M131" s="11"/>
      <c r="N131" s="11"/>
      <c r="O131" s="70"/>
      <c r="P131" s="11"/>
      <c r="Q131" s="11"/>
      <c r="R131" s="182" t="s">
        <v>93</v>
      </c>
      <c r="S131" s="183"/>
      <c r="T131" s="11"/>
      <c r="U131" s="11"/>
      <c r="V131" s="16"/>
      <c r="AD131" s="86"/>
      <c r="AE131" s="86"/>
      <c r="AF131" s="177"/>
      <c r="AG131" s="178"/>
      <c r="AH131" s="177"/>
      <c r="AI131" s="178"/>
      <c r="AJ131" s="177"/>
      <c r="AK131" s="178"/>
      <c r="AL131" s="177"/>
      <c r="AM131" s="178"/>
      <c r="AN131" s="84"/>
      <c r="AO131" s="86"/>
      <c r="AP131" s="86"/>
      <c r="AQ131" s="177"/>
      <c r="AR131" s="178"/>
      <c r="AS131" s="177"/>
      <c r="AT131" s="178"/>
      <c r="AU131" s="177"/>
      <c r="AV131" s="178"/>
      <c r="AW131" s="177"/>
      <c r="AX131" s="178"/>
      <c r="AY131" s="84"/>
      <c r="AZ131" s="86"/>
      <c r="BA131" s="86"/>
      <c r="BB131" s="177"/>
      <c r="BC131" s="178"/>
      <c r="BD131" s="177"/>
      <c r="BE131" s="178"/>
      <c r="BF131" s="177"/>
      <c r="BG131" s="178"/>
      <c r="BH131" s="177"/>
      <c r="BI131" s="178"/>
      <c r="BJ131" s="84"/>
      <c r="BK131" s="84"/>
      <c r="BL131" s="84"/>
    </row>
    <row r="132" spans="2:64" ht="12.75">
      <c r="B132" s="1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70"/>
      <c r="P132" s="11"/>
      <c r="Q132" s="11"/>
      <c r="R132" s="11"/>
      <c r="S132" s="11"/>
      <c r="T132" s="11"/>
      <c r="U132" s="11"/>
      <c r="V132" s="16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</row>
    <row r="133" spans="2:64" ht="12.75">
      <c r="B133" s="1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70"/>
      <c r="P133" s="11"/>
      <c r="Q133" s="11"/>
      <c r="R133" s="11"/>
      <c r="S133" s="11"/>
      <c r="T133" s="11"/>
      <c r="U133" s="11"/>
      <c r="V133" s="16"/>
      <c r="AF133" s="177" t="s">
        <v>57</v>
      </c>
      <c r="AG133" s="178"/>
      <c r="AH133" s="177" t="s">
        <v>57</v>
      </c>
      <c r="AI133" s="178"/>
      <c r="AJ133" s="177" t="s">
        <v>57</v>
      </c>
      <c r="AK133" s="178"/>
      <c r="AL133" s="177" t="s">
        <v>57</v>
      </c>
      <c r="AM133" s="178"/>
      <c r="AN133" s="84"/>
      <c r="AO133" s="84"/>
      <c r="AP133" s="84"/>
      <c r="AQ133" s="177"/>
      <c r="AR133" s="178"/>
      <c r="AS133" s="177"/>
      <c r="AT133" s="178"/>
      <c r="AU133" s="177"/>
      <c r="AV133" s="178"/>
      <c r="AW133" s="177"/>
      <c r="AX133" s="178"/>
      <c r="AY133" s="84"/>
      <c r="AZ133" s="84"/>
      <c r="BA133" s="84"/>
      <c r="BB133" s="177"/>
      <c r="BC133" s="178"/>
      <c r="BD133" s="177"/>
      <c r="BE133" s="178"/>
      <c r="BF133" s="177"/>
      <c r="BG133" s="178"/>
      <c r="BH133" s="177"/>
      <c r="BI133" s="178"/>
      <c r="BJ133" s="84"/>
      <c r="BK133" s="84"/>
      <c r="BL133" s="84"/>
    </row>
    <row r="134" spans="2:61" ht="12.75">
      <c r="B134" s="15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70"/>
      <c r="P134" s="11"/>
      <c r="Q134" s="11"/>
      <c r="R134" s="11"/>
      <c r="S134" s="11"/>
      <c r="T134" s="11"/>
      <c r="U134" s="11"/>
      <c r="V134" s="16"/>
      <c r="AF134" s="179">
        <v>2</v>
      </c>
      <c r="AG134" s="238"/>
      <c r="AH134" s="179">
        <v>4</v>
      </c>
      <c r="AI134" s="238"/>
      <c r="AJ134" s="179">
        <v>2</v>
      </c>
      <c r="AK134" s="238"/>
      <c r="AL134" s="179">
        <v>4</v>
      </c>
      <c r="AM134" s="238"/>
      <c r="AQ134" s="179"/>
      <c r="AR134" s="238"/>
      <c r="AS134" s="179"/>
      <c r="AT134" s="238"/>
      <c r="AU134" s="179"/>
      <c r="AV134" s="238"/>
      <c r="AW134" s="179"/>
      <c r="AX134" s="238"/>
      <c r="BB134" s="179"/>
      <c r="BC134" s="238"/>
      <c r="BD134" s="179"/>
      <c r="BE134" s="238"/>
      <c r="BF134" s="179"/>
      <c r="BG134" s="238"/>
      <c r="BH134" s="179"/>
      <c r="BI134" s="238"/>
    </row>
    <row r="135" spans="2:61" ht="11.25">
      <c r="B135" s="1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T135" s="11"/>
      <c r="U135" s="11"/>
      <c r="V135" s="16"/>
      <c r="AF135" s="177" t="s">
        <v>51</v>
      </c>
      <c r="AG135" s="178"/>
      <c r="AH135" s="177" t="s">
        <v>51</v>
      </c>
      <c r="AI135" s="178"/>
      <c r="AJ135" s="177" t="s">
        <v>55</v>
      </c>
      <c r="AK135" s="178"/>
      <c r="AL135" s="177" t="s">
        <v>55</v>
      </c>
      <c r="AM135" s="178"/>
      <c r="AQ135" s="177"/>
      <c r="AR135" s="178"/>
      <c r="AS135" s="177"/>
      <c r="AT135" s="178"/>
      <c r="AU135" s="177"/>
      <c r="AV135" s="178"/>
      <c r="AW135" s="177"/>
      <c r="AX135" s="178"/>
      <c r="BB135" s="177"/>
      <c r="BC135" s="178"/>
      <c r="BD135" s="177"/>
      <c r="BE135" s="178"/>
      <c r="BF135" s="177"/>
      <c r="BG135" s="178"/>
      <c r="BH135" s="177"/>
      <c r="BI135" s="178"/>
    </row>
    <row r="136" spans="2:61" ht="11.25"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T136" s="11"/>
      <c r="U136" s="11"/>
      <c r="V136" s="16"/>
      <c r="AF136" s="177">
        <v>5</v>
      </c>
      <c r="AG136" s="178"/>
      <c r="AH136" s="177">
        <v>5</v>
      </c>
      <c r="AI136" s="178"/>
      <c r="AJ136" s="177">
        <f>74/2</f>
        <v>37</v>
      </c>
      <c r="AK136" s="178"/>
      <c r="AL136" s="177">
        <v>25</v>
      </c>
      <c r="AM136" s="178"/>
      <c r="AQ136" s="177"/>
      <c r="AR136" s="178"/>
      <c r="AS136" s="177"/>
      <c r="AT136" s="178"/>
      <c r="AU136" s="177"/>
      <c r="AV136" s="178"/>
      <c r="AW136" s="177"/>
      <c r="AX136" s="178"/>
      <c r="BB136" s="177"/>
      <c r="BC136" s="178"/>
      <c r="BD136" s="177"/>
      <c r="BE136" s="178"/>
      <c r="BF136" s="177"/>
      <c r="BG136" s="178"/>
      <c r="BH136" s="177"/>
      <c r="BI136" s="178"/>
    </row>
    <row r="137" spans="2:61" ht="11.25">
      <c r="B137" s="1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6"/>
      <c r="AF137" s="177">
        <v>45</v>
      </c>
      <c r="AG137" s="178"/>
      <c r="AH137" s="177">
        <v>45</v>
      </c>
      <c r="AI137" s="178"/>
      <c r="AJ137" s="177">
        <f>74/2</f>
        <v>37</v>
      </c>
      <c r="AK137" s="178"/>
      <c r="AL137" s="177">
        <v>25</v>
      </c>
      <c r="AM137" s="178"/>
      <c r="AQ137" s="177"/>
      <c r="AR137" s="178"/>
      <c r="AS137" s="177"/>
      <c r="AT137" s="178"/>
      <c r="AU137" s="177"/>
      <c r="AV137" s="178"/>
      <c r="AW137" s="177"/>
      <c r="AX137" s="178"/>
      <c r="BB137" s="177"/>
      <c r="BC137" s="178"/>
      <c r="BD137" s="177"/>
      <c r="BE137" s="178"/>
      <c r="BF137" s="177"/>
      <c r="BG137" s="178"/>
      <c r="BH137" s="177"/>
      <c r="BI137" s="178"/>
    </row>
    <row r="138" spans="2:61" ht="11.25">
      <c r="B138" s="1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6"/>
      <c r="AF138" s="177"/>
      <c r="AG138" s="180"/>
      <c r="AH138" s="177">
        <v>5</v>
      </c>
      <c r="AI138" s="178"/>
      <c r="AJ138" s="177"/>
      <c r="AK138" s="180"/>
      <c r="AL138" s="177">
        <v>50</v>
      </c>
      <c r="AM138" s="178"/>
      <c r="AQ138" s="177"/>
      <c r="AR138" s="180"/>
      <c r="AS138" s="177"/>
      <c r="AT138" s="178"/>
      <c r="AU138" s="177"/>
      <c r="AV138" s="180"/>
      <c r="AW138" s="177"/>
      <c r="AX138" s="178"/>
      <c r="BB138" s="177"/>
      <c r="BC138" s="180"/>
      <c r="BD138" s="177"/>
      <c r="BE138" s="178"/>
      <c r="BF138" s="177"/>
      <c r="BG138" s="180"/>
      <c r="BH138" s="177"/>
      <c r="BI138" s="178"/>
    </row>
    <row r="139" spans="2:61" ht="11.25">
      <c r="B139" s="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6"/>
      <c r="AF139" s="177"/>
      <c r="AG139" s="178"/>
      <c r="AH139" s="177">
        <v>45</v>
      </c>
      <c r="AI139" s="178"/>
      <c r="AJ139" s="177"/>
      <c r="AK139" s="178"/>
      <c r="AL139" s="177">
        <v>50</v>
      </c>
      <c r="AM139" s="178"/>
      <c r="AQ139" s="177"/>
      <c r="AR139" s="178"/>
      <c r="AS139" s="177"/>
      <c r="AT139" s="178"/>
      <c r="AU139" s="177"/>
      <c r="AV139" s="178"/>
      <c r="AW139" s="177"/>
      <c r="AX139" s="178"/>
      <c r="BB139" s="177"/>
      <c r="BC139" s="178"/>
      <c r="BD139" s="177"/>
      <c r="BE139" s="178"/>
      <c r="BF139" s="177"/>
      <c r="BG139" s="178"/>
      <c r="BH139" s="177"/>
      <c r="BI139" s="178"/>
    </row>
    <row r="140" spans="2:61" ht="11.25">
      <c r="B140" s="1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6"/>
      <c r="AF140" s="177"/>
      <c r="AG140" s="178"/>
      <c r="AH140" s="177"/>
      <c r="AI140" s="178"/>
      <c r="AJ140" s="177"/>
      <c r="AK140" s="178"/>
      <c r="AL140" s="177"/>
      <c r="AM140" s="178"/>
      <c r="AQ140" s="177"/>
      <c r="AR140" s="178"/>
      <c r="AS140" s="177"/>
      <c r="AT140" s="178"/>
      <c r="AU140" s="177"/>
      <c r="AV140" s="178"/>
      <c r="AW140" s="177"/>
      <c r="AX140" s="178"/>
      <c r="BB140" s="177"/>
      <c r="BC140" s="178"/>
      <c r="BD140" s="177"/>
      <c r="BE140" s="178"/>
      <c r="BF140" s="177"/>
      <c r="BG140" s="178"/>
      <c r="BH140" s="177"/>
      <c r="BI140" s="178"/>
    </row>
    <row r="141" spans="2:22" ht="11.25">
      <c r="B141" s="1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6"/>
    </row>
    <row r="142" spans="2:22" ht="11.25">
      <c r="B142" s="1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6"/>
    </row>
    <row r="143" spans="2:22" ht="11.25">
      <c r="B143" s="1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6"/>
    </row>
    <row r="144" spans="2:22" ht="11.25">
      <c r="B144" s="15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6"/>
    </row>
    <row r="145" spans="2:22" ht="11.25">
      <c r="B145" s="1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6"/>
    </row>
    <row r="146" spans="2:22" ht="11.25">
      <c r="B146" s="15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6"/>
    </row>
    <row r="147" spans="2:22" ht="11.25">
      <c r="B147" s="1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6"/>
    </row>
    <row r="148" spans="2:22" ht="11.25">
      <c r="B148" s="1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6"/>
    </row>
    <row r="149" spans="2:22" ht="11.25">
      <c r="B149" s="15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6"/>
    </row>
    <row r="150" spans="2:22" ht="11.25">
      <c r="B150" s="1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6"/>
    </row>
    <row r="151" spans="2:22" ht="11.25">
      <c r="B151" s="15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6"/>
    </row>
    <row r="152" spans="2:22" ht="11.25">
      <c r="B152" s="1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6"/>
    </row>
    <row r="153" spans="2:22" ht="11.25">
      <c r="B153" s="15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6"/>
    </row>
    <row r="154" spans="2:22" ht="11.25">
      <c r="B154" s="15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6"/>
    </row>
    <row r="155" spans="2:22" ht="11.25">
      <c r="B155" s="1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6"/>
    </row>
    <row r="156" spans="2:22" ht="11.25">
      <c r="B156" s="15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6"/>
    </row>
    <row r="157" spans="2:22" ht="11.25">
      <c r="B157" s="1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6"/>
    </row>
    <row r="158" spans="2:22" ht="11.25"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6"/>
    </row>
    <row r="159" spans="2:22" ht="11.25">
      <c r="B159" s="1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6"/>
    </row>
    <row r="160" spans="2:22" ht="11.25">
      <c r="B160" s="1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6"/>
    </row>
    <row r="161" spans="2:22" ht="11.25">
      <c r="B161" s="15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6"/>
    </row>
    <row r="162" spans="2:22" ht="11.25">
      <c r="B162" s="15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6"/>
    </row>
    <row r="163" spans="2:22" ht="11.25">
      <c r="B163" s="1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6"/>
    </row>
    <row r="164" spans="2:22" ht="11.25">
      <c r="B164" s="1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6"/>
    </row>
    <row r="165" spans="2:22" ht="11.25">
      <c r="B165" s="1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6"/>
    </row>
    <row r="166" spans="2:22" ht="11.25">
      <c r="B166" s="1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6"/>
    </row>
    <row r="167" spans="2:22" ht="11.25">
      <c r="B167" s="1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6"/>
    </row>
    <row r="168" spans="2:22" ht="11.25">
      <c r="B168" s="1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U168" s="11"/>
      <c r="V168" s="16"/>
    </row>
    <row r="169" spans="2:22" ht="11.25">
      <c r="B169" s="1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37"/>
      <c r="P169" s="137"/>
      <c r="Q169" s="137"/>
      <c r="R169" s="137"/>
      <c r="S169" s="137"/>
      <c r="T169" s="137"/>
      <c r="U169" s="11"/>
      <c r="V169" s="16"/>
    </row>
    <row r="170" spans="2:22" ht="11.25">
      <c r="B170" s="1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27" t="str">
        <f>O3&amp;"  "&amp;Q3</f>
        <v>วิศวกรโครงสร้าง :  นาย สุธีร์     แก้วคำ  สย.9698</v>
      </c>
      <c r="P170" s="11"/>
      <c r="R170" s="11"/>
      <c r="S170" s="11"/>
      <c r="T170" s="11"/>
      <c r="U170" s="11"/>
      <c r="V170" s="16"/>
    </row>
    <row r="171" spans="2:22" ht="11.25">
      <c r="B171" s="1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6"/>
    </row>
    <row r="172" spans="2:22" s="6" customFormat="1" ht="12" thickBot="1">
      <c r="B172" s="71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3"/>
    </row>
    <row r="173" s="6" customFormat="1" ht="11.25"/>
    <row r="174" s="6" customFormat="1" ht="11.25"/>
    <row r="175" s="6" customFormat="1" ht="11.25"/>
    <row r="176" s="6" customFormat="1" ht="11.25"/>
    <row r="177" s="6" customFormat="1" ht="11.25"/>
    <row r="178" s="6" customFormat="1" ht="11.25"/>
    <row r="179" s="6" customFormat="1" ht="11.25"/>
    <row r="180" s="6" customFormat="1" ht="11.25"/>
    <row r="181" s="6" customFormat="1" ht="11.25"/>
    <row r="182" s="6" customFormat="1" ht="11.25"/>
    <row r="183" s="6" customFormat="1" ht="11.25"/>
    <row r="184" s="6" customFormat="1" ht="11.25"/>
    <row r="185" s="6" customFormat="1" ht="11.25"/>
    <row r="186" s="6" customFormat="1" ht="11.25"/>
    <row r="187" s="6" customFormat="1" ht="11.25"/>
    <row r="188" s="6" customFormat="1" ht="11.25"/>
    <row r="189" s="6" customFormat="1" ht="11.25"/>
    <row r="190" s="6" customFormat="1" ht="11.25"/>
    <row r="191" s="6" customFormat="1" ht="11.25"/>
    <row r="192" s="6" customFormat="1" ht="11.25"/>
    <row r="193" s="6" customFormat="1" ht="11.25"/>
    <row r="194" s="6" customFormat="1" ht="11.25"/>
    <row r="195" s="6" customFormat="1" ht="11.25"/>
    <row r="196" s="6" customFormat="1" ht="11.25"/>
    <row r="197" s="6" customFormat="1" ht="11.25"/>
    <row r="198" s="6" customFormat="1" ht="11.25"/>
    <row r="199" s="6" customFormat="1" ht="11.25"/>
    <row r="200" s="6" customFormat="1" ht="11.25"/>
    <row r="201" s="6" customFormat="1" ht="11.25"/>
    <row r="202" s="6" customFormat="1" ht="11.25"/>
    <row r="203" s="6" customFormat="1" ht="11.25"/>
    <row r="204" s="6" customFormat="1" ht="11.25"/>
    <row r="205" s="6" customFormat="1" ht="11.25"/>
    <row r="206" s="6" customFormat="1" ht="11.25"/>
    <row r="207" s="6" customFormat="1" ht="11.25"/>
    <row r="208" s="6" customFormat="1" ht="11.25"/>
    <row r="209" s="6" customFormat="1" ht="11.25"/>
    <row r="210" s="6" customFormat="1" ht="11.25"/>
    <row r="211" s="6" customFormat="1" ht="11.25"/>
    <row r="212" s="6" customFormat="1" ht="11.25"/>
    <row r="213" s="6" customFormat="1" ht="11.25"/>
    <row r="214" s="6" customFormat="1" ht="11.25"/>
    <row r="215" s="6" customFormat="1" ht="11.25"/>
    <row r="216" s="6" customFormat="1" ht="11.25"/>
    <row r="217" s="6" customFormat="1" ht="11.25"/>
    <row r="218" s="6" customFormat="1" ht="11.25"/>
    <row r="219" s="6" customFormat="1" ht="11.25"/>
    <row r="220" s="6" customFormat="1" ht="11.25"/>
    <row r="221" s="6" customFormat="1" ht="11.25"/>
    <row r="222" s="6" customFormat="1" ht="11.25"/>
    <row r="223" s="6" customFormat="1" ht="11.25"/>
    <row r="224" s="6" customFormat="1" ht="11.25"/>
    <row r="225" s="6" customFormat="1" ht="11.25"/>
    <row r="226" s="6" customFormat="1" ht="11.25"/>
    <row r="227" s="6" customFormat="1" ht="11.25"/>
    <row r="228" s="6" customFormat="1" ht="11.25"/>
    <row r="229" s="6" customFormat="1" ht="11.25"/>
    <row r="230" s="6" customFormat="1" ht="11.25"/>
    <row r="231" s="6" customFormat="1" ht="11.25"/>
    <row r="232" s="6" customFormat="1" ht="11.25"/>
    <row r="233" s="6" customFormat="1" ht="11.25"/>
    <row r="234" s="6" customFormat="1" ht="11.25"/>
    <row r="235" s="6" customFormat="1" ht="11.25"/>
    <row r="236" s="6" customFormat="1" ht="11.25"/>
    <row r="237" s="6" customFormat="1" ht="11.25"/>
    <row r="238" s="6" customFormat="1" ht="11.25"/>
    <row r="239" s="6" customFormat="1" ht="11.25"/>
    <row r="240" s="6" customFormat="1" ht="11.25"/>
    <row r="241" s="6" customFormat="1" ht="11.25"/>
    <row r="242" s="6" customFormat="1" ht="11.25"/>
    <row r="243" s="6" customFormat="1" ht="11.25"/>
    <row r="244" s="6" customFormat="1" ht="11.25"/>
    <row r="245" s="6" customFormat="1" ht="11.25"/>
    <row r="246" s="6" customFormat="1" ht="11.25"/>
    <row r="247" s="6" customFormat="1" ht="11.25"/>
    <row r="248" s="6" customFormat="1" ht="11.25"/>
    <row r="249" s="6" customFormat="1" ht="11.25"/>
    <row r="250" s="6" customFormat="1" ht="11.25"/>
    <row r="251" s="6" customFormat="1" ht="11.25"/>
    <row r="252" s="6" customFormat="1" ht="11.25"/>
    <row r="253" s="6" customFormat="1" ht="11.25"/>
    <row r="254" s="6" customFormat="1" ht="11.25"/>
    <row r="255" s="6" customFormat="1" ht="11.25"/>
    <row r="256" s="6" customFormat="1" ht="11.25"/>
    <row r="257" s="6" customFormat="1" ht="11.25"/>
    <row r="258" s="6" customFormat="1" ht="11.25"/>
    <row r="259" s="6" customFormat="1" ht="11.25"/>
    <row r="260" s="6" customFormat="1" ht="11.25"/>
    <row r="261" s="6" customFormat="1" ht="11.25"/>
    <row r="262" s="6" customFormat="1" ht="11.25"/>
    <row r="263" s="6" customFormat="1" ht="11.25"/>
    <row r="264" s="6" customFormat="1" ht="11.25"/>
    <row r="265" s="6" customFormat="1" ht="11.25"/>
    <row r="266" s="6" customFormat="1" ht="11.25"/>
    <row r="267" s="6" customFormat="1" ht="11.25"/>
    <row r="268" s="6" customFormat="1" ht="11.25"/>
    <row r="269" s="6" customFormat="1" ht="11.25"/>
    <row r="270" s="6" customFormat="1" ht="11.25"/>
    <row r="271" s="6" customFormat="1" ht="11.25"/>
    <row r="272" s="6" customFormat="1" ht="11.25"/>
    <row r="273" s="6" customFormat="1" ht="11.25"/>
    <row r="274" s="6" customFormat="1" ht="11.25"/>
    <row r="275" s="6" customFormat="1" ht="11.25"/>
    <row r="276" s="6" customFormat="1" ht="11.25"/>
    <row r="277" s="6" customFormat="1" ht="11.25"/>
    <row r="278" s="6" customFormat="1" ht="11.25"/>
    <row r="279" s="6" customFormat="1" ht="11.25"/>
    <row r="280" s="6" customFormat="1" ht="11.25"/>
    <row r="281" s="6" customFormat="1" ht="11.25"/>
    <row r="282" s="6" customFormat="1" ht="11.25"/>
    <row r="283" s="6" customFormat="1" ht="11.25"/>
    <row r="284" s="6" customFormat="1" ht="11.25"/>
    <row r="285" s="6" customFormat="1" ht="11.25"/>
    <row r="286" s="6" customFormat="1" ht="11.25"/>
    <row r="287" s="6" customFormat="1" ht="11.25"/>
    <row r="288" s="6" customFormat="1" ht="11.25"/>
    <row r="289" s="6" customFormat="1" ht="11.25"/>
    <row r="290" s="6" customFormat="1" ht="11.25"/>
    <row r="291" s="6" customFormat="1" ht="11.25"/>
    <row r="292" s="6" customFormat="1" ht="11.25"/>
    <row r="293" s="6" customFormat="1" ht="11.25"/>
    <row r="294" s="6" customFormat="1" ht="11.25"/>
    <row r="295" s="6" customFormat="1" ht="11.25"/>
    <row r="296" s="6" customFormat="1" ht="11.25"/>
    <row r="297" s="6" customFormat="1" ht="11.25"/>
    <row r="298" s="6" customFormat="1" ht="11.25"/>
    <row r="299" s="6" customFormat="1" ht="11.25"/>
    <row r="300" s="6" customFormat="1" ht="11.25"/>
    <row r="301" s="6" customFormat="1" ht="11.25"/>
    <row r="302" s="6" customFormat="1" ht="11.25"/>
    <row r="303" s="6" customFormat="1" ht="11.25"/>
    <row r="304" s="6" customFormat="1" ht="11.25"/>
    <row r="305" s="6" customFormat="1" ht="11.25"/>
    <row r="306" s="6" customFormat="1" ht="11.25"/>
    <row r="307" s="6" customFormat="1" ht="11.25"/>
    <row r="308" s="6" customFormat="1" ht="11.25"/>
    <row r="309" s="6" customFormat="1" ht="11.25"/>
    <row r="310" s="6" customFormat="1" ht="11.25"/>
    <row r="311" s="6" customFormat="1" ht="11.25"/>
    <row r="312" s="6" customFormat="1" ht="11.25"/>
    <row r="313" s="6" customFormat="1" ht="11.25"/>
    <row r="314" s="6" customFormat="1" ht="11.25"/>
    <row r="315" s="6" customFormat="1" ht="11.25"/>
    <row r="316" s="6" customFormat="1" ht="11.25"/>
    <row r="317" s="6" customFormat="1" ht="11.25"/>
    <row r="318" s="6" customFormat="1" ht="11.25"/>
    <row r="319" s="6" customFormat="1" ht="11.25"/>
    <row r="320" s="6" customFormat="1" ht="11.25"/>
    <row r="321" s="6" customFormat="1" ht="11.25"/>
    <row r="322" s="6" customFormat="1" ht="11.25"/>
    <row r="323" s="6" customFormat="1" ht="11.25"/>
    <row r="324" s="6" customFormat="1" ht="11.25"/>
    <row r="325" s="6" customFormat="1" ht="11.25"/>
    <row r="326" s="6" customFormat="1" ht="11.25"/>
    <row r="327" s="6" customFormat="1" ht="11.25"/>
    <row r="328" s="6" customFormat="1" ht="11.25"/>
    <row r="329" s="6" customFormat="1" ht="11.25"/>
    <row r="330" s="6" customFormat="1" ht="11.25"/>
    <row r="331" s="6" customFormat="1" ht="11.25"/>
    <row r="332" s="6" customFormat="1" ht="11.25"/>
    <row r="333" s="6" customFormat="1" ht="11.25"/>
    <row r="334" s="6" customFormat="1" ht="11.25"/>
    <row r="335" s="6" customFormat="1" ht="11.25"/>
    <row r="336" s="6" customFormat="1" ht="11.25"/>
    <row r="337" s="6" customFormat="1" ht="11.25"/>
    <row r="338" s="6" customFormat="1" ht="11.25"/>
    <row r="339" s="6" customFormat="1" ht="11.25"/>
    <row r="340" s="6" customFormat="1" ht="11.25"/>
    <row r="341" s="6" customFormat="1" ht="11.25"/>
    <row r="342" s="6" customFormat="1" ht="11.25"/>
    <row r="343" s="6" customFormat="1" ht="11.25"/>
    <row r="344" s="6" customFormat="1" ht="11.25"/>
    <row r="345" s="6" customFormat="1" ht="11.25"/>
    <row r="346" s="6" customFormat="1" ht="11.25"/>
    <row r="347" s="6" customFormat="1" ht="11.25"/>
    <row r="348" s="6" customFormat="1" ht="11.25"/>
    <row r="349" s="6" customFormat="1" ht="11.25"/>
    <row r="350" s="6" customFormat="1" ht="11.25"/>
    <row r="351" s="6" customFormat="1" ht="11.25"/>
    <row r="352" s="6" customFormat="1" ht="11.25"/>
    <row r="353" s="6" customFormat="1" ht="11.25"/>
    <row r="354" s="6" customFormat="1" ht="11.25"/>
    <row r="355" s="6" customFormat="1" ht="11.25"/>
    <row r="356" s="6" customFormat="1" ht="11.25"/>
    <row r="357" s="6" customFormat="1" ht="11.25"/>
    <row r="358" s="6" customFormat="1" ht="11.25"/>
    <row r="359" s="6" customFormat="1" ht="11.25"/>
    <row r="360" s="6" customFormat="1" ht="11.25"/>
    <row r="361" s="6" customFormat="1" ht="11.25"/>
    <row r="362" s="6" customFormat="1" ht="11.25"/>
    <row r="363" s="6" customFormat="1" ht="11.25"/>
    <row r="364" s="6" customFormat="1" ht="11.25"/>
    <row r="365" s="6" customFormat="1" ht="11.25"/>
    <row r="366" s="6" customFormat="1" ht="11.25"/>
    <row r="367" s="6" customFormat="1" ht="11.25"/>
    <row r="368" s="6" customFormat="1" ht="11.25"/>
    <row r="369" s="6" customFormat="1" ht="11.25"/>
    <row r="370" s="6" customFormat="1" ht="11.25"/>
    <row r="371" s="6" customFormat="1" ht="11.25"/>
    <row r="372" s="6" customFormat="1" ht="11.25"/>
    <row r="373" s="6" customFormat="1" ht="11.25"/>
    <row r="374" s="6" customFormat="1" ht="11.25"/>
    <row r="375" s="6" customFormat="1" ht="11.25"/>
    <row r="376" s="6" customFormat="1" ht="11.25"/>
    <row r="377" s="6" customFormat="1" ht="11.25"/>
    <row r="378" s="6" customFormat="1" ht="11.25"/>
    <row r="379" s="6" customFormat="1" ht="11.25"/>
    <row r="380" s="6" customFormat="1" ht="11.25"/>
    <row r="381" s="6" customFormat="1" ht="11.25"/>
    <row r="382" s="6" customFormat="1" ht="11.25"/>
    <row r="383" s="6" customFormat="1" ht="11.25"/>
    <row r="384" s="6" customFormat="1" ht="11.25"/>
    <row r="385" s="6" customFormat="1" ht="11.25"/>
    <row r="386" s="6" customFormat="1" ht="11.25"/>
    <row r="387" s="6" customFormat="1" ht="11.25"/>
    <row r="388" s="6" customFormat="1" ht="11.25"/>
    <row r="389" s="6" customFormat="1" ht="11.25"/>
    <row r="390" s="6" customFormat="1" ht="11.25"/>
    <row r="391" s="6" customFormat="1" ht="11.25"/>
    <row r="392" s="6" customFormat="1" ht="11.25"/>
    <row r="393" s="6" customFormat="1" ht="11.25"/>
    <row r="394" s="6" customFormat="1" ht="11.25"/>
    <row r="395" s="6" customFormat="1" ht="11.25"/>
    <row r="396" s="6" customFormat="1" ht="11.25"/>
    <row r="397" s="6" customFormat="1" ht="11.25"/>
    <row r="398" s="6" customFormat="1" ht="11.25"/>
    <row r="399" s="6" customFormat="1" ht="11.25"/>
    <row r="400" s="6" customFormat="1" ht="11.25"/>
    <row r="401" s="6" customFormat="1" ht="11.25"/>
    <row r="402" s="6" customFormat="1" ht="11.25"/>
    <row r="403" s="6" customFormat="1" ht="11.25"/>
    <row r="404" s="6" customFormat="1" ht="11.25"/>
    <row r="405" s="6" customFormat="1" ht="11.25"/>
    <row r="406" s="6" customFormat="1" ht="11.25"/>
    <row r="407" s="6" customFormat="1" ht="11.25"/>
    <row r="408" s="6" customFormat="1" ht="11.25"/>
    <row r="409" s="6" customFormat="1" ht="11.25"/>
    <row r="410" s="6" customFormat="1" ht="11.25"/>
    <row r="411" s="6" customFormat="1" ht="11.25"/>
    <row r="412" s="6" customFormat="1" ht="11.25"/>
    <row r="413" s="6" customFormat="1" ht="11.25"/>
    <row r="414" s="6" customFormat="1" ht="11.25"/>
    <row r="415" s="6" customFormat="1" ht="11.25"/>
    <row r="416" s="6" customFormat="1" ht="11.25"/>
    <row r="417" s="6" customFormat="1" ht="11.25"/>
    <row r="418" s="6" customFormat="1" ht="11.25"/>
    <row r="419" s="6" customFormat="1" ht="11.25"/>
    <row r="420" s="6" customFormat="1" ht="11.25"/>
    <row r="421" s="6" customFormat="1" ht="11.25"/>
    <row r="422" s="6" customFormat="1" ht="11.25"/>
    <row r="423" s="6" customFormat="1" ht="11.25"/>
    <row r="424" s="6" customFormat="1" ht="11.25"/>
    <row r="425" s="6" customFormat="1" ht="11.25"/>
    <row r="426" s="6" customFormat="1" ht="11.25"/>
    <row r="427" s="6" customFormat="1" ht="11.25"/>
    <row r="428" s="6" customFormat="1" ht="11.25"/>
    <row r="429" s="6" customFormat="1" ht="11.25"/>
    <row r="430" s="6" customFormat="1" ht="11.25"/>
    <row r="431" s="6" customFormat="1" ht="11.25"/>
    <row r="432" s="6" customFormat="1" ht="11.25"/>
    <row r="433" s="6" customFormat="1" ht="11.25"/>
    <row r="434" s="6" customFormat="1" ht="11.25"/>
    <row r="435" s="6" customFormat="1" ht="11.25"/>
    <row r="436" s="6" customFormat="1" ht="11.25"/>
    <row r="437" s="6" customFormat="1" ht="11.25"/>
    <row r="438" s="6" customFormat="1" ht="11.25"/>
    <row r="439" s="6" customFormat="1" ht="11.25"/>
    <row r="440" s="6" customFormat="1" ht="11.25"/>
    <row r="441" s="6" customFormat="1" ht="11.25"/>
    <row r="442" s="6" customFormat="1" ht="11.25"/>
    <row r="443" s="6" customFormat="1" ht="11.25"/>
    <row r="444" s="6" customFormat="1" ht="11.25"/>
    <row r="445" s="6" customFormat="1" ht="11.25"/>
    <row r="446" s="6" customFormat="1" ht="11.25"/>
    <row r="447" s="6" customFormat="1" ht="11.25"/>
    <row r="448" s="6" customFormat="1" ht="11.25"/>
    <row r="449" s="6" customFormat="1" ht="11.25"/>
    <row r="450" s="6" customFormat="1" ht="11.25"/>
    <row r="451" s="6" customFormat="1" ht="11.25"/>
    <row r="452" s="6" customFormat="1" ht="11.25"/>
    <row r="453" s="6" customFormat="1" ht="11.25"/>
    <row r="454" s="6" customFormat="1" ht="11.25"/>
    <row r="455" s="6" customFormat="1" ht="11.25"/>
    <row r="456" s="6" customFormat="1" ht="11.25"/>
    <row r="457" s="6" customFormat="1" ht="11.25"/>
    <row r="458" s="6" customFormat="1" ht="11.25"/>
    <row r="459" s="6" customFormat="1" ht="11.25"/>
    <row r="460" s="6" customFormat="1" ht="11.25"/>
    <row r="461" s="6" customFormat="1" ht="11.25"/>
    <row r="462" s="6" customFormat="1" ht="11.25"/>
    <row r="463" s="6" customFormat="1" ht="11.25"/>
    <row r="464" s="6" customFormat="1" ht="11.25"/>
    <row r="465" s="6" customFormat="1" ht="11.25"/>
    <row r="466" s="6" customFormat="1" ht="11.25"/>
    <row r="467" s="6" customFormat="1" ht="11.25"/>
    <row r="468" s="6" customFormat="1" ht="11.25"/>
    <row r="469" s="6" customFormat="1" ht="11.25"/>
    <row r="470" s="6" customFormat="1" ht="11.25"/>
    <row r="471" s="6" customFormat="1" ht="11.25"/>
    <row r="472" s="6" customFormat="1" ht="11.25"/>
    <row r="473" spans="2:22" ht="11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</sheetData>
  <sheetProtection/>
  <mergeCells count="1193">
    <mergeCell ref="BD129:BE129"/>
    <mergeCell ref="BB130:BC130"/>
    <mergeCell ref="BD130:BE130"/>
    <mergeCell ref="BB131:BC131"/>
    <mergeCell ref="BD131:BE131"/>
    <mergeCell ref="AS129:AT129"/>
    <mergeCell ref="AS130:AT130"/>
    <mergeCell ref="AU131:AV131"/>
    <mergeCell ref="AW130:AX130"/>
    <mergeCell ref="AW131:AX131"/>
    <mergeCell ref="AQ131:AR131"/>
    <mergeCell ref="AS131:AT131"/>
    <mergeCell ref="BB129:BC129"/>
    <mergeCell ref="AF129:AG129"/>
    <mergeCell ref="AH129:AI129"/>
    <mergeCell ref="AF130:AG130"/>
    <mergeCell ref="AH130:AI130"/>
    <mergeCell ref="AF131:AG131"/>
    <mergeCell ref="AH131:AI131"/>
    <mergeCell ref="AL131:AM131"/>
    <mergeCell ref="BB139:BC139"/>
    <mergeCell ref="BD139:BE139"/>
    <mergeCell ref="BF139:BG139"/>
    <mergeCell ref="BH139:BI139"/>
    <mergeCell ref="BB140:BC140"/>
    <mergeCell ref="BD140:BE140"/>
    <mergeCell ref="BF140:BG140"/>
    <mergeCell ref="BH140:BI140"/>
    <mergeCell ref="BB137:BC137"/>
    <mergeCell ref="BD137:BE137"/>
    <mergeCell ref="BF137:BG137"/>
    <mergeCell ref="BH137:BI137"/>
    <mergeCell ref="BB138:BC138"/>
    <mergeCell ref="BD138:BE138"/>
    <mergeCell ref="BF138:BG138"/>
    <mergeCell ref="BH138:BI138"/>
    <mergeCell ref="BB135:BC135"/>
    <mergeCell ref="BD135:BE135"/>
    <mergeCell ref="BF135:BG135"/>
    <mergeCell ref="BH135:BI135"/>
    <mergeCell ref="BB136:BC136"/>
    <mergeCell ref="BD136:BE136"/>
    <mergeCell ref="BF136:BG136"/>
    <mergeCell ref="BH136:BI136"/>
    <mergeCell ref="BB133:BC133"/>
    <mergeCell ref="BD133:BE133"/>
    <mergeCell ref="BF133:BG133"/>
    <mergeCell ref="BH133:BI133"/>
    <mergeCell ref="BB134:BC134"/>
    <mergeCell ref="BD134:BE134"/>
    <mergeCell ref="BF134:BG134"/>
    <mergeCell ref="BH134:BI134"/>
    <mergeCell ref="AQ139:AR139"/>
    <mergeCell ref="AS139:AT139"/>
    <mergeCell ref="AU139:AV139"/>
    <mergeCell ref="AW139:AX139"/>
    <mergeCell ref="AQ140:AR140"/>
    <mergeCell ref="AS140:AT140"/>
    <mergeCell ref="AU140:AV140"/>
    <mergeCell ref="AW140:AX140"/>
    <mergeCell ref="AQ137:AR137"/>
    <mergeCell ref="AS137:AT137"/>
    <mergeCell ref="AU137:AV137"/>
    <mergeCell ref="AW137:AX137"/>
    <mergeCell ref="AQ138:AR138"/>
    <mergeCell ref="AS138:AT138"/>
    <mergeCell ref="AU138:AV138"/>
    <mergeCell ref="AW138:AX138"/>
    <mergeCell ref="AQ135:AR135"/>
    <mergeCell ref="AS135:AT135"/>
    <mergeCell ref="AU135:AV135"/>
    <mergeCell ref="AW135:AX135"/>
    <mergeCell ref="AQ136:AR136"/>
    <mergeCell ref="AS136:AT136"/>
    <mergeCell ref="AU136:AV136"/>
    <mergeCell ref="AW136:AX136"/>
    <mergeCell ref="AQ133:AR133"/>
    <mergeCell ref="AS133:AT133"/>
    <mergeCell ref="AU133:AV133"/>
    <mergeCell ref="AW133:AX133"/>
    <mergeCell ref="AQ134:AR134"/>
    <mergeCell ref="AS134:AT134"/>
    <mergeCell ref="AU134:AV134"/>
    <mergeCell ref="AW134:AX134"/>
    <mergeCell ref="AF139:AG139"/>
    <mergeCell ref="AH139:AI139"/>
    <mergeCell ref="AJ139:AK139"/>
    <mergeCell ref="AL139:AM139"/>
    <mergeCell ref="AF140:AG140"/>
    <mergeCell ref="AH140:AI140"/>
    <mergeCell ref="AJ140:AK140"/>
    <mergeCell ref="AL140:AM140"/>
    <mergeCell ref="AF137:AG137"/>
    <mergeCell ref="AH137:AI137"/>
    <mergeCell ref="AJ137:AK137"/>
    <mergeCell ref="AL137:AM137"/>
    <mergeCell ref="AF138:AG138"/>
    <mergeCell ref="AH138:AI138"/>
    <mergeCell ref="AJ138:AK138"/>
    <mergeCell ref="AL138:AM138"/>
    <mergeCell ref="AF135:AG135"/>
    <mergeCell ref="AH135:AI135"/>
    <mergeCell ref="AJ135:AK135"/>
    <mergeCell ref="AL135:AM135"/>
    <mergeCell ref="AF136:AG136"/>
    <mergeCell ref="AH136:AI136"/>
    <mergeCell ref="AJ136:AK136"/>
    <mergeCell ref="AL136:AM136"/>
    <mergeCell ref="AF133:AG133"/>
    <mergeCell ref="AH133:AI133"/>
    <mergeCell ref="AJ133:AK133"/>
    <mergeCell ref="AL133:AM133"/>
    <mergeCell ref="AF134:AG134"/>
    <mergeCell ref="AH134:AI134"/>
    <mergeCell ref="AJ134:AK134"/>
    <mergeCell ref="AL134:AM134"/>
    <mergeCell ref="AF122:AG122"/>
    <mergeCell ref="AH122:AI122"/>
    <mergeCell ref="AF119:AG119"/>
    <mergeCell ref="AH119:AI119"/>
    <mergeCell ref="AF120:AG120"/>
    <mergeCell ref="AH120:AI120"/>
    <mergeCell ref="AF121:AG121"/>
    <mergeCell ref="AH121:AI121"/>
    <mergeCell ref="AF116:AG116"/>
    <mergeCell ref="AH116:AI116"/>
    <mergeCell ref="AF117:AG117"/>
    <mergeCell ref="AH117:AI117"/>
    <mergeCell ref="AF118:AG118"/>
    <mergeCell ref="AH118:AI118"/>
    <mergeCell ref="AF110:AG110"/>
    <mergeCell ref="AH110:AI110"/>
    <mergeCell ref="AF111:AG111"/>
    <mergeCell ref="AH111:AI111"/>
    <mergeCell ref="AF115:AG115"/>
    <mergeCell ref="AH115:AI115"/>
    <mergeCell ref="AF107:AG107"/>
    <mergeCell ref="AH107:AI107"/>
    <mergeCell ref="AF108:AG108"/>
    <mergeCell ref="AH108:AI108"/>
    <mergeCell ref="AF109:AG109"/>
    <mergeCell ref="AH109:AI109"/>
    <mergeCell ref="AF104:AG104"/>
    <mergeCell ref="AH104:AI104"/>
    <mergeCell ref="AF105:AG105"/>
    <mergeCell ref="AH105:AI105"/>
    <mergeCell ref="AF106:AG106"/>
    <mergeCell ref="AH106:AI106"/>
    <mergeCell ref="AH95:AI95"/>
    <mergeCell ref="AH96:AI96"/>
    <mergeCell ref="AH97:AI97"/>
    <mergeCell ref="AH98:AI98"/>
    <mergeCell ref="AH99:AI99"/>
    <mergeCell ref="AH100:AI100"/>
    <mergeCell ref="AF95:AG95"/>
    <mergeCell ref="AF96:AG96"/>
    <mergeCell ref="AF97:AG97"/>
    <mergeCell ref="AF98:AG98"/>
    <mergeCell ref="AF99:AG99"/>
    <mergeCell ref="AF100:AG100"/>
    <mergeCell ref="AF89:AG89"/>
    <mergeCell ref="AH89:AI89"/>
    <mergeCell ref="AF93:AG93"/>
    <mergeCell ref="AH93:AI93"/>
    <mergeCell ref="AF94:AG94"/>
    <mergeCell ref="AH94:AI94"/>
    <mergeCell ref="AH85:AI85"/>
    <mergeCell ref="AF86:AG86"/>
    <mergeCell ref="AH86:AI86"/>
    <mergeCell ref="AF87:AG87"/>
    <mergeCell ref="AH87:AI87"/>
    <mergeCell ref="AF88:AG88"/>
    <mergeCell ref="AH88:AI88"/>
    <mergeCell ref="AL120:AM120"/>
    <mergeCell ref="AJ121:AK121"/>
    <mergeCell ref="AL121:AM121"/>
    <mergeCell ref="AJ122:AK122"/>
    <mergeCell ref="AL122:AM122"/>
    <mergeCell ref="AF83:AG83"/>
    <mergeCell ref="AH83:AI83"/>
    <mergeCell ref="AF84:AG84"/>
    <mergeCell ref="AH84:AI84"/>
    <mergeCell ref="AF85:AG85"/>
    <mergeCell ref="AL116:AM116"/>
    <mergeCell ref="AJ117:AK117"/>
    <mergeCell ref="AL117:AM117"/>
    <mergeCell ref="AJ118:AK118"/>
    <mergeCell ref="AL118:AM118"/>
    <mergeCell ref="AJ119:AK119"/>
    <mergeCell ref="AL119:AM119"/>
    <mergeCell ref="AJ111:AK111"/>
    <mergeCell ref="AL111:AM111"/>
    <mergeCell ref="AJ113:AK113"/>
    <mergeCell ref="AL113:AM113"/>
    <mergeCell ref="AJ114:AM114"/>
    <mergeCell ref="AJ115:AK115"/>
    <mergeCell ref="AL115:AM115"/>
    <mergeCell ref="AJ104:AK104"/>
    <mergeCell ref="AL104:AM104"/>
    <mergeCell ref="AJ105:AK105"/>
    <mergeCell ref="AJ109:AK109"/>
    <mergeCell ref="AL109:AM109"/>
    <mergeCell ref="AJ110:AK110"/>
    <mergeCell ref="AL110:AM110"/>
    <mergeCell ref="AJ106:AK106"/>
    <mergeCell ref="AL106:AM106"/>
    <mergeCell ref="AJ107:AK107"/>
    <mergeCell ref="AL107:AM107"/>
    <mergeCell ref="AJ108:AK108"/>
    <mergeCell ref="AL108:AM108"/>
    <mergeCell ref="AJ91:AK91"/>
    <mergeCell ref="AL91:AM91"/>
    <mergeCell ref="AJ92:AM92"/>
    <mergeCell ref="AJ93:AK93"/>
    <mergeCell ref="AL93:AM93"/>
    <mergeCell ref="AJ94:AK94"/>
    <mergeCell ref="AL94:AM94"/>
    <mergeCell ref="AL85:AM85"/>
    <mergeCell ref="AJ86:AK86"/>
    <mergeCell ref="AJ79:AM79"/>
    <mergeCell ref="AJ81:AM81"/>
    <mergeCell ref="AJ82:AK82"/>
    <mergeCell ref="AJ89:AK89"/>
    <mergeCell ref="AL80:AM80"/>
    <mergeCell ref="AL82:AM82"/>
    <mergeCell ref="AJ84:AK84"/>
    <mergeCell ref="AJ85:AK85"/>
    <mergeCell ref="AJ103:AM103"/>
    <mergeCell ref="AL98:AM98"/>
    <mergeCell ref="AJ99:AK99"/>
    <mergeCell ref="AL99:AM99"/>
    <mergeCell ref="AJ100:AK100"/>
    <mergeCell ref="AJ95:AK95"/>
    <mergeCell ref="AL96:AM96"/>
    <mergeCell ref="AL100:AM100"/>
    <mergeCell ref="AJ97:AK97"/>
    <mergeCell ref="AL105:AM105"/>
    <mergeCell ref="AL88:AM88"/>
    <mergeCell ref="AL89:AM89"/>
    <mergeCell ref="AJ102:AK102"/>
    <mergeCell ref="AL102:AM102"/>
    <mergeCell ref="AL97:AM97"/>
    <mergeCell ref="AJ98:AK98"/>
    <mergeCell ref="AL95:AM95"/>
    <mergeCell ref="AJ96:AK96"/>
    <mergeCell ref="AJ88:AK88"/>
    <mergeCell ref="CB122:CC122"/>
    <mergeCell ref="CD122:CE122"/>
    <mergeCell ref="CB120:CC120"/>
    <mergeCell ref="CD120:CE120"/>
    <mergeCell ref="CB118:CC118"/>
    <mergeCell ref="CD118:CE118"/>
    <mergeCell ref="CF122:CG122"/>
    <mergeCell ref="CH122:CI122"/>
    <mergeCell ref="CJ122:CK122"/>
    <mergeCell ref="CL122:CM122"/>
    <mergeCell ref="CB121:CC121"/>
    <mergeCell ref="CD121:CE121"/>
    <mergeCell ref="CF121:CG121"/>
    <mergeCell ref="CH121:CI121"/>
    <mergeCell ref="CJ121:CK121"/>
    <mergeCell ref="CL121:CM121"/>
    <mergeCell ref="CF120:CG120"/>
    <mergeCell ref="CH120:CI120"/>
    <mergeCell ref="CJ120:CK120"/>
    <mergeCell ref="CL120:CM120"/>
    <mergeCell ref="CB119:CC119"/>
    <mergeCell ref="CD119:CE119"/>
    <mergeCell ref="CF119:CG119"/>
    <mergeCell ref="CH119:CI119"/>
    <mergeCell ref="CJ119:CK119"/>
    <mergeCell ref="CL119:CM119"/>
    <mergeCell ref="CF118:CG118"/>
    <mergeCell ref="CH118:CI118"/>
    <mergeCell ref="CJ118:CK118"/>
    <mergeCell ref="CL118:CM118"/>
    <mergeCell ref="CB117:CC117"/>
    <mergeCell ref="CD117:CE117"/>
    <mergeCell ref="CF117:CG117"/>
    <mergeCell ref="CH117:CI117"/>
    <mergeCell ref="CJ117:CK117"/>
    <mergeCell ref="CL117:CM117"/>
    <mergeCell ref="CB116:CC116"/>
    <mergeCell ref="CD116:CE116"/>
    <mergeCell ref="CF116:CG116"/>
    <mergeCell ref="CH116:CI116"/>
    <mergeCell ref="CJ116:CK116"/>
    <mergeCell ref="CL116:CM116"/>
    <mergeCell ref="CB115:CC115"/>
    <mergeCell ref="CD115:CE115"/>
    <mergeCell ref="CF115:CG115"/>
    <mergeCell ref="CH115:CI115"/>
    <mergeCell ref="CJ115:CK115"/>
    <mergeCell ref="CL115:CM115"/>
    <mergeCell ref="CB114:CC114"/>
    <mergeCell ref="CD114:CE114"/>
    <mergeCell ref="CF114:CG114"/>
    <mergeCell ref="CH114:CI114"/>
    <mergeCell ref="CJ114:CK114"/>
    <mergeCell ref="CL114:CM114"/>
    <mergeCell ref="CB113:CC113"/>
    <mergeCell ref="CD113:CE113"/>
    <mergeCell ref="CF113:CG113"/>
    <mergeCell ref="CH113:CI113"/>
    <mergeCell ref="CJ113:CK113"/>
    <mergeCell ref="CL113:CM113"/>
    <mergeCell ref="CB111:CC111"/>
    <mergeCell ref="CD111:CE111"/>
    <mergeCell ref="CF111:CG111"/>
    <mergeCell ref="CH111:CI111"/>
    <mergeCell ref="CJ111:CK111"/>
    <mergeCell ref="CL111:CM111"/>
    <mergeCell ref="CB110:CC110"/>
    <mergeCell ref="CD110:CE110"/>
    <mergeCell ref="CF110:CG110"/>
    <mergeCell ref="CH110:CI110"/>
    <mergeCell ref="CJ110:CK110"/>
    <mergeCell ref="CL110:CM110"/>
    <mergeCell ref="CB109:CC109"/>
    <mergeCell ref="CD109:CE109"/>
    <mergeCell ref="CF109:CG109"/>
    <mergeCell ref="CH109:CI109"/>
    <mergeCell ref="CJ109:CK109"/>
    <mergeCell ref="CL109:CM109"/>
    <mergeCell ref="CB108:CC108"/>
    <mergeCell ref="CD108:CE108"/>
    <mergeCell ref="CF108:CG108"/>
    <mergeCell ref="CH108:CI108"/>
    <mergeCell ref="CJ108:CK108"/>
    <mergeCell ref="CL108:CM108"/>
    <mergeCell ref="CB107:CC107"/>
    <mergeCell ref="CD107:CE107"/>
    <mergeCell ref="CF107:CG107"/>
    <mergeCell ref="CH107:CI107"/>
    <mergeCell ref="CJ107:CK107"/>
    <mergeCell ref="CL107:CM107"/>
    <mergeCell ref="CB106:CC106"/>
    <mergeCell ref="CD106:CE106"/>
    <mergeCell ref="CF106:CG106"/>
    <mergeCell ref="CH106:CI106"/>
    <mergeCell ref="CJ106:CK106"/>
    <mergeCell ref="CL106:CM106"/>
    <mergeCell ref="CB105:CC105"/>
    <mergeCell ref="CD105:CE105"/>
    <mergeCell ref="CF105:CG105"/>
    <mergeCell ref="CH105:CI105"/>
    <mergeCell ref="CJ105:CK105"/>
    <mergeCell ref="CL105:CM105"/>
    <mergeCell ref="CB104:CC104"/>
    <mergeCell ref="CD104:CE104"/>
    <mergeCell ref="CF104:CG104"/>
    <mergeCell ref="CH104:CI104"/>
    <mergeCell ref="CJ104:CK104"/>
    <mergeCell ref="CL104:CM104"/>
    <mergeCell ref="CB103:CC103"/>
    <mergeCell ref="CD103:CE103"/>
    <mergeCell ref="CF103:CG103"/>
    <mergeCell ref="CH103:CI103"/>
    <mergeCell ref="CJ103:CK103"/>
    <mergeCell ref="CL103:CM103"/>
    <mergeCell ref="CB102:CC102"/>
    <mergeCell ref="CD102:CE102"/>
    <mergeCell ref="CF102:CG102"/>
    <mergeCell ref="CH102:CI102"/>
    <mergeCell ref="CJ102:CK102"/>
    <mergeCell ref="CL102:CM102"/>
    <mergeCell ref="CB100:CC100"/>
    <mergeCell ref="CD100:CE100"/>
    <mergeCell ref="CF100:CG100"/>
    <mergeCell ref="CH100:CI100"/>
    <mergeCell ref="CJ100:CK100"/>
    <mergeCell ref="CL100:CM100"/>
    <mergeCell ref="CB99:CC99"/>
    <mergeCell ref="CD99:CE99"/>
    <mergeCell ref="CF99:CG99"/>
    <mergeCell ref="CH99:CI99"/>
    <mergeCell ref="CJ99:CK99"/>
    <mergeCell ref="CL99:CM99"/>
    <mergeCell ref="CB98:CC98"/>
    <mergeCell ref="CD98:CE98"/>
    <mergeCell ref="CF98:CG98"/>
    <mergeCell ref="CH98:CI98"/>
    <mergeCell ref="CJ98:CK98"/>
    <mergeCell ref="CL98:CM98"/>
    <mergeCell ref="CB97:CC97"/>
    <mergeCell ref="CD97:CE97"/>
    <mergeCell ref="CF97:CG97"/>
    <mergeCell ref="CH97:CI97"/>
    <mergeCell ref="CJ97:CK97"/>
    <mergeCell ref="CL97:CM97"/>
    <mergeCell ref="CB96:CC96"/>
    <mergeCell ref="CD96:CE96"/>
    <mergeCell ref="CF96:CG96"/>
    <mergeCell ref="CH96:CI96"/>
    <mergeCell ref="CJ96:CK96"/>
    <mergeCell ref="CL96:CM96"/>
    <mergeCell ref="CB95:CC95"/>
    <mergeCell ref="CD95:CE95"/>
    <mergeCell ref="CF95:CG95"/>
    <mergeCell ref="CH95:CI95"/>
    <mergeCell ref="CJ95:CK95"/>
    <mergeCell ref="CL95:CM95"/>
    <mergeCell ref="CB94:CC94"/>
    <mergeCell ref="CD94:CE94"/>
    <mergeCell ref="CF94:CG94"/>
    <mergeCell ref="CH94:CI94"/>
    <mergeCell ref="CJ94:CK94"/>
    <mergeCell ref="CL94:CM94"/>
    <mergeCell ref="CL92:CM92"/>
    <mergeCell ref="CB93:CC93"/>
    <mergeCell ref="CD93:CE93"/>
    <mergeCell ref="CF93:CG93"/>
    <mergeCell ref="CH93:CI93"/>
    <mergeCell ref="CJ93:CK93"/>
    <mergeCell ref="CL93:CM93"/>
    <mergeCell ref="CD91:CE91"/>
    <mergeCell ref="CF91:CG91"/>
    <mergeCell ref="CH91:CI91"/>
    <mergeCell ref="CJ91:CK91"/>
    <mergeCell ref="CL91:CM91"/>
    <mergeCell ref="CB92:CC92"/>
    <mergeCell ref="CD92:CE92"/>
    <mergeCell ref="CF92:CG92"/>
    <mergeCell ref="CH92:CI92"/>
    <mergeCell ref="CJ92:CK92"/>
    <mergeCell ref="CD88:CE88"/>
    <mergeCell ref="CF88:CG88"/>
    <mergeCell ref="CH88:CI88"/>
    <mergeCell ref="CJ88:CK88"/>
    <mergeCell ref="CL88:CM88"/>
    <mergeCell ref="CD89:CE89"/>
    <mergeCell ref="CF89:CG89"/>
    <mergeCell ref="CH89:CI89"/>
    <mergeCell ref="CJ89:CK89"/>
    <mergeCell ref="CL89:CM89"/>
    <mergeCell ref="CD86:CE86"/>
    <mergeCell ref="CF86:CG86"/>
    <mergeCell ref="CH86:CI86"/>
    <mergeCell ref="CJ86:CK86"/>
    <mergeCell ref="CL86:CM86"/>
    <mergeCell ref="CD87:CE87"/>
    <mergeCell ref="CF87:CG87"/>
    <mergeCell ref="CH87:CI87"/>
    <mergeCell ref="CJ87:CK87"/>
    <mergeCell ref="CL87:CM87"/>
    <mergeCell ref="CD84:CE84"/>
    <mergeCell ref="CF84:CG84"/>
    <mergeCell ref="CH84:CI84"/>
    <mergeCell ref="CJ84:CK84"/>
    <mergeCell ref="CL84:CM84"/>
    <mergeCell ref="CD85:CE85"/>
    <mergeCell ref="CF85:CG85"/>
    <mergeCell ref="CH85:CI85"/>
    <mergeCell ref="CJ85:CK85"/>
    <mergeCell ref="CL85:CM85"/>
    <mergeCell ref="CD82:CE82"/>
    <mergeCell ref="CF82:CG82"/>
    <mergeCell ref="CH82:CI82"/>
    <mergeCell ref="CJ82:CK82"/>
    <mergeCell ref="CL82:CM82"/>
    <mergeCell ref="CD83:CE83"/>
    <mergeCell ref="CF83:CG83"/>
    <mergeCell ref="CH83:CI83"/>
    <mergeCell ref="CJ83:CK83"/>
    <mergeCell ref="CL83:CM83"/>
    <mergeCell ref="CD80:CE80"/>
    <mergeCell ref="CF80:CG80"/>
    <mergeCell ref="CH80:CI80"/>
    <mergeCell ref="CJ80:CK80"/>
    <mergeCell ref="CL80:CM80"/>
    <mergeCell ref="CD81:CE81"/>
    <mergeCell ref="CF81:CG81"/>
    <mergeCell ref="CH81:CI81"/>
    <mergeCell ref="CJ81:CK81"/>
    <mergeCell ref="CL81:CM81"/>
    <mergeCell ref="BN122:BO122"/>
    <mergeCell ref="BP122:BQ122"/>
    <mergeCell ref="BR122:BS122"/>
    <mergeCell ref="BT122:BU122"/>
    <mergeCell ref="BV122:BW122"/>
    <mergeCell ref="BX122:BY122"/>
    <mergeCell ref="BN121:BO121"/>
    <mergeCell ref="BP121:BQ121"/>
    <mergeCell ref="BR121:BS121"/>
    <mergeCell ref="BT121:BU121"/>
    <mergeCell ref="BV121:BW121"/>
    <mergeCell ref="BX121:BY121"/>
    <mergeCell ref="BN120:BO120"/>
    <mergeCell ref="BP120:BQ120"/>
    <mergeCell ref="BR120:BS120"/>
    <mergeCell ref="BT120:BU120"/>
    <mergeCell ref="BV120:BW120"/>
    <mergeCell ref="BX120:BY120"/>
    <mergeCell ref="BN119:BO119"/>
    <mergeCell ref="BP119:BQ119"/>
    <mergeCell ref="BR119:BS119"/>
    <mergeCell ref="BT119:BU119"/>
    <mergeCell ref="BV119:BW119"/>
    <mergeCell ref="BX119:BY119"/>
    <mergeCell ref="BN118:BO118"/>
    <mergeCell ref="BP118:BQ118"/>
    <mergeCell ref="BR118:BS118"/>
    <mergeCell ref="BT118:BU118"/>
    <mergeCell ref="BV118:BW118"/>
    <mergeCell ref="BX118:BY118"/>
    <mergeCell ref="BN117:BO117"/>
    <mergeCell ref="BP117:BQ117"/>
    <mergeCell ref="BR117:BS117"/>
    <mergeCell ref="BT117:BU117"/>
    <mergeCell ref="BV117:BW117"/>
    <mergeCell ref="BX117:BY117"/>
    <mergeCell ref="BN116:BO116"/>
    <mergeCell ref="BP116:BQ116"/>
    <mergeCell ref="BR116:BS116"/>
    <mergeCell ref="BT116:BU116"/>
    <mergeCell ref="BV116:BW116"/>
    <mergeCell ref="BX116:BY116"/>
    <mergeCell ref="BN115:BO115"/>
    <mergeCell ref="BP115:BQ115"/>
    <mergeCell ref="BR115:BS115"/>
    <mergeCell ref="BT115:BU115"/>
    <mergeCell ref="BV115:BW115"/>
    <mergeCell ref="BX115:BY115"/>
    <mergeCell ref="BN114:BO114"/>
    <mergeCell ref="BP114:BQ114"/>
    <mergeCell ref="BR114:BS114"/>
    <mergeCell ref="BT114:BU114"/>
    <mergeCell ref="BV114:BW114"/>
    <mergeCell ref="BX114:BY114"/>
    <mergeCell ref="BN113:BO113"/>
    <mergeCell ref="BP113:BQ113"/>
    <mergeCell ref="BR113:BS113"/>
    <mergeCell ref="BT113:BU113"/>
    <mergeCell ref="BV113:BW113"/>
    <mergeCell ref="BX113:BY113"/>
    <mergeCell ref="BN111:BO111"/>
    <mergeCell ref="BP111:BQ111"/>
    <mergeCell ref="BR111:BS111"/>
    <mergeCell ref="BT111:BU111"/>
    <mergeCell ref="BV111:BW111"/>
    <mergeCell ref="BX111:BY111"/>
    <mergeCell ref="BN110:BO110"/>
    <mergeCell ref="BP110:BQ110"/>
    <mergeCell ref="BR110:BS110"/>
    <mergeCell ref="BT110:BU110"/>
    <mergeCell ref="BV110:BW110"/>
    <mergeCell ref="BX110:BY110"/>
    <mergeCell ref="BN109:BO109"/>
    <mergeCell ref="BP109:BQ109"/>
    <mergeCell ref="BR109:BS109"/>
    <mergeCell ref="BT109:BU109"/>
    <mergeCell ref="BV109:BW109"/>
    <mergeCell ref="BX109:BY109"/>
    <mergeCell ref="BN108:BO108"/>
    <mergeCell ref="BP108:BQ108"/>
    <mergeCell ref="BR108:BS108"/>
    <mergeCell ref="BT108:BU108"/>
    <mergeCell ref="BV108:BW108"/>
    <mergeCell ref="BX108:BY108"/>
    <mergeCell ref="BN107:BO107"/>
    <mergeCell ref="BP107:BQ107"/>
    <mergeCell ref="BR107:BS107"/>
    <mergeCell ref="BT107:BU107"/>
    <mergeCell ref="BV107:BW107"/>
    <mergeCell ref="BX107:BY107"/>
    <mergeCell ref="BN106:BO106"/>
    <mergeCell ref="BP106:BQ106"/>
    <mergeCell ref="BR106:BS106"/>
    <mergeCell ref="BT106:BU106"/>
    <mergeCell ref="BV106:BW106"/>
    <mergeCell ref="BX106:BY106"/>
    <mergeCell ref="BN105:BO105"/>
    <mergeCell ref="BP105:BQ105"/>
    <mergeCell ref="BR105:BS105"/>
    <mergeCell ref="BT105:BU105"/>
    <mergeCell ref="BV105:BW105"/>
    <mergeCell ref="BX105:BY105"/>
    <mergeCell ref="BN104:BO104"/>
    <mergeCell ref="BP104:BQ104"/>
    <mergeCell ref="BR104:BS104"/>
    <mergeCell ref="BT104:BU104"/>
    <mergeCell ref="BV104:BW104"/>
    <mergeCell ref="BX104:BY104"/>
    <mergeCell ref="BN103:BO103"/>
    <mergeCell ref="BP103:BQ103"/>
    <mergeCell ref="BR103:BS103"/>
    <mergeCell ref="BT103:BU103"/>
    <mergeCell ref="BV103:BW103"/>
    <mergeCell ref="BX103:BY103"/>
    <mergeCell ref="BN102:BO102"/>
    <mergeCell ref="BP102:BQ102"/>
    <mergeCell ref="BR102:BS102"/>
    <mergeCell ref="BT102:BU102"/>
    <mergeCell ref="BV102:BW102"/>
    <mergeCell ref="BX102:BY102"/>
    <mergeCell ref="BN100:BO100"/>
    <mergeCell ref="BP100:BQ100"/>
    <mergeCell ref="BR100:BS100"/>
    <mergeCell ref="BT100:BU100"/>
    <mergeCell ref="BV100:BW100"/>
    <mergeCell ref="BX100:BY100"/>
    <mergeCell ref="BN99:BO99"/>
    <mergeCell ref="BP99:BQ99"/>
    <mergeCell ref="BR99:BS99"/>
    <mergeCell ref="BT99:BU99"/>
    <mergeCell ref="BV99:BW99"/>
    <mergeCell ref="BX99:BY99"/>
    <mergeCell ref="BN98:BO98"/>
    <mergeCell ref="BP98:BQ98"/>
    <mergeCell ref="BR98:BS98"/>
    <mergeCell ref="BT98:BU98"/>
    <mergeCell ref="BV98:BW98"/>
    <mergeCell ref="BX98:BY98"/>
    <mergeCell ref="BN97:BO97"/>
    <mergeCell ref="BP97:BQ97"/>
    <mergeCell ref="BR97:BS97"/>
    <mergeCell ref="BT97:BU97"/>
    <mergeCell ref="BV97:BW97"/>
    <mergeCell ref="BX97:BY97"/>
    <mergeCell ref="BN96:BO96"/>
    <mergeCell ref="BP96:BQ96"/>
    <mergeCell ref="BR96:BS96"/>
    <mergeCell ref="BT96:BU96"/>
    <mergeCell ref="BV96:BW96"/>
    <mergeCell ref="BX96:BY96"/>
    <mergeCell ref="BN95:BO95"/>
    <mergeCell ref="BP95:BQ95"/>
    <mergeCell ref="BR95:BS95"/>
    <mergeCell ref="BT95:BU95"/>
    <mergeCell ref="BV95:BW95"/>
    <mergeCell ref="BX95:BY95"/>
    <mergeCell ref="BN94:BO94"/>
    <mergeCell ref="BP94:BQ94"/>
    <mergeCell ref="BR94:BS94"/>
    <mergeCell ref="BT94:BU94"/>
    <mergeCell ref="BV94:BW94"/>
    <mergeCell ref="BX94:BY94"/>
    <mergeCell ref="BN93:BO93"/>
    <mergeCell ref="BP93:BQ93"/>
    <mergeCell ref="BR93:BS93"/>
    <mergeCell ref="BT93:BU93"/>
    <mergeCell ref="BV93:BW93"/>
    <mergeCell ref="BX93:BY93"/>
    <mergeCell ref="BN92:BO92"/>
    <mergeCell ref="BP92:BQ92"/>
    <mergeCell ref="BR92:BS92"/>
    <mergeCell ref="BT92:BU92"/>
    <mergeCell ref="BV92:BW92"/>
    <mergeCell ref="BX92:BY92"/>
    <mergeCell ref="CB89:CC89"/>
    <mergeCell ref="BN91:BO91"/>
    <mergeCell ref="BP91:BQ91"/>
    <mergeCell ref="BR91:BS91"/>
    <mergeCell ref="BT91:BU91"/>
    <mergeCell ref="BV91:BW91"/>
    <mergeCell ref="BX91:BY91"/>
    <mergeCell ref="CB91:CC91"/>
    <mergeCell ref="BX89:BY89"/>
    <mergeCell ref="CB80:CC80"/>
    <mergeCell ref="CB81:CC81"/>
    <mergeCell ref="CB82:CC82"/>
    <mergeCell ref="CB83:CC83"/>
    <mergeCell ref="CB84:CC84"/>
    <mergeCell ref="CB85:CC85"/>
    <mergeCell ref="CB86:CC86"/>
    <mergeCell ref="CB87:CC87"/>
    <mergeCell ref="CB88:CC88"/>
    <mergeCell ref="BV89:BW89"/>
    <mergeCell ref="BX80:BY80"/>
    <mergeCell ref="BX81:BY81"/>
    <mergeCell ref="BX82:BY82"/>
    <mergeCell ref="BX83:BY83"/>
    <mergeCell ref="BX84:BY84"/>
    <mergeCell ref="BX85:BY85"/>
    <mergeCell ref="BX86:BY86"/>
    <mergeCell ref="BX87:BY87"/>
    <mergeCell ref="BX88:BY88"/>
    <mergeCell ref="BT89:BU89"/>
    <mergeCell ref="BV80:BW80"/>
    <mergeCell ref="BV81:BW81"/>
    <mergeCell ref="BV82:BW82"/>
    <mergeCell ref="BV83:BW83"/>
    <mergeCell ref="BV84:BW84"/>
    <mergeCell ref="BV85:BW85"/>
    <mergeCell ref="BV86:BW86"/>
    <mergeCell ref="BV87:BW87"/>
    <mergeCell ref="BV88:BW88"/>
    <mergeCell ref="BR89:BS89"/>
    <mergeCell ref="BT80:BU80"/>
    <mergeCell ref="BT81:BU81"/>
    <mergeCell ref="BT82:BU82"/>
    <mergeCell ref="BT83:BU83"/>
    <mergeCell ref="BT84:BU84"/>
    <mergeCell ref="BT85:BU85"/>
    <mergeCell ref="BT86:BU86"/>
    <mergeCell ref="BT87:BU87"/>
    <mergeCell ref="BT88:BU88"/>
    <mergeCell ref="BP89:BQ89"/>
    <mergeCell ref="BR80:BS80"/>
    <mergeCell ref="BR81:BS81"/>
    <mergeCell ref="BR82:BS82"/>
    <mergeCell ref="BR83:BS83"/>
    <mergeCell ref="BR84:BS84"/>
    <mergeCell ref="BR85:BS85"/>
    <mergeCell ref="BR86:BS86"/>
    <mergeCell ref="BR87:BS87"/>
    <mergeCell ref="BR88:BS88"/>
    <mergeCell ref="BN89:BO89"/>
    <mergeCell ref="BP80:BQ80"/>
    <mergeCell ref="BP81:BQ81"/>
    <mergeCell ref="BP82:BQ82"/>
    <mergeCell ref="BP83:BQ83"/>
    <mergeCell ref="BP84:BQ84"/>
    <mergeCell ref="BP85:BQ85"/>
    <mergeCell ref="BP86:BQ86"/>
    <mergeCell ref="BP87:BQ87"/>
    <mergeCell ref="BP88:BQ88"/>
    <mergeCell ref="AH82:AI82"/>
    <mergeCell ref="BN84:BO84"/>
    <mergeCell ref="BN85:BO85"/>
    <mergeCell ref="BN86:BO86"/>
    <mergeCell ref="BN87:BO87"/>
    <mergeCell ref="BN88:BO88"/>
    <mergeCell ref="AL83:AM83"/>
    <mergeCell ref="AL84:AM84"/>
    <mergeCell ref="AJ87:AK87"/>
    <mergeCell ref="AJ83:AK83"/>
    <mergeCell ref="E72:F72"/>
    <mergeCell ref="E83:G83"/>
    <mergeCell ref="K83:M83"/>
    <mergeCell ref="Q83:S83"/>
    <mergeCell ref="K72:L72"/>
    <mergeCell ref="AL86:AM86"/>
    <mergeCell ref="AL87:AM87"/>
    <mergeCell ref="BN80:BO80"/>
    <mergeCell ref="BN81:BO81"/>
    <mergeCell ref="BN82:BO82"/>
    <mergeCell ref="BN83:BO83"/>
    <mergeCell ref="AJ80:AK80"/>
    <mergeCell ref="AF82:AG82"/>
    <mergeCell ref="AQ83:AR83"/>
    <mergeCell ref="AS83:AT83"/>
    <mergeCell ref="AU83:AV83"/>
    <mergeCell ref="AW83:AX83"/>
    <mergeCell ref="Q91:T91"/>
    <mergeCell ref="Q92:T92"/>
    <mergeCell ref="O92:P92"/>
    <mergeCell ref="P59:R59"/>
    <mergeCell ref="N84:N85"/>
    <mergeCell ref="O91:P91"/>
    <mergeCell ref="Q63:R63"/>
    <mergeCell ref="Q64:R64"/>
    <mergeCell ref="E71:F71"/>
    <mergeCell ref="K62:M62"/>
    <mergeCell ref="Q62:S62"/>
    <mergeCell ref="E70:G70"/>
    <mergeCell ref="E66:F66"/>
    <mergeCell ref="K63:L63"/>
    <mergeCell ref="K64:L64"/>
    <mergeCell ref="E63:F63"/>
    <mergeCell ref="E64:F64"/>
    <mergeCell ref="K36:M36"/>
    <mergeCell ref="Q41:S41"/>
    <mergeCell ref="K65:L65"/>
    <mergeCell ref="K66:L66"/>
    <mergeCell ref="Q66:R66"/>
    <mergeCell ref="K71:L71"/>
    <mergeCell ref="K70:M70"/>
    <mergeCell ref="Q70:S70"/>
    <mergeCell ref="K42:M42"/>
    <mergeCell ref="K37:M37"/>
    <mergeCell ref="E40:G40"/>
    <mergeCell ref="K38:M38"/>
    <mergeCell ref="K39:M39"/>
    <mergeCell ref="K41:M41"/>
    <mergeCell ref="K40:M40"/>
    <mergeCell ref="Q40:S40"/>
    <mergeCell ref="U2:U5"/>
    <mergeCell ref="E44:G44"/>
    <mergeCell ref="E62:G62"/>
    <mergeCell ref="K44:M44"/>
    <mergeCell ref="E43:G43"/>
    <mergeCell ref="K43:M43"/>
    <mergeCell ref="S13:T13"/>
    <mergeCell ref="H16:I16"/>
    <mergeCell ref="Q42:S42"/>
    <mergeCell ref="Q43:S43"/>
    <mergeCell ref="H17:I17"/>
    <mergeCell ref="S10:T10"/>
    <mergeCell ref="S11:T11"/>
    <mergeCell ref="B6:V6"/>
    <mergeCell ref="H12:I12"/>
    <mergeCell ref="H13:I13"/>
    <mergeCell ref="H10:I10"/>
    <mergeCell ref="H11:I11"/>
    <mergeCell ref="S16:T16"/>
    <mergeCell ref="S17:T17"/>
    <mergeCell ref="J3:M3"/>
    <mergeCell ref="J4:M4"/>
    <mergeCell ref="Q3:T3"/>
    <mergeCell ref="Q2:T2"/>
    <mergeCell ref="Q4:T4"/>
    <mergeCell ref="O3:P3"/>
    <mergeCell ref="O4:P4"/>
    <mergeCell ref="E36:G36"/>
    <mergeCell ref="S12:T12"/>
    <mergeCell ref="H84:H85"/>
    <mergeCell ref="E38:G38"/>
    <mergeCell ref="E39:G39"/>
    <mergeCell ref="E41:G41"/>
    <mergeCell ref="E42:G42"/>
    <mergeCell ref="Q37:S37"/>
    <mergeCell ref="Q38:S38"/>
    <mergeCell ref="E37:G37"/>
    <mergeCell ref="K79:M79"/>
    <mergeCell ref="Q79:S79"/>
    <mergeCell ref="E45:G45"/>
    <mergeCell ref="K45:M45"/>
    <mergeCell ref="Q45:S45"/>
    <mergeCell ref="E46:G46"/>
    <mergeCell ref="K46:M46"/>
    <mergeCell ref="E65:F65"/>
    <mergeCell ref="Q65:R65"/>
    <mergeCell ref="Q71:R71"/>
    <mergeCell ref="Q44:S44"/>
    <mergeCell ref="Q39:S39"/>
    <mergeCell ref="AJ124:AK124"/>
    <mergeCell ref="AL124:AM124"/>
    <mergeCell ref="P56:R56"/>
    <mergeCell ref="Q36:S36"/>
    <mergeCell ref="B94:V94"/>
    <mergeCell ref="Q90:T90"/>
    <mergeCell ref="K114:L114"/>
    <mergeCell ref="E79:G79"/>
    <mergeCell ref="AW128:AX128"/>
    <mergeCell ref="AW129:AX129"/>
    <mergeCell ref="AJ125:AM125"/>
    <mergeCell ref="AF126:AG126"/>
    <mergeCell ref="AH126:AI126"/>
    <mergeCell ref="AJ126:AK126"/>
    <mergeCell ref="AL126:AM126"/>
    <mergeCell ref="AH127:AI127"/>
    <mergeCell ref="AJ127:AK127"/>
    <mergeCell ref="AL127:AM127"/>
    <mergeCell ref="K131:L131"/>
    <mergeCell ref="R114:S114"/>
    <mergeCell ref="R131:S131"/>
    <mergeCell ref="AF127:AG127"/>
    <mergeCell ref="AJ131:AK131"/>
    <mergeCell ref="AF128:AG128"/>
    <mergeCell ref="AH128:AI128"/>
    <mergeCell ref="AJ128:AK128"/>
    <mergeCell ref="AJ116:AK116"/>
    <mergeCell ref="AJ120:AK120"/>
    <mergeCell ref="AL130:AM130"/>
    <mergeCell ref="AS128:AT128"/>
    <mergeCell ref="AU128:AV128"/>
    <mergeCell ref="AU129:AV129"/>
    <mergeCell ref="AU130:AV130"/>
    <mergeCell ref="AQ129:AR129"/>
    <mergeCell ref="AQ130:AR130"/>
    <mergeCell ref="AL128:AM128"/>
    <mergeCell ref="D131:E131"/>
    <mergeCell ref="AS126:AT126"/>
    <mergeCell ref="AU126:AV126"/>
    <mergeCell ref="AW126:AX126"/>
    <mergeCell ref="AQ127:AR127"/>
    <mergeCell ref="AS127:AT127"/>
    <mergeCell ref="AU127:AV127"/>
    <mergeCell ref="AW127:AX127"/>
    <mergeCell ref="AQ128:AR128"/>
    <mergeCell ref="AJ130:AK130"/>
    <mergeCell ref="AU79:AX79"/>
    <mergeCell ref="AU80:AV80"/>
    <mergeCell ref="AW80:AX80"/>
    <mergeCell ref="AU81:AX81"/>
    <mergeCell ref="AQ82:AR82"/>
    <mergeCell ref="AS82:AT82"/>
    <mergeCell ref="AU82:AV82"/>
    <mergeCell ref="AW82:AX82"/>
    <mergeCell ref="AQ84:AR84"/>
    <mergeCell ref="AS84:AT84"/>
    <mergeCell ref="AU84:AV84"/>
    <mergeCell ref="AW84:AX84"/>
    <mergeCell ref="AQ85:AR85"/>
    <mergeCell ref="AS85:AT85"/>
    <mergeCell ref="AU85:AV85"/>
    <mergeCell ref="AW85:AX85"/>
    <mergeCell ref="AU89:AV89"/>
    <mergeCell ref="AW89:AX89"/>
    <mergeCell ref="AQ86:AR86"/>
    <mergeCell ref="AS86:AT86"/>
    <mergeCell ref="AU86:AV86"/>
    <mergeCell ref="AW86:AX86"/>
    <mergeCell ref="AQ87:AR87"/>
    <mergeCell ref="AS87:AT87"/>
    <mergeCell ref="AU87:AV87"/>
    <mergeCell ref="AW87:AX87"/>
    <mergeCell ref="AW94:AX94"/>
    <mergeCell ref="AU92:AX92"/>
    <mergeCell ref="AQ93:AR93"/>
    <mergeCell ref="AS93:AT93"/>
    <mergeCell ref="AQ88:AR88"/>
    <mergeCell ref="AS88:AT88"/>
    <mergeCell ref="AU88:AV88"/>
    <mergeCell ref="AW88:AX88"/>
    <mergeCell ref="AQ89:AR89"/>
    <mergeCell ref="AS89:AT89"/>
    <mergeCell ref="AQ96:AR96"/>
    <mergeCell ref="AS96:AT96"/>
    <mergeCell ref="AU96:AV96"/>
    <mergeCell ref="AW96:AX96"/>
    <mergeCell ref="AU90:AX90"/>
    <mergeCell ref="AU91:AV91"/>
    <mergeCell ref="AW91:AX91"/>
    <mergeCell ref="AQ94:AR94"/>
    <mergeCell ref="AS94:AT94"/>
    <mergeCell ref="AU94:AV94"/>
    <mergeCell ref="AQ98:AR98"/>
    <mergeCell ref="AS98:AT98"/>
    <mergeCell ref="AU98:AV98"/>
    <mergeCell ref="AW98:AX98"/>
    <mergeCell ref="AQ99:AR99"/>
    <mergeCell ref="AS99:AT99"/>
    <mergeCell ref="AU99:AV99"/>
    <mergeCell ref="AW99:AX99"/>
    <mergeCell ref="AU93:AV93"/>
    <mergeCell ref="AW93:AX93"/>
    <mergeCell ref="AQ97:AR97"/>
    <mergeCell ref="AS97:AT97"/>
    <mergeCell ref="AU97:AV97"/>
    <mergeCell ref="AW97:AX97"/>
    <mergeCell ref="AQ95:AR95"/>
    <mergeCell ref="AS95:AT95"/>
    <mergeCell ref="AU95:AV95"/>
    <mergeCell ref="AW95:AX95"/>
    <mergeCell ref="AU101:AX101"/>
    <mergeCell ref="AQ100:AR100"/>
    <mergeCell ref="AS100:AT100"/>
    <mergeCell ref="AU100:AV100"/>
    <mergeCell ref="AW100:AX100"/>
    <mergeCell ref="AU103:AX103"/>
    <mergeCell ref="AU102:AV102"/>
    <mergeCell ref="AW102:AX102"/>
    <mergeCell ref="AQ104:AR104"/>
    <mergeCell ref="AS104:AT104"/>
    <mergeCell ref="AU104:AV104"/>
    <mergeCell ref="AW104:AX104"/>
    <mergeCell ref="AQ105:AR105"/>
    <mergeCell ref="AS105:AT105"/>
    <mergeCell ref="AU105:AV105"/>
    <mergeCell ref="AW105:AX105"/>
    <mergeCell ref="AQ106:AR106"/>
    <mergeCell ref="AS106:AT106"/>
    <mergeCell ref="AU106:AV106"/>
    <mergeCell ref="AW106:AX106"/>
    <mergeCell ref="AQ107:AR107"/>
    <mergeCell ref="AS107:AT107"/>
    <mergeCell ref="AU107:AV107"/>
    <mergeCell ref="AW107:AX107"/>
    <mergeCell ref="AQ108:AR108"/>
    <mergeCell ref="AS108:AT108"/>
    <mergeCell ref="AU108:AV108"/>
    <mergeCell ref="AW108:AX108"/>
    <mergeCell ref="AQ109:AR109"/>
    <mergeCell ref="AS109:AT109"/>
    <mergeCell ref="AU109:AV109"/>
    <mergeCell ref="AW109:AX109"/>
    <mergeCell ref="AQ110:AR110"/>
    <mergeCell ref="AS110:AT110"/>
    <mergeCell ref="AU110:AV110"/>
    <mergeCell ref="AW110:AX110"/>
    <mergeCell ref="AQ111:AR111"/>
    <mergeCell ref="AS111:AT111"/>
    <mergeCell ref="AU111:AV111"/>
    <mergeCell ref="AW111:AX111"/>
    <mergeCell ref="AU112:AX112"/>
    <mergeCell ref="AU113:AV113"/>
    <mergeCell ref="AW113:AX113"/>
    <mergeCell ref="AU114:AX114"/>
    <mergeCell ref="AQ115:AR115"/>
    <mergeCell ref="AS115:AT115"/>
    <mergeCell ref="AU115:AV115"/>
    <mergeCell ref="AW115:AX115"/>
    <mergeCell ref="AQ116:AR116"/>
    <mergeCell ref="AS116:AT116"/>
    <mergeCell ref="AU116:AV116"/>
    <mergeCell ref="AW116:AX116"/>
    <mergeCell ref="AQ117:AR117"/>
    <mergeCell ref="AS117:AT117"/>
    <mergeCell ref="AU117:AV117"/>
    <mergeCell ref="AW117:AX117"/>
    <mergeCell ref="AQ118:AR118"/>
    <mergeCell ref="AS118:AT118"/>
    <mergeCell ref="AU118:AV118"/>
    <mergeCell ref="AW118:AX118"/>
    <mergeCell ref="AQ119:AR119"/>
    <mergeCell ref="AS119:AT119"/>
    <mergeCell ref="AU119:AV119"/>
    <mergeCell ref="AW119:AX119"/>
    <mergeCell ref="AQ120:AR120"/>
    <mergeCell ref="AS120:AT120"/>
    <mergeCell ref="AU120:AV120"/>
    <mergeCell ref="AW120:AX120"/>
    <mergeCell ref="AQ121:AR121"/>
    <mergeCell ref="AS121:AT121"/>
    <mergeCell ref="AU121:AV121"/>
    <mergeCell ref="AW121:AX121"/>
    <mergeCell ref="AQ122:AR122"/>
    <mergeCell ref="AS122:AT122"/>
    <mergeCell ref="AU122:AV122"/>
    <mergeCell ref="AW122:AX122"/>
    <mergeCell ref="AJ129:AK129"/>
    <mergeCell ref="AL129:AM129"/>
    <mergeCell ref="AU124:AV124"/>
    <mergeCell ref="AW124:AX124"/>
    <mergeCell ref="AU125:AX125"/>
    <mergeCell ref="AQ126:AR126"/>
    <mergeCell ref="BF79:BI79"/>
    <mergeCell ref="BF80:BG80"/>
    <mergeCell ref="BH80:BI80"/>
    <mergeCell ref="BF81:BI81"/>
    <mergeCell ref="BB82:BC82"/>
    <mergeCell ref="BD82:BE82"/>
    <mergeCell ref="BF82:BG82"/>
    <mergeCell ref="BH82:BI82"/>
    <mergeCell ref="BB83:BC83"/>
    <mergeCell ref="BD83:BE83"/>
    <mergeCell ref="BF83:BG83"/>
    <mergeCell ref="BH83:BI83"/>
    <mergeCell ref="BB84:BC84"/>
    <mergeCell ref="BD84:BE84"/>
    <mergeCell ref="BF84:BG84"/>
    <mergeCell ref="BH84:BI84"/>
    <mergeCell ref="BB85:BC85"/>
    <mergeCell ref="BD85:BE85"/>
    <mergeCell ref="BF85:BG85"/>
    <mergeCell ref="BH85:BI85"/>
    <mergeCell ref="BB86:BC86"/>
    <mergeCell ref="BD86:BE86"/>
    <mergeCell ref="BF86:BG86"/>
    <mergeCell ref="BH86:BI86"/>
    <mergeCell ref="BB87:BC87"/>
    <mergeCell ref="BD87:BE87"/>
    <mergeCell ref="BF87:BG87"/>
    <mergeCell ref="BH87:BI87"/>
    <mergeCell ref="BB88:BC88"/>
    <mergeCell ref="BD88:BE88"/>
    <mergeCell ref="BF88:BG88"/>
    <mergeCell ref="BH88:BI88"/>
    <mergeCell ref="BB89:BC89"/>
    <mergeCell ref="BD89:BE89"/>
    <mergeCell ref="BF89:BG89"/>
    <mergeCell ref="BH89:BI89"/>
    <mergeCell ref="BF90:BI90"/>
    <mergeCell ref="BF91:BG91"/>
    <mergeCell ref="BH91:BI91"/>
    <mergeCell ref="BF92:BI92"/>
    <mergeCell ref="BB93:BC93"/>
    <mergeCell ref="BD93:BE93"/>
    <mergeCell ref="BF93:BG93"/>
    <mergeCell ref="BH93:BI93"/>
    <mergeCell ref="BB94:BC94"/>
    <mergeCell ref="BD94:BE94"/>
    <mergeCell ref="BF94:BG94"/>
    <mergeCell ref="BH94:BI94"/>
    <mergeCell ref="BB95:BC95"/>
    <mergeCell ref="BD95:BE95"/>
    <mergeCell ref="BF95:BG95"/>
    <mergeCell ref="BH95:BI95"/>
    <mergeCell ref="BB96:BC96"/>
    <mergeCell ref="BD96:BE96"/>
    <mergeCell ref="BF96:BG96"/>
    <mergeCell ref="BH96:BI96"/>
    <mergeCell ref="BB97:BC97"/>
    <mergeCell ref="BD97:BE97"/>
    <mergeCell ref="BF97:BG97"/>
    <mergeCell ref="BH97:BI97"/>
    <mergeCell ref="BB98:BC98"/>
    <mergeCell ref="BD98:BE98"/>
    <mergeCell ref="BF98:BG98"/>
    <mergeCell ref="BH98:BI98"/>
    <mergeCell ref="BB99:BC99"/>
    <mergeCell ref="BD99:BE99"/>
    <mergeCell ref="BF99:BG99"/>
    <mergeCell ref="BH99:BI99"/>
    <mergeCell ref="BB100:BC100"/>
    <mergeCell ref="BD100:BE100"/>
    <mergeCell ref="BF100:BG100"/>
    <mergeCell ref="BH100:BI100"/>
    <mergeCell ref="BF101:BI101"/>
    <mergeCell ref="BF102:BG102"/>
    <mergeCell ref="BH102:BI102"/>
    <mergeCell ref="BF103:BI103"/>
    <mergeCell ref="BB104:BC104"/>
    <mergeCell ref="BD104:BE104"/>
    <mergeCell ref="BF104:BG104"/>
    <mergeCell ref="BH104:BI104"/>
    <mergeCell ref="BB105:BC105"/>
    <mergeCell ref="BD105:BE105"/>
    <mergeCell ref="BF105:BG105"/>
    <mergeCell ref="BH105:BI105"/>
    <mergeCell ref="BB106:BC106"/>
    <mergeCell ref="BD106:BE106"/>
    <mergeCell ref="BF106:BG106"/>
    <mergeCell ref="BH106:BI106"/>
    <mergeCell ref="BB107:BC107"/>
    <mergeCell ref="BD107:BE107"/>
    <mergeCell ref="BF107:BG107"/>
    <mergeCell ref="BH107:BI107"/>
    <mergeCell ref="BB108:BC108"/>
    <mergeCell ref="BD108:BE108"/>
    <mergeCell ref="BF108:BG108"/>
    <mergeCell ref="BH108:BI108"/>
    <mergeCell ref="BB109:BC109"/>
    <mergeCell ref="BD109:BE109"/>
    <mergeCell ref="BF109:BG109"/>
    <mergeCell ref="BH109:BI109"/>
    <mergeCell ref="BB110:BC110"/>
    <mergeCell ref="BD110:BE110"/>
    <mergeCell ref="BF110:BG110"/>
    <mergeCell ref="BH110:BI110"/>
    <mergeCell ref="BB111:BC111"/>
    <mergeCell ref="BD111:BE111"/>
    <mergeCell ref="BF111:BG111"/>
    <mergeCell ref="BH111:BI111"/>
    <mergeCell ref="BF112:BI112"/>
    <mergeCell ref="BF113:BG113"/>
    <mergeCell ref="BH113:BI113"/>
    <mergeCell ref="BF114:BI114"/>
    <mergeCell ref="BB115:BC115"/>
    <mergeCell ref="BD115:BE115"/>
    <mergeCell ref="BF115:BG115"/>
    <mergeCell ref="BH115:BI115"/>
    <mergeCell ref="BB116:BC116"/>
    <mergeCell ref="BD116:BE116"/>
    <mergeCell ref="BF116:BG116"/>
    <mergeCell ref="BH116:BI116"/>
    <mergeCell ref="BB117:BC117"/>
    <mergeCell ref="BD117:BE117"/>
    <mergeCell ref="BF117:BG117"/>
    <mergeCell ref="BH117:BI117"/>
    <mergeCell ref="BB118:BC118"/>
    <mergeCell ref="BD118:BE118"/>
    <mergeCell ref="BF118:BG118"/>
    <mergeCell ref="BH118:BI118"/>
    <mergeCell ref="BH122:BI122"/>
    <mergeCell ref="BB119:BC119"/>
    <mergeCell ref="BD119:BE119"/>
    <mergeCell ref="BF119:BG119"/>
    <mergeCell ref="BH119:BI119"/>
    <mergeCell ref="BB120:BC120"/>
    <mergeCell ref="BD120:BE120"/>
    <mergeCell ref="BF120:BG120"/>
    <mergeCell ref="BH120:BI120"/>
    <mergeCell ref="BD126:BE126"/>
    <mergeCell ref="BF126:BG126"/>
    <mergeCell ref="BH126:BI126"/>
    <mergeCell ref="BB121:BC121"/>
    <mergeCell ref="BD121:BE121"/>
    <mergeCell ref="BF121:BG121"/>
    <mergeCell ref="BH121:BI121"/>
    <mergeCell ref="BB122:BC122"/>
    <mergeCell ref="BD122:BE122"/>
    <mergeCell ref="BF122:BG122"/>
    <mergeCell ref="BB126:BC126"/>
    <mergeCell ref="BF131:BG131"/>
    <mergeCell ref="BH131:BI131"/>
    <mergeCell ref="BB127:BC127"/>
    <mergeCell ref="BD127:BE127"/>
    <mergeCell ref="BF127:BG127"/>
    <mergeCell ref="BH127:BI127"/>
    <mergeCell ref="BB128:BC128"/>
    <mergeCell ref="BD128:BE128"/>
    <mergeCell ref="BF128:BG128"/>
    <mergeCell ref="BF129:BG129"/>
    <mergeCell ref="BH129:BI129"/>
    <mergeCell ref="BF130:BG130"/>
    <mergeCell ref="BH130:BI130"/>
    <mergeCell ref="BF124:BG124"/>
    <mergeCell ref="BH124:BI124"/>
    <mergeCell ref="BF125:BI125"/>
    <mergeCell ref="BH128:BI128"/>
    <mergeCell ref="C2:G3"/>
    <mergeCell ref="C4:G5"/>
    <mergeCell ref="C90:G91"/>
    <mergeCell ref="C92:G93"/>
    <mergeCell ref="T124:V124"/>
    <mergeCell ref="U90:U93"/>
    <mergeCell ref="D114:E114"/>
    <mergeCell ref="Q46:S46"/>
    <mergeCell ref="Q72:R72"/>
    <mergeCell ref="T84:T85"/>
  </mergeCells>
  <conditionalFormatting sqref="G81:G82 S81:S82 M81:M82">
    <cfRule type="cellIs" priority="18" dxfId="11" operator="equal" stopIfTrue="1">
      <formula>"Try Again"</formula>
    </cfRule>
    <cfRule type="cellIs" priority="20" dxfId="12" operator="equal" stopIfTrue="1">
      <formula>"""Try again"""</formula>
    </cfRule>
  </conditionalFormatting>
  <conditionalFormatting sqref="G82 M81:M82 S81:S82">
    <cfRule type="cellIs" priority="19" dxfId="12" operator="equal" stopIfTrue="1">
      <formula>"""Try again"""</formula>
    </cfRule>
  </conditionalFormatting>
  <conditionalFormatting sqref="P56 P59 H46 N46 T46 N52">
    <cfRule type="cellIs" priority="15" dxfId="13" operator="equal" stopIfTrue="1">
      <formula>"Try again"</formula>
    </cfRule>
  </conditionalFormatting>
  <conditionalFormatting sqref="C102">
    <cfRule type="cellIs" priority="7" dxfId="13" operator="equal" stopIfTrue="1">
      <formula>"Use Reinforcement for Shear only"</formula>
    </cfRule>
    <cfRule type="cellIs" priority="8" dxfId="14" operator="equal" stopIfTrue="1">
      <formula>"Use Reinforcement for Shear only"</formula>
    </cfRule>
    <cfRule type="cellIs" priority="11" dxfId="15" operator="equal" stopIfTrue="1">
      <formula>"Use Reinforcement for Shear only"</formula>
    </cfRule>
    <cfRule type="cellIs" priority="14" dxfId="15" operator="equal" stopIfTrue="1">
      <formula>"Use Reinforcement for Shear Torsion only"</formula>
    </cfRule>
  </conditionalFormatting>
  <conditionalFormatting sqref="L105:M105 L99 U98 U104">
    <cfRule type="cellIs" priority="13" dxfId="16" operator="equal" stopIfTrue="1">
      <formula>"Try Again"</formula>
    </cfRule>
  </conditionalFormatting>
  <conditionalFormatting sqref="G82 M81:M82 S81:S82">
    <cfRule type="cellIs" priority="12" dxfId="16" operator="equal" stopIfTrue="1">
      <formula>"Try again"</formula>
    </cfRule>
  </conditionalFormatting>
  <conditionalFormatting sqref="P56 P59:R59 L105 F106 H46:I46 N46:O46 T46:U46 N52 M81:M82 G81:G82 S81:S82 L99 U98 U104">
    <cfRule type="cellIs" priority="10" dxfId="17" operator="equal" stopIfTrue="1">
      <formula>"NG."</formula>
    </cfRule>
  </conditionalFormatting>
  <dataValidations count="8">
    <dataValidation type="list" allowBlank="1" showInputMessage="1" showErrorMessage="1" sqref="L97">
      <formula1>"6,9,10,12"</formula1>
    </dataValidation>
    <dataValidation type="list" allowBlank="1" showInputMessage="1" showErrorMessage="1" sqref="G84 O81:P81 M84 I64:J64 I66:J66 O64:P64 O66:P66 U64:V64 I72:I75 O72:O75 U66 U83:V83 I83:J83 I81:J81 U81:V81 O83:P83 S84">
      <formula1>"12,16,20,25,32"</formula1>
    </dataValidation>
    <dataValidation type="list" allowBlank="1" showInputMessage="1" showErrorMessage="1" sqref="S10">
      <formula1>"SR-24,SD-30,SD-40"</formula1>
    </dataValidation>
    <dataValidation type="list" allowBlank="1" showInputMessage="1" showErrorMessage="1" sqref="H12">
      <formula1>"0.375,.45"</formula1>
    </dataValidation>
    <dataValidation type="list" allowBlank="1" showInputMessage="1" showErrorMessage="1" sqref="L50">
      <formula1>case</formula1>
    </dataValidation>
    <dataValidation type="list" allowBlank="1" showInputMessage="1" showErrorMessage="1" sqref="O82:P82 O80:P80 I80:J80 I82:J82 U82:V82 U80:V80">
      <formula1>"2,3,4,5,6,7"</formula1>
    </dataValidation>
    <dataValidation type="list" allowBlank="1" showInputMessage="1" showErrorMessage="1" sqref="H109">
      <formula1>"1,2,3,4,5,6,7,8,9,10,11,12,13,14,15"</formula1>
    </dataValidation>
    <dataValidation type="list" allowBlank="1" showInputMessage="1" showErrorMessage="1" sqref="F84 R84 L84">
      <formula1>"0,2,4"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fitToHeight="2" fitToWidth="1" horizontalDpi="600" verticalDpi="600" orientation="portrait" paperSize="9" scale="85" r:id="rId2"/>
  <headerFooter>
    <oddFooter>&amp;L&amp;11&amp;Z&amp;F&amp;R&amp;11&amp;D/&amp;T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2013-12-03T13:47:16Z</cp:lastPrinted>
  <dcterms:created xsi:type="dcterms:W3CDTF">2008-06-04T11:41:54Z</dcterms:created>
  <dcterms:modified xsi:type="dcterms:W3CDTF">2013-12-22T01:05:13Z</dcterms:modified>
  <cp:category/>
  <cp:version/>
  <cp:contentType/>
  <cp:contentStatus/>
</cp:coreProperties>
</file>